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35" windowWidth="14820" windowHeight="65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81" r:id="rId17"/>
    <sheet name="TK" sheetId="58" r:id="rId18"/>
    <sheet name="BTGT" sheetId="60" r:id="rId19"/>
    <sheet name="THEGT" sheetId="61" r:id="rId20"/>
    <sheet name="SO-TS" sheetId="64" r:id="rId21"/>
    <sheet name="THE-TS" sheetId="68" r:id="rId22"/>
  </sheets>
  <externalReferences>
    <externalReference r:id="rId23"/>
    <externalReference r:id="rId24"/>
    <externalReference r:id="rId25"/>
    <externalReference r:id="rId26"/>
  </externalReferences>
  <definedNames>
    <definedName name="_C111">TH!$R$10:$R$3514</definedName>
    <definedName name="_C112">TH!$U$10:$U$3514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'111'!$A$12:$J$86</definedName>
    <definedName name="_xlnm._FilterDatabase" localSheetId="6" hidden="1">'112'!$A$10:$K$146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NXT!$A$11:$N$413</definedName>
    <definedName name="_xlnm._FilterDatabase" localSheetId="1" hidden="1">TH!$A$9:$AD$3399</definedName>
    <definedName name="_xlnm._FilterDatabase" localSheetId="17" hidden="1">TK!$A$1:$J$1</definedName>
    <definedName name="_M">TH!$B$10:$B$3514</definedName>
    <definedName name="_N111">TH!$Q$10:$Q$3514</definedName>
    <definedName name="_N112">TH!$T$10:$T$3514</definedName>
    <definedName name="_TM1">IF('IN-TC'!$S$4=1,1,IF('IN-TC'!$S$4=2,4,IF('IN-TC'!$S$4=3,7,10)))</definedName>
    <definedName name="_TM2">IF('IN-TC'!$S$4=1,3,IF('IN-TC'!$S$4=2,6,IF('IN-TC'!$S$4=3,9,12)))</definedName>
    <definedName name="DG">TH!$J$10:$J$3514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'131'!$B$6:$B$71</definedName>
    <definedName name="DSGT1">BTGT!$B$6:$B$272</definedName>
    <definedName name="DSGT2">BTGT!$B$281:$B$524</definedName>
    <definedName name="DSGT3">BTGT!$B$533:$B$560</definedName>
    <definedName name="DSGT4">BTGT!$B$568:$B$716</definedName>
    <definedName name="DSKH">'331'!$B$6:$B$27</definedName>
    <definedName name="DSKU">'341'!$B$4:$B$21</definedName>
    <definedName name="DSSP1">BTGT!$B$6:$K$272</definedName>
    <definedName name="DSSP2">BTGT!$B$281:$K$524</definedName>
    <definedName name="DSSP3">BTGT!$B$533:$K$560</definedName>
    <definedName name="DSSP4">BTGT!$B$568:$K$716</definedName>
    <definedName name="DSTK">CDPS!$A$10:$D$58</definedName>
    <definedName name="DSTS1">'SO-TS'!$D$14:$D$19</definedName>
    <definedName name="KH">TH!$H$10:$H$3514</definedName>
    <definedName name="KHC">TH!$M$10:$M$3514</definedName>
    <definedName name="KHN">TH!$L$10:$L$3514</definedName>
    <definedName name="Loai">OFFSET(TH!$N$5,,,COUNTA(TH!$N$5:$N$41824))</definedName>
    <definedName name="Loai1">OFFSET(TH!$P$5,,,COUNTA(TH!$P$5:$P$41824))</definedName>
    <definedName name="Loai10">OFFSET(TH!$O$5,,,COUNTA(TH!$O$5:$O$41576))</definedName>
    <definedName name="Loai2">OFFSET(TH!$S$5,,,COUNTA(TH!$S$5:$S$41824))</definedName>
    <definedName name="Loai3">OFFSET('SO-TS'!$P$14,,,COUNTA('SO-TS'!$P$14:$P$3891))</definedName>
    <definedName name="Loai5">OFFSET(TH!$V$5,,,COUNTA(TH!$V$5:$V$41824))</definedName>
    <definedName name="Loai6">OFFSET(TH!$Z$5,,,COUNTA(TH!$Z$5:$Z$41824))</definedName>
    <definedName name="Loai7">OFFSET(TH!$W$5,,,COUNTA(TH!$W$5:$W$41824))</definedName>
    <definedName name="Loai8">OFFSET(TH!$X$5,,,COUNTA(TH!$X$5:$X$41824))</definedName>
    <definedName name="Loai9">OFFSET(TH!$Y$5,,,COUNTA(TH!$Y$5:$Y$41824))</definedName>
    <definedName name="MH">TH!$F$10:$F$3514</definedName>
    <definedName name="NXT">NXT!$A$12:$A$735</definedName>
    <definedName name="_xlnm.Print_Area" localSheetId="4">'111'!$A$1:$J$92</definedName>
    <definedName name="_xlnm.Print_Area" localSheetId="6">'112'!$A$1:$I$154</definedName>
    <definedName name="_xlnm.Print_Area" localSheetId="7">'131'!$A$1:$H$79</definedName>
    <definedName name="_xlnm.Print_Area" localSheetId="8">'131-CT'!$A$1:$J$46</definedName>
    <definedName name="_xlnm.Print_Area" localSheetId="16">'152-CT'!$B$2:$M$79</definedName>
    <definedName name="_xlnm.Print_Area" localSheetId="9">'331'!$A$1:$H$34</definedName>
    <definedName name="_xlnm.Print_Area" localSheetId="10">'331-CT'!$A$1:$J$65</definedName>
    <definedName name="_xlnm.Print_Area" localSheetId="11">'341'!$A$1:$I$22</definedName>
    <definedName name="_xlnm.Print_Area" localSheetId="12">'341-CT'!$A$1:$I$40</definedName>
    <definedName name="_xlnm.Print_Area" localSheetId="18">BTGT!$A$278:$K$527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NXT!$B$1:$L$418</definedName>
    <definedName name="_xlnm.Print_Area" localSheetId="20">'SO-TS'!$A$1:$O$35</definedName>
    <definedName name="_xlnm.Print_Area" localSheetId="21">'THE-TS'!$A$2:$H$52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TH!$I$10:$I$3514</definedName>
    <definedName name="TH">TH!$K$10:$K$3514</definedName>
    <definedName name="TM">TH!$A$10:$M$3514</definedName>
  </definedNames>
  <calcPr calcId="144525"/>
</workbook>
</file>

<file path=xl/calcChain.xml><?xml version="1.0" encoding="utf-8"?>
<calcChain xmlns="http://schemas.openxmlformats.org/spreadsheetml/2006/main">
  <c r="N19" i="34" l="1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X68" i="34"/>
  <c r="Y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S74" i="34"/>
  <c r="T74" i="34"/>
  <c r="U74" i="34"/>
  <c r="X74" i="34"/>
  <c r="Y74" i="34"/>
  <c r="N75" i="34"/>
  <c r="O75" i="34"/>
  <c r="S75" i="34"/>
  <c r="T75" i="34"/>
  <c r="U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0" i="34"/>
  <c r="O90" i="34"/>
  <c r="S90" i="34"/>
  <c r="T90" i="34"/>
  <c r="U90" i="34"/>
  <c r="X90" i="34"/>
  <c r="Y90" i="34"/>
  <c r="N91" i="34"/>
  <c r="O91" i="34"/>
  <c r="S91" i="34"/>
  <c r="T91" i="34"/>
  <c r="U91" i="34"/>
  <c r="X91" i="34"/>
  <c r="Y91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X97" i="34"/>
  <c r="Y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4" i="34"/>
  <c r="O134" i="34"/>
  <c r="S134" i="34"/>
  <c r="T134" i="34"/>
  <c r="U134" i="34"/>
  <c r="X134" i="34"/>
  <c r="Y134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S137" i="34"/>
  <c r="T137" i="34"/>
  <c r="U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X150" i="34"/>
  <c r="Y150" i="34"/>
  <c r="N151" i="34"/>
  <c r="O151" i="34"/>
  <c r="S151" i="34"/>
  <c r="T151" i="34"/>
  <c r="U151" i="34"/>
  <c r="X151" i="34"/>
  <c r="Y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4" i="34"/>
  <c r="O154" i="34"/>
  <c r="S154" i="34"/>
  <c r="T154" i="34"/>
  <c r="U154" i="34"/>
  <c r="X154" i="34"/>
  <c r="Y154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6" i="34"/>
  <c r="O166" i="34"/>
  <c r="S166" i="34"/>
  <c r="T166" i="34"/>
  <c r="U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S228" i="34"/>
  <c r="T228" i="34"/>
  <c r="U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X231" i="34"/>
  <c r="Y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S253" i="34"/>
  <c r="T253" i="34"/>
  <c r="U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4" i="34"/>
  <c r="O264" i="34"/>
  <c r="S264" i="34"/>
  <c r="T264" i="34"/>
  <c r="U264" i="34"/>
  <c r="X264" i="34"/>
  <c r="Y264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S270" i="34"/>
  <c r="T270" i="34"/>
  <c r="U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1" i="34"/>
  <c r="O281" i="34"/>
  <c r="S281" i="34"/>
  <c r="T281" i="34"/>
  <c r="U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S313" i="34"/>
  <c r="T313" i="34"/>
  <c r="U313" i="34"/>
  <c r="X313" i="34"/>
  <c r="Y313" i="34"/>
  <c r="N314" i="34"/>
  <c r="O314" i="34"/>
  <c r="S314" i="34"/>
  <c r="T314" i="34"/>
  <c r="U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S329" i="34"/>
  <c r="T329" i="34"/>
  <c r="U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S335" i="34"/>
  <c r="T335" i="34"/>
  <c r="U335" i="34"/>
  <c r="X335" i="34"/>
  <c r="Y335" i="34"/>
  <c r="N336" i="34"/>
  <c r="O336" i="34"/>
  <c r="S336" i="34"/>
  <c r="T336" i="34"/>
  <c r="U336" i="34"/>
  <c r="X336" i="34"/>
  <c r="Y336" i="34"/>
  <c r="N337" i="34"/>
  <c r="O337" i="34"/>
  <c r="S337" i="34"/>
  <c r="T337" i="34"/>
  <c r="U337" i="34"/>
  <c r="X337" i="34"/>
  <c r="Y337" i="34"/>
  <c r="N338" i="34"/>
  <c r="O338" i="34"/>
  <c r="S338" i="34"/>
  <c r="T338" i="34"/>
  <c r="U338" i="34"/>
  <c r="X338" i="34"/>
  <c r="Y338" i="34"/>
  <c r="N339" i="34"/>
  <c r="O339" i="34"/>
  <c r="S339" i="34"/>
  <c r="T339" i="34"/>
  <c r="U339" i="34"/>
  <c r="X339" i="34"/>
  <c r="Y339" i="34"/>
  <c r="N340" i="34"/>
  <c r="O340" i="34"/>
  <c r="S340" i="34"/>
  <c r="T340" i="34"/>
  <c r="U340" i="34"/>
  <c r="X340" i="34"/>
  <c r="Y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X344" i="34"/>
  <c r="Y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S402" i="34"/>
  <c r="T402" i="34"/>
  <c r="U402" i="34"/>
  <c r="X402" i="34"/>
  <c r="Y402" i="34"/>
  <c r="N403" i="34"/>
  <c r="O403" i="34"/>
  <c r="S403" i="34"/>
  <c r="T403" i="34"/>
  <c r="U403" i="34"/>
  <c r="X403" i="34"/>
  <c r="Y403" i="34"/>
  <c r="N404" i="34"/>
  <c r="O404" i="34"/>
  <c r="S404" i="34"/>
  <c r="T404" i="34"/>
  <c r="U404" i="34"/>
  <c r="X404" i="34"/>
  <c r="Y404" i="34"/>
  <c r="N405" i="34"/>
  <c r="O405" i="34"/>
  <c r="S405" i="34"/>
  <c r="T405" i="34"/>
  <c r="U405" i="34"/>
  <c r="X405" i="34"/>
  <c r="Y405" i="34"/>
  <c r="N406" i="34"/>
  <c r="O406" i="34"/>
  <c r="S406" i="34"/>
  <c r="T406" i="34"/>
  <c r="U406" i="34"/>
  <c r="X406" i="34"/>
  <c r="Y406" i="34"/>
  <c r="N407" i="34"/>
  <c r="O407" i="34"/>
  <c r="S407" i="34"/>
  <c r="T407" i="34"/>
  <c r="U407" i="34"/>
  <c r="X407" i="34"/>
  <c r="Y407" i="34"/>
  <c r="N408" i="34"/>
  <c r="O408" i="34"/>
  <c r="S408" i="34"/>
  <c r="T408" i="34"/>
  <c r="U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S445" i="34"/>
  <c r="T445" i="34"/>
  <c r="U445" i="34"/>
  <c r="X445" i="34"/>
  <c r="Y445" i="34"/>
  <c r="N446" i="34"/>
  <c r="O446" i="34"/>
  <c r="S446" i="34"/>
  <c r="T446" i="34"/>
  <c r="U446" i="34"/>
  <c r="X446" i="34"/>
  <c r="Y446" i="34"/>
  <c r="N447" i="34"/>
  <c r="O447" i="34"/>
  <c r="S447" i="34"/>
  <c r="T447" i="34"/>
  <c r="U447" i="34"/>
  <c r="X447" i="34"/>
  <c r="Y447" i="34"/>
  <c r="N448" i="34"/>
  <c r="O448" i="34"/>
  <c r="S448" i="34"/>
  <c r="T448" i="34"/>
  <c r="U448" i="34"/>
  <c r="X448" i="34"/>
  <c r="Y448" i="34"/>
  <c r="N449" i="34"/>
  <c r="O449" i="34"/>
  <c r="S449" i="34"/>
  <c r="T449" i="34"/>
  <c r="U449" i="34"/>
  <c r="X449" i="34"/>
  <c r="Y449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S456" i="34"/>
  <c r="T456" i="34"/>
  <c r="U456" i="34"/>
  <c r="X456" i="34"/>
  <c r="Y456" i="34"/>
  <c r="N457" i="34"/>
  <c r="O457" i="34"/>
  <c r="S457" i="34"/>
  <c r="T457" i="34"/>
  <c r="U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S464" i="34"/>
  <c r="T464" i="34"/>
  <c r="U464" i="34"/>
  <c r="X464" i="34"/>
  <c r="Y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3" i="34"/>
  <c r="O493" i="34"/>
  <c r="S493" i="34"/>
  <c r="T493" i="34"/>
  <c r="U493" i="34"/>
  <c r="X493" i="34"/>
  <c r="Y493" i="34"/>
  <c r="N494" i="34"/>
  <c r="O494" i="34"/>
  <c r="S494" i="34"/>
  <c r="T494" i="34"/>
  <c r="U494" i="34"/>
  <c r="X494" i="34"/>
  <c r="Y494" i="34"/>
  <c r="N495" i="34"/>
  <c r="O495" i="34"/>
  <c r="S495" i="34"/>
  <c r="T495" i="34"/>
  <c r="U495" i="34"/>
  <c r="X495" i="34"/>
  <c r="Y495" i="34"/>
  <c r="N496" i="34"/>
  <c r="O496" i="34"/>
  <c r="S496" i="34"/>
  <c r="T496" i="34"/>
  <c r="U496" i="34"/>
  <c r="X496" i="34"/>
  <c r="Y496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S575" i="34"/>
  <c r="T575" i="34"/>
  <c r="U575" i="34"/>
  <c r="X575" i="34"/>
  <c r="Y575" i="34"/>
  <c r="N576" i="34"/>
  <c r="O576" i="34"/>
  <c r="S576" i="34"/>
  <c r="T576" i="34"/>
  <c r="U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S586" i="34"/>
  <c r="T586" i="34"/>
  <c r="U586" i="34"/>
  <c r="X586" i="34"/>
  <c r="Y586" i="34"/>
  <c r="N587" i="34"/>
  <c r="O587" i="34"/>
  <c r="S587" i="34"/>
  <c r="T587" i="34"/>
  <c r="U587" i="34"/>
  <c r="X587" i="34"/>
  <c r="Y587" i="34"/>
  <c r="N588" i="34"/>
  <c r="O588" i="34"/>
  <c r="S588" i="34"/>
  <c r="T588" i="34"/>
  <c r="U588" i="34"/>
  <c r="X588" i="34"/>
  <c r="Y588" i="34"/>
  <c r="N589" i="34"/>
  <c r="O589" i="34"/>
  <c r="S589" i="34"/>
  <c r="T589" i="34"/>
  <c r="U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X603" i="34"/>
  <c r="Y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S611" i="34"/>
  <c r="T611" i="34"/>
  <c r="U611" i="34"/>
  <c r="X611" i="34"/>
  <c r="Y611" i="34"/>
  <c r="N612" i="34"/>
  <c r="O612" i="34"/>
  <c r="S612" i="34"/>
  <c r="T612" i="34"/>
  <c r="U612" i="34"/>
  <c r="X612" i="34"/>
  <c r="Y612" i="34"/>
  <c r="N613" i="34"/>
  <c r="O613" i="34"/>
  <c r="S613" i="34"/>
  <c r="T613" i="34"/>
  <c r="U613" i="34"/>
  <c r="X613" i="34"/>
  <c r="Y613" i="34"/>
  <c r="N614" i="34"/>
  <c r="O614" i="34"/>
  <c r="S614" i="34"/>
  <c r="T614" i="34"/>
  <c r="U614" i="34"/>
  <c r="X614" i="34"/>
  <c r="Y614" i="34"/>
  <c r="N615" i="34"/>
  <c r="O615" i="34"/>
  <c r="S615" i="34"/>
  <c r="T615" i="34"/>
  <c r="U615" i="34"/>
  <c r="X615" i="34"/>
  <c r="Y615" i="34"/>
  <c r="N616" i="34"/>
  <c r="O616" i="34"/>
  <c r="S616" i="34"/>
  <c r="T616" i="34"/>
  <c r="U616" i="34"/>
  <c r="X616" i="34"/>
  <c r="Y616" i="34"/>
  <c r="N617" i="34"/>
  <c r="O617" i="34"/>
  <c r="S617" i="34"/>
  <c r="T617" i="34"/>
  <c r="U617" i="34"/>
  <c r="X617" i="34"/>
  <c r="Y617" i="34"/>
  <c r="N618" i="34"/>
  <c r="O618" i="34"/>
  <c r="S618" i="34"/>
  <c r="T618" i="34"/>
  <c r="U618" i="34"/>
  <c r="X618" i="34"/>
  <c r="Y618" i="34"/>
  <c r="N619" i="34"/>
  <c r="O619" i="34"/>
  <c r="S619" i="34"/>
  <c r="T619" i="34"/>
  <c r="U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6" i="34"/>
  <c r="O626" i="34"/>
  <c r="S626" i="34"/>
  <c r="T626" i="34"/>
  <c r="U626" i="34"/>
  <c r="X626" i="34"/>
  <c r="Y626" i="34"/>
  <c r="N627" i="34"/>
  <c r="O627" i="34"/>
  <c r="S627" i="34"/>
  <c r="T627" i="34"/>
  <c r="U627" i="34"/>
  <c r="X627" i="34"/>
  <c r="Y627" i="34"/>
  <c r="N628" i="34"/>
  <c r="O628" i="34"/>
  <c r="S628" i="34"/>
  <c r="T628" i="34"/>
  <c r="U628" i="34"/>
  <c r="X628" i="34"/>
  <c r="Y628" i="34"/>
  <c r="N629" i="34"/>
  <c r="O629" i="34"/>
  <c r="S629" i="34"/>
  <c r="T629" i="34"/>
  <c r="U629" i="34"/>
  <c r="X629" i="34"/>
  <c r="Y629" i="34"/>
  <c r="N630" i="34"/>
  <c r="O630" i="34"/>
  <c r="S630" i="34"/>
  <c r="T630" i="34"/>
  <c r="U630" i="34"/>
  <c r="X630" i="34"/>
  <c r="Y630" i="34"/>
  <c r="N631" i="34"/>
  <c r="O631" i="34"/>
  <c r="S631" i="34"/>
  <c r="T631" i="34"/>
  <c r="U631" i="34"/>
  <c r="X631" i="34"/>
  <c r="Y631" i="34"/>
  <c r="N632" i="34"/>
  <c r="O632" i="34"/>
  <c r="S632" i="34"/>
  <c r="T632" i="34"/>
  <c r="U632" i="34"/>
  <c r="X632" i="34"/>
  <c r="Y632" i="34"/>
  <c r="N633" i="34"/>
  <c r="O633" i="34"/>
  <c r="S633" i="34"/>
  <c r="T633" i="34"/>
  <c r="U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S712" i="34"/>
  <c r="T712" i="34"/>
  <c r="U712" i="34"/>
  <c r="X712" i="34"/>
  <c r="Y712" i="34"/>
  <c r="N713" i="34"/>
  <c r="O713" i="34"/>
  <c r="S713" i="34"/>
  <c r="T713" i="34"/>
  <c r="U713" i="34"/>
  <c r="X713" i="34"/>
  <c r="Y713" i="34"/>
  <c r="N714" i="34"/>
  <c r="O714" i="34"/>
  <c r="S714" i="34"/>
  <c r="T714" i="34"/>
  <c r="U714" i="34"/>
  <c r="X714" i="34"/>
  <c r="Y714" i="34"/>
  <c r="N715" i="34"/>
  <c r="O715" i="34"/>
  <c r="S715" i="34"/>
  <c r="T715" i="34"/>
  <c r="U715" i="34"/>
  <c r="X715" i="34"/>
  <c r="Y715" i="34"/>
  <c r="N716" i="34"/>
  <c r="O716" i="34"/>
  <c r="S716" i="34"/>
  <c r="T716" i="34"/>
  <c r="U716" i="34"/>
  <c r="X716" i="34"/>
  <c r="Y716" i="34"/>
  <c r="N717" i="34"/>
  <c r="O717" i="34"/>
  <c r="S717" i="34"/>
  <c r="T717" i="34"/>
  <c r="U717" i="34"/>
  <c r="X717" i="34"/>
  <c r="Y717" i="34"/>
  <c r="N718" i="34"/>
  <c r="O718" i="34"/>
  <c r="S718" i="34"/>
  <c r="T718" i="34"/>
  <c r="U718" i="34"/>
  <c r="X718" i="34"/>
  <c r="Y718" i="34"/>
  <c r="N719" i="34"/>
  <c r="O719" i="34"/>
  <c r="S719" i="34"/>
  <c r="T719" i="34"/>
  <c r="U719" i="34"/>
  <c r="X719" i="34"/>
  <c r="Y719" i="34"/>
  <c r="N720" i="34"/>
  <c r="O720" i="34"/>
  <c r="S720" i="34"/>
  <c r="T720" i="34"/>
  <c r="U720" i="34"/>
  <c r="X720" i="34"/>
  <c r="Y720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S740" i="34"/>
  <c r="T740" i="34"/>
  <c r="U740" i="34"/>
  <c r="X740" i="34"/>
  <c r="Y740" i="34"/>
  <c r="N741" i="34"/>
  <c r="O741" i="34"/>
  <c r="S741" i="34"/>
  <c r="T741" i="34"/>
  <c r="U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S754" i="34"/>
  <c r="T754" i="34"/>
  <c r="U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X759" i="34"/>
  <c r="Y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68" i="34"/>
  <c r="O768" i="34"/>
  <c r="S768" i="34"/>
  <c r="T768" i="34"/>
  <c r="U768" i="34"/>
  <c r="X768" i="34"/>
  <c r="Y768" i="34"/>
  <c r="N769" i="34"/>
  <c r="O769" i="34"/>
  <c r="S769" i="34"/>
  <c r="T769" i="34"/>
  <c r="U769" i="34"/>
  <c r="X769" i="34"/>
  <c r="Y769" i="34"/>
  <c r="N770" i="34"/>
  <c r="O770" i="34"/>
  <c r="S770" i="34"/>
  <c r="T770" i="34"/>
  <c r="U770" i="34"/>
  <c r="X770" i="34"/>
  <c r="Y770" i="34"/>
  <c r="N771" i="34"/>
  <c r="O771" i="34"/>
  <c r="S771" i="34"/>
  <c r="T771" i="34"/>
  <c r="U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S797" i="34"/>
  <c r="T797" i="34"/>
  <c r="U797" i="34"/>
  <c r="X797" i="34"/>
  <c r="Y797" i="34"/>
  <c r="N798" i="34"/>
  <c r="O798" i="34"/>
  <c r="S798" i="34"/>
  <c r="T798" i="34"/>
  <c r="U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S818" i="34"/>
  <c r="T818" i="34"/>
  <c r="U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S889" i="34"/>
  <c r="T889" i="34"/>
  <c r="U889" i="34"/>
  <c r="X889" i="34"/>
  <c r="Y889" i="34"/>
  <c r="N890" i="34"/>
  <c r="O890" i="34"/>
  <c r="S890" i="34"/>
  <c r="T890" i="34"/>
  <c r="U890" i="34"/>
  <c r="X890" i="34"/>
  <c r="Y890" i="34"/>
  <c r="N891" i="34"/>
  <c r="O891" i="34"/>
  <c r="S891" i="34"/>
  <c r="T891" i="34"/>
  <c r="U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S913" i="34"/>
  <c r="T913" i="34"/>
  <c r="U913" i="34"/>
  <c r="X913" i="34"/>
  <c r="Y913" i="34"/>
  <c r="N914" i="34"/>
  <c r="O914" i="34"/>
  <c r="S914" i="34"/>
  <c r="T914" i="34"/>
  <c r="U914" i="34"/>
  <c r="X914" i="34"/>
  <c r="Y914" i="34"/>
  <c r="N915" i="34"/>
  <c r="O915" i="34"/>
  <c r="S915" i="34"/>
  <c r="T915" i="34"/>
  <c r="U915" i="34"/>
  <c r="X915" i="34"/>
  <c r="Y915" i="34"/>
  <c r="N916" i="34"/>
  <c r="O916" i="34"/>
  <c r="S916" i="34"/>
  <c r="T916" i="34"/>
  <c r="U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48" i="34"/>
  <c r="O948" i="34"/>
  <c r="S948" i="34"/>
  <c r="T948" i="34"/>
  <c r="U948" i="34"/>
  <c r="X948" i="34"/>
  <c r="Y948" i="34"/>
  <c r="N949" i="34"/>
  <c r="O949" i="34"/>
  <c r="S949" i="34"/>
  <c r="T949" i="34"/>
  <c r="U949" i="34"/>
  <c r="X949" i="34"/>
  <c r="Y949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S1013" i="34"/>
  <c r="T1013" i="34"/>
  <c r="U1013" i="34"/>
  <c r="X1013" i="34"/>
  <c r="Y1013" i="34"/>
  <c r="N1014" i="34"/>
  <c r="O1014" i="34"/>
  <c r="S1014" i="34"/>
  <c r="T1014" i="34"/>
  <c r="U1014" i="34"/>
  <c r="X1014" i="34"/>
  <c r="Y1014" i="34"/>
  <c r="N1015" i="34"/>
  <c r="O1015" i="34"/>
  <c r="S1015" i="34"/>
  <c r="T1015" i="34"/>
  <c r="U1015" i="34"/>
  <c r="X1015" i="34"/>
  <c r="Y1015" i="34"/>
  <c r="N1016" i="34"/>
  <c r="O1016" i="34"/>
  <c r="S1016" i="34"/>
  <c r="T1016" i="34"/>
  <c r="U1016" i="34"/>
  <c r="X1016" i="34"/>
  <c r="Y1016" i="34"/>
  <c r="N1017" i="34"/>
  <c r="O1017" i="34"/>
  <c r="S1017" i="34"/>
  <c r="T1017" i="34"/>
  <c r="U1017" i="34"/>
  <c r="X1017" i="34"/>
  <c r="Y1017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S1037" i="34"/>
  <c r="T1037" i="34"/>
  <c r="U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S1043" i="34"/>
  <c r="T1043" i="34"/>
  <c r="U1043" i="34"/>
  <c r="X1043" i="34"/>
  <c r="Y1043" i="34"/>
  <c r="N1044" i="34"/>
  <c r="O1044" i="34"/>
  <c r="S1044" i="34"/>
  <c r="T1044" i="34"/>
  <c r="U1044" i="34"/>
  <c r="X1044" i="34"/>
  <c r="Y1044" i="34"/>
  <c r="N1045" i="34"/>
  <c r="O1045" i="34"/>
  <c r="S1045" i="34"/>
  <c r="T1045" i="34"/>
  <c r="U1045" i="34"/>
  <c r="X1045" i="34"/>
  <c r="Y1045" i="34"/>
  <c r="N1046" i="34"/>
  <c r="O1046" i="34"/>
  <c r="S1046" i="34"/>
  <c r="T1046" i="34"/>
  <c r="U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X1062" i="34"/>
  <c r="Y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S1067" i="34"/>
  <c r="T1067" i="34"/>
  <c r="U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3" i="34"/>
  <c r="O1143" i="34"/>
  <c r="S1143" i="34"/>
  <c r="T1143" i="34"/>
  <c r="U1143" i="34"/>
  <c r="X1143" i="34"/>
  <c r="Y1143" i="34"/>
  <c r="N1144" i="34"/>
  <c r="O1144" i="34"/>
  <c r="S1144" i="34"/>
  <c r="T1144" i="34"/>
  <c r="U1144" i="34"/>
  <c r="X1144" i="34"/>
  <c r="Y1144" i="34"/>
  <c r="N1145" i="34"/>
  <c r="O1145" i="34"/>
  <c r="S1145" i="34"/>
  <c r="T1145" i="34"/>
  <c r="U1145" i="34"/>
  <c r="X1145" i="34"/>
  <c r="Y1145" i="34"/>
  <c r="N1146" i="34"/>
  <c r="O1146" i="34"/>
  <c r="S1146" i="34"/>
  <c r="T1146" i="34"/>
  <c r="U1146" i="34"/>
  <c r="X1146" i="34"/>
  <c r="Y1146" i="34"/>
  <c r="N1147" i="34"/>
  <c r="O1147" i="34"/>
  <c r="S1147" i="34"/>
  <c r="T1147" i="34"/>
  <c r="U1147" i="34"/>
  <c r="X1147" i="34"/>
  <c r="Y1147" i="34"/>
  <c r="N1148" i="34"/>
  <c r="O1148" i="34"/>
  <c r="S1148" i="34"/>
  <c r="T1148" i="34"/>
  <c r="U1148" i="34"/>
  <c r="X1148" i="34"/>
  <c r="Y1148" i="34"/>
  <c r="N1149" i="34"/>
  <c r="O1149" i="34"/>
  <c r="S1149" i="34"/>
  <c r="T1149" i="34"/>
  <c r="U1149" i="34"/>
  <c r="X1149" i="34"/>
  <c r="Y1149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S1167" i="34"/>
  <c r="T1167" i="34"/>
  <c r="U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X1183" i="34"/>
  <c r="Y1183" i="34"/>
  <c r="N1184" i="34"/>
  <c r="O1184" i="34"/>
  <c r="S1184" i="34"/>
  <c r="T1184" i="34"/>
  <c r="U1184" i="34"/>
  <c r="X1184" i="34"/>
  <c r="Y1184" i="34"/>
  <c r="N1185" i="34"/>
  <c r="O1185" i="34"/>
  <c r="S1185" i="34"/>
  <c r="T1185" i="34"/>
  <c r="U1185" i="34"/>
  <c r="X1185" i="34"/>
  <c r="Y1185" i="34"/>
  <c r="N1186" i="34"/>
  <c r="O1186" i="34"/>
  <c r="S1186" i="34"/>
  <c r="T1186" i="34"/>
  <c r="U1186" i="34"/>
  <c r="X1186" i="34"/>
  <c r="Y1186" i="34"/>
  <c r="N1187" i="34"/>
  <c r="O1187" i="34"/>
  <c r="S1187" i="34"/>
  <c r="T1187" i="34"/>
  <c r="U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S1195" i="34"/>
  <c r="T1195" i="34"/>
  <c r="U1195" i="34"/>
  <c r="X1195" i="34"/>
  <c r="Y1195" i="34"/>
  <c r="N1196" i="34"/>
  <c r="O1196" i="34"/>
  <c r="S1196" i="34"/>
  <c r="T1196" i="34"/>
  <c r="U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S1218" i="34"/>
  <c r="T1218" i="34"/>
  <c r="U1218" i="34"/>
  <c r="X1218" i="34"/>
  <c r="Y1218" i="34"/>
  <c r="N1219" i="34"/>
  <c r="O1219" i="34"/>
  <c r="S1219" i="34"/>
  <c r="T1219" i="34"/>
  <c r="U1219" i="34"/>
  <c r="X1219" i="34"/>
  <c r="Y1219" i="34"/>
  <c r="N1220" i="34"/>
  <c r="O1220" i="34"/>
  <c r="S1220" i="34"/>
  <c r="T1220" i="34"/>
  <c r="U1220" i="34"/>
  <c r="X1220" i="34"/>
  <c r="Y1220" i="34"/>
  <c r="N1221" i="34"/>
  <c r="O1221" i="34"/>
  <c r="S1221" i="34"/>
  <c r="T1221" i="34"/>
  <c r="U1221" i="34"/>
  <c r="X1221" i="34"/>
  <c r="Y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S1228" i="34"/>
  <c r="T1228" i="34"/>
  <c r="U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S1231" i="34"/>
  <c r="T1231" i="34"/>
  <c r="U1231" i="34"/>
  <c r="X1231" i="34"/>
  <c r="Y1231" i="34"/>
  <c r="N1232" i="34"/>
  <c r="O1232" i="34"/>
  <c r="S1232" i="34"/>
  <c r="T1232" i="34"/>
  <c r="U1232" i="34"/>
  <c r="X1232" i="34"/>
  <c r="Y1232" i="34"/>
  <c r="N1233" i="34"/>
  <c r="O1233" i="34"/>
  <c r="S1233" i="34"/>
  <c r="T1233" i="34"/>
  <c r="U1233" i="34"/>
  <c r="X1233" i="34"/>
  <c r="Y1233" i="34"/>
  <c r="N1234" i="34"/>
  <c r="O1234" i="34"/>
  <c r="S1234" i="34"/>
  <c r="T1234" i="34"/>
  <c r="U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S1256" i="34"/>
  <c r="T1256" i="34"/>
  <c r="U1256" i="34"/>
  <c r="X1256" i="34"/>
  <c r="Y1256" i="34"/>
  <c r="N1257" i="34"/>
  <c r="O1257" i="34"/>
  <c r="S1257" i="34"/>
  <c r="T1257" i="34"/>
  <c r="U1257" i="34"/>
  <c r="X1257" i="34"/>
  <c r="Y1257" i="34"/>
  <c r="N1258" i="34"/>
  <c r="O1258" i="34"/>
  <c r="S1258" i="34"/>
  <c r="T1258" i="34"/>
  <c r="U1258" i="34"/>
  <c r="X1258" i="34"/>
  <c r="Y1258" i="34"/>
  <c r="N1259" i="34"/>
  <c r="O1259" i="34"/>
  <c r="S1259" i="34"/>
  <c r="T1259" i="34"/>
  <c r="U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S1281" i="34"/>
  <c r="T1281" i="34"/>
  <c r="U1281" i="34"/>
  <c r="X1281" i="34"/>
  <c r="Y1281" i="34"/>
  <c r="N1282" i="34"/>
  <c r="O1282" i="34"/>
  <c r="S1282" i="34"/>
  <c r="T1282" i="34"/>
  <c r="U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S1288" i="34"/>
  <c r="T1288" i="34"/>
  <c r="U1288" i="34"/>
  <c r="X1288" i="34"/>
  <c r="Y1288" i="34"/>
  <c r="N1289" i="34"/>
  <c r="O1289" i="34"/>
  <c r="S1289" i="34"/>
  <c r="T1289" i="34"/>
  <c r="U1289" i="34"/>
  <c r="X1289" i="34"/>
  <c r="Y1289" i="34"/>
  <c r="N1290" i="34"/>
  <c r="O1290" i="34"/>
  <c r="S1290" i="34"/>
  <c r="T1290" i="34"/>
  <c r="U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S1310" i="34"/>
  <c r="T1310" i="34"/>
  <c r="U1310" i="34"/>
  <c r="X1310" i="34"/>
  <c r="Y1310" i="34"/>
  <c r="N1311" i="34"/>
  <c r="O1311" i="34"/>
  <c r="S1311" i="34"/>
  <c r="T1311" i="34"/>
  <c r="U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S1320" i="34"/>
  <c r="T1320" i="34"/>
  <c r="U1320" i="34"/>
  <c r="X1320" i="34"/>
  <c r="Y1320" i="34"/>
  <c r="N1321" i="34"/>
  <c r="O1321" i="34"/>
  <c r="S1321" i="34"/>
  <c r="T1321" i="34"/>
  <c r="U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X1327" i="34"/>
  <c r="Y1327" i="34"/>
  <c r="N1328" i="34"/>
  <c r="O1328" i="34"/>
  <c r="S1328" i="34"/>
  <c r="T1328" i="34"/>
  <c r="U1328" i="34"/>
  <c r="X1328" i="34"/>
  <c r="Y1328" i="34"/>
  <c r="N1329" i="34"/>
  <c r="O1329" i="34"/>
  <c r="S1329" i="34"/>
  <c r="T1329" i="34"/>
  <c r="U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S1340" i="34"/>
  <c r="T1340" i="34"/>
  <c r="U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X1345" i="34"/>
  <c r="Y1345" i="34"/>
  <c r="N1346" i="34"/>
  <c r="O1346" i="34"/>
  <c r="X1346" i="34"/>
  <c r="Y1346" i="34"/>
  <c r="N1347" i="34"/>
  <c r="O1347" i="34"/>
  <c r="X1347" i="34"/>
  <c r="Y1347" i="34"/>
  <c r="N1348" i="34"/>
  <c r="O1348" i="34"/>
  <c r="X1348" i="34"/>
  <c r="Y1348" i="34"/>
  <c r="N1349" i="34"/>
  <c r="O1349" i="34"/>
  <c r="X1349" i="34"/>
  <c r="Y1349" i="34"/>
  <c r="N1350" i="34"/>
  <c r="O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X1365" i="34"/>
  <c r="Y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X1368" i="34"/>
  <c r="Y1368" i="34"/>
  <c r="N1369" i="34"/>
  <c r="O1369" i="34"/>
  <c r="X1369" i="34"/>
  <c r="Y1369" i="34"/>
  <c r="N1370" i="34"/>
  <c r="O1370" i="34"/>
  <c r="X1370" i="34"/>
  <c r="Y1370" i="34"/>
  <c r="N1371" i="34"/>
  <c r="O1371" i="34"/>
  <c r="X1371" i="34"/>
  <c r="Y1371" i="34"/>
  <c r="N1372" i="34"/>
  <c r="O1372" i="34"/>
  <c r="X1372" i="34"/>
  <c r="Y1372" i="34"/>
  <c r="N1373" i="34"/>
  <c r="O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S1384" i="34"/>
  <c r="T1384" i="34"/>
  <c r="U1384" i="34"/>
  <c r="X1384" i="34"/>
  <c r="Y1384" i="34"/>
  <c r="N1385" i="34"/>
  <c r="O1385" i="34"/>
  <c r="S1385" i="34"/>
  <c r="T1385" i="34"/>
  <c r="U1385" i="34"/>
  <c r="X1385" i="34"/>
  <c r="Y1385" i="34"/>
  <c r="N1386" i="34"/>
  <c r="O1386" i="34"/>
  <c r="S1386" i="34"/>
  <c r="T1386" i="34"/>
  <c r="U1386" i="34"/>
  <c r="X1386" i="34"/>
  <c r="Y1386" i="34"/>
  <c r="N1387" i="34"/>
  <c r="O1387" i="34"/>
  <c r="S1387" i="34"/>
  <c r="T1387" i="34"/>
  <c r="U1387" i="34"/>
  <c r="X1387" i="34"/>
  <c r="Y1387" i="34"/>
  <c r="N1388" i="34"/>
  <c r="O1388" i="34"/>
  <c r="S1388" i="34"/>
  <c r="T1388" i="34"/>
  <c r="U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N1394" i="34"/>
  <c r="O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X1405" i="34"/>
  <c r="Y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X1409" i="34"/>
  <c r="Y1409" i="34"/>
  <c r="N1410" i="34"/>
  <c r="O1410" i="34"/>
  <c r="X1410" i="34"/>
  <c r="Y1410" i="34"/>
  <c r="N1411" i="34"/>
  <c r="O1411" i="34"/>
  <c r="X1411" i="34"/>
  <c r="Y1411" i="34"/>
  <c r="N1412" i="34"/>
  <c r="O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X1428" i="34"/>
  <c r="Y1428" i="34"/>
  <c r="N1429" i="34"/>
  <c r="O1429" i="34"/>
  <c r="X1429" i="34"/>
  <c r="Y1429" i="34"/>
  <c r="N1430" i="34"/>
  <c r="O1430" i="34"/>
  <c r="X1430" i="34"/>
  <c r="Y1430" i="34"/>
  <c r="N1431" i="34"/>
  <c r="O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N1459" i="34"/>
  <c r="O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X1485" i="34"/>
  <c r="Y1485" i="34"/>
  <c r="N1486" i="34"/>
  <c r="O1486" i="34"/>
  <c r="X1486" i="34"/>
  <c r="Y1486" i="34"/>
  <c r="N1487" i="34"/>
  <c r="O1487" i="34"/>
  <c r="X1487" i="34"/>
  <c r="Y1487" i="34"/>
  <c r="N1488" i="34"/>
  <c r="O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X1495" i="34"/>
  <c r="Y1495" i="34"/>
  <c r="N1496" i="34"/>
  <c r="O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X1511" i="34"/>
  <c r="Y1511" i="34"/>
  <c r="N1512" i="34"/>
  <c r="O1512" i="34"/>
  <c r="X1512" i="34"/>
  <c r="Y1512" i="34"/>
  <c r="N1513" i="34"/>
  <c r="O1513" i="34"/>
  <c r="X1513" i="34"/>
  <c r="Y1513" i="34"/>
  <c r="N1514" i="34"/>
  <c r="O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X1539" i="34"/>
  <c r="Y1539" i="34"/>
  <c r="N1540" i="34"/>
  <c r="O1540" i="34"/>
  <c r="X1540" i="34"/>
  <c r="Y1540" i="34"/>
  <c r="N1541" i="34"/>
  <c r="O1541" i="34"/>
  <c r="X1541" i="34"/>
  <c r="Y1541" i="34"/>
  <c r="N1542" i="34"/>
  <c r="O1542" i="34"/>
  <c r="X1542" i="34"/>
  <c r="Y1542" i="34"/>
  <c r="N1543" i="34"/>
  <c r="O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X1547" i="34"/>
  <c r="Y1547" i="34"/>
  <c r="N1548" i="34"/>
  <c r="O1548" i="34"/>
  <c r="X1548" i="34"/>
  <c r="Y1548" i="34"/>
  <c r="N1549" i="34"/>
  <c r="O1549" i="34"/>
  <c r="X1549" i="34"/>
  <c r="Y1549" i="34"/>
  <c r="N1550" i="34"/>
  <c r="O1550" i="34"/>
  <c r="X1550" i="34"/>
  <c r="Y1550" i="34"/>
  <c r="N1551" i="34"/>
  <c r="O1551" i="34"/>
  <c r="X1551" i="34"/>
  <c r="Y1551" i="34"/>
  <c r="N1552" i="34"/>
  <c r="O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X1570" i="34"/>
  <c r="Y1570" i="34"/>
  <c r="N1571" i="34"/>
  <c r="O1571" i="34"/>
  <c r="X1571" i="34"/>
  <c r="Y1571" i="34"/>
  <c r="N1572" i="34"/>
  <c r="O1572" i="34"/>
  <c r="X1572" i="34"/>
  <c r="Y1572" i="34"/>
  <c r="N1573" i="34"/>
  <c r="O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X1589" i="34"/>
  <c r="Y1589" i="34"/>
  <c r="N1590" i="34"/>
  <c r="O1590" i="34"/>
  <c r="X1590" i="34"/>
  <c r="Y1590" i="34"/>
  <c r="N1591" i="34"/>
  <c r="O1591" i="34"/>
  <c r="X1591" i="34"/>
  <c r="Y1591" i="34"/>
  <c r="N1592" i="34"/>
  <c r="O1592" i="34"/>
  <c r="X1592" i="34"/>
  <c r="Y1592" i="34"/>
  <c r="N1593" i="34"/>
  <c r="O1593" i="34"/>
  <c r="X1593" i="34"/>
  <c r="Y1593" i="34"/>
  <c r="N1594" i="34"/>
  <c r="O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X1637" i="34"/>
  <c r="Y1637" i="34"/>
  <c r="N1638" i="34"/>
  <c r="O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X1657" i="34"/>
  <c r="Y1657" i="34"/>
  <c r="N1658" i="34"/>
  <c r="O1658" i="34"/>
  <c r="X1658" i="34"/>
  <c r="Y1658" i="34"/>
  <c r="N1659" i="34"/>
  <c r="O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X1691" i="34"/>
  <c r="Y1691" i="34"/>
  <c r="N1692" i="34"/>
  <c r="O1692" i="34"/>
  <c r="X1692" i="34"/>
  <c r="Y1692" i="34"/>
  <c r="N1693" i="34"/>
  <c r="O1693" i="34"/>
  <c r="X1693" i="34"/>
  <c r="Y1693" i="34"/>
  <c r="N1694" i="34"/>
  <c r="O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X1712" i="34"/>
  <c r="Y1712" i="34"/>
  <c r="N1713" i="34"/>
  <c r="O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X1719" i="34"/>
  <c r="Y1719" i="34"/>
  <c r="N1720" i="34"/>
  <c r="O1720" i="34"/>
  <c r="X1720" i="34"/>
  <c r="Y1720" i="34"/>
  <c r="N1721" i="34"/>
  <c r="O1721" i="34"/>
  <c r="X1721" i="34"/>
  <c r="Y1721" i="34"/>
  <c r="N1722" i="34"/>
  <c r="O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X1739" i="34"/>
  <c r="Y1739" i="34"/>
  <c r="N1740" i="34"/>
  <c r="O1740" i="34"/>
  <c r="X1740" i="34"/>
  <c r="Y1740" i="34"/>
  <c r="N1741" i="34"/>
  <c r="O1741" i="34"/>
  <c r="X1741" i="34"/>
  <c r="Y1741" i="34"/>
  <c r="N1742" i="34"/>
  <c r="O1742" i="34"/>
  <c r="X1742" i="34"/>
  <c r="Y1742" i="34"/>
  <c r="N1743" i="34"/>
  <c r="O1743" i="34"/>
  <c r="X1743" i="34"/>
  <c r="Y1743" i="34"/>
  <c r="N1744" i="34"/>
  <c r="O1744" i="34"/>
  <c r="X1744" i="34"/>
  <c r="Y1744" i="34"/>
  <c r="N1745" i="34"/>
  <c r="O1745" i="34"/>
  <c r="X1745" i="34"/>
  <c r="Y1745" i="34"/>
  <c r="N1746" i="34"/>
  <c r="O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X1803" i="34"/>
  <c r="Y1803" i="34"/>
  <c r="N1804" i="34"/>
  <c r="O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N1811" i="34"/>
  <c r="O1811" i="34"/>
  <c r="S1811" i="34"/>
  <c r="T1811" i="34"/>
  <c r="U1811" i="34"/>
  <c r="X1811" i="34"/>
  <c r="Y1811" i="34"/>
  <c r="N1812" i="34"/>
  <c r="O1812" i="34"/>
  <c r="X1812" i="34"/>
  <c r="Y1812" i="34"/>
  <c r="N1813" i="34"/>
  <c r="O1813" i="34"/>
  <c r="X1813" i="34"/>
  <c r="Y1813" i="34"/>
  <c r="N1814" i="34"/>
  <c r="O1814" i="34"/>
  <c r="X1814" i="34"/>
  <c r="Y1814" i="34"/>
  <c r="N1815" i="34"/>
  <c r="O1815" i="34"/>
  <c r="X1815" i="34"/>
  <c r="Y1815" i="34"/>
  <c r="N1816" i="34"/>
  <c r="O1816" i="34"/>
  <c r="X1816" i="34"/>
  <c r="Y1816" i="34"/>
  <c r="N1817" i="34"/>
  <c r="O1817" i="34"/>
  <c r="X1817" i="34"/>
  <c r="Y1817" i="34"/>
  <c r="N1818" i="34"/>
  <c r="O1818" i="34"/>
  <c r="X1818" i="34"/>
  <c r="Y1818" i="34"/>
  <c r="N1819" i="34"/>
  <c r="O1819" i="34"/>
  <c r="X1819" i="34"/>
  <c r="Y1819" i="34"/>
  <c r="N1820" i="34"/>
  <c r="O1820" i="34"/>
  <c r="X1820" i="34"/>
  <c r="Y1820" i="34"/>
  <c r="N1821" i="34"/>
  <c r="O1821" i="34"/>
  <c r="X1821" i="34"/>
  <c r="Y1821" i="34"/>
  <c r="N1822" i="34"/>
  <c r="O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S1825" i="34"/>
  <c r="T1825" i="34"/>
  <c r="U1825" i="34"/>
  <c r="X1825" i="34"/>
  <c r="Y1825" i="34"/>
  <c r="N1826" i="34"/>
  <c r="O1826" i="34"/>
  <c r="S1826" i="34"/>
  <c r="T1826" i="34"/>
  <c r="U1826" i="34"/>
  <c r="X1826" i="34"/>
  <c r="Y1826" i="34"/>
  <c r="N1827" i="34"/>
  <c r="O1827" i="34"/>
  <c r="S1827" i="34"/>
  <c r="T1827" i="34"/>
  <c r="U1827" i="34"/>
  <c r="X1827" i="34"/>
  <c r="Y1827" i="34"/>
  <c r="N1828" i="34"/>
  <c r="O1828" i="34"/>
  <c r="X1828" i="34"/>
  <c r="Y1828" i="34"/>
  <c r="N1829" i="34"/>
  <c r="O1829" i="34"/>
  <c r="X1829" i="34"/>
  <c r="Y1829" i="34"/>
  <c r="N1830" i="34"/>
  <c r="O1830" i="34"/>
  <c r="S1830" i="34"/>
  <c r="T1830" i="34"/>
  <c r="U1830" i="34"/>
  <c r="X1830" i="34"/>
  <c r="Y1830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X1844" i="34"/>
  <c r="Y1844" i="34"/>
  <c r="N1845" i="34"/>
  <c r="O1845" i="34"/>
  <c r="X1845" i="34"/>
  <c r="Y1845" i="34"/>
  <c r="N1846" i="34"/>
  <c r="O1846" i="34"/>
  <c r="X1846" i="34"/>
  <c r="Y1846" i="34"/>
  <c r="N1847" i="34"/>
  <c r="O1847" i="34"/>
  <c r="X1847" i="34"/>
  <c r="Y1847" i="34"/>
  <c r="N1848" i="34"/>
  <c r="O1848" i="34"/>
  <c r="X1848" i="34"/>
  <c r="Y1848" i="34"/>
  <c r="N1849" i="34"/>
  <c r="O1849" i="34"/>
  <c r="X1849" i="34"/>
  <c r="Y1849" i="34"/>
  <c r="N1850" i="34"/>
  <c r="O1850" i="34"/>
  <c r="X1850" i="34"/>
  <c r="Y1850" i="34"/>
  <c r="N1851" i="34"/>
  <c r="O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X1865" i="34"/>
  <c r="Y1865" i="34"/>
  <c r="N1866" i="34"/>
  <c r="O1866" i="34"/>
  <c r="X1866" i="34"/>
  <c r="Y1866" i="34"/>
  <c r="N1867" i="34"/>
  <c r="O1867" i="34"/>
  <c r="X1867" i="34"/>
  <c r="Y1867" i="34"/>
  <c r="N1868" i="34"/>
  <c r="O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X1871" i="34"/>
  <c r="Y1871" i="34"/>
  <c r="N1872" i="34"/>
  <c r="O1872" i="34"/>
  <c r="X1872" i="34"/>
  <c r="Y1872" i="34"/>
  <c r="N1873" i="34"/>
  <c r="O1873" i="34"/>
  <c r="X1873" i="34"/>
  <c r="Y1873" i="34"/>
  <c r="N1874" i="34"/>
  <c r="O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X1883" i="34"/>
  <c r="Y1883" i="34"/>
  <c r="N1884" i="34"/>
  <c r="O1884" i="34"/>
  <c r="X1884" i="34"/>
  <c r="Y1884" i="34"/>
  <c r="N1885" i="34"/>
  <c r="O1885" i="34"/>
  <c r="X1885" i="34"/>
  <c r="Y1885" i="34"/>
  <c r="N1886" i="34"/>
  <c r="O1886" i="34"/>
  <c r="X1886" i="34"/>
  <c r="Y1886" i="34"/>
  <c r="N1887" i="34"/>
  <c r="O1887" i="34"/>
  <c r="X1887" i="34"/>
  <c r="Y1887" i="34"/>
  <c r="N1888" i="34"/>
  <c r="O1888" i="34"/>
  <c r="X1888" i="34"/>
  <c r="Y1888" i="34"/>
  <c r="N1889" i="34"/>
  <c r="O1889" i="34"/>
  <c r="X1889" i="34"/>
  <c r="Y1889" i="34"/>
  <c r="N1890" i="34"/>
  <c r="O1890" i="34"/>
  <c r="X1890" i="34"/>
  <c r="Y1890" i="34"/>
  <c r="N1891" i="34"/>
  <c r="O1891" i="34"/>
  <c r="X1891" i="34"/>
  <c r="Y1891" i="34"/>
  <c r="N1892" i="34"/>
  <c r="O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X1908" i="34"/>
  <c r="Y1908" i="34"/>
  <c r="N1909" i="34"/>
  <c r="O1909" i="34"/>
  <c r="X1909" i="34"/>
  <c r="Y1909" i="34"/>
  <c r="N1910" i="34"/>
  <c r="O1910" i="34"/>
  <c r="X1910" i="34"/>
  <c r="Y1910" i="34"/>
  <c r="N1911" i="34"/>
  <c r="O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X1925" i="34"/>
  <c r="Y1925" i="34"/>
  <c r="N1926" i="34"/>
  <c r="O1926" i="34"/>
  <c r="X1926" i="34"/>
  <c r="Y1926" i="34"/>
  <c r="N1927" i="34"/>
  <c r="O1927" i="34"/>
  <c r="X1927" i="34"/>
  <c r="Y1927" i="34"/>
  <c r="N1928" i="34"/>
  <c r="O1928" i="34"/>
  <c r="X1928" i="34"/>
  <c r="Y1928" i="34"/>
  <c r="N1929" i="34"/>
  <c r="O1929" i="34"/>
  <c r="X1929" i="34"/>
  <c r="Y1929" i="34"/>
  <c r="N1930" i="34"/>
  <c r="O1930" i="34"/>
  <c r="X1930" i="34"/>
  <c r="Y1930" i="34"/>
  <c r="N1931" i="34"/>
  <c r="O1931" i="34"/>
  <c r="X1931" i="34"/>
  <c r="Y1931" i="34"/>
  <c r="N1932" i="34"/>
  <c r="O1932" i="34"/>
  <c r="X1932" i="34"/>
  <c r="Y1932" i="34"/>
  <c r="N1933" i="34"/>
  <c r="O1933" i="34"/>
  <c r="X1933" i="34"/>
  <c r="Y1933" i="34"/>
  <c r="N1934" i="34"/>
  <c r="O1934" i="34"/>
  <c r="X1934" i="34"/>
  <c r="Y1934" i="34"/>
  <c r="N1935" i="34"/>
  <c r="O1935" i="34"/>
  <c r="X1935" i="34"/>
  <c r="Y1935" i="34"/>
  <c r="N1936" i="34"/>
  <c r="O1936" i="34"/>
  <c r="X1936" i="34"/>
  <c r="Y1936" i="34"/>
  <c r="N1937" i="34"/>
  <c r="O1937" i="34"/>
  <c r="X1937" i="34"/>
  <c r="Y1937" i="34"/>
  <c r="N1938" i="34"/>
  <c r="O1938" i="34"/>
  <c r="X1938" i="34"/>
  <c r="Y1938" i="34"/>
  <c r="N1939" i="34"/>
  <c r="O1939" i="34"/>
  <c r="X1939" i="34"/>
  <c r="Y1939" i="34"/>
  <c r="N1940" i="34"/>
  <c r="O1940" i="34"/>
  <c r="X1940" i="34"/>
  <c r="Y1940" i="34"/>
  <c r="N1941" i="34"/>
  <c r="O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X1950" i="34"/>
  <c r="Y1950" i="34"/>
  <c r="N1951" i="34"/>
  <c r="O1951" i="34"/>
  <c r="X1951" i="34"/>
  <c r="Y1951" i="34"/>
  <c r="N1952" i="34"/>
  <c r="O1952" i="34"/>
  <c r="X1952" i="34"/>
  <c r="Y1952" i="34"/>
  <c r="N1953" i="34"/>
  <c r="O1953" i="34"/>
  <c r="X1953" i="34"/>
  <c r="Y1953" i="34"/>
  <c r="N1954" i="34"/>
  <c r="O1954" i="34"/>
  <c r="X1954" i="34"/>
  <c r="Y1954" i="34"/>
  <c r="N1955" i="34"/>
  <c r="O1955" i="34"/>
  <c r="X1955" i="34"/>
  <c r="Y1955" i="34"/>
  <c r="N1956" i="34"/>
  <c r="O1956" i="34"/>
  <c r="X1956" i="34"/>
  <c r="Y1956" i="34"/>
  <c r="N1957" i="34"/>
  <c r="O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N1963" i="34"/>
  <c r="O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N2430" i="34"/>
  <c r="O2430" i="34"/>
  <c r="S2430" i="34"/>
  <c r="T2430" i="34"/>
  <c r="U2430" i="34"/>
  <c r="X2430" i="34"/>
  <c r="Y2430" i="34"/>
  <c r="N2431" i="34"/>
  <c r="O2431" i="34"/>
  <c r="S2431" i="34"/>
  <c r="T2431" i="34"/>
  <c r="U2431" i="34"/>
  <c r="X2431" i="34"/>
  <c r="Y2431" i="34"/>
  <c r="N2432" i="34"/>
  <c r="O2432" i="34"/>
  <c r="S2432" i="34"/>
  <c r="T2432" i="34"/>
  <c r="U2432" i="34"/>
  <c r="X2432" i="34"/>
  <c r="Y2432" i="34"/>
  <c r="N2433" i="34"/>
  <c r="O2433" i="34"/>
  <c r="S2433" i="34"/>
  <c r="T2433" i="34"/>
  <c r="U2433" i="34"/>
  <c r="X2433" i="34"/>
  <c r="Y2433" i="34"/>
  <c r="N2434" i="34"/>
  <c r="O2434" i="34"/>
  <c r="S2434" i="34"/>
  <c r="T2434" i="34"/>
  <c r="U2434" i="34"/>
  <c r="X2434" i="34"/>
  <c r="Y2434" i="34"/>
  <c r="N2435" i="34"/>
  <c r="O2435" i="34"/>
  <c r="S2435" i="34"/>
  <c r="T2435" i="34"/>
  <c r="U2435" i="34"/>
  <c r="X2435" i="34"/>
  <c r="Y2435" i="34"/>
  <c r="N2436" i="34"/>
  <c r="O2436" i="34"/>
  <c r="S2436" i="34"/>
  <c r="T2436" i="34"/>
  <c r="U2436" i="34"/>
  <c r="X2436" i="34"/>
  <c r="Y2436" i="34"/>
  <c r="N2437" i="34"/>
  <c r="O2437" i="34"/>
  <c r="S2437" i="34"/>
  <c r="T2437" i="34"/>
  <c r="U2437" i="34"/>
  <c r="X2437" i="34"/>
  <c r="Y2437" i="34"/>
  <c r="N2438" i="34"/>
  <c r="O2438" i="34"/>
  <c r="S2438" i="34"/>
  <c r="T2438" i="34"/>
  <c r="U2438" i="34"/>
  <c r="X2438" i="34"/>
  <c r="Y2438" i="34"/>
  <c r="N2439" i="34"/>
  <c r="O2439" i="34"/>
  <c r="S2439" i="34"/>
  <c r="T2439" i="34"/>
  <c r="U2439" i="34"/>
  <c r="X2439" i="34"/>
  <c r="Y2439" i="34"/>
  <c r="N2440" i="34"/>
  <c r="O2440" i="34"/>
  <c r="S2440" i="34"/>
  <c r="T2440" i="34"/>
  <c r="U2440" i="34"/>
  <c r="X2440" i="34"/>
  <c r="Y2440" i="34"/>
  <c r="N2441" i="34"/>
  <c r="O2441" i="34"/>
  <c r="S2441" i="34"/>
  <c r="T2441" i="34"/>
  <c r="U2441" i="34"/>
  <c r="X2441" i="34"/>
  <c r="Y2441" i="34"/>
  <c r="N2442" i="34"/>
  <c r="O2442" i="34"/>
  <c r="S2442" i="34"/>
  <c r="T2442" i="34"/>
  <c r="U2442" i="34"/>
  <c r="X2442" i="34"/>
  <c r="Y2442" i="34"/>
  <c r="N2443" i="34"/>
  <c r="O2443" i="34"/>
  <c r="S2443" i="34"/>
  <c r="T2443" i="34"/>
  <c r="U2443" i="34"/>
  <c r="X2443" i="34"/>
  <c r="Y2443" i="34"/>
  <c r="N2444" i="34"/>
  <c r="O2444" i="34"/>
  <c r="S2444" i="34"/>
  <c r="T2444" i="34"/>
  <c r="U2444" i="34"/>
  <c r="X2444" i="34"/>
  <c r="Y2444" i="34"/>
  <c r="N2445" i="34"/>
  <c r="O2445" i="34"/>
  <c r="S2445" i="34"/>
  <c r="T2445" i="34"/>
  <c r="U2445" i="34"/>
  <c r="X2445" i="34"/>
  <c r="Y2445" i="34"/>
  <c r="N2446" i="34"/>
  <c r="O2446" i="34"/>
  <c r="S2446" i="34"/>
  <c r="T2446" i="34"/>
  <c r="U2446" i="34"/>
  <c r="X2446" i="34"/>
  <c r="Y2446" i="34"/>
  <c r="N2447" i="34"/>
  <c r="O2447" i="34"/>
  <c r="S2447" i="34"/>
  <c r="T2447" i="34"/>
  <c r="U2447" i="34"/>
  <c r="X2447" i="34"/>
  <c r="Y2447" i="34"/>
  <c r="N2448" i="34"/>
  <c r="O2448" i="34"/>
  <c r="S2448" i="34"/>
  <c r="T2448" i="34"/>
  <c r="U2448" i="34"/>
  <c r="X2448" i="34"/>
  <c r="Y2448" i="34"/>
  <c r="N2449" i="34"/>
  <c r="O2449" i="34"/>
  <c r="S2449" i="34"/>
  <c r="T2449" i="34"/>
  <c r="U2449" i="34"/>
  <c r="X2449" i="34"/>
  <c r="Y2449" i="34"/>
  <c r="N2450" i="34"/>
  <c r="O2450" i="34"/>
  <c r="S2450" i="34"/>
  <c r="T2450" i="34"/>
  <c r="U2450" i="34"/>
  <c r="X2450" i="34"/>
  <c r="Y2450" i="34"/>
  <c r="N2451" i="34"/>
  <c r="O2451" i="34"/>
  <c r="S2451" i="34"/>
  <c r="T2451" i="34"/>
  <c r="U2451" i="34"/>
  <c r="X2451" i="34"/>
  <c r="Y2451" i="34"/>
  <c r="N2452" i="34"/>
  <c r="O2452" i="34"/>
  <c r="S2452" i="34"/>
  <c r="T2452" i="34"/>
  <c r="U2452" i="34"/>
  <c r="X2452" i="34"/>
  <c r="Y2452" i="34"/>
  <c r="N2453" i="34"/>
  <c r="O2453" i="34"/>
  <c r="S2453" i="34"/>
  <c r="T2453" i="34"/>
  <c r="U2453" i="34"/>
  <c r="X2453" i="34"/>
  <c r="Y2453" i="34"/>
  <c r="N2454" i="34"/>
  <c r="O2454" i="34"/>
  <c r="S2454" i="34"/>
  <c r="T2454" i="34"/>
  <c r="U2454" i="34"/>
  <c r="X2454" i="34"/>
  <c r="Y2454" i="34"/>
  <c r="N2455" i="34"/>
  <c r="O2455" i="34"/>
  <c r="S2455" i="34"/>
  <c r="T2455" i="34"/>
  <c r="U2455" i="34"/>
  <c r="X2455" i="34"/>
  <c r="Y2455" i="34"/>
  <c r="N2456" i="34"/>
  <c r="O2456" i="34"/>
  <c r="S2456" i="34"/>
  <c r="T2456" i="34"/>
  <c r="U2456" i="34"/>
  <c r="X2456" i="34"/>
  <c r="Y2456" i="34"/>
  <c r="N2457" i="34"/>
  <c r="O2457" i="34"/>
  <c r="S2457" i="34"/>
  <c r="T2457" i="34"/>
  <c r="U2457" i="34"/>
  <c r="X2457" i="34"/>
  <c r="Y2457" i="34"/>
  <c r="N2458" i="34"/>
  <c r="O2458" i="34"/>
  <c r="S2458" i="34"/>
  <c r="T2458" i="34"/>
  <c r="U2458" i="34"/>
  <c r="X2458" i="34"/>
  <c r="Y2458" i="34"/>
  <c r="N2459" i="34"/>
  <c r="O2459" i="34"/>
  <c r="S2459" i="34"/>
  <c r="T2459" i="34"/>
  <c r="U2459" i="34"/>
  <c r="X2459" i="34"/>
  <c r="Y2459" i="34"/>
  <c r="N2460" i="34"/>
  <c r="O2460" i="34"/>
  <c r="S2460" i="34"/>
  <c r="T2460" i="34"/>
  <c r="U2460" i="34"/>
  <c r="X2460" i="34"/>
  <c r="Y2460" i="34"/>
  <c r="N2461" i="34"/>
  <c r="O2461" i="34"/>
  <c r="S2461" i="34"/>
  <c r="T2461" i="34"/>
  <c r="U2461" i="34"/>
  <c r="X2461" i="34"/>
  <c r="Y2461" i="34"/>
  <c r="N2462" i="34"/>
  <c r="O2462" i="34"/>
  <c r="S2462" i="34"/>
  <c r="T2462" i="34"/>
  <c r="U2462" i="34"/>
  <c r="X2462" i="34"/>
  <c r="Y2462" i="34"/>
  <c r="N2463" i="34"/>
  <c r="O2463" i="34"/>
  <c r="S2463" i="34"/>
  <c r="T2463" i="34"/>
  <c r="U2463" i="34"/>
  <c r="X2463" i="34"/>
  <c r="Y2463" i="34"/>
  <c r="N2464" i="34"/>
  <c r="O2464" i="34"/>
  <c r="S2464" i="34"/>
  <c r="T2464" i="34"/>
  <c r="U2464" i="34"/>
  <c r="X2464" i="34"/>
  <c r="Y2464" i="34"/>
  <c r="N2465" i="34"/>
  <c r="O2465" i="34"/>
  <c r="S2465" i="34"/>
  <c r="T2465" i="34"/>
  <c r="U2465" i="34"/>
  <c r="X2465" i="34"/>
  <c r="Y2465" i="34"/>
  <c r="N2466" i="34"/>
  <c r="O2466" i="34"/>
  <c r="S2466" i="34"/>
  <c r="T2466" i="34"/>
  <c r="U2466" i="34"/>
  <c r="X2466" i="34"/>
  <c r="Y2466" i="34"/>
  <c r="N2467" i="34"/>
  <c r="O2467" i="34"/>
  <c r="S2467" i="34"/>
  <c r="T2467" i="34"/>
  <c r="U2467" i="34"/>
  <c r="X2467" i="34"/>
  <c r="Y2467" i="34"/>
  <c r="N2468" i="34"/>
  <c r="O2468" i="34"/>
  <c r="S2468" i="34"/>
  <c r="T2468" i="34"/>
  <c r="U2468" i="34"/>
  <c r="X2468" i="34"/>
  <c r="Y2468" i="34"/>
  <c r="N2469" i="34"/>
  <c r="O2469" i="34"/>
  <c r="S2469" i="34"/>
  <c r="T2469" i="34"/>
  <c r="U2469" i="34"/>
  <c r="X2469" i="34"/>
  <c r="Y2469" i="34"/>
  <c r="N2470" i="34"/>
  <c r="O2470" i="34"/>
  <c r="S2470" i="34"/>
  <c r="T2470" i="34"/>
  <c r="U2470" i="34"/>
  <c r="X2470" i="34"/>
  <c r="Y2470" i="34"/>
  <c r="N2471" i="34"/>
  <c r="O2471" i="34"/>
  <c r="S2471" i="34"/>
  <c r="T2471" i="34"/>
  <c r="U2471" i="34"/>
  <c r="X2471" i="34"/>
  <c r="Y2471" i="34"/>
  <c r="N2472" i="34"/>
  <c r="O2472" i="34"/>
  <c r="S2472" i="34"/>
  <c r="T2472" i="34"/>
  <c r="U2472" i="34"/>
  <c r="X2472" i="34"/>
  <c r="Y2472" i="34"/>
  <c r="N2473" i="34"/>
  <c r="O2473" i="34"/>
  <c r="S2473" i="34"/>
  <c r="T2473" i="34"/>
  <c r="U2473" i="34"/>
  <c r="X2473" i="34"/>
  <c r="Y2473" i="34"/>
  <c r="N2474" i="34"/>
  <c r="O2474" i="34"/>
  <c r="S2474" i="34"/>
  <c r="T2474" i="34"/>
  <c r="U2474" i="34"/>
  <c r="X2474" i="34"/>
  <c r="Y2474" i="34"/>
  <c r="N2475" i="34"/>
  <c r="O2475" i="34"/>
  <c r="S2475" i="34"/>
  <c r="T2475" i="34"/>
  <c r="U2475" i="34"/>
  <c r="X2475" i="34"/>
  <c r="Y2475" i="34"/>
  <c r="N2476" i="34"/>
  <c r="O2476" i="34"/>
  <c r="S2476" i="34"/>
  <c r="T2476" i="34"/>
  <c r="U2476" i="34"/>
  <c r="X2476" i="34"/>
  <c r="Y2476" i="34"/>
  <c r="N2477" i="34"/>
  <c r="O2477" i="34"/>
  <c r="S2477" i="34"/>
  <c r="T2477" i="34"/>
  <c r="U2477" i="34"/>
  <c r="X2477" i="34"/>
  <c r="Y2477" i="34"/>
  <c r="N2478" i="34"/>
  <c r="O2478" i="34"/>
  <c r="S2478" i="34"/>
  <c r="T2478" i="34"/>
  <c r="U2478" i="34"/>
  <c r="X2478" i="34"/>
  <c r="Y2478" i="34"/>
  <c r="N2479" i="34"/>
  <c r="O2479" i="34"/>
  <c r="S2479" i="34"/>
  <c r="T2479" i="34"/>
  <c r="U2479" i="34"/>
  <c r="X2479" i="34"/>
  <c r="Y2479" i="34"/>
  <c r="N2480" i="34"/>
  <c r="O2480" i="34"/>
  <c r="S2480" i="34"/>
  <c r="T2480" i="34"/>
  <c r="U2480" i="34"/>
  <c r="X2480" i="34"/>
  <c r="Y2480" i="34"/>
  <c r="N2481" i="34"/>
  <c r="O2481" i="34"/>
  <c r="S2481" i="34"/>
  <c r="T2481" i="34"/>
  <c r="U2481" i="34"/>
  <c r="X2481" i="34"/>
  <c r="Y2481" i="34"/>
  <c r="N2482" i="34"/>
  <c r="O2482" i="34"/>
  <c r="S2482" i="34"/>
  <c r="T2482" i="34"/>
  <c r="U2482" i="34"/>
  <c r="X2482" i="34"/>
  <c r="Y2482" i="34"/>
  <c r="N2483" i="34"/>
  <c r="O2483" i="34"/>
  <c r="S2483" i="34"/>
  <c r="T2483" i="34"/>
  <c r="U2483" i="34"/>
  <c r="X2483" i="34"/>
  <c r="Y2483" i="34"/>
  <c r="N2484" i="34"/>
  <c r="O2484" i="34"/>
  <c r="S2484" i="34"/>
  <c r="T2484" i="34"/>
  <c r="U2484" i="34"/>
  <c r="X2484" i="34"/>
  <c r="Y2484" i="34"/>
  <c r="N2485" i="34"/>
  <c r="O2485" i="34"/>
  <c r="S2485" i="34"/>
  <c r="T2485" i="34"/>
  <c r="U2485" i="34"/>
  <c r="X2485" i="34"/>
  <c r="Y2485" i="34"/>
  <c r="N2486" i="34"/>
  <c r="O2486" i="34"/>
  <c r="S2486" i="34"/>
  <c r="T2486" i="34"/>
  <c r="U2486" i="34"/>
  <c r="X2486" i="34"/>
  <c r="Y2486" i="34"/>
  <c r="N2487" i="34"/>
  <c r="O2487" i="34"/>
  <c r="S2487" i="34"/>
  <c r="T2487" i="34"/>
  <c r="U2487" i="34"/>
  <c r="X2487" i="34"/>
  <c r="Y2487" i="34"/>
  <c r="N2488" i="34"/>
  <c r="O2488" i="34"/>
  <c r="S2488" i="34"/>
  <c r="T2488" i="34"/>
  <c r="U2488" i="34"/>
  <c r="X2488" i="34"/>
  <c r="Y2488" i="34"/>
  <c r="N2489" i="34"/>
  <c r="O2489" i="34"/>
  <c r="S2489" i="34"/>
  <c r="T2489" i="34"/>
  <c r="U2489" i="34"/>
  <c r="X2489" i="34"/>
  <c r="Y2489" i="34"/>
  <c r="N2490" i="34"/>
  <c r="O2490" i="34"/>
  <c r="S2490" i="34"/>
  <c r="T2490" i="34"/>
  <c r="U2490" i="34"/>
  <c r="X2490" i="34"/>
  <c r="Y2490" i="34"/>
  <c r="N2491" i="34"/>
  <c r="O2491" i="34"/>
  <c r="S2491" i="34"/>
  <c r="T2491" i="34"/>
  <c r="U2491" i="34"/>
  <c r="X2491" i="34"/>
  <c r="Y2491" i="34"/>
  <c r="N2492" i="34"/>
  <c r="O2492" i="34"/>
  <c r="S2492" i="34"/>
  <c r="T2492" i="34"/>
  <c r="U2492" i="34"/>
  <c r="X2492" i="34"/>
  <c r="Y2492" i="34"/>
  <c r="N2493" i="34"/>
  <c r="O2493" i="34"/>
  <c r="S2493" i="34"/>
  <c r="T2493" i="34"/>
  <c r="U2493" i="34"/>
  <c r="X2493" i="34"/>
  <c r="Y2493" i="34"/>
  <c r="N2494" i="34"/>
  <c r="O2494" i="34"/>
  <c r="S2494" i="34"/>
  <c r="T2494" i="34"/>
  <c r="U2494" i="34"/>
  <c r="X2494" i="34"/>
  <c r="Y2494" i="34"/>
  <c r="N2495" i="34"/>
  <c r="O2495" i="34"/>
  <c r="S2495" i="34"/>
  <c r="T2495" i="34"/>
  <c r="U2495" i="34"/>
  <c r="X2495" i="34"/>
  <c r="Y2495" i="34"/>
  <c r="N2496" i="34"/>
  <c r="O2496" i="34"/>
  <c r="S2496" i="34"/>
  <c r="T2496" i="34"/>
  <c r="U2496" i="34"/>
  <c r="X2496" i="34"/>
  <c r="Y2496" i="34"/>
  <c r="N2497" i="34"/>
  <c r="O2497" i="34"/>
  <c r="S2497" i="34"/>
  <c r="T2497" i="34"/>
  <c r="U2497" i="34"/>
  <c r="X2497" i="34"/>
  <c r="Y2497" i="34"/>
  <c r="N2498" i="34"/>
  <c r="O2498" i="34"/>
  <c r="S2498" i="34"/>
  <c r="T2498" i="34"/>
  <c r="U2498" i="34"/>
  <c r="X2498" i="34"/>
  <c r="Y2498" i="34"/>
  <c r="N2499" i="34"/>
  <c r="O2499" i="34"/>
  <c r="S2499" i="34"/>
  <c r="T2499" i="34"/>
  <c r="U2499" i="34"/>
  <c r="X2499" i="34"/>
  <c r="Y2499" i="34"/>
  <c r="N2500" i="34"/>
  <c r="O2500" i="34"/>
  <c r="S2500" i="34"/>
  <c r="T2500" i="34"/>
  <c r="U2500" i="34"/>
  <c r="X2500" i="34"/>
  <c r="Y2500" i="34"/>
  <c r="N2501" i="34"/>
  <c r="O2501" i="34"/>
  <c r="S2501" i="34"/>
  <c r="T2501" i="34"/>
  <c r="U2501" i="34"/>
  <c r="X2501" i="34"/>
  <c r="Y2501" i="34"/>
  <c r="N2502" i="34"/>
  <c r="O2502" i="34"/>
  <c r="S2502" i="34"/>
  <c r="T2502" i="34"/>
  <c r="U2502" i="34"/>
  <c r="X2502" i="34"/>
  <c r="Y2502" i="34"/>
  <c r="N2503" i="34"/>
  <c r="O2503" i="34"/>
  <c r="S2503" i="34"/>
  <c r="T2503" i="34"/>
  <c r="U2503" i="34"/>
  <c r="X2503" i="34"/>
  <c r="Y2503" i="34"/>
  <c r="N2504" i="34"/>
  <c r="O2504" i="34"/>
  <c r="S2504" i="34"/>
  <c r="T2504" i="34"/>
  <c r="U2504" i="34"/>
  <c r="X2504" i="34"/>
  <c r="Y2504" i="34"/>
  <c r="N2505" i="34"/>
  <c r="O2505" i="34"/>
  <c r="S2505" i="34"/>
  <c r="T2505" i="34"/>
  <c r="U2505" i="34"/>
  <c r="X2505" i="34"/>
  <c r="Y2505" i="34"/>
  <c r="N2506" i="34"/>
  <c r="O2506" i="34"/>
  <c r="S2506" i="34"/>
  <c r="T2506" i="34"/>
  <c r="U2506" i="34"/>
  <c r="X2506" i="34"/>
  <c r="Y2506" i="34"/>
  <c r="N2507" i="34"/>
  <c r="O2507" i="34"/>
  <c r="S2507" i="34"/>
  <c r="T2507" i="34"/>
  <c r="U2507" i="34"/>
  <c r="X2507" i="34"/>
  <c r="Y2507" i="34"/>
  <c r="N2508" i="34"/>
  <c r="O2508" i="34"/>
  <c r="S2508" i="34"/>
  <c r="T2508" i="34"/>
  <c r="U2508" i="34"/>
  <c r="X2508" i="34"/>
  <c r="Y2508" i="34"/>
  <c r="N2509" i="34"/>
  <c r="O2509" i="34"/>
  <c r="S2509" i="34"/>
  <c r="T2509" i="34"/>
  <c r="U2509" i="34"/>
  <c r="X2509" i="34"/>
  <c r="Y2509" i="34"/>
  <c r="N2510" i="34"/>
  <c r="O2510" i="34"/>
  <c r="S2510" i="34"/>
  <c r="T2510" i="34"/>
  <c r="U2510" i="34"/>
  <c r="X2510" i="34"/>
  <c r="Y2510" i="34"/>
  <c r="N2511" i="34"/>
  <c r="O2511" i="34"/>
  <c r="S2511" i="34"/>
  <c r="T2511" i="34"/>
  <c r="U2511" i="34"/>
  <c r="X2511" i="34"/>
  <c r="Y2511" i="34"/>
  <c r="N2512" i="34"/>
  <c r="O2512" i="34"/>
  <c r="S2512" i="34"/>
  <c r="T2512" i="34"/>
  <c r="U2512" i="34"/>
  <c r="X2512" i="34"/>
  <c r="Y2512" i="34"/>
  <c r="N2513" i="34"/>
  <c r="O2513" i="34"/>
  <c r="S2513" i="34"/>
  <c r="T2513" i="34"/>
  <c r="U2513" i="34"/>
  <c r="X2513" i="34"/>
  <c r="Y2513" i="34"/>
  <c r="N2514" i="34"/>
  <c r="O2514" i="34"/>
  <c r="S2514" i="34"/>
  <c r="T2514" i="34"/>
  <c r="U2514" i="34"/>
  <c r="X2514" i="34"/>
  <c r="Y2514" i="34"/>
  <c r="N2515" i="34"/>
  <c r="O2515" i="34"/>
  <c r="S2515" i="34"/>
  <c r="T2515" i="34"/>
  <c r="U2515" i="34"/>
  <c r="X2515" i="34"/>
  <c r="Y2515" i="34"/>
  <c r="N2516" i="34"/>
  <c r="O2516" i="34"/>
  <c r="S2516" i="34"/>
  <c r="T2516" i="34"/>
  <c r="U2516" i="34"/>
  <c r="X2516" i="34"/>
  <c r="Y2516" i="34"/>
  <c r="N2517" i="34"/>
  <c r="O2517" i="34"/>
  <c r="S2517" i="34"/>
  <c r="T2517" i="34"/>
  <c r="U2517" i="34"/>
  <c r="X2517" i="34"/>
  <c r="Y2517" i="34"/>
  <c r="N2518" i="34"/>
  <c r="O2518" i="34"/>
  <c r="S2518" i="34"/>
  <c r="T2518" i="34"/>
  <c r="U2518" i="34"/>
  <c r="X2518" i="34"/>
  <c r="Y2518" i="34"/>
  <c r="N2519" i="34"/>
  <c r="O2519" i="34"/>
  <c r="S2519" i="34"/>
  <c r="T2519" i="34"/>
  <c r="U2519" i="34"/>
  <c r="X2519" i="34"/>
  <c r="Y2519" i="34"/>
  <c r="N2520" i="34"/>
  <c r="O2520" i="34"/>
  <c r="S2520" i="34"/>
  <c r="T2520" i="34"/>
  <c r="U2520" i="34"/>
  <c r="X2520" i="34"/>
  <c r="Y2520" i="34"/>
  <c r="N2521" i="34"/>
  <c r="O2521" i="34"/>
  <c r="S2521" i="34"/>
  <c r="T2521" i="34"/>
  <c r="U2521" i="34"/>
  <c r="X2521" i="34"/>
  <c r="Y2521" i="34"/>
  <c r="N2522" i="34"/>
  <c r="O2522" i="34"/>
  <c r="S2522" i="34"/>
  <c r="T2522" i="34"/>
  <c r="U2522" i="34"/>
  <c r="X2522" i="34"/>
  <c r="Y2522" i="34"/>
  <c r="N2523" i="34"/>
  <c r="O2523" i="34"/>
  <c r="S2523" i="34"/>
  <c r="T2523" i="34"/>
  <c r="U2523" i="34"/>
  <c r="X2523" i="34"/>
  <c r="Y2523" i="34"/>
  <c r="N2524" i="34"/>
  <c r="O2524" i="34"/>
  <c r="S2524" i="34"/>
  <c r="T2524" i="34"/>
  <c r="U2524" i="34"/>
  <c r="X2524" i="34"/>
  <c r="Y2524" i="34"/>
  <c r="N2525" i="34"/>
  <c r="O2525" i="34"/>
  <c r="S2525" i="34"/>
  <c r="T2525" i="34"/>
  <c r="U2525" i="34"/>
  <c r="X2525" i="34"/>
  <c r="Y2525" i="34"/>
  <c r="N2526" i="34"/>
  <c r="O2526" i="34"/>
  <c r="S2526" i="34"/>
  <c r="T2526" i="34"/>
  <c r="U2526" i="34"/>
  <c r="X2526" i="34"/>
  <c r="Y2526" i="34"/>
  <c r="N2527" i="34"/>
  <c r="O2527" i="34"/>
  <c r="S2527" i="34"/>
  <c r="T2527" i="34"/>
  <c r="U2527" i="34"/>
  <c r="X2527" i="34"/>
  <c r="Y2527" i="34"/>
  <c r="N2528" i="34"/>
  <c r="O2528" i="34"/>
  <c r="S2528" i="34"/>
  <c r="T2528" i="34"/>
  <c r="U2528" i="34"/>
  <c r="X2528" i="34"/>
  <c r="Y2528" i="34"/>
  <c r="N2529" i="34"/>
  <c r="O2529" i="34"/>
  <c r="S2529" i="34"/>
  <c r="T2529" i="34"/>
  <c r="U2529" i="34"/>
  <c r="X2529" i="34"/>
  <c r="Y2529" i="34"/>
  <c r="N2530" i="34"/>
  <c r="O2530" i="34"/>
  <c r="S2530" i="34"/>
  <c r="T2530" i="34"/>
  <c r="U2530" i="34"/>
  <c r="X2530" i="34"/>
  <c r="Y2530" i="34"/>
  <c r="N2531" i="34"/>
  <c r="O2531" i="34"/>
  <c r="S2531" i="34"/>
  <c r="T2531" i="34"/>
  <c r="U2531" i="34"/>
  <c r="X2531" i="34"/>
  <c r="Y2531" i="34"/>
  <c r="N2532" i="34"/>
  <c r="O2532" i="34"/>
  <c r="S2532" i="34"/>
  <c r="T2532" i="34"/>
  <c r="U2532" i="34"/>
  <c r="X2532" i="34"/>
  <c r="Y2532" i="34"/>
  <c r="N2533" i="34"/>
  <c r="O2533" i="34"/>
  <c r="S2533" i="34"/>
  <c r="T2533" i="34"/>
  <c r="U2533" i="34"/>
  <c r="X2533" i="34"/>
  <c r="Y2533" i="34"/>
  <c r="N2534" i="34"/>
  <c r="O2534" i="34"/>
  <c r="S2534" i="34"/>
  <c r="T2534" i="34"/>
  <c r="U2534" i="34"/>
  <c r="X2534" i="34"/>
  <c r="Y2534" i="34"/>
  <c r="N2535" i="34"/>
  <c r="O2535" i="34"/>
  <c r="S2535" i="34"/>
  <c r="T2535" i="34"/>
  <c r="U2535" i="34"/>
  <c r="X2535" i="34"/>
  <c r="Y2535" i="34"/>
  <c r="N2536" i="34"/>
  <c r="O2536" i="34"/>
  <c r="S2536" i="34"/>
  <c r="T2536" i="34"/>
  <c r="U2536" i="34"/>
  <c r="X2536" i="34"/>
  <c r="Y2536" i="34"/>
  <c r="N2537" i="34"/>
  <c r="O2537" i="34"/>
  <c r="S2537" i="34"/>
  <c r="T2537" i="34"/>
  <c r="U2537" i="34"/>
  <c r="X2537" i="34"/>
  <c r="Y2537" i="34"/>
  <c r="N2538" i="34"/>
  <c r="O2538" i="34"/>
  <c r="S2538" i="34"/>
  <c r="T2538" i="34"/>
  <c r="U2538" i="34"/>
  <c r="X2538" i="34"/>
  <c r="Y2538" i="34"/>
  <c r="N2539" i="34"/>
  <c r="O2539" i="34"/>
  <c r="S2539" i="34"/>
  <c r="T2539" i="34"/>
  <c r="U2539" i="34"/>
  <c r="X2539" i="34"/>
  <c r="Y2539" i="34"/>
  <c r="N2540" i="34"/>
  <c r="O2540" i="34"/>
  <c r="S2540" i="34"/>
  <c r="T2540" i="34"/>
  <c r="U2540" i="34"/>
  <c r="X2540" i="34"/>
  <c r="Y2540" i="34"/>
  <c r="N2541" i="34"/>
  <c r="O2541" i="34"/>
  <c r="S2541" i="34"/>
  <c r="T2541" i="34"/>
  <c r="U2541" i="34"/>
  <c r="X2541" i="34"/>
  <c r="Y2541" i="34"/>
  <c r="N2542" i="34"/>
  <c r="O2542" i="34"/>
  <c r="S2542" i="34"/>
  <c r="T2542" i="34"/>
  <c r="U2542" i="34"/>
  <c r="X2542" i="34"/>
  <c r="Y2542" i="34"/>
  <c r="N2543" i="34"/>
  <c r="O2543" i="34"/>
  <c r="S2543" i="34"/>
  <c r="T2543" i="34"/>
  <c r="U2543" i="34"/>
  <c r="X2543" i="34"/>
  <c r="Y2543" i="34"/>
  <c r="N2544" i="34"/>
  <c r="O2544" i="34"/>
  <c r="S2544" i="34"/>
  <c r="T2544" i="34"/>
  <c r="U2544" i="34"/>
  <c r="X2544" i="34"/>
  <c r="Y2544" i="34"/>
  <c r="N2545" i="34"/>
  <c r="O2545" i="34"/>
  <c r="S2545" i="34"/>
  <c r="T2545" i="34"/>
  <c r="U2545" i="34"/>
  <c r="X2545" i="34"/>
  <c r="Y2545" i="34"/>
  <c r="N2546" i="34"/>
  <c r="O2546" i="34"/>
  <c r="S2546" i="34"/>
  <c r="T2546" i="34"/>
  <c r="U2546" i="34"/>
  <c r="X2546" i="34"/>
  <c r="Y2546" i="34"/>
  <c r="N2547" i="34"/>
  <c r="O2547" i="34"/>
  <c r="S2547" i="34"/>
  <c r="T2547" i="34"/>
  <c r="U2547" i="34"/>
  <c r="X2547" i="34"/>
  <c r="Y2547" i="34"/>
  <c r="N2548" i="34"/>
  <c r="O2548" i="34"/>
  <c r="S2548" i="34"/>
  <c r="T2548" i="34"/>
  <c r="U2548" i="34"/>
  <c r="X2548" i="34"/>
  <c r="Y2548" i="34"/>
  <c r="N2549" i="34"/>
  <c r="O2549" i="34"/>
  <c r="S2549" i="34"/>
  <c r="T2549" i="34"/>
  <c r="U2549" i="34"/>
  <c r="X2549" i="34"/>
  <c r="Y2549" i="34"/>
  <c r="N2550" i="34"/>
  <c r="O2550" i="34"/>
  <c r="S2550" i="34"/>
  <c r="T2550" i="34"/>
  <c r="U2550" i="34"/>
  <c r="X2550" i="34"/>
  <c r="Y2550" i="34"/>
  <c r="N2551" i="34"/>
  <c r="O2551" i="34"/>
  <c r="S2551" i="34"/>
  <c r="T2551" i="34"/>
  <c r="U2551" i="34"/>
  <c r="X2551" i="34"/>
  <c r="Y2551" i="34"/>
  <c r="N2552" i="34"/>
  <c r="O2552" i="34"/>
  <c r="S2552" i="34"/>
  <c r="T2552" i="34"/>
  <c r="U2552" i="34"/>
  <c r="X2552" i="34"/>
  <c r="Y2552" i="34"/>
  <c r="N2553" i="34"/>
  <c r="O2553" i="34"/>
  <c r="S2553" i="34"/>
  <c r="T2553" i="34"/>
  <c r="U2553" i="34"/>
  <c r="X2553" i="34"/>
  <c r="Y2553" i="34"/>
  <c r="N2554" i="34"/>
  <c r="O2554" i="34"/>
  <c r="S2554" i="34"/>
  <c r="T2554" i="34"/>
  <c r="U2554" i="34"/>
  <c r="X2554" i="34"/>
  <c r="Y2554" i="34"/>
  <c r="N2555" i="34"/>
  <c r="O2555" i="34"/>
  <c r="S2555" i="34"/>
  <c r="T2555" i="34"/>
  <c r="U2555" i="34"/>
  <c r="X2555" i="34"/>
  <c r="Y2555" i="34"/>
  <c r="N2556" i="34"/>
  <c r="O2556" i="34"/>
  <c r="S2556" i="34"/>
  <c r="T2556" i="34"/>
  <c r="U2556" i="34"/>
  <c r="X2556" i="34"/>
  <c r="Y2556" i="34"/>
  <c r="N2557" i="34"/>
  <c r="O2557" i="34"/>
  <c r="S2557" i="34"/>
  <c r="T2557" i="34"/>
  <c r="U2557" i="34"/>
  <c r="X2557" i="34"/>
  <c r="Y2557" i="34"/>
  <c r="N2558" i="34"/>
  <c r="O2558" i="34"/>
  <c r="S2558" i="34"/>
  <c r="T2558" i="34"/>
  <c r="U2558" i="34"/>
  <c r="X2558" i="34"/>
  <c r="Y2558" i="34"/>
  <c r="N2559" i="34"/>
  <c r="O2559" i="34"/>
  <c r="S2559" i="34"/>
  <c r="T2559" i="34"/>
  <c r="U2559" i="34"/>
  <c r="X2559" i="34"/>
  <c r="Y2559" i="34"/>
  <c r="N2560" i="34"/>
  <c r="O2560" i="34"/>
  <c r="S2560" i="34"/>
  <c r="T2560" i="34"/>
  <c r="U2560" i="34"/>
  <c r="X2560" i="34"/>
  <c r="Y2560" i="34"/>
  <c r="N2561" i="34"/>
  <c r="O2561" i="34"/>
  <c r="S2561" i="34"/>
  <c r="T2561" i="34"/>
  <c r="U2561" i="34"/>
  <c r="X2561" i="34"/>
  <c r="Y2561" i="34"/>
  <c r="N2562" i="34"/>
  <c r="O2562" i="34"/>
  <c r="S2562" i="34"/>
  <c r="T2562" i="34"/>
  <c r="U2562" i="34"/>
  <c r="X2562" i="34"/>
  <c r="Y2562" i="34"/>
  <c r="N2563" i="34"/>
  <c r="O2563" i="34"/>
  <c r="S2563" i="34"/>
  <c r="T2563" i="34"/>
  <c r="U2563" i="34"/>
  <c r="X2563" i="34"/>
  <c r="Y2563" i="34"/>
  <c r="N2564" i="34"/>
  <c r="O2564" i="34"/>
  <c r="S2564" i="34"/>
  <c r="T2564" i="34"/>
  <c r="U2564" i="34"/>
  <c r="X2564" i="34"/>
  <c r="Y2564" i="34"/>
  <c r="N2565" i="34"/>
  <c r="O2565" i="34"/>
  <c r="S2565" i="34"/>
  <c r="T2565" i="34"/>
  <c r="U2565" i="34"/>
  <c r="X2565" i="34"/>
  <c r="Y2565" i="34"/>
  <c r="N2566" i="34"/>
  <c r="O2566" i="34"/>
  <c r="S2566" i="34"/>
  <c r="T2566" i="34"/>
  <c r="U2566" i="34"/>
  <c r="X2566" i="34"/>
  <c r="Y2566" i="34"/>
  <c r="N2567" i="34"/>
  <c r="O2567" i="34"/>
  <c r="S2567" i="34"/>
  <c r="T2567" i="34"/>
  <c r="U2567" i="34"/>
  <c r="X2567" i="34"/>
  <c r="Y2567" i="34"/>
  <c r="N2568" i="34"/>
  <c r="O2568" i="34"/>
  <c r="S2568" i="34"/>
  <c r="T2568" i="34"/>
  <c r="U2568" i="34"/>
  <c r="X2568" i="34"/>
  <c r="Y2568" i="34"/>
  <c r="N2569" i="34"/>
  <c r="O2569" i="34"/>
  <c r="S2569" i="34"/>
  <c r="T2569" i="34"/>
  <c r="U2569" i="34"/>
  <c r="X2569" i="34"/>
  <c r="Y2569" i="34"/>
  <c r="N2570" i="34"/>
  <c r="O2570" i="34"/>
  <c r="S2570" i="34"/>
  <c r="T2570" i="34"/>
  <c r="U2570" i="34"/>
  <c r="X2570" i="34"/>
  <c r="Y2570" i="34"/>
  <c r="N2571" i="34"/>
  <c r="O2571" i="34"/>
  <c r="S2571" i="34"/>
  <c r="T2571" i="34"/>
  <c r="U2571" i="34"/>
  <c r="X2571" i="34"/>
  <c r="Y2571" i="34"/>
  <c r="N2572" i="34"/>
  <c r="O2572" i="34"/>
  <c r="S2572" i="34"/>
  <c r="T2572" i="34"/>
  <c r="U2572" i="34"/>
  <c r="X2572" i="34"/>
  <c r="Y2572" i="34"/>
  <c r="N2573" i="34"/>
  <c r="O2573" i="34"/>
  <c r="S2573" i="34"/>
  <c r="T2573" i="34"/>
  <c r="U2573" i="34"/>
  <c r="X2573" i="34"/>
  <c r="Y2573" i="34"/>
  <c r="N2574" i="34"/>
  <c r="O2574" i="34"/>
  <c r="S2574" i="34"/>
  <c r="T2574" i="34"/>
  <c r="U2574" i="34"/>
  <c r="X2574" i="34"/>
  <c r="Y2574" i="34"/>
  <c r="N2575" i="34"/>
  <c r="O2575" i="34"/>
  <c r="S2575" i="34"/>
  <c r="T2575" i="34"/>
  <c r="U2575" i="34"/>
  <c r="X2575" i="34"/>
  <c r="Y2575" i="34"/>
  <c r="N2576" i="34"/>
  <c r="O2576" i="34"/>
  <c r="S2576" i="34"/>
  <c r="T2576" i="34"/>
  <c r="U2576" i="34"/>
  <c r="X2576" i="34"/>
  <c r="Y2576" i="34"/>
  <c r="N2577" i="34"/>
  <c r="O2577" i="34"/>
  <c r="S2577" i="34"/>
  <c r="T2577" i="34"/>
  <c r="U2577" i="34"/>
  <c r="X2577" i="34"/>
  <c r="Y2577" i="34"/>
  <c r="N2578" i="34"/>
  <c r="O2578" i="34"/>
  <c r="S2578" i="34"/>
  <c r="T2578" i="34"/>
  <c r="U2578" i="34"/>
  <c r="X2578" i="34"/>
  <c r="Y2578" i="34"/>
  <c r="N2579" i="34"/>
  <c r="O2579" i="34"/>
  <c r="S2579" i="34"/>
  <c r="T2579" i="34"/>
  <c r="U2579" i="34"/>
  <c r="X2579" i="34"/>
  <c r="Y2579" i="34"/>
  <c r="N2580" i="34"/>
  <c r="O2580" i="34"/>
  <c r="S2580" i="34"/>
  <c r="T2580" i="34"/>
  <c r="U2580" i="34"/>
  <c r="X2580" i="34"/>
  <c r="Y2580" i="34"/>
  <c r="N2581" i="34"/>
  <c r="O2581" i="34"/>
  <c r="S2581" i="34"/>
  <c r="T2581" i="34"/>
  <c r="U2581" i="34"/>
  <c r="X2581" i="34"/>
  <c r="Y2581" i="34"/>
  <c r="N2582" i="34"/>
  <c r="O2582" i="34"/>
  <c r="S2582" i="34"/>
  <c r="T2582" i="34"/>
  <c r="U2582" i="34"/>
  <c r="X2582" i="34"/>
  <c r="Y2582" i="34"/>
  <c r="N2583" i="34"/>
  <c r="O2583" i="34"/>
  <c r="S2583" i="34"/>
  <c r="T2583" i="34"/>
  <c r="U2583" i="34"/>
  <c r="X2583" i="34"/>
  <c r="Y2583" i="34"/>
  <c r="N2584" i="34"/>
  <c r="O2584" i="34"/>
  <c r="S2584" i="34"/>
  <c r="T2584" i="34"/>
  <c r="U2584" i="34"/>
  <c r="X2584" i="34"/>
  <c r="Y2584" i="34"/>
  <c r="N2585" i="34"/>
  <c r="O2585" i="34"/>
  <c r="S2585" i="34"/>
  <c r="T2585" i="34"/>
  <c r="U2585" i="34"/>
  <c r="X2585" i="34"/>
  <c r="Y2585" i="34"/>
  <c r="N2586" i="34"/>
  <c r="O2586" i="34"/>
  <c r="S2586" i="34"/>
  <c r="T2586" i="34"/>
  <c r="U2586" i="34"/>
  <c r="X2586" i="34"/>
  <c r="Y2586" i="34"/>
  <c r="N2587" i="34"/>
  <c r="O2587" i="34"/>
  <c r="S2587" i="34"/>
  <c r="T2587" i="34"/>
  <c r="U2587" i="34"/>
  <c r="X2587" i="34"/>
  <c r="Y2587" i="34"/>
  <c r="N2588" i="34"/>
  <c r="O2588" i="34"/>
  <c r="S2588" i="34"/>
  <c r="T2588" i="34"/>
  <c r="U2588" i="34"/>
  <c r="X2588" i="34"/>
  <c r="Y2588" i="34"/>
  <c r="N2589" i="34"/>
  <c r="O2589" i="34"/>
  <c r="S2589" i="34"/>
  <c r="T2589" i="34"/>
  <c r="U2589" i="34"/>
  <c r="X2589" i="34"/>
  <c r="Y2589" i="34"/>
  <c r="N2590" i="34"/>
  <c r="O2590" i="34"/>
  <c r="S2590" i="34"/>
  <c r="T2590" i="34"/>
  <c r="U2590" i="34"/>
  <c r="X2590" i="34"/>
  <c r="Y2590" i="34"/>
  <c r="N2591" i="34"/>
  <c r="O2591" i="34"/>
  <c r="S2591" i="34"/>
  <c r="T2591" i="34"/>
  <c r="U2591" i="34"/>
  <c r="X2591" i="34"/>
  <c r="Y2591" i="34"/>
  <c r="N2592" i="34"/>
  <c r="O2592" i="34"/>
  <c r="S2592" i="34"/>
  <c r="T2592" i="34"/>
  <c r="U2592" i="34"/>
  <c r="X2592" i="34"/>
  <c r="Y2592" i="34"/>
  <c r="N2593" i="34"/>
  <c r="O2593" i="34"/>
  <c r="S2593" i="34"/>
  <c r="T2593" i="34"/>
  <c r="U2593" i="34"/>
  <c r="X2593" i="34"/>
  <c r="Y2593" i="34"/>
  <c r="N2594" i="34"/>
  <c r="O2594" i="34"/>
  <c r="S2594" i="34"/>
  <c r="T2594" i="34"/>
  <c r="U2594" i="34"/>
  <c r="X2594" i="34"/>
  <c r="Y2594" i="34"/>
  <c r="N2595" i="34"/>
  <c r="O2595" i="34"/>
  <c r="S2595" i="34"/>
  <c r="T2595" i="34"/>
  <c r="U2595" i="34"/>
  <c r="X2595" i="34"/>
  <c r="Y2595" i="34"/>
  <c r="N2596" i="34"/>
  <c r="O2596" i="34"/>
  <c r="S2596" i="34"/>
  <c r="T2596" i="34"/>
  <c r="U2596" i="34"/>
  <c r="X2596" i="34"/>
  <c r="Y2596" i="34"/>
  <c r="N2597" i="34"/>
  <c r="O2597" i="34"/>
  <c r="S2597" i="34"/>
  <c r="T2597" i="34"/>
  <c r="U2597" i="34"/>
  <c r="X2597" i="34"/>
  <c r="Y2597" i="34"/>
  <c r="N2598" i="34"/>
  <c r="O2598" i="34"/>
  <c r="S2598" i="34"/>
  <c r="T2598" i="34"/>
  <c r="U2598" i="34"/>
  <c r="X2598" i="34"/>
  <c r="Y2598" i="34"/>
  <c r="N2599" i="34"/>
  <c r="O2599" i="34"/>
  <c r="S2599" i="34"/>
  <c r="T2599" i="34"/>
  <c r="U2599" i="34"/>
  <c r="X2599" i="34"/>
  <c r="Y2599" i="34"/>
  <c r="N2600" i="34"/>
  <c r="O2600" i="34"/>
  <c r="S2600" i="34"/>
  <c r="T2600" i="34"/>
  <c r="U2600" i="34"/>
  <c r="X2600" i="34"/>
  <c r="Y2600" i="34"/>
  <c r="N2601" i="34"/>
  <c r="O2601" i="34"/>
  <c r="S2601" i="34"/>
  <c r="T2601" i="34"/>
  <c r="U2601" i="34"/>
  <c r="X2601" i="34"/>
  <c r="Y2601" i="34"/>
  <c r="N2602" i="34"/>
  <c r="O2602" i="34"/>
  <c r="S2602" i="34"/>
  <c r="T2602" i="34"/>
  <c r="U2602" i="34"/>
  <c r="X2602" i="34"/>
  <c r="Y2602" i="34"/>
  <c r="N2603" i="34"/>
  <c r="O2603" i="34"/>
  <c r="S2603" i="34"/>
  <c r="T2603" i="34"/>
  <c r="U2603" i="34"/>
  <c r="X2603" i="34"/>
  <c r="Y2603" i="34"/>
  <c r="N2604" i="34"/>
  <c r="O2604" i="34"/>
  <c r="S2604" i="34"/>
  <c r="T2604" i="34"/>
  <c r="U2604" i="34"/>
  <c r="X2604" i="34"/>
  <c r="Y2604" i="34"/>
  <c r="N2605" i="34"/>
  <c r="O2605" i="34"/>
  <c r="S2605" i="34"/>
  <c r="T2605" i="34"/>
  <c r="U2605" i="34"/>
  <c r="X2605" i="34"/>
  <c r="Y2605" i="34"/>
  <c r="N2606" i="34"/>
  <c r="O2606" i="34"/>
  <c r="S2606" i="34"/>
  <c r="T2606" i="34"/>
  <c r="U2606" i="34"/>
  <c r="X2606" i="34"/>
  <c r="Y2606" i="34"/>
  <c r="N2607" i="34"/>
  <c r="O2607" i="34"/>
  <c r="S2607" i="34"/>
  <c r="T2607" i="34"/>
  <c r="U2607" i="34"/>
  <c r="X2607" i="34"/>
  <c r="Y2607" i="34"/>
  <c r="N2608" i="34"/>
  <c r="O2608" i="34"/>
  <c r="S2608" i="34"/>
  <c r="T2608" i="34"/>
  <c r="U2608" i="34"/>
  <c r="X2608" i="34"/>
  <c r="Y2608" i="34"/>
  <c r="N2609" i="34"/>
  <c r="O2609" i="34"/>
  <c r="S2609" i="34"/>
  <c r="T2609" i="34"/>
  <c r="U2609" i="34"/>
  <c r="X2609" i="34"/>
  <c r="Y2609" i="34"/>
  <c r="N2610" i="34"/>
  <c r="O2610" i="34"/>
  <c r="S2610" i="34"/>
  <c r="T2610" i="34"/>
  <c r="U2610" i="34"/>
  <c r="X2610" i="34"/>
  <c r="Y2610" i="34"/>
  <c r="N2611" i="34"/>
  <c r="O2611" i="34"/>
  <c r="S2611" i="34"/>
  <c r="T2611" i="34"/>
  <c r="U2611" i="34"/>
  <c r="X2611" i="34"/>
  <c r="Y2611" i="34"/>
  <c r="N2612" i="34"/>
  <c r="O2612" i="34"/>
  <c r="S2612" i="34"/>
  <c r="T2612" i="34"/>
  <c r="U2612" i="34"/>
  <c r="X2612" i="34"/>
  <c r="Y2612" i="34"/>
  <c r="N2613" i="34"/>
  <c r="O2613" i="34"/>
  <c r="S2613" i="34"/>
  <c r="T2613" i="34"/>
  <c r="U2613" i="34"/>
  <c r="X2613" i="34"/>
  <c r="Y2613" i="34"/>
  <c r="N2614" i="34"/>
  <c r="O2614" i="34"/>
  <c r="S2614" i="34"/>
  <c r="T2614" i="34"/>
  <c r="U2614" i="34"/>
  <c r="X2614" i="34"/>
  <c r="Y2614" i="34"/>
  <c r="N2615" i="34"/>
  <c r="O2615" i="34"/>
  <c r="S2615" i="34"/>
  <c r="T2615" i="34"/>
  <c r="U2615" i="34"/>
  <c r="X2615" i="34"/>
  <c r="Y2615" i="34"/>
  <c r="N2616" i="34"/>
  <c r="O2616" i="34"/>
  <c r="S2616" i="34"/>
  <c r="T2616" i="34"/>
  <c r="U2616" i="34"/>
  <c r="X2616" i="34"/>
  <c r="Y2616" i="34"/>
  <c r="N2617" i="34"/>
  <c r="O2617" i="34"/>
  <c r="S2617" i="34"/>
  <c r="T2617" i="34"/>
  <c r="U2617" i="34"/>
  <c r="X2617" i="34"/>
  <c r="Y2617" i="34"/>
  <c r="N2618" i="34"/>
  <c r="O2618" i="34"/>
  <c r="S2618" i="34"/>
  <c r="T2618" i="34"/>
  <c r="U2618" i="34"/>
  <c r="X2618" i="34"/>
  <c r="Y2618" i="34"/>
  <c r="N2619" i="34"/>
  <c r="O2619" i="34"/>
  <c r="S2619" i="34"/>
  <c r="T2619" i="34"/>
  <c r="U2619" i="34"/>
  <c r="X2619" i="34"/>
  <c r="Y2619" i="34"/>
  <c r="N2620" i="34"/>
  <c r="O2620" i="34"/>
  <c r="S2620" i="34"/>
  <c r="T2620" i="34"/>
  <c r="U2620" i="34"/>
  <c r="X2620" i="34"/>
  <c r="Y2620" i="34"/>
  <c r="N2621" i="34"/>
  <c r="O2621" i="34"/>
  <c r="S2621" i="34"/>
  <c r="T2621" i="34"/>
  <c r="U2621" i="34"/>
  <c r="X2621" i="34"/>
  <c r="Y2621" i="34"/>
  <c r="N2622" i="34"/>
  <c r="O2622" i="34"/>
  <c r="S2622" i="34"/>
  <c r="T2622" i="34"/>
  <c r="U2622" i="34"/>
  <c r="X2622" i="34"/>
  <c r="Y2622" i="34"/>
  <c r="N2623" i="34"/>
  <c r="O2623" i="34"/>
  <c r="S2623" i="34"/>
  <c r="T2623" i="34"/>
  <c r="U2623" i="34"/>
  <c r="X2623" i="34"/>
  <c r="Y2623" i="34"/>
  <c r="N2624" i="34"/>
  <c r="O2624" i="34"/>
  <c r="S2624" i="34"/>
  <c r="T2624" i="34"/>
  <c r="U2624" i="34"/>
  <c r="X2624" i="34"/>
  <c r="Y2624" i="34"/>
  <c r="N2625" i="34"/>
  <c r="O2625" i="34"/>
  <c r="S2625" i="34"/>
  <c r="T2625" i="34"/>
  <c r="U2625" i="34"/>
  <c r="X2625" i="34"/>
  <c r="Y2625" i="34"/>
  <c r="N2626" i="34"/>
  <c r="O2626" i="34"/>
  <c r="S2626" i="34"/>
  <c r="T2626" i="34"/>
  <c r="U2626" i="34"/>
  <c r="X2626" i="34"/>
  <c r="Y2626" i="34"/>
  <c r="N2627" i="34"/>
  <c r="O2627" i="34"/>
  <c r="S2627" i="34"/>
  <c r="T2627" i="34"/>
  <c r="U2627" i="34"/>
  <c r="X2627" i="34"/>
  <c r="Y2627" i="34"/>
  <c r="N2628" i="34"/>
  <c r="O2628" i="34"/>
  <c r="S2628" i="34"/>
  <c r="T2628" i="34"/>
  <c r="U2628" i="34"/>
  <c r="X2628" i="34"/>
  <c r="Y2628" i="34"/>
  <c r="N2629" i="34"/>
  <c r="O2629" i="34"/>
  <c r="S2629" i="34"/>
  <c r="T2629" i="34"/>
  <c r="U2629" i="34"/>
  <c r="X2629" i="34"/>
  <c r="Y2629" i="34"/>
  <c r="N2630" i="34"/>
  <c r="O2630" i="34"/>
  <c r="S2630" i="34"/>
  <c r="T2630" i="34"/>
  <c r="U2630" i="34"/>
  <c r="X2630" i="34"/>
  <c r="Y2630" i="34"/>
  <c r="N2631" i="34"/>
  <c r="O2631" i="34"/>
  <c r="S2631" i="34"/>
  <c r="T2631" i="34"/>
  <c r="U2631" i="34"/>
  <c r="X2631" i="34"/>
  <c r="Y2631" i="34"/>
  <c r="N2632" i="34"/>
  <c r="O2632" i="34"/>
  <c r="S2632" i="34"/>
  <c r="T2632" i="34"/>
  <c r="U2632" i="34"/>
  <c r="X2632" i="34"/>
  <c r="Y2632" i="34"/>
  <c r="N2633" i="34"/>
  <c r="O2633" i="34"/>
  <c r="S2633" i="34"/>
  <c r="T2633" i="34"/>
  <c r="U2633" i="34"/>
  <c r="X2633" i="34"/>
  <c r="Y2633" i="34"/>
  <c r="N2634" i="34"/>
  <c r="O2634" i="34"/>
  <c r="S2634" i="34"/>
  <c r="T2634" i="34"/>
  <c r="U2634" i="34"/>
  <c r="X2634" i="34"/>
  <c r="Y2634" i="34"/>
  <c r="N2635" i="34"/>
  <c r="O2635" i="34"/>
  <c r="S2635" i="34"/>
  <c r="T2635" i="34"/>
  <c r="U2635" i="34"/>
  <c r="X2635" i="34"/>
  <c r="Y2635" i="34"/>
  <c r="N2636" i="34"/>
  <c r="O2636" i="34"/>
  <c r="S2636" i="34"/>
  <c r="T2636" i="34"/>
  <c r="U2636" i="34"/>
  <c r="X2636" i="34"/>
  <c r="Y2636" i="34"/>
  <c r="N2637" i="34"/>
  <c r="O2637" i="34"/>
  <c r="S2637" i="34"/>
  <c r="T2637" i="34"/>
  <c r="U2637" i="34"/>
  <c r="X2637" i="34"/>
  <c r="Y2637" i="34"/>
  <c r="N2638" i="34"/>
  <c r="O2638" i="34"/>
  <c r="S2638" i="34"/>
  <c r="T2638" i="34"/>
  <c r="U2638" i="34"/>
  <c r="X2638" i="34"/>
  <c r="Y2638" i="34"/>
  <c r="N2639" i="34"/>
  <c r="O2639" i="34"/>
  <c r="S2639" i="34"/>
  <c r="T2639" i="34"/>
  <c r="U2639" i="34"/>
  <c r="X2639" i="34"/>
  <c r="Y2639" i="34"/>
  <c r="N2640" i="34"/>
  <c r="O2640" i="34"/>
  <c r="S2640" i="34"/>
  <c r="T2640" i="34"/>
  <c r="U2640" i="34"/>
  <c r="X2640" i="34"/>
  <c r="Y2640" i="34"/>
  <c r="N2641" i="34"/>
  <c r="O2641" i="34"/>
  <c r="S2641" i="34"/>
  <c r="T2641" i="34"/>
  <c r="U2641" i="34"/>
  <c r="X2641" i="34"/>
  <c r="Y2641" i="34"/>
  <c r="N2642" i="34"/>
  <c r="O2642" i="34"/>
  <c r="S2642" i="34"/>
  <c r="T2642" i="34"/>
  <c r="U2642" i="34"/>
  <c r="X2642" i="34"/>
  <c r="Y2642" i="34"/>
  <c r="N2643" i="34"/>
  <c r="O2643" i="34"/>
  <c r="S2643" i="34"/>
  <c r="T2643" i="34"/>
  <c r="U2643" i="34"/>
  <c r="X2643" i="34"/>
  <c r="Y2643" i="34"/>
  <c r="N2644" i="34"/>
  <c r="O2644" i="34"/>
  <c r="S2644" i="34"/>
  <c r="T2644" i="34"/>
  <c r="U2644" i="34"/>
  <c r="X2644" i="34"/>
  <c r="Y2644" i="34"/>
  <c r="N2645" i="34"/>
  <c r="O2645" i="34"/>
  <c r="S2645" i="34"/>
  <c r="T2645" i="34"/>
  <c r="U2645" i="34"/>
  <c r="X2645" i="34"/>
  <c r="Y2645" i="34"/>
  <c r="N2646" i="34"/>
  <c r="O2646" i="34"/>
  <c r="S2646" i="34"/>
  <c r="T2646" i="34"/>
  <c r="U2646" i="34"/>
  <c r="X2646" i="34"/>
  <c r="Y2646" i="34"/>
  <c r="N2647" i="34"/>
  <c r="O2647" i="34"/>
  <c r="S2647" i="34"/>
  <c r="T2647" i="34"/>
  <c r="U2647" i="34"/>
  <c r="X2647" i="34"/>
  <c r="Y2647" i="34"/>
  <c r="N2648" i="34"/>
  <c r="O2648" i="34"/>
  <c r="S2648" i="34"/>
  <c r="T2648" i="34"/>
  <c r="U2648" i="34"/>
  <c r="X2648" i="34"/>
  <c r="Y2648" i="34"/>
  <c r="N2649" i="34"/>
  <c r="O2649" i="34"/>
  <c r="S2649" i="34"/>
  <c r="T2649" i="34"/>
  <c r="U2649" i="34"/>
  <c r="X2649" i="34"/>
  <c r="Y2649" i="34"/>
  <c r="N2650" i="34"/>
  <c r="O2650" i="34"/>
  <c r="S2650" i="34"/>
  <c r="T2650" i="34"/>
  <c r="U2650" i="34"/>
  <c r="X2650" i="34"/>
  <c r="Y2650" i="34"/>
  <c r="N2651" i="34"/>
  <c r="O2651" i="34"/>
  <c r="S2651" i="34"/>
  <c r="T2651" i="34"/>
  <c r="U2651" i="34"/>
  <c r="X2651" i="34"/>
  <c r="Y2651" i="34"/>
  <c r="N2652" i="34"/>
  <c r="O2652" i="34"/>
  <c r="S2652" i="34"/>
  <c r="T2652" i="34"/>
  <c r="U2652" i="34"/>
  <c r="X2652" i="34"/>
  <c r="Y2652" i="34"/>
  <c r="N2653" i="34"/>
  <c r="O2653" i="34"/>
  <c r="S2653" i="34"/>
  <c r="T2653" i="34"/>
  <c r="U2653" i="34"/>
  <c r="X2653" i="34"/>
  <c r="Y2653" i="34"/>
  <c r="N2654" i="34"/>
  <c r="O2654" i="34"/>
  <c r="S2654" i="34"/>
  <c r="T2654" i="34"/>
  <c r="U2654" i="34"/>
  <c r="X2654" i="34"/>
  <c r="Y2654" i="34"/>
  <c r="N2655" i="34"/>
  <c r="O2655" i="34"/>
  <c r="S2655" i="34"/>
  <c r="T2655" i="34"/>
  <c r="U2655" i="34"/>
  <c r="X2655" i="34"/>
  <c r="Y2655" i="34"/>
  <c r="N2656" i="34"/>
  <c r="O2656" i="34"/>
  <c r="S2656" i="34"/>
  <c r="T2656" i="34"/>
  <c r="U2656" i="34"/>
  <c r="X2656" i="34"/>
  <c r="Y2656" i="34"/>
  <c r="N2657" i="34"/>
  <c r="O2657" i="34"/>
  <c r="S2657" i="34"/>
  <c r="T2657" i="34"/>
  <c r="U2657" i="34"/>
  <c r="X2657" i="34"/>
  <c r="Y2657" i="34"/>
  <c r="N2658" i="34"/>
  <c r="O2658" i="34"/>
  <c r="S2658" i="34"/>
  <c r="T2658" i="34"/>
  <c r="U2658" i="34"/>
  <c r="X2658" i="34"/>
  <c r="Y2658" i="34"/>
  <c r="N2659" i="34"/>
  <c r="O2659" i="34"/>
  <c r="S2659" i="34"/>
  <c r="T2659" i="34"/>
  <c r="U2659" i="34"/>
  <c r="X2659" i="34"/>
  <c r="Y2659" i="34"/>
  <c r="N2660" i="34"/>
  <c r="O2660" i="34"/>
  <c r="S2660" i="34"/>
  <c r="T2660" i="34"/>
  <c r="U2660" i="34"/>
  <c r="X2660" i="34"/>
  <c r="Y2660" i="34"/>
  <c r="N2661" i="34"/>
  <c r="O2661" i="34"/>
  <c r="S2661" i="34"/>
  <c r="T2661" i="34"/>
  <c r="U2661" i="34"/>
  <c r="X2661" i="34"/>
  <c r="Y2661" i="34"/>
  <c r="N2662" i="34"/>
  <c r="O2662" i="34"/>
  <c r="S2662" i="34"/>
  <c r="T2662" i="34"/>
  <c r="U2662" i="34"/>
  <c r="X2662" i="34"/>
  <c r="Y2662" i="34"/>
  <c r="N2663" i="34"/>
  <c r="O2663" i="34"/>
  <c r="S2663" i="34"/>
  <c r="T2663" i="34"/>
  <c r="U2663" i="34"/>
  <c r="X2663" i="34"/>
  <c r="Y2663" i="34"/>
  <c r="N2664" i="34"/>
  <c r="O2664" i="34"/>
  <c r="S2664" i="34"/>
  <c r="T2664" i="34"/>
  <c r="U2664" i="34"/>
  <c r="X2664" i="34"/>
  <c r="Y2664" i="34"/>
  <c r="N2665" i="34"/>
  <c r="O2665" i="34"/>
  <c r="S2665" i="34"/>
  <c r="T2665" i="34"/>
  <c r="U2665" i="34"/>
  <c r="X2665" i="34"/>
  <c r="Y2665" i="34"/>
  <c r="N2666" i="34"/>
  <c r="O2666" i="34"/>
  <c r="S2666" i="34"/>
  <c r="T2666" i="34"/>
  <c r="U2666" i="34"/>
  <c r="X2666" i="34"/>
  <c r="Y2666" i="34"/>
  <c r="N2667" i="34"/>
  <c r="O2667" i="34"/>
  <c r="S2667" i="34"/>
  <c r="T2667" i="34"/>
  <c r="U2667" i="34"/>
  <c r="X2667" i="34"/>
  <c r="Y2667" i="34"/>
  <c r="N2668" i="34"/>
  <c r="O2668" i="34"/>
  <c r="S2668" i="34"/>
  <c r="T2668" i="34"/>
  <c r="U2668" i="34"/>
  <c r="X2668" i="34"/>
  <c r="Y2668" i="34"/>
  <c r="N2669" i="34"/>
  <c r="O2669" i="34"/>
  <c r="S2669" i="34"/>
  <c r="T2669" i="34"/>
  <c r="U2669" i="34"/>
  <c r="X2669" i="34"/>
  <c r="Y2669" i="34"/>
  <c r="N2670" i="34"/>
  <c r="O2670" i="34"/>
  <c r="S2670" i="34"/>
  <c r="T2670" i="34"/>
  <c r="U2670" i="34"/>
  <c r="X2670" i="34"/>
  <c r="Y2670" i="34"/>
  <c r="N2671" i="34"/>
  <c r="O2671" i="34"/>
  <c r="S2671" i="34"/>
  <c r="T2671" i="34"/>
  <c r="U2671" i="34"/>
  <c r="X2671" i="34"/>
  <c r="Y2671" i="34"/>
  <c r="N2672" i="34"/>
  <c r="O2672" i="34"/>
  <c r="S2672" i="34"/>
  <c r="T2672" i="34"/>
  <c r="U2672" i="34"/>
  <c r="X2672" i="34"/>
  <c r="Y2672" i="34"/>
  <c r="N2673" i="34"/>
  <c r="O2673" i="34"/>
  <c r="S2673" i="34"/>
  <c r="T2673" i="34"/>
  <c r="U2673" i="34"/>
  <c r="X2673" i="34"/>
  <c r="Y2673" i="34"/>
  <c r="N2674" i="34"/>
  <c r="O2674" i="34"/>
  <c r="S2674" i="34"/>
  <c r="T2674" i="34"/>
  <c r="U2674" i="34"/>
  <c r="X2674" i="34"/>
  <c r="Y2674" i="34"/>
  <c r="N2675" i="34"/>
  <c r="O2675" i="34"/>
  <c r="S2675" i="34"/>
  <c r="T2675" i="34"/>
  <c r="U2675" i="34"/>
  <c r="X2675" i="34"/>
  <c r="Y2675" i="34"/>
  <c r="N2676" i="34"/>
  <c r="O2676" i="34"/>
  <c r="S2676" i="34"/>
  <c r="T2676" i="34"/>
  <c r="U2676" i="34"/>
  <c r="X2676" i="34"/>
  <c r="Y2676" i="34"/>
  <c r="N2677" i="34"/>
  <c r="O2677" i="34"/>
  <c r="S2677" i="34"/>
  <c r="T2677" i="34"/>
  <c r="U2677" i="34"/>
  <c r="X2677" i="34"/>
  <c r="Y2677" i="34"/>
  <c r="N2678" i="34"/>
  <c r="O2678" i="34"/>
  <c r="S2678" i="34"/>
  <c r="T2678" i="34"/>
  <c r="U2678" i="34"/>
  <c r="X2678" i="34"/>
  <c r="Y2678" i="34"/>
  <c r="N2679" i="34"/>
  <c r="O2679" i="34"/>
  <c r="S2679" i="34"/>
  <c r="T2679" i="34"/>
  <c r="U2679" i="34"/>
  <c r="X2679" i="34"/>
  <c r="Y2679" i="34"/>
  <c r="N2680" i="34"/>
  <c r="O2680" i="34"/>
  <c r="S2680" i="34"/>
  <c r="T2680" i="34"/>
  <c r="U2680" i="34"/>
  <c r="X2680" i="34"/>
  <c r="Y2680" i="34"/>
  <c r="N2681" i="34"/>
  <c r="O2681" i="34"/>
  <c r="S2681" i="34"/>
  <c r="T2681" i="34"/>
  <c r="U2681" i="34"/>
  <c r="X2681" i="34"/>
  <c r="Y2681" i="34"/>
  <c r="N2682" i="34"/>
  <c r="O2682" i="34"/>
  <c r="S2682" i="34"/>
  <c r="T2682" i="34"/>
  <c r="U2682" i="34"/>
  <c r="X2682" i="34"/>
  <c r="Y2682" i="34"/>
  <c r="N2683" i="34"/>
  <c r="O2683" i="34"/>
  <c r="S2683" i="34"/>
  <c r="T2683" i="34"/>
  <c r="U2683" i="34"/>
  <c r="X2683" i="34"/>
  <c r="Y2683" i="34"/>
  <c r="N2684" i="34"/>
  <c r="O2684" i="34"/>
  <c r="S2684" i="34"/>
  <c r="T2684" i="34"/>
  <c r="U2684" i="34"/>
  <c r="X2684" i="34"/>
  <c r="Y2684" i="34"/>
  <c r="N2685" i="34"/>
  <c r="O2685" i="34"/>
  <c r="S2685" i="34"/>
  <c r="T2685" i="34"/>
  <c r="U2685" i="34"/>
  <c r="X2685" i="34"/>
  <c r="Y2685" i="34"/>
  <c r="N2686" i="34"/>
  <c r="O2686" i="34"/>
  <c r="S2686" i="34"/>
  <c r="T2686" i="34"/>
  <c r="U2686" i="34"/>
  <c r="X2686" i="34"/>
  <c r="Y2686" i="34"/>
  <c r="N2687" i="34"/>
  <c r="O2687" i="34"/>
  <c r="S2687" i="34"/>
  <c r="T2687" i="34"/>
  <c r="U2687" i="34"/>
  <c r="X2687" i="34"/>
  <c r="Y2687" i="34"/>
  <c r="N2688" i="34"/>
  <c r="O2688" i="34"/>
  <c r="S2688" i="34"/>
  <c r="T2688" i="34"/>
  <c r="U2688" i="34"/>
  <c r="X2688" i="34"/>
  <c r="Y2688" i="34"/>
  <c r="N2689" i="34"/>
  <c r="O2689" i="34"/>
  <c r="S2689" i="34"/>
  <c r="T2689" i="34"/>
  <c r="U2689" i="34"/>
  <c r="X2689" i="34"/>
  <c r="Y2689" i="34"/>
  <c r="N2690" i="34"/>
  <c r="O2690" i="34"/>
  <c r="S2690" i="34"/>
  <c r="T2690" i="34"/>
  <c r="U2690" i="34"/>
  <c r="X2690" i="34"/>
  <c r="Y2690" i="34"/>
  <c r="N2691" i="34"/>
  <c r="O2691" i="34"/>
  <c r="S2691" i="34"/>
  <c r="T2691" i="34"/>
  <c r="U2691" i="34"/>
  <c r="X2691" i="34"/>
  <c r="Y2691" i="34"/>
  <c r="N2692" i="34"/>
  <c r="O2692" i="34"/>
  <c r="S2692" i="34"/>
  <c r="T2692" i="34"/>
  <c r="U2692" i="34"/>
  <c r="X2692" i="34"/>
  <c r="Y2692" i="34"/>
  <c r="N2693" i="34"/>
  <c r="O2693" i="34"/>
  <c r="S2693" i="34"/>
  <c r="T2693" i="34"/>
  <c r="U2693" i="34"/>
  <c r="X2693" i="34"/>
  <c r="Y2693" i="34"/>
  <c r="N2694" i="34"/>
  <c r="O2694" i="34"/>
  <c r="S2694" i="34"/>
  <c r="T2694" i="34"/>
  <c r="U2694" i="34"/>
  <c r="X2694" i="34"/>
  <c r="Y2694" i="34"/>
  <c r="N2695" i="34"/>
  <c r="O2695" i="34"/>
  <c r="S2695" i="34"/>
  <c r="T2695" i="34"/>
  <c r="U2695" i="34"/>
  <c r="X2695" i="34"/>
  <c r="Y2695" i="34"/>
  <c r="N2696" i="34"/>
  <c r="O2696" i="34"/>
  <c r="S2696" i="34"/>
  <c r="T2696" i="34"/>
  <c r="U2696" i="34"/>
  <c r="X2696" i="34"/>
  <c r="Y2696" i="34"/>
  <c r="N2697" i="34"/>
  <c r="O2697" i="34"/>
  <c r="S2697" i="34"/>
  <c r="T2697" i="34"/>
  <c r="U2697" i="34"/>
  <c r="X2697" i="34"/>
  <c r="Y2697" i="34"/>
  <c r="N2698" i="34"/>
  <c r="O2698" i="34"/>
  <c r="S2698" i="34"/>
  <c r="T2698" i="34"/>
  <c r="U2698" i="34"/>
  <c r="X2698" i="34"/>
  <c r="Y2698" i="34"/>
  <c r="N2699" i="34"/>
  <c r="O2699" i="34"/>
  <c r="S2699" i="34"/>
  <c r="T2699" i="34"/>
  <c r="U2699" i="34"/>
  <c r="X2699" i="34"/>
  <c r="Y2699" i="34"/>
  <c r="N2700" i="34"/>
  <c r="O2700" i="34"/>
  <c r="S2700" i="34"/>
  <c r="T2700" i="34"/>
  <c r="U2700" i="34"/>
  <c r="X2700" i="34"/>
  <c r="Y2700" i="34"/>
  <c r="N2701" i="34"/>
  <c r="O2701" i="34"/>
  <c r="S2701" i="34"/>
  <c r="T2701" i="34"/>
  <c r="U2701" i="34"/>
  <c r="X2701" i="34"/>
  <c r="Y2701" i="34"/>
  <c r="N2702" i="34"/>
  <c r="O2702" i="34"/>
  <c r="S2702" i="34"/>
  <c r="T2702" i="34"/>
  <c r="U2702" i="34"/>
  <c r="X2702" i="34"/>
  <c r="Y2702" i="34"/>
  <c r="N2703" i="34"/>
  <c r="O2703" i="34"/>
  <c r="S2703" i="34"/>
  <c r="T2703" i="34"/>
  <c r="U2703" i="34"/>
  <c r="X2703" i="34"/>
  <c r="Y2703" i="34"/>
  <c r="N2704" i="34"/>
  <c r="O2704" i="34"/>
  <c r="S2704" i="34"/>
  <c r="T2704" i="34"/>
  <c r="U2704" i="34"/>
  <c r="X2704" i="34"/>
  <c r="Y2704" i="34"/>
  <c r="N2705" i="34"/>
  <c r="O2705" i="34"/>
  <c r="S2705" i="34"/>
  <c r="T2705" i="34"/>
  <c r="U2705" i="34"/>
  <c r="X2705" i="34"/>
  <c r="Y2705" i="34"/>
  <c r="N2706" i="34"/>
  <c r="O2706" i="34"/>
  <c r="S2706" i="34"/>
  <c r="T2706" i="34"/>
  <c r="U2706" i="34"/>
  <c r="X2706" i="34"/>
  <c r="Y2706" i="34"/>
  <c r="N2707" i="34"/>
  <c r="O2707" i="34"/>
  <c r="S2707" i="34"/>
  <c r="T2707" i="34"/>
  <c r="U2707" i="34"/>
  <c r="X2707" i="34"/>
  <c r="Y2707" i="34"/>
  <c r="N2708" i="34"/>
  <c r="O2708" i="34"/>
  <c r="S2708" i="34"/>
  <c r="T2708" i="34"/>
  <c r="U2708" i="34"/>
  <c r="X2708" i="34"/>
  <c r="Y2708" i="34"/>
  <c r="N2709" i="34"/>
  <c r="O2709" i="34"/>
  <c r="S2709" i="34"/>
  <c r="T2709" i="34"/>
  <c r="U2709" i="34"/>
  <c r="X2709" i="34"/>
  <c r="Y2709" i="34"/>
  <c r="N2710" i="34"/>
  <c r="O2710" i="34"/>
  <c r="S2710" i="34"/>
  <c r="T2710" i="34"/>
  <c r="U2710" i="34"/>
  <c r="X2710" i="34"/>
  <c r="Y2710" i="34"/>
  <c r="N2711" i="34"/>
  <c r="O2711" i="34"/>
  <c r="S2711" i="34"/>
  <c r="T2711" i="34"/>
  <c r="U2711" i="34"/>
  <c r="X2711" i="34"/>
  <c r="Y2711" i="34"/>
  <c r="N2712" i="34"/>
  <c r="O2712" i="34"/>
  <c r="S2712" i="34"/>
  <c r="T2712" i="34"/>
  <c r="U2712" i="34"/>
  <c r="X2712" i="34"/>
  <c r="Y2712" i="34"/>
  <c r="N2713" i="34"/>
  <c r="O2713" i="34"/>
  <c r="S2713" i="34"/>
  <c r="T2713" i="34"/>
  <c r="U2713" i="34"/>
  <c r="X2713" i="34"/>
  <c r="Y2713" i="34"/>
  <c r="N2714" i="34"/>
  <c r="O2714" i="34"/>
  <c r="S2714" i="34"/>
  <c r="T2714" i="34"/>
  <c r="U2714" i="34"/>
  <c r="X2714" i="34"/>
  <c r="Y2714" i="34"/>
  <c r="N2715" i="34"/>
  <c r="O2715" i="34"/>
  <c r="S2715" i="34"/>
  <c r="T2715" i="34"/>
  <c r="U2715" i="34"/>
  <c r="X2715" i="34"/>
  <c r="Y2715" i="34"/>
  <c r="N2716" i="34"/>
  <c r="O2716" i="34"/>
  <c r="S2716" i="34"/>
  <c r="T2716" i="34"/>
  <c r="U2716" i="34"/>
  <c r="X2716" i="34"/>
  <c r="Y2716" i="34"/>
  <c r="N2717" i="34"/>
  <c r="O2717" i="34"/>
  <c r="S2717" i="34"/>
  <c r="T2717" i="34"/>
  <c r="U2717" i="34"/>
  <c r="X2717" i="34"/>
  <c r="Y2717" i="34"/>
  <c r="N2718" i="34"/>
  <c r="O2718" i="34"/>
  <c r="S2718" i="34"/>
  <c r="T2718" i="34"/>
  <c r="U2718" i="34"/>
  <c r="X2718" i="34"/>
  <c r="Y2718" i="34"/>
  <c r="N2719" i="34"/>
  <c r="O2719" i="34"/>
  <c r="S2719" i="34"/>
  <c r="T2719" i="34"/>
  <c r="U2719" i="34"/>
  <c r="X2719" i="34"/>
  <c r="Y2719" i="34"/>
  <c r="N2720" i="34"/>
  <c r="O2720" i="34"/>
  <c r="S2720" i="34"/>
  <c r="T2720" i="34"/>
  <c r="U2720" i="34"/>
  <c r="X2720" i="34"/>
  <c r="Y2720" i="34"/>
  <c r="N2721" i="34"/>
  <c r="O2721" i="34"/>
  <c r="S2721" i="34"/>
  <c r="T2721" i="34"/>
  <c r="U2721" i="34"/>
  <c r="X2721" i="34"/>
  <c r="Y2721" i="34"/>
  <c r="N2722" i="34"/>
  <c r="O2722" i="34"/>
  <c r="S2722" i="34"/>
  <c r="T2722" i="34"/>
  <c r="U2722" i="34"/>
  <c r="X2722" i="34"/>
  <c r="Y2722" i="34"/>
  <c r="N2723" i="34"/>
  <c r="O2723" i="34"/>
  <c r="S2723" i="34"/>
  <c r="T2723" i="34"/>
  <c r="U2723" i="34"/>
  <c r="X2723" i="34"/>
  <c r="Y2723" i="34"/>
  <c r="N2724" i="34"/>
  <c r="O2724" i="34"/>
  <c r="S2724" i="34"/>
  <c r="T2724" i="34"/>
  <c r="U2724" i="34"/>
  <c r="X2724" i="34"/>
  <c r="Y2724" i="34"/>
  <c r="N2725" i="34"/>
  <c r="O2725" i="34"/>
  <c r="S2725" i="34"/>
  <c r="T2725" i="34"/>
  <c r="U2725" i="34"/>
  <c r="X2725" i="34"/>
  <c r="Y2725" i="34"/>
  <c r="N2726" i="34"/>
  <c r="O2726" i="34"/>
  <c r="S2726" i="34"/>
  <c r="T2726" i="34"/>
  <c r="U2726" i="34"/>
  <c r="X2726" i="34"/>
  <c r="Y2726" i="34"/>
  <c r="N2727" i="34"/>
  <c r="O2727" i="34"/>
  <c r="S2727" i="34"/>
  <c r="T2727" i="34"/>
  <c r="U2727" i="34"/>
  <c r="X2727" i="34"/>
  <c r="Y2727" i="34"/>
  <c r="N2728" i="34"/>
  <c r="O2728" i="34"/>
  <c r="S2728" i="34"/>
  <c r="T2728" i="34"/>
  <c r="U2728" i="34"/>
  <c r="X2728" i="34"/>
  <c r="Y2728" i="34"/>
  <c r="N2729" i="34"/>
  <c r="O2729" i="34"/>
  <c r="S2729" i="34"/>
  <c r="T2729" i="34"/>
  <c r="U2729" i="34"/>
  <c r="X2729" i="34"/>
  <c r="Y2729" i="34"/>
  <c r="N2730" i="34"/>
  <c r="O2730" i="34"/>
  <c r="S2730" i="34"/>
  <c r="T2730" i="34"/>
  <c r="U2730" i="34"/>
  <c r="X2730" i="34"/>
  <c r="Y2730" i="34"/>
  <c r="N2731" i="34"/>
  <c r="O2731" i="34"/>
  <c r="S2731" i="34"/>
  <c r="T2731" i="34"/>
  <c r="U2731" i="34"/>
  <c r="X2731" i="34"/>
  <c r="Y2731" i="34"/>
  <c r="N2732" i="34"/>
  <c r="O2732" i="34"/>
  <c r="S2732" i="34"/>
  <c r="T2732" i="34"/>
  <c r="U2732" i="34"/>
  <c r="X2732" i="34"/>
  <c r="Y2732" i="34"/>
  <c r="N2733" i="34"/>
  <c r="O2733" i="34"/>
  <c r="S2733" i="34"/>
  <c r="T2733" i="34"/>
  <c r="U2733" i="34"/>
  <c r="X2733" i="34"/>
  <c r="Y2733" i="34"/>
  <c r="N2734" i="34"/>
  <c r="O2734" i="34"/>
  <c r="S2734" i="34"/>
  <c r="T2734" i="34"/>
  <c r="U2734" i="34"/>
  <c r="X2734" i="34"/>
  <c r="Y2734" i="34"/>
  <c r="N2735" i="34"/>
  <c r="O2735" i="34"/>
  <c r="S2735" i="34"/>
  <c r="T2735" i="34"/>
  <c r="U2735" i="34"/>
  <c r="X2735" i="34"/>
  <c r="Y2735" i="34"/>
  <c r="N2736" i="34"/>
  <c r="O2736" i="34"/>
  <c r="S2736" i="34"/>
  <c r="T2736" i="34"/>
  <c r="U2736" i="34"/>
  <c r="X2736" i="34"/>
  <c r="Y2736" i="34"/>
  <c r="N2737" i="34"/>
  <c r="O2737" i="34"/>
  <c r="S2737" i="34"/>
  <c r="T2737" i="34"/>
  <c r="U2737" i="34"/>
  <c r="X2737" i="34"/>
  <c r="Y2737" i="34"/>
  <c r="N2738" i="34"/>
  <c r="O2738" i="34"/>
  <c r="S2738" i="34"/>
  <c r="T2738" i="34"/>
  <c r="U2738" i="34"/>
  <c r="X2738" i="34"/>
  <c r="Y2738" i="34"/>
  <c r="N2739" i="34"/>
  <c r="O2739" i="34"/>
  <c r="S2739" i="34"/>
  <c r="T2739" i="34"/>
  <c r="U2739" i="34"/>
  <c r="X2739" i="34"/>
  <c r="Y2739" i="34"/>
  <c r="N2740" i="34"/>
  <c r="O2740" i="34"/>
  <c r="S2740" i="34"/>
  <c r="T2740" i="34"/>
  <c r="U2740" i="34"/>
  <c r="X2740" i="34"/>
  <c r="Y2740" i="34"/>
  <c r="N2741" i="34"/>
  <c r="O2741" i="34"/>
  <c r="S2741" i="34"/>
  <c r="T2741" i="34"/>
  <c r="U2741" i="34"/>
  <c r="X2741" i="34"/>
  <c r="Y2741" i="34"/>
  <c r="N2742" i="34"/>
  <c r="O2742" i="34"/>
  <c r="S2742" i="34"/>
  <c r="T2742" i="34"/>
  <c r="U2742" i="34"/>
  <c r="X2742" i="34"/>
  <c r="Y2742" i="34"/>
  <c r="N2743" i="34"/>
  <c r="O2743" i="34"/>
  <c r="S2743" i="34"/>
  <c r="T2743" i="34"/>
  <c r="U2743" i="34"/>
  <c r="X2743" i="34"/>
  <c r="Y2743" i="34"/>
  <c r="N2744" i="34"/>
  <c r="O2744" i="34"/>
  <c r="S2744" i="34"/>
  <c r="T2744" i="34"/>
  <c r="U2744" i="34"/>
  <c r="X2744" i="34"/>
  <c r="Y2744" i="34"/>
  <c r="N2745" i="34"/>
  <c r="O2745" i="34"/>
  <c r="S2745" i="34"/>
  <c r="T2745" i="34"/>
  <c r="U2745" i="34"/>
  <c r="X2745" i="34"/>
  <c r="Y2745" i="34"/>
  <c r="N2746" i="34"/>
  <c r="O2746" i="34"/>
  <c r="S2746" i="34"/>
  <c r="T2746" i="34"/>
  <c r="U2746" i="34"/>
  <c r="X2746" i="34"/>
  <c r="Y2746" i="34"/>
  <c r="N2747" i="34"/>
  <c r="O2747" i="34"/>
  <c r="S2747" i="34"/>
  <c r="T2747" i="34"/>
  <c r="U2747" i="34"/>
  <c r="X2747" i="34"/>
  <c r="Y2747" i="34"/>
  <c r="N2748" i="34"/>
  <c r="O2748" i="34"/>
  <c r="S2748" i="34"/>
  <c r="T2748" i="34"/>
  <c r="U2748" i="34"/>
  <c r="X2748" i="34"/>
  <c r="Y2748" i="34"/>
  <c r="N2749" i="34"/>
  <c r="O2749" i="34"/>
  <c r="S2749" i="34"/>
  <c r="T2749" i="34"/>
  <c r="U2749" i="34"/>
  <c r="X2749" i="34"/>
  <c r="Y2749" i="34"/>
  <c r="N2750" i="34"/>
  <c r="O2750" i="34"/>
  <c r="S2750" i="34"/>
  <c r="T2750" i="34"/>
  <c r="U2750" i="34"/>
  <c r="X2750" i="34"/>
  <c r="Y2750" i="34"/>
  <c r="N2751" i="34"/>
  <c r="O2751" i="34"/>
  <c r="S2751" i="34"/>
  <c r="T2751" i="34"/>
  <c r="U2751" i="34"/>
  <c r="X2751" i="34"/>
  <c r="Y2751" i="34"/>
  <c r="N2752" i="34"/>
  <c r="O2752" i="34"/>
  <c r="S2752" i="34"/>
  <c r="T2752" i="34"/>
  <c r="U2752" i="34"/>
  <c r="X2752" i="34"/>
  <c r="Y2752" i="34"/>
  <c r="N2753" i="34"/>
  <c r="O2753" i="34"/>
  <c r="S2753" i="34"/>
  <c r="T2753" i="34"/>
  <c r="U2753" i="34"/>
  <c r="X2753" i="34"/>
  <c r="Y2753" i="34"/>
  <c r="N2754" i="34"/>
  <c r="O2754" i="34"/>
  <c r="S2754" i="34"/>
  <c r="T2754" i="34"/>
  <c r="U2754" i="34"/>
  <c r="X2754" i="34"/>
  <c r="Y2754" i="34"/>
  <c r="N2755" i="34"/>
  <c r="O2755" i="34"/>
  <c r="S2755" i="34"/>
  <c r="T2755" i="34"/>
  <c r="U2755" i="34"/>
  <c r="X2755" i="34"/>
  <c r="Y2755" i="34"/>
  <c r="N2756" i="34"/>
  <c r="O2756" i="34"/>
  <c r="S2756" i="34"/>
  <c r="T2756" i="34"/>
  <c r="U2756" i="34"/>
  <c r="X2756" i="34"/>
  <c r="Y2756" i="34"/>
  <c r="N2757" i="34"/>
  <c r="O2757" i="34"/>
  <c r="S2757" i="34"/>
  <c r="T2757" i="34"/>
  <c r="U2757" i="34"/>
  <c r="X2757" i="34"/>
  <c r="Y2757" i="34"/>
  <c r="N2758" i="34"/>
  <c r="O2758" i="34"/>
  <c r="S2758" i="34"/>
  <c r="T2758" i="34"/>
  <c r="U2758" i="34"/>
  <c r="X2758" i="34"/>
  <c r="Y2758" i="34"/>
  <c r="N2759" i="34"/>
  <c r="O2759" i="34"/>
  <c r="S2759" i="34"/>
  <c r="T2759" i="34"/>
  <c r="U2759" i="34"/>
  <c r="X2759" i="34"/>
  <c r="Y2759" i="34"/>
  <c r="N2760" i="34"/>
  <c r="O2760" i="34"/>
  <c r="S2760" i="34"/>
  <c r="T2760" i="34"/>
  <c r="U2760" i="34"/>
  <c r="X2760" i="34"/>
  <c r="Y2760" i="34"/>
  <c r="N2761" i="34"/>
  <c r="O2761" i="34"/>
  <c r="S2761" i="34"/>
  <c r="T2761" i="34"/>
  <c r="U2761" i="34"/>
  <c r="X2761" i="34"/>
  <c r="Y2761" i="34"/>
  <c r="N2762" i="34"/>
  <c r="O2762" i="34"/>
  <c r="S2762" i="34"/>
  <c r="T2762" i="34"/>
  <c r="U2762" i="34"/>
  <c r="X2762" i="34"/>
  <c r="Y2762" i="34"/>
  <c r="N2763" i="34"/>
  <c r="O2763" i="34"/>
  <c r="S2763" i="34"/>
  <c r="T2763" i="34"/>
  <c r="U2763" i="34"/>
  <c r="X2763" i="34"/>
  <c r="Y2763" i="34"/>
  <c r="N2764" i="34"/>
  <c r="O2764" i="34"/>
  <c r="S2764" i="34"/>
  <c r="T2764" i="34"/>
  <c r="U2764" i="34"/>
  <c r="X2764" i="34"/>
  <c r="Y2764" i="34"/>
  <c r="N2765" i="34"/>
  <c r="O2765" i="34"/>
  <c r="S2765" i="34"/>
  <c r="T2765" i="34"/>
  <c r="U2765" i="34"/>
  <c r="X2765" i="34"/>
  <c r="Y2765" i="34"/>
  <c r="N2766" i="34"/>
  <c r="O2766" i="34"/>
  <c r="S2766" i="34"/>
  <c r="T2766" i="34"/>
  <c r="U2766" i="34"/>
  <c r="X2766" i="34"/>
  <c r="Y2766" i="34"/>
  <c r="N2767" i="34"/>
  <c r="O2767" i="34"/>
  <c r="S2767" i="34"/>
  <c r="T2767" i="34"/>
  <c r="U2767" i="34"/>
  <c r="X2767" i="34"/>
  <c r="Y2767" i="34"/>
  <c r="N2768" i="34"/>
  <c r="O2768" i="34"/>
  <c r="S2768" i="34"/>
  <c r="T2768" i="34"/>
  <c r="U2768" i="34"/>
  <c r="X2768" i="34"/>
  <c r="Y2768" i="34"/>
  <c r="N2769" i="34"/>
  <c r="O2769" i="34"/>
  <c r="S2769" i="34"/>
  <c r="T2769" i="34"/>
  <c r="U2769" i="34"/>
  <c r="X2769" i="34"/>
  <c r="Y2769" i="34"/>
  <c r="N2770" i="34"/>
  <c r="O2770" i="34"/>
  <c r="S2770" i="34"/>
  <c r="T2770" i="34"/>
  <c r="U2770" i="34"/>
  <c r="X2770" i="34"/>
  <c r="Y2770" i="34"/>
  <c r="N2771" i="34"/>
  <c r="O2771" i="34"/>
  <c r="S2771" i="34"/>
  <c r="T2771" i="34"/>
  <c r="U2771" i="34"/>
  <c r="X2771" i="34"/>
  <c r="Y2771" i="34"/>
  <c r="N2772" i="34"/>
  <c r="O2772" i="34"/>
  <c r="S2772" i="34"/>
  <c r="T2772" i="34"/>
  <c r="U2772" i="34"/>
  <c r="X2772" i="34"/>
  <c r="Y2772" i="34"/>
  <c r="N2773" i="34"/>
  <c r="O2773" i="34"/>
  <c r="S2773" i="34"/>
  <c r="T2773" i="34"/>
  <c r="U2773" i="34"/>
  <c r="X2773" i="34"/>
  <c r="Y2773" i="34"/>
  <c r="N2774" i="34"/>
  <c r="O2774" i="34"/>
  <c r="S2774" i="34"/>
  <c r="T2774" i="34"/>
  <c r="U2774" i="34"/>
  <c r="X2774" i="34"/>
  <c r="Y2774" i="34"/>
  <c r="N2775" i="34"/>
  <c r="O2775" i="34"/>
  <c r="S2775" i="34"/>
  <c r="T2775" i="34"/>
  <c r="U2775" i="34"/>
  <c r="X2775" i="34"/>
  <c r="Y2775" i="34"/>
  <c r="N2776" i="34"/>
  <c r="O2776" i="34"/>
  <c r="S2776" i="34"/>
  <c r="T2776" i="34"/>
  <c r="U2776" i="34"/>
  <c r="X2776" i="34"/>
  <c r="Y2776" i="34"/>
  <c r="N2777" i="34"/>
  <c r="O2777" i="34"/>
  <c r="S2777" i="34"/>
  <c r="T2777" i="34"/>
  <c r="U2777" i="34"/>
  <c r="X2777" i="34"/>
  <c r="Y2777" i="34"/>
  <c r="N2778" i="34"/>
  <c r="O2778" i="34"/>
  <c r="S2778" i="34"/>
  <c r="T2778" i="34"/>
  <c r="U2778" i="34"/>
  <c r="X2778" i="34"/>
  <c r="Y2778" i="34"/>
  <c r="N2779" i="34"/>
  <c r="O2779" i="34"/>
  <c r="S2779" i="34"/>
  <c r="T2779" i="34"/>
  <c r="U2779" i="34"/>
  <c r="X2779" i="34"/>
  <c r="Y2779" i="34"/>
  <c r="N2780" i="34"/>
  <c r="O2780" i="34"/>
  <c r="S2780" i="34"/>
  <c r="T2780" i="34"/>
  <c r="U2780" i="34"/>
  <c r="X2780" i="34"/>
  <c r="Y2780" i="34"/>
  <c r="N2781" i="34"/>
  <c r="O2781" i="34"/>
  <c r="S2781" i="34"/>
  <c r="T2781" i="34"/>
  <c r="U2781" i="34"/>
  <c r="X2781" i="34"/>
  <c r="Y2781" i="34"/>
  <c r="N2782" i="34"/>
  <c r="O2782" i="34"/>
  <c r="S2782" i="34"/>
  <c r="T2782" i="34"/>
  <c r="U2782" i="34"/>
  <c r="X2782" i="34"/>
  <c r="Y2782" i="34"/>
  <c r="N2783" i="34"/>
  <c r="O2783" i="34"/>
  <c r="S2783" i="34"/>
  <c r="T2783" i="34"/>
  <c r="U2783" i="34"/>
  <c r="X2783" i="34"/>
  <c r="Y2783" i="34"/>
  <c r="N2784" i="34"/>
  <c r="O2784" i="34"/>
  <c r="S2784" i="34"/>
  <c r="T2784" i="34"/>
  <c r="U2784" i="34"/>
  <c r="X2784" i="34"/>
  <c r="Y2784" i="34"/>
  <c r="N2785" i="34"/>
  <c r="O2785" i="34"/>
  <c r="S2785" i="34"/>
  <c r="T2785" i="34"/>
  <c r="U2785" i="34"/>
  <c r="X2785" i="34"/>
  <c r="Y2785" i="34"/>
  <c r="N2786" i="34"/>
  <c r="O2786" i="34"/>
  <c r="S2786" i="34"/>
  <c r="T2786" i="34"/>
  <c r="U2786" i="34"/>
  <c r="X2786" i="34"/>
  <c r="Y2786" i="34"/>
  <c r="N2787" i="34"/>
  <c r="O2787" i="34"/>
  <c r="S2787" i="34"/>
  <c r="T2787" i="34"/>
  <c r="U2787" i="34"/>
  <c r="X2787" i="34"/>
  <c r="Y2787" i="34"/>
  <c r="N2788" i="34"/>
  <c r="O2788" i="34"/>
  <c r="S2788" i="34"/>
  <c r="T2788" i="34"/>
  <c r="U2788" i="34"/>
  <c r="X2788" i="34"/>
  <c r="Y2788" i="34"/>
  <c r="N2789" i="34"/>
  <c r="O2789" i="34"/>
  <c r="S2789" i="34"/>
  <c r="T2789" i="34"/>
  <c r="U2789" i="34"/>
  <c r="X2789" i="34"/>
  <c r="Y2789" i="34"/>
  <c r="N2790" i="34"/>
  <c r="O2790" i="34"/>
  <c r="S2790" i="34"/>
  <c r="T2790" i="34"/>
  <c r="U2790" i="34"/>
  <c r="X2790" i="34"/>
  <c r="Y2790" i="34"/>
  <c r="N2791" i="34"/>
  <c r="O2791" i="34"/>
  <c r="S2791" i="34"/>
  <c r="T2791" i="34"/>
  <c r="U2791" i="34"/>
  <c r="X2791" i="34"/>
  <c r="Y2791" i="34"/>
  <c r="N2792" i="34"/>
  <c r="O2792" i="34"/>
  <c r="S2792" i="34"/>
  <c r="T2792" i="34"/>
  <c r="U2792" i="34"/>
  <c r="X2792" i="34"/>
  <c r="Y2792" i="34"/>
  <c r="N2793" i="34"/>
  <c r="O2793" i="34"/>
  <c r="S2793" i="34"/>
  <c r="T2793" i="34"/>
  <c r="U2793" i="34"/>
  <c r="X2793" i="34"/>
  <c r="Y2793" i="34"/>
  <c r="N2794" i="34"/>
  <c r="O2794" i="34"/>
  <c r="S2794" i="34"/>
  <c r="T2794" i="34"/>
  <c r="U2794" i="34"/>
  <c r="X2794" i="34"/>
  <c r="Y2794" i="34"/>
  <c r="N2795" i="34"/>
  <c r="O2795" i="34"/>
  <c r="S2795" i="34"/>
  <c r="T2795" i="34"/>
  <c r="U2795" i="34"/>
  <c r="X2795" i="34"/>
  <c r="Y2795" i="34"/>
  <c r="N2796" i="34"/>
  <c r="O2796" i="34"/>
  <c r="S2796" i="34"/>
  <c r="T2796" i="34"/>
  <c r="U2796" i="34"/>
  <c r="X2796" i="34"/>
  <c r="Y2796" i="34"/>
  <c r="N2797" i="34"/>
  <c r="O2797" i="34"/>
  <c r="S2797" i="34"/>
  <c r="T2797" i="34"/>
  <c r="U2797" i="34"/>
  <c r="X2797" i="34"/>
  <c r="Y2797" i="34"/>
  <c r="N2798" i="34"/>
  <c r="O2798" i="34"/>
  <c r="S2798" i="34"/>
  <c r="T2798" i="34"/>
  <c r="U2798" i="34"/>
  <c r="X2798" i="34"/>
  <c r="Y2798" i="34"/>
  <c r="N2799" i="34"/>
  <c r="O2799" i="34"/>
  <c r="S2799" i="34"/>
  <c r="T2799" i="34"/>
  <c r="U2799" i="34"/>
  <c r="X2799" i="34"/>
  <c r="Y2799" i="34"/>
  <c r="N2800" i="34"/>
  <c r="O2800" i="34"/>
  <c r="S2800" i="34"/>
  <c r="T2800" i="34"/>
  <c r="U2800" i="34"/>
  <c r="X2800" i="34"/>
  <c r="Y2800" i="34"/>
  <c r="N2801" i="34"/>
  <c r="O2801" i="34"/>
  <c r="S2801" i="34"/>
  <c r="T2801" i="34"/>
  <c r="U2801" i="34"/>
  <c r="X2801" i="34"/>
  <c r="Y2801" i="34"/>
  <c r="N2802" i="34"/>
  <c r="O2802" i="34"/>
  <c r="S2802" i="34"/>
  <c r="T2802" i="34"/>
  <c r="U2802" i="34"/>
  <c r="X2802" i="34"/>
  <c r="Y2802" i="34"/>
  <c r="N2803" i="34"/>
  <c r="O2803" i="34"/>
  <c r="S2803" i="34"/>
  <c r="T2803" i="34"/>
  <c r="U2803" i="34"/>
  <c r="X2803" i="34"/>
  <c r="Y2803" i="34"/>
  <c r="N2804" i="34"/>
  <c r="O2804" i="34"/>
  <c r="S2804" i="34"/>
  <c r="T2804" i="34"/>
  <c r="U2804" i="34"/>
  <c r="X2804" i="34"/>
  <c r="Y2804" i="34"/>
  <c r="N2805" i="34"/>
  <c r="O2805" i="34"/>
  <c r="S2805" i="34"/>
  <c r="T2805" i="34"/>
  <c r="U2805" i="34"/>
  <c r="X2805" i="34"/>
  <c r="Y2805" i="34"/>
  <c r="N2806" i="34"/>
  <c r="O2806" i="34"/>
  <c r="S2806" i="34"/>
  <c r="T2806" i="34"/>
  <c r="U2806" i="34"/>
  <c r="X2806" i="34"/>
  <c r="Y2806" i="34"/>
  <c r="N2807" i="34"/>
  <c r="O2807" i="34"/>
  <c r="S2807" i="34"/>
  <c r="T2807" i="34"/>
  <c r="U2807" i="34"/>
  <c r="X2807" i="34"/>
  <c r="Y2807" i="34"/>
  <c r="N2808" i="34"/>
  <c r="O2808" i="34"/>
  <c r="S2808" i="34"/>
  <c r="T2808" i="34"/>
  <c r="U2808" i="34"/>
  <c r="X2808" i="34"/>
  <c r="Y2808" i="34"/>
  <c r="N2809" i="34"/>
  <c r="O2809" i="34"/>
  <c r="S2809" i="34"/>
  <c r="T2809" i="34"/>
  <c r="U2809" i="34"/>
  <c r="X2809" i="34"/>
  <c r="Y2809" i="34"/>
  <c r="N2810" i="34"/>
  <c r="O2810" i="34"/>
  <c r="S2810" i="34"/>
  <c r="T2810" i="34"/>
  <c r="U2810" i="34"/>
  <c r="X2810" i="34"/>
  <c r="Y2810" i="34"/>
  <c r="N2811" i="34"/>
  <c r="O2811" i="34"/>
  <c r="S2811" i="34"/>
  <c r="T2811" i="34"/>
  <c r="U2811" i="34"/>
  <c r="X2811" i="34"/>
  <c r="Y2811" i="34"/>
  <c r="N2812" i="34"/>
  <c r="O2812" i="34"/>
  <c r="S2812" i="34"/>
  <c r="T2812" i="34"/>
  <c r="U2812" i="34"/>
  <c r="X2812" i="34"/>
  <c r="Y2812" i="34"/>
  <c r="N2813" i="34"/>
  <c r="O2813" i="34"/>
  <c r="S2813" i="34"/>
  <c r="T2813" i="34"/>
  <c r="U2813" i="34"/>
  <c r="X2813" i="34"/>
  <c r="Y2813" i="34"/>
  <c r="N2814" i="34"/>
  <c r="O2814" i="34"/>
  <c r="S2814" i="34"/>
  <c r="T2814" i="34"/>
  <c r="U2814" i="34"/>
  <c r="X2814" i="34"/>
  <c r="Y2814" i="34"/>
  <c r="N2815" i="34"/>
  <c r="O2815" i="34"/>
  <c r="S2815" i="34"/>
  <c r="T2815" i="34"/>
  <c r="U2815" i="34"/>
  <c r="X2815" i="34"/>
  <c r="Y2815" i="34"/>
  <c r="N2816" i="34"/>
  <c r="O2816" i="34"/>
  <c r="S2816" i="34"/>
  <c r="T2816" i="34"/>
  <c r="U2816" i="34"/>
  <c r="X2816" i="34"/>
  <c r="Y2816" i="34"/>
  <c r="N2817" i="34"/>
  <c r="O2817" i="34"/>
  <c r="S2817" i="34"/>
  <c r="T2817" i="34"/>
  <c r="U2817" i="34"/>
  <c r="X2817" i="34"/>
  <c r="Y2817" i="34"/>
  <c r="N2818" i="34"/>
  <c r="O2818" i="34"/>
  <c r="S2818" i="34"/>
  <c r="T2818" i="34"/>
  <c r="U2818" i="34"/>
  <c r="X2818" i="34"/>
  <c r="Y2818" i="34"/>
  <c r="N2819" i="34"/>
  <c r="O2819" i="34"/>
  <c r="S2819" i="34"/>
  <c r="T2819" i="34"/>
  <c r="U2819" i="34"/>
  <c r="X2819" i="34"/>
  <c r="Y2819" i="34"/>
  <c r="N2820" i="34"/>
  <c r="O2820" i="34"/>
  <c r="S2820" i="34"/>
  <c r="T2820" i="34"/>
  <c r="U2820" i="34"/>
  <c r="X2820" i="34"/>
  <c r="Y2820" i="34"/>
  <c r="N2821" i="34"/>
  <c r="O2821" i="34"/>
  <c r="S2821" i="34"/>
  <c r="T2821" i="34"/>
  <c r="U2821" i="34"/>
  <c r="X2821" i="34"/>
  <c r="Y2821" i="34"/>
  <c r="N2822" i="34"/>
  <c r="O2822" i="34"/>
  <c r="S2822" i="34"/>
  <c r="T2822" i="34"/>
  <c r="U2822" i="34"/>
  <c r="X2822" i="34"/>
  <c r="Y2822" i="34"/>
  <c r="N2823" i="34"/>
  <c r="O2823" i="34"/>
  <c r="S2823" i="34"/>
  <c r="T2823" i="34"/>
  <c r="U2823" i="34"/>
  <c r="X2823" i="34"/>
  <c r="Y2823" i="34"/>
  <c r="N2824" i="34"/>
  <c r="O2824" i="34"/>
  <c r="S2824" i="34"/>
  <c r="T2824" i="34"/>
  <c r="U2824" i="34"/>
  <c r="X2824" i="34"/>
  <c r="Y2824" i="34"/>
  <c r="N2825" i="34"/>
  <c r="O2825" i="34"/>
  <c r="S2825" i="34"/>
  <c r="T2825" i="34"/>
  <c r="U2825" i="34"/>
  <c r="X2825" i="34"/>
  <c r="Y2825" i="34"/>
  <c r="N2826" i="34"/>
  <c r="O2826" i="34"/>
  <c r="S2826" i="34"/>
  <c r="T2826" i="34"/>
  <c r="U2826" i="34"/>
  <c r="X2826" i="34"/>
  <c r="Y2826" i="34"/>
  <c r="N2827" i="34"/>
  <c r="O2827" i="34"/>
  <c r="S2827" i="34"/>
  <c r="T2827" i="34"/>
  <c r="U2827" i="34"/>
  <c r="X2827" i="34"/>
  <c r="Y2827" i="34"/>
  <c r="N2828" i="34"/>
  <c r="O2828" i="34"/>
  <c r="S2828" i="34"/>
  <c r="T2828" i="34"/>
  <c r="U2828" i="34"/>
  <c r="X2828" i="34"/>
  <c r="Y2828" i="34"/>
  <c r="N2829" i="34"/>
  <c r="O2829" i="34"/>
  <c r="S2829" i="34"/>
  <c r="T2829" i="34"/>
  <c r="U2829" i="34"/>
  <c r="X2829" i="34"/>
  <c r="Y2829" i="34"/>
  <c r="N2830" i="34"/>
  <c r="O2830" i="34"/>
  <c r="S2830" i="34"/>
  <c r="T2830" i="34"/>
  <c r="U2830" i="34"/>
  <c r="X2830" i="34"/>
  <c r="Y2830" i="34"/>
  <c r="N2831" i="34"/>
  <c r="O2831" i="34"/>
  <c r="S2831" i="34"/>
  <c r="T2831" i="34"/>
  <c r="U2831" i="34"/>
  <c r="X2831" i="34"/>
  <c r="Y2831" i="34"/>
  <c r="N2832" i="34"/>
  <c r="O2832" i="34"/>
  <c r="S2832" i="34"/>
  <c r="T2832" i="34"/>
  <c r="U2832" i="34"/>
  <c r="X2832" i="34"/>
  <c r="Y2832" i="34"/>
  <c r="N2833" i="34"/>
  <c r="O2833" i="34"/>
  <c r="S2833" i="34"/>
  <c r="T2833" i="34"/>
  <c r="U2833" i="34"/>
  <c r="X2833" i="34"/>
  <c r="Y2833" i="34"/>
  <c r="N2834" i="34"/>
  <c r="O2834" i="34"/>
  <c r="S2834" i="34"/>
  <c r="T2834" i="34"/>
  <c r="U2834" i="34"/>
  <c r="X2834" i="34"/>
  <c r="Y2834" i="34"/>
  <c r="N2835" i="34"/>
  <c r="O2835" i="34"/>
  <c r="S2835" i="34"/>
  <c r="T2835" i="34"/>
  <c r="U2835" i="34"/>
  <c r="X2835" i="34"/>
  <c r="Y2835" i="34"/>
  <c r="N2836" i="34"/>
  <c r="O2836" i="34"/>
  <c r="S2836" i="34"/>
  <c r="T2836" i="34"/>
  <c r="U2836" i="34"/>
  <c r="X2836" i="34"/>
  <c r="Y2836" i="34"/>
  <c r="N2837" i="34"/>
  <c r="O2837" i="34"/>
  <c r="S2837" i="34"/>
  <c r="T2837" i="34"/>
  <c r="U2837" i="34"/>
  <c r="X2837" i="34"/>
  <c r="Y2837" i="34"/>
  <c r="N2838" i="34"/>
  <c r="O2838" i="34"/>
  <c r="S2838" i="34"/>
  <c r="T2838" i="34"/>
  <c r="U2838" i="34"/>
  <c r="X2838" i="34"/>
  <c r="Y2838" i="34"/>
  <c r="N2839" i="34"/>
  <c r="O2839" i="34"/>
  <c r="S2839" i="34"/>
  <c r="T2839" i="34"/>
  <c r="U2839" i="34"/>
  <c r="X2839" i="34"/>
  <c r="Y2839" i="34"/>
  <c r="N2840" i="34"/>
  <c r="O2840" i="34"/>
  <c r="S2840" i="34"/>
  <c r="T2840" i="34"/>
  <c r="U2840" i="34"/>
  <c r="X2840" i="34"/>
  <c r="Y2840" i="34"/>
  <c r="N2841" i="34"/>
  <c r="O2841" i="34"/>
  <c r="S2841" i="34"/>
  <c r="T2841" i="34"/>
  <c r="U2841" i="34"/>
  <c r="X2841" i="34"/>
  <c r="Y2841" i="34"/>
  <c r="N2842" i="34"/>
  <c r="O2842" i="34"/>
  <c r="S2842" i="34"/>
  <c r="T2842" i="34"/>
  <c r="U2842" i="34"/>
  <c r="X2842" i="34"/>
  <c r="Y2842" i="34"/>
  <c r="N2843" i="34"/>
  <c r="O2843" i="34"/>
  <c r="S2843" i="34"/>
  <c r="T2843" i="34"/>
  <c r="U2843" i="34"/>
  <c r="X2843" i="34"/>
  <c r="Y2843" i="34"/>
  <c r="N2844" i="34"/>
  <c r="O2844" i="34"/>
  <c r="S2844" i="34"/>
  <c r="T2844" i="34"/>
  <c r="U2844" i="34"/>
  <c r="X2844" i="34"/>
  <c r="Y2844" i="34"/>
  <c r="N2845" i="34"/>
  <c r="O2845" i="34"/>
  <c r="S2845" i="34"/>
  <c r="T2845" i="34"/>
  <c r="U2845" i="34"/>
  <c r="X2845" i="34"/>
  <c r="Y2845" i="34"/>
  <c r="N2846" i="34"/>
  <c r="O2846" i="34"/>
  <c r="S2846" i="34"/>
  <c r="T2846" i="34"/>
  <c r="U2846" i="34"/>
  <c r="X2846" i="34"/>
  <c r="Y2846" i="34"/>
  <c r="N2847" i="34"/>
  <c r="O2847" i="34"/>
  <c r="S2847" i="34"/>
  <c r="T2847" i="34"/>
  <c r="U2847" i="34"/>
  <c r="X2847" i="34"/>
  <c r="Y2847" i="34"/>
  <c r="N2848" i="34"/>
  <c r="O2848" i="34"/>
  <c r="S2848" i="34"/>
  <c r="T2848" i="34"/>
  <c r="U2848" i="34"/>
  <c r="X2848" i="34"/>
  <c r="Y2848" i="34"/>
  <c r="N2849" i="34"/>
  <c r="O2849" i="34"/>
  <c r="S2849" i="34"/>
  <c r="T2849" i="34"/>
  <c r="U2849" i="34"/>
  <c r="X2849" i="34"/>
  <c r="Y2849" i="34"/>
  <c r="N2850" i="34"/>
  <c r="O2850" i="34"/>
  <c r="S2850" i="34"/>
  <c r="T2850" i="34"/>
  <c r="U2850" i="34"/>
  <c r="X2850" i="34"/>
  <c r="Y2850" i="34"/>
  <c r="N2851" i="34"/>
  <c r="O2851" i="34"/>
  <c r="S2851" i="34"/>
  <c r="T2851" i="34"/>
  <c r="U2851" i="34"/>
  <c r="X2851" i="34"/>
  <c r="Y2851" i="34"/>
  <c r="N2852" i="34"/>
  <c r="O2852" i="34"/>
  <c r="S2852" i="34"/>
  <c r="T2852" i="34"/>
  <c r="U2852" i="34"/>
  <c r="X2852" i="34"/>
  <c r="Y2852" i="34"/>
  <c r="N2853" i="34"/>
  <c r="O2853" i="34"/>
  <c r="S2853" i="34"/>
  <c r="T2853" i="34"/>
  <c r="U2853" i="34"/>
  <c r="X2853" i="34"/>
  <c r="Y2853" i="34"/>
  <c r="N2854" i="34"/>
  <c r="O2854" i="34"/>
  <c r="S2854" i="34"/>
  <c r="T2854" i="34"/>
  <c r="U2854" i="34"/>
  <c r="X2854" i="34"/>
  <c r="Y2854" i="34"/>
  <c r="N2855" i="34"/>
  <c r="O2855" i="34"/>
  <c r="S2855" i="34"/>
  <c r="T2855" i="34"/>
  <c r="U2855" i="34"/>
  <c r="X2855" i="34"/>
  <c r="Y2855" i="34"/>
  <c r="N2856" i="34"/>
  <c r="O2856" i="34"/>
  <c r="S2856" i="34"/>
  <c r="T2856" i="34"/>
  <c r="U2856" i="34"/>
  <c r="X2856" i="34"/>
  <c r="Y2856" i="34"/>
  <c r="N2857" i="34"/>
  <c r="O2857" i="34"/>
  <c r="S2857" i="34"/>
  <c r="T2857" i="34"/>
  <c r="U2857" i="34"/>
  <c r="X2857" i="34"/>
  <c r="Y2857" i="34"/>
  <c r="N2858" i="34"/>
  <c r="O2858" i="34"/>
  <c r="S2858" i="34"/>
  <c r="T2858" i="34"/>
  <c r="U2858" i="34"/>
  <c r="X2858" i="34"/>
  <c r="Y2858" i="34"/>
  <c r="N2859" i="34"/>
  <c r="O2859" i="34"/>
  <c r="S2859" i="34"/>
  <c r="T2859" i="34"/>
  <c r="U2859" i="34"/>
  <c r="X2859" i="34"/>
  <c r="Y2859" i="34"/>
  <c r="C607" i="34"/>
  <c r="C1923" i="34"/>
  <c r="C906" i="34"/>
  <c r="C1286" i="34"/>
  <c r="C901" i="34"/>
  <c r="C958" i="34"/>
  <c r="C1285" i="34"/>
  <c r="C21" i="34"/>
  <c r="C681" i="34"/>
  <c r="C957" i="34"/>
  <c r="C809" i="34"/>
  <c r="C729" i="34"/>
  <c r="C602" i="34"/>
  <c r="C311" i="34"/>
  <c r="C617" i="34"/>
  <c r="C310" i="34"/>
  <c r="C521" i="34"/>
  <c r="C702" i="34"/>
  <c r="C309" i="34"/>
  <c r="C74" i="34"/>
  <c r="C513" i="34"/>
  <c r="C1084" i="34"/>
  <c r="C307" i="34"/>
  <c r="C514" i="34"/>
  <c r="C630" i="34"/>
  <c r="C210" i="34"/>
  <c r="C91" i="34"/>
  <c r="C956" i="34"/>
  <c r="C913" i="34"/>
  <c r="C308" i="34"/>
  <c r="C500" i="34"/>
  <c r="C279" i="34"/>
  <c r="C448" i="34"/>
  <c r="C77" i="34"/>
  <c r="C808" i="34"/>
  <c r="C1720" i="34" l="1"/>
  <c r="B1720" i="34" s="1"/>
  <c r="C1719" i="34"/>
  <c r="B1719" i="34" s="1"/>
  <c r="C1963" i="34"/>
  <c r="B1963" i="34" s="1"/>
  <c r="C1957" i="34"/>
  <c r="B1957" i="34" s="1"/>
  <c r="C1956" i="34"/>
  <c r="B1956" i="34" s="1"/>
  <c r="C1955" i="34"/>
  <c r="B1955" i="34" s="1"/>
  <c r="C1953" i="34"/>
  <c r="B1953" i="34" s="1"/>
  <c r="C1952" i="34"/>
  <c r="B1952" i="34" s="1"/>
  <c r="C1951" i="34"/>
  <c r="B1951" i="34" s="1"/>
  <c r="C1950" i="34"/>
  <c r="B1950" i="34" s="1"/>
  <c r="C1954" i="34"/>
  <c r="B1954" i="34" s="1"/>
  <c r="S1955" i="34" l="1"/>
  <c r="Z1955" i="34"/>
  <c r="T1955" i="34"/>
  <c r="W1955" i="34"/>
  <c r="U1955" i="34"/>
  <c r="A1955" i="34"/>
  <c r="U1719" i="34"/>
  <c r="S1719" i="34"/>
  <c r="Z1719" i="34"/>
  <c r="T1719" i="34"/>
  <c r="W1719" i="34"/>
  <c r="A1719" i="34"/>
  <c r="U1950" i="34"/>
  <c r="S1950" i="34"/>
  <c r="Z1950" i="34"/>
  <c r="T1950" i="34"/>
  <c r="W1950" i="34"/>
  <c r="A1950" i="34"/>
  <c r="U1956" i="34"/>
  <c r="S1956" i="34"/>
  <c r="Z1956" i="34"/>
  <c r="T1956" i="34"/>
  <c r="W1956" i="34"/>
  <c r="A1956" i="34"/>
  <c r="S1720" i="34"/>
  <c r="Z1720" i="34"/>
  <c r="T1720" i="34"/>
  <c r="W1720" i="34"/>
  <c r="U1720" i="34"/>
  <c r="A1720" i="34"/>
  <c r="S1951" i="34"/>
  <c r="Z1951" i="34"/>
  <c r="T1951" i="34"/>
  <c r="W1951" i="34"/>
  <c r="U1951" i="34"/>
  <c r="A1951" i="34"/>
  <c r="U1952" i="34"/>
  <c r="S1952" i="34"/>
  <c r="Z1952" i="34"/>
  <c r="T1952" i="34"/>
  <c r="W1952" i="34"/>
  <c r="A1952" i="34"/>
  <c r="S1957" i="34"/>
  <c r="Z1957" i="34"/>
  <c r="T1957" i="34"/>
  <c r="W1957" i="34"/>
  <c r="U1957" i="34"/>
  <c r="A1957" i="34"/>
  <c r="U1954" i="34"/>
  <c r="S1954" i="34"/>
  <c r="Z1954" i="34"/>
  <c r="T1954" i="34"/>
  <c r="W1954" i="34"/>
  <c r="A1954" i="34"/>
  <c r="S1953" i="34"/>
  <c r="Z1953" i="34"/>
  <c r="T1953" i="34"/>
  <c r="W1953" i="34"/>
  <c r="U1953" i="34"/>
  <c r="A1953" i="34"/>
  <c r="S1963" i="34"/>
  <c r="Z1963" i="34"/>
  <c r="T1963" i="34"/>
  <c r="W1963" i="34"/>
  <c r="U1963" i="34"/>
  <c r="A1963" i="34"/>
  <c r="C72" i="70"/>
  <c r="A69" i="70" l="1"/>
  <c r="A68" i="70"/>
  <c r="A67" i="70"/>
  <c r="A66" i="70"/>
  <c r="A70" i="70"/>
  <c r="A62" i="70"/>
  <c r="A61" i="70"/>
  <c r="A60" i="70"/>
  <c r="A59" i="70"/>
  <c r="A58" i="70"/>
  <c r="A57" i="70"/>
  <c r="A56" i="70"/>
  <c r="A65" i="70"/>
  <c r="A64" i="70"/>
  <c r="A63" i="70"/>
  <c r="B310" i="34"/>
  <c r="B521" i="34"/>
  <c r="B702" i="34"/>
  <c r="B309" i="34"/>
  <c r="B74" i="34"/>
  <c r="B513" i="34"/>
  <c r="B1084" i="34"/>
  <c r="B307" i="34"/>
  <c r="B514" i="34"/>
  <c r="B630" i="34"/>
  <c r="B210" i="34"/>
  <c r="B91" i="34"/>
  <c r="B956" i="34"/>
  <c r="B913" i="34"/>
  <c r="B308" i="34"/>
  <c r="B500" i="34"/>
  <c r="B279" i="34"/>
  <c r="B448" i="34"/>
  <c r="B77" i="34"/>
  <c r="B808" i="34"/>
  <c r="B1285" i="34"/>
  <c r="B21" i="34"/>
  <c r="B681" i="34"/>
  <c r="B957" i="34"/>
  <c r="B809" i="34"/>
  <c r="B729" i="34"/>
  <c r="B602" i="34"/>
  <c r="B311" i="34"/>
  <c r="B617" i="34"/>
  <c r="B1923" i="34"/>
  <c r="B906" i="34"/>
  <c r="B1286" i="34"/>
  <c r="B901" i="34"/>
  <c r="B958" i="34"/>
  <c r="B607" i="34"/>
  <c r="Z901" i="34" l="1"/>
  <c r="W901" i="34"/>
  <c r="A901" i="34"/>
  <c r="W617" i="34"/>
  <c r="Z617" i="34"/>
  <c r="A617" i="34"/>
  <c r="Z809" i="34"/>
  <c r="W809" i="34"/>
  <c r="A809" i="34"/>
  <c r="W1285" i="34"/>
  <c r="Z1285" i="34"/>
  <c r="A1285" i="34"/>
  <c r="Z279" i="34"/>
  <c r="W279" i="34"/>
  <c r="A279" i="34"/>
  <c r="W956" i="34"/>
  <c r="Z956" i="34"/>
  <c r="A956" i="34"/>
  <c r="Z514" i="34"/>
  <c r="W514" i="34"/>
  <c r="A514" i="34"/>
  <c r="W74" i="34"/>
  <c r="Z74" i="34"/>
  <c r="A74" i="34"/>
  <c r="W310" i="34"/>
  <c r="Z310" i="34"/>
  <c r="A310" i="34"/>
  <c r="W1286" i="34"/>
  <c r="Z1286" i="34"/>
  <c r="A1286" i="34"/>
  <c r="W311" i="34"/>
  <c r="Z311" i="34"/>
  <c r="A311" i="34"/>
  <c r="W957" i="34"/>
  <c r="Z957" i="34"/>
  <c r="A957" i="34"/>
  <c r="Z808" i="34"/>
  <c r="W808" i="34"/>
  <c r="A808" i="34"/>
  <c r="Z500" i="34"/>
  <c r="W500" i="34"/>
  <c r="A500" i="34"/>
  <c r="Z91" i="34"/>
  <c r="W91" i="34"/>
  <c r="A91" i="34"/>
  <c r="W307" i="34"/>
  <c r="Z307" i="34"/>
  <c r="A307" i="34"/>
  <c r="W309" i="34"/>
  <c r="Z309" i="34"/>
  <c r="A309" i="34"/>
  <c r="Z607" i="34"/>
  <c r="W607" i="34"/>
  <c r="A607" i="34"/>
  <c r="Z906" i="34"/>
  <c r="W906" i="34"/>
  <c r="A906" i="34"/>
  <c r="Z602" i="34"/>
  <c r="W602" i="34"/>
  <c r="A602" i="34"/>
  <c r="W681" i="34"/>
  <c r="Z681" i="34"/>
  <c r="A681" i="34"/>
  <c r="Z77" i="34"/>
  <c r="W77" i="34"/>
  <c r="A77" i="34"/>
  <c r="W308" i="34"/>
  <c r="Z308" i="34"/>
  <c r="A308" i="34"/>
  <c r="Z210" i="34"/>
  <c r="W210" i="34"/>
  <c r="A210" i="34"/>
  <c r="Z1084" i="34"/>
  <c r="W1084" i="34"/>
  <c r="A1084" i="34"/>
  <c r="Z702" i="34"/>
  <c r="W702" i="34"/>
  <c r="A702" i="34"/>
  <c r="W958" i="34"/>
  <c r="Z958" i="34"/>
  <c r="A958" i="34"/>
  <c r="Z1923" i="34"/>
  <c r="W1923" i="34"/>
  <c r="A1923" i="34"/>
  <c r="W729" i="34"/>
  <c r="Z729" i="34"/>
  <c r="A729" i="34"/>
  <c r="Z21" i="34"/>
  <c r="W21" i="34"/>
  <c r="A21" i="34"/>
  <c r="Z448" i="34"/>
  <c r="W448" i="34"/>
  <c r="A448" i="34"/>
  <c r="Z913" i="34"/>
  <c r="W913" i="34"/>
  <c r="A913" i="34"/>
  <c r="W630" i="34"/>
  <c r="Z630" i="34"/>
  <c r="A630" i="34"/>
  <c r="Z513" i="34"/>
  <c r="W513" i="34"/>
  <c r="A513" i="34"/>
  <c r="Z521" i="34"/>
  <c r="W521" i="34"/>
  <c r="A521" i="34"/>
  <c r="A26" i="12"/>
  <c r="C1609" i="34"/>
  <c r="B1609" i="34" s="1"/>
  <c r="C1608" i="34"/>
  <c r="B1608" i="34" s="1"/>
  <c r="C1643" i="34"/>
  <c r="B1643" i="34" s="1"/>
  <c r="C1644" i="34"/>
  <c r="B1644" i="34" s="1"/>
  <c r="C1642" i="34"/>
  <c r="B1642" i="34" s="1"/>
  <c r="Z1609" i="34" l="1"/>
  <c r="W1609" i="34"/>
  <c r="A1609" i="34"/>
  <c r="Z1608" i="34"/>
  <c r="W1608" i="34"/>
  <c r="A1608" i="34"/>
  <c r="Z1642" i="34"/>
  <c r="W1642" i="34"/>
  <c r="A1642" i="34"/>
  <c r="Z1644" i="34"/>
  <c r="W1644" i="34"/>
  <c r="A1644" i="34"/>
  <c r="Z1643" i="34"/>
  <c r="W1643" i="34"/>
  <c r="A1643" i="34"/>
  <c r="C1641" i="34"/>
  <c r="B1641" i="34" s="1"/>
  <c r="B15" i="55"/>
  <c r="A15" i="55" s="1"/>
  <c r="K1639" i="34"/>
  <c r="A8" i="12"/>
  <c r="AC1640" i="34"/>
  <c r="C1640" i="34"/>
  <c r="B1640" i="34" s="1"/>
  <c r="AC1639" i="34"/>
  <c r="C1639" i="34"/>
  <c r="B1639" i="34" s="1"/>
  <c r="K1918" i="34"/>
  <c r="C1919" i="34"/>
  <c r="B1919" i="34" s="1"/>
  <c r="C1918" i="34"/>
  <c r="B1918" i="34" s="1"/>
  <c r="Z1641" i="34" l="1"/>
  <c r="W1641" i="34"/>
  <c r="A1641" i="34"/>
  <c r="Z1639" i="34"/>
  <c r="W1639" i="34"/>
  <c r="A1639" i="34"/>
  <c r="Z1918" i="34"/>
  <c r="W1918" i="34"/>
  <c r="A1918" i="34"/>
  <c r="Z1919" i="34"/>
  <c r="W1919" i="34"/>
  <c r="A1919" i="34"/>
  <c r="Z1640" i="34"/>
  <c r="W1640" i="34"/>
  <c r="A1640" i="34"/>
  <c r="P289" i="60"/>
  <c r="K2015" i="34"/>
  <c r="C2015" i="34"/>
  <c r="B2015" i="34" s="1"/>
  <c r="K2014" i="34"/>
  <c r="C2014" i="34"/>
  <c r="B2014" i="34" s="1"/>
  <c r="K2003" i="34"/>
  <c r="C2003" i="34"/>
  <c r="B2003" i="34" s="1"/>
  <c r="R25" i="60"/>
  <c r="S533" i="60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2860" i="34"/>
  <c r="O2860" i="34"/>
  <c r="S2860" i="34"/>
  <c r="T2860" i="34"/>
  <c r="U2860" i="34"/>
  <c r="X2860" i="34"/>
  <c r="Y2860" i="34"/>
  <c r="N2861" i="34"/>
  <c r="O2861" i="34"/>
  <c r="S2861" i="34"/>
  <c r="T2861" i="34"/>
  <c r="U2861" i="34"/>
  <c r="X2861" i="34"/>
  <c r="Y2861" i="34"/>
  <c r="N2862" i="34"/>
  <c r="O2862" i="34"/>
  <c r="S2862" i="34"/>
  <c r="T2862" i="34"/>
  <c r="U2862" i="34"/>
  <c r="X2862" i="34"/>
  <c r="Y2862" i="34"/>
  <c r="N2863" i="34"/>
  <c r="O2863" i="34"/>
  <c r="S2863" i="34"/>
  <c r="T2863" i="34"/>
  <c r="U2863" i="34"/>
  <c r="X2863" i="34"/>
  <c r="Y2863" i="34"/>
  <c r="N2864" i="34"/>
  <c r="O2864" i="34"/>
  <c r="S2864" i="34"/>
  <c r="T2864" i="34"/>
  <c r="U2864" i="34"/>
  <c r="X2864" i="34"/>
  <c r="Y2864" i="34"/>
  <c r="N2865" i="34"/>
  <c r="O2865" i="34"/>
  <c r="S2865" i="34"/>
  <c r="T2865" i="34"/>
  <c r="U2865" i="34"/>
  <c r="X2865" i="34"/>
  <c r="Y2865" i="34"/>
  <c r="N2866" i="34"/>
  <c r="O2866" i="34"/>
  <c r="S2866" i="34"/>
  <c r="T2866" i="34"/>
  <c r="U2866" i="34"/>
  <c r="X2866" i="34"/>
  <c r="Y2866" i="34"/>
  <c r="N2867" i="34"/>
  <c r="O2867" i="34"/>
  <c r="S2867" i="34"/>
  <c r="T2867" i="34"/>
  <c r="U2867" i="34"/>
  <c r="X2867" i="34"/>
  <c r="Y2867" i="34"/>
  <c r="N2868" i="34"/>
  <c r="O2868" i="34"/>
  <c r="S2868" i="34"/>
  <c r="T2868" i="34"/>
  <c r="U2868" i="34"/>
  <c r="X2868" i="34"/>
  <c r="Y2868" i="34"/>
  <c r="N2869" i="34"/>
  <c r="O2869" i="34"/>
  <c r="S2869" i="34"/>
  <c r="T2869" i="34"/>
  <c r="U2869" i="34"/>
  <c r="X2869" i="34"/>
  <c r="Y2869" i="34"/>
  <c r="N2870" i="34"/>
  <c r="O2870" i="34"/>
  <c r="S2870" i="34"/>
  <c r="T2870" i="34"/>
  <c r="U2870" i="34"/>
  <c r="X2870" i="34"/>
  <c r="Y2870" i="34"/>
  <c r="N2871" i="34"/>
  <c r="O2871" i="34"/>
  <c r="S2871" i="34"/>
  <c r="T2871" i="34"/>
  <c r="U2871" i="34"/>
  <c r="X2871" i="34"/>
  <c r="Y2871" i="34"/>
  <c r="N2872" i="34"/>
  <c r="O2872" i="34"/>
  <c r="S2872" i="34"/>
  <c r="T2872" i="34"/>
  <c r="U2872" i="34"/>
  <c r="X2872" i="34"/>
  <c r="Y2872" i="34"/>
  <c r="N2873" i="34"/>
  <c r="O2873" i="34"/>
  <c r="S2873" i="34"/>
  <c r="T2873" i="34"/>
  <c r="U2873" i="34"/>
  <c r="X2873" i="34"/>
  <c r="Y2873" i="34"/>
  <c r="N2874" i="34"/>
  <c r="O2874" i="34"/>
  <c r="S2874" i="34"/>
  <c r="T2874" i="34"/>
  <c r="U2874" i="34"/>
  <c r="X2874" i="34"/>
  <c r="Y2874" i="34"/>
  <c r="N2875" i="34"/>
  <c r="O2875" i="34"/>
  <c r="S2875" i="34"/>
  <c r="T2875" i="34"/>
  <c r="U2875" i="34"/>
  <c r="X2875" i="34"/>
  <c r="Y2875" i="34"/>
  <c r="N2876" i="34"/>
  <c r="O2876" i="34"/>
  <c r="S2876" i="34"/>
  <c r="T2876" i="34"/>
  <c r="U2876" i="34"/>
  <c r="X2876" i="34"/>
  <c r="Y2876" i="34"/>
  <c r="N2877" i="34"/>
  <c r="O2877" i="34"/>
  <c r="S2877" i="34"/>
  <c r="T2877" i="34"/>
  <c r="U2877" i="34"/>
  <c r="X2877" i="34"/>
  <c r="Y2877" i="34"/>
  <c r="N2878" i="34"/>
  <c r="O2878" i="34"/>
  <c r="S2878" i="34"/>
  <c r="T2878" i="34"/>
  <c r="U2878" i="34"/>
  <c r="X2878" i="34"/>
  <c r="Y2878" i="34"/>
  <c r="N2879" i="34"/>
  <c r="O2879" i="34"/>
  <c r="S2879" i="34"/>
  <c r="T2879" i="34"/>
  <c r="U2879" i="34"/>
  <c r="X2879" i="34"/>
  <c r="Y2879" i="34"/>
  <c r="N2880" i="34"/>
  <c r="O2880" i="34"/>
  <c r="S2880" i="34"/>
  <c r="T2880" i="34"/>
  <c r="U2880" i="34"/>
  <c r="X2880" i="34"/>
  <c r="Y2880" i="34"/>
  <c r="N2881" i="34"/>
  <c r="O2881" i="34"/>
  <c r="S2881" i="34"/>
  <c r="T2881" i="34"/>
  <c r="U2881" i="34"/>
  <c r="X2881" i="34"/>
  <c r="Y2881" i="34"/>
  <c r="N2882" i="34"/>
  <c r="O2882" i="34"/>
  <c r="S2882" i="34"/>
  <c r="T2882" i="34"/>
  <c r="U2882" i="34"/>
  <c r="X2882" i="34"/>
  <c r="Y2882" i="34"/>
  <c r="N2883" i="34"/>
  <c r="O2883" i="34"/>
  <c r="S2883" i="34"/>
  <c r="T2883" i="34"/>
  <c r="U2883" i="34"/>
  <c r="X2883" i="34"/>
  <c r="Y2883" i="34"/>
  <c r="N2884" i="34"/>
  <c r="O2884" i="34"/>
  <c r="S2884" i="34"/>
  <c r="T2884" i="34"/>
  <c r="U2884" i="34"/>
  <c r="X2884" i="34"/>
  <c r="Y2884" i="34"/>
  <c r="N2885" i="34"/>
  <c r="O2885" i="34"/>
  <c r="S2885" i="34"/>
  <c r="T2885" i="34"/>
  <c r="U2885" i="34"/>
  <c r="X2885" i="34"/>
  <c r="Y2885" i="34"/>
  <c r="N2886" i="34"/>
  <c r="O2886" i="34"/>
  <c r="S2886" i="34"/>
  <c r="T2886" i="34"/>
  <c r="U2886" i="34"/>
  <c r="X2886" i="34"/>
  <c r="Y2886" i="34"/>
  <c r="N2887" i="34"/>
  <c r="O2887" i="34"/>
  <c r="S2887" i="34"/>
  <c r="T2887" i="34"/>
  <c r="U2887" i="34"/>
  <c r="X2887" i="34"/>
  <c r="Y2887" i="34"/>
  <c r="N2888" i="34"/>
  <c r="O2888" i="34"/>
  <c r="S2888" i="34"/>
  <c r="T2888" i="34"/>
  <c r="U2888" i="34"/>
  <c r="X2888" i="34"/>
  <c r="Y2888" i="34"/>
  <c r="N2889" i="34"/>
  <c r="O2889" i="34"/>
  <c r="S2889" i="34"/>
  <c r="T2889" i="34"/>
  <c r="U2889" i="34"/>
  <c r="X2889" i="34"/>
  <c r="Y2889" i="34"/>
  <c r="N2890" i="34"/>
  <c r="O2890" i="34"/>
  <c r="S2890" i="34"/>
  <c r="T2890" i="34"/>
  <c r="U2890" i="34"/>
  <c r="X2890" i="34"/>
  <c r="Y2890" i="34"/>
  <c r="N2891" i="34"/>
  <c r="O2891" i="34"/>
  <c r="S2891" i="34"/>
  <c r="T2891" i="34"/>
  <c r="U2891" i="34"/>
  <c r="X2891" i="34"/>
  <c r="Y2891" i="34"/>
  <c r="N2892" i="34"/>
  <c r="O2892" i="34"/>
  <c r="S2892" i="34"/>
  <c r="T2892" i="34"/>
  <c r="U2892" i="34"/>
  <c r="X2892" i="34"/>
  <c r="Y2892" i="34"/>
  <c r="N2893" i="34"/>
  <c r="O2893" i="34"/>
  <c r="S2893" i="34"/>
  <c r="T2893" i="34"/>
  <c r="U2893" i="34"/>
  <c r="X2893" i="34"/>
  <c r="Y2893" i="34"/>
  <c r="N2894" i="34"/>
  <c r="O2894" i="34"/>
  <c r="S2894" i="34"/>
  <c r="T2894" i="34"/>
  <c r="U2894" i="34"/>
  <c r="X2894" i="34"/>
  <c r="Y2894" i="34"/>
  <c r="N2895" i="34"/>
  <c r="O2895" i="34"/>
  <c r="S2895" i="34"/>
  <c r="T2895" i="34"/>
  <c r="U2895" i="34"/>
  <c r="X2895" i="34"/>
  <c r="Y2895" i="34"/>
  <c r="N2896" i="34"/>
  <c r="O2896" i="34"/>
  <c r="S2896" i="34"/>
  <c r="T2896" i="34"/>
  <c r="U2896" i="34"/>
  <c r="X2896" i="34"/>
  <c r="Y2896" i="34"/>
  <c r="N2897" i="34"/>
  <c r="O2897" i="34"/>
  <c r="S2897" i="34"/>
  <c r="T2897" i="34"/>
  <c r="U2897" i="34"/>
  <c r="X2897" i="34"/>
  <c r="Y2897" i="34"/>
  <c r="N2898" i="34"/>
  <c r="O2898" i="34"/>
  <c r="S2898" i="34"/>
  <c r="T2898" i="34"/>
  <c r="U2898" i="34"/>
  <c r="X2898" i="34"/>
  <c r="Y2898" i="34"/>
  <c r="N2899" i="34"/>
  <c r="O2899" i="34"/>
  <c r="S2899" i="34"/>
  <c r="T2899" i="34"/>
  <c r="U2899" i="34"/>
  <c r="X2899" i="34"/>
  <c r="Y2899" i="34"/>
  <c r="N2900" i="34"/>
  <c r="O2900" i="34"/>
  <c r="S2900" i="34"/>
  <c r="T2900" i="34"/>
  <c r="U2900" i="34"/>
  <c r="X2900" i="34"/>
  <c r="Y2900" i="34"/>
  <c r="N2901" i="34"/>
  <c r="O2901" i="34"/>
  <c r="S2901" i="34"/>
  <c r="T2901" i="34"/>
  <c r="U2901" i="34"/>
  <c r="X2901" i="34"/>
  <c r="Y2901" i="34"/>
  <c r="N2902" i="34"/>
  <c r="O2902" i="34"/>
  <c r="S2902" i="34"/>
  <c r="T2902" i="34"/>
  <c r="U2902" i="34"/>
  <c r="X2902" i="34"/>
  <c r="Y2902" i="34"/>
  <c r="N2903" i="34"/>
  <c r="O2903" i="34"/>
  <c r="S2903" i="34"/>
  <c r="T2903" i="34"/>
  <c r="U2903" i="34"/>
  <c r="X2903" i="34"/>
  <c r="Y2903" i="34"/>
  <c r="N2904" i="34"/>
  <c r="O2904" i="34"/>
  <c r="S2904" i="34"/>
  <c r="T2904" i="34"/>
  <c r="U2904" i="34"/>
  <c r="X2904" i="34"/>
  <c r="Y2904" i="34"/>
  <c r="N2905" i="34"/>
  <c r="O2905" i="34"/>
  <c r="S2905" i="34"/>
  <c r="T2905" i="34"/>
  <c r="U2905" i="34"/>
  <c r="X2905" i="34"/>
  <c r="Y2905" i="34"/>
  <c r="N2906" i="34"/>
  <c r="O2906" i="34"/>
  <c r="S2906" i="34"/>
  <c r="T2906" i="34"/>
  <c r="U2906" i="34"/>
  <c r="X2906" i="34"/>
  <c r="Y2906" i="34"/>
  <c r="N2907" i="34"/>
  <c r="O2907" i="34"/>
  <c r="S2907" i="34"/>
  <c r="T2907" i="34"/>
  <c r="U2907" i="34"/>
  <c r="X2907" i="34"/>
  <c r="Y2907" i="34"/>
  <c r="N2908" i="34"/>
  <c r="O2908" i="34"/>
  <c r="S2908" i="34"/>
  <c r="T2908" i="34"/>
  <c r="U2908" i="34"/>
  <c r="X2908" i="34"/>
  <c r="Y2908" i="34"/>
  <c r="N2909" i="34"/>
  <c r="O2909" i="34"/>
  <c r="S2909" i="34"/>
  <c r="T2909" i="34"/>
  <c r="U2909" i="34"/>
  <c r="X2909" i="34"/>
  <c r="Y2909" i="34"/>
  <c r="N2910" i="34"/>
  <c r="O2910" i="34"/>
  <c r="S2910" i="34"/>
  <c r="T2910" i="34"/>
  <c r="U2910" i="34"/>
  <c r="X2910" i="34"/>
  <c r="Y2910" i="34"/>
  <c r="N2911" i="34"/>
  <c r="O2911" i="34"/>
  <c r="S2911" i="34"/>
  <c r="T2911" i="34"/>
  <c r="U2911" i="34"/>
  <c r="X2911" i="34"/>
  <c r="Y2911" i="34"/>
  <c r="N2912" i="34"/>
  <c r="O2912" i="34"/>
  <c r="S2912" i="34"/>
  <c r="T2912" i="34"/>
  <c r="U2912" i="34"/>
  <c r="X2912" i="34"/>
  <c r="Y2912" i="34"/>
  <c r="N2913" i="34"/>
  <c r="O2913" i="34"/>
  <c r="S2913" i="34"/>
  <c r="T2913" i="34"/>
  <c r="U2913" i="34"/>
  <c r="X2913" i="34"/>
  <c r="Y2913" i="34"/>
  <c r="N2914" i="34"/>
  <c r="O2914" i="34"/>
  <c r="S2914" i="34"/>
  <c r="T2914" i="34"/>
  <c r="U2914" i="34"/>
  <c r="X2914" i="34"/>
  <c r="Y2914" i="34"/>
  <c r="N2915" i="34"/>
  <c r="O2915" i="34"/>
  <c r="S2915" i="34"/>
  <c r="T2915" i="34"/>
  <c r="U2915" i="34"/>
  <c r="X2915" i="34"/>
  <c r="Y2915" i="34"/>
  <c r="N2916" i="34"/>
  <c r="O2916" i="34"/>
  <c r="S2916" i="34"/>
  <c r="T2916" i="34"/>
  <c r="U2916" i="34"/>
  <c r="X2916" i="34"/>
  <c r="Y2916" i="34"/>
  <c r="N2917" i="34"/>
  <c r="O2917" i="34"/>
  <c r="S2917" i="34"/>
  <c r="T2917" i="34"/>
  <c r="U2917" i="34"/>
  <c r="X2917" i="34"/>
  <c r="Y2917" i="34"/>
  <c r="N2918" i="34"/>
  <c r="O2918" i="34"/>
  <c r="S2918" i="34"/>
  <c r="T2918" i="34"/>
  <c r="U2918" i="34"/>
  <c r="X2918" i="34"/>
  <c r="Y2918" i="34"/>
  <c r="N2919" i="34"/>
  <c r="O2919" i="34"/>
  <c r="S2919" i="34"/>
  <c r="T2919" i="34"/>
  <c r="U2919" i="34"/>
  <c r="X2919" i="34"/>
  <c r="Y2919" i="34"/>
  <c r="N2920" i="34"/>
  <c r="O2920" i="34"/>
  <c r="S2920" i="34"/>
  <c r="T2920" i="34"/>
  <c r="U2920" i="34"/>
  <c r="X2920" i="34"/>
  <c r="Y2920" i="34"/>
  <c r="N2921" i="34"/>
  <c r="O2921" i="34"/>
  <c r="S2921" i="34"/>
  <c r="T2921" i="34"/>
  <c r="U2921" i="34"/>
  <c r="X2921" i="34"/>
  <c r="Y2921" i="34"/>
  <c r="N2922" i="34"/>
  <c r="O2922" i="34"/>
  <c r="S2922" i="34"/>
  <c r="T2922" i="34"/>
  <c r="U2922" i="34"/>
  <c r="X2922" i="34"/>
  <c r="Y2922" i="34"/>
  <c r="N2923" i="34"/>
  <c r="O2923" i="34"/>
  <c r="S2923" i="34"/>
  <c r="T2923" i="34"/>
  <c r="U2923" i="34"/>
  <c r="X2923" i="34"/>
  <c r="Y2923" i="34"/>
  <c r="N2924" i="34"/>
  <c r="O2924" i="34"/>
  <c r="S2924" i="34"/>
  <c r="T2924" i="34"/>
  <c r="U2924" i="34"/>
  <c r="X2924" i="34"/>
  <c r="Y2924" i="34"/>
  <c r="N2925" i="34"/>
  <c r="O2925" i="34"/>
  <c r="S2925" i="34"/>
  <c r="T2925" i="34"/>
  <c r="U2925" i="34"/>
  <c r="X2925" i="34"/>
  <c r="Y2925" i="34"/>
  <c r="N2926" i="34"/>
  <c r="O2926" i="34"/>
  <c r="S2926" i="34"/>
  <c r="T2926" i="34"/>
  <c r="U2926" i="34"/>
  <c r="X2926" i="34"/>
  <c r="Y2926" i="34"/>
  <c r="N2927" i="34"/>
  <c r="O2927" i="34"/>
  <c r="S2927" i="34"/>
  <c r="T2927" i="34"/>
  <c r="U2927" i="34"/>
  <c r="X2927" i="34"/>
  <c r="Y2927" i="34"/>
  <c r="N2928" i="34"/>
  <c r="O2928" i="34"/>
  <c r="S2928" i="34"/>
  <c r="T2928" i="34"/>
  <c r="U2928" i="34"/>
  <c r="X2928" i="34"/>
  <c r="Y2928" i="34"/>
  <c r="N2929" i="34"/>
  <c r="O2929" i="34"/>
  <c r="S2929" i="34"/>
  <c r="T2929" i="34"/>
  <c r="U2929" i="34"/>
  <c r="X2929" i="34"/>
  <c r="Y2929" i="34"/>
  <c r="N2930" i="34"/>
  <c r="O2930" i="34"/>
  <c r="S2930" i="34"/>
  <c r="T2930" i="34"/>
  <c r="U2930" i="34"/>
  <c r="X2930" i="34"/>
  <c r="Y2930" i="34"/>
  <c r="N2931" i="34"/>
  <c r="O2931" i="34"/>
  <c r="S2931" i="34"/>
  <c r="T2931" i="34"/>
  <c r="U2931" i="34"/>
  <c r="X2931" i="34"/>
  <c r="Y2931" i="34"/>
  <c r="N2932" i="34"/>
  <c r="O2932" i="34"/>
  <c r="S2932" i="34"/>
  <c r="T2932" i="34"/>
  <c r="U2932" i="34"/>
  <c r="X2932" i="34"/>
  <c r="Y2932" i="34"/>
  <c r="N2933" i="34"/>
  <c r="O2933" i="34"/>
  <c r="S2933" i="34"/>
  <c r="T2933" i="34"/>
  <c r="U2933" i="34"/>
  <c r="X2933" i="34"/>
  <c r="Y2933" i="34"/>
  <c r="N2934" i="34"/>
  <c r="O2934" i="34"/>
  <c r="S2934" i="34"/>
  <c r="T2934" i="34"/>
  <c r="U2934" i="34"/>
  <c r="X2934" i="34"/>
  <c r="Y2934" i="34"/>
  <c r="N2935" i="34"/>
  <c r="O2935" i="34"/>
  <c r="S2935" i="34"/>
  <c r="T2935" i="34"/>
  <c r="U2935" i="34"/>
  <c r="X2935" i="34"/>
  <c r="Y2935" i="34"/>
  <c r="N2936" i="34"/>
  <c r="O2936" i="34"/>
  <c r="S2936" i="34"/>
  <c r="T2936" i="34"/>
  <c r="U2936" i="34"/>
  <c r="X2936" i="34"/>
  <c r="Y2936" i="34"/>
  <c r="N2937" i="34"/>
  <c r="O2937" i="34"/>
  <c r="S2937" i="34"/>
  <c r="T2937" i="34"/>
  <c r="U2937" i="34"/>
  <c r="X2937" i="34"/>
  <c r="Y2937" i="34"/>
  <c r="N2938" i="34"/>
  <c r="O2938" i="34"/>
  <c r="S2938" i="34"/>
  <c r="T2938" i="34"/>
  <c r="U2938" i="34"/>
  <c r="X2938" i="34"/>
  <c r="Y2938" i="34"/>
  <c r="N2939" i="34"/>
  <c r="O2939" i="34"/>
  <c r="S2939" i="34"/>
  <c r="T2939" i="34"/>
  <c r="U2939" i="34"/>
  <c r="X2939" i="34"/>
  <c r="Y2939" i="34"/>
  <c r="N2940" i="34"/>
  <c r="O2940" i="34"/>
  <c r="S2940" i="34"/>
  <c r="T2940" i="34"/>
  <c r="U2940" i="34"/>
  <c r="X2940" i="34"/>
  <c r="Y2940" i="34"/>
  <c r="N2941" i="34"/>
  <c r="O2941" i="34"/>
  <c r="S2941" i="34"/>
  <c r="T2941" i="34"/>
  <c r="U2941" i="34"/>
  <c r="X2941" i="34"/>
  <c r="Y2941" i="34"/>
  <c r="N2942" i="34"/>
  <c r="O2942" i="34"/>
  <c r="S2942" i="34"/>
  <c r="T2942" i="34"/>
  <c r="U2942" i="34"/>
  <c r="X2942" i="34"/>
  <c r="Y2942" i="34"/>
  <c r="N2943" i="34"/>
  <c r="O2943" i="34"/>
  <c r="S2943" i="34"/>
  <c r="T2943" i="34"/>
  <c r="U2943" i="34"/>
  <c r="X2943" i="34"/>
  <c r="Y2943" i="34"/>
  <c r="N2944" i="34"/>
  <c r="O2944" i="34"/>
  <c r="S2944" i="34"/>
  <c r="T2944" i="34"/>
  <c r="U2944" i="34"/>
  <c r="X2944" i="34"/>
  <c r="Y2944" i="34"/>
  <c r="N2945" i="34"/>
  <c r="O2945" i="34"/>
  <c r="S2945" i="34"/>
  <c r="T2945" i="34"/>
  <c r="U2945" i="34"/>
  <c r="X2945" i="34"/>
  <c r="Y2945" i="34"/>
  <c r="N2946" i="34"/>
  <c r="O2946" i="34"/>
  <c r="S2946" i="34"/>
  <c r="T2946" i="34"/>
  <c r="U2946" i="34"/>
  <c r="X2946" i="34"/>
  <c r="Y2946" i="34"/>
  <c r="N2947" i="34"/>
  <c r="O2947" i="34"/>
  <c r="S2947" i="34"/>
  <c r="T2947" i="34"/>
  <c r="U2947" i="34"/>
  <c r="X2947" i="34"/>
  <c r="Y2947" i="34"/>
  <c r="N2948" i="34"/>
  <c r="O2948" i="34"/>
  <c r="S2948" i="34"/>
  <c r="T2948" i="34"/>
  <c r="U2948" i="34"/>
  <c r="X2948" i="34"/>
  <c r="Y2948" i="34"/>
  <c r="N2949" i="34"/>
  <c r="O2949" i="34"/>
  <c r="S2949" i="34"/>
  <c r="T2949" i="34"/>
  <c r="U2949" i="34"/>
  <c r="X2949" i="34"/>
  <c r="Y2949" i="34"/>
  <c r="N2950" i="34"/>
  <c r="O2950" i="34"/>
  <c r="S2950" i="34"/>
  <c r="T2950" i="34"/>
  <c r="U2950" i="34"/>
  <c r="X2950" i="34"/>
  <c r="Y2950" i="34"/>
  <c r="N2951" i="34"/>
  <c r="O2951" i="34"/>
  <c r="S2951" i="34"/>
  <c r="T2951" i="34"/>
  <c r="U2951" i="34"/>
  <c r="X2951" i="34"/>
  <c r="Y2951" i="34"/>
  <c r="N2952" i="34"/>
  <c r="O2952" i="34"/>
  <c r="S2952" i="34"/>
  <c r="T2952" i="34"/>
  <c r="U2952" i="34"/>
  <c r="X2952" i="34"/>
  <c r="Y2952" i="34"/>
  <c r="N2953" i="34"/>
  <c r="O2953" i="34"/>
  <c r="S2953" i="34"/>
  <c r="T2953" i="34"/>
  <c r="U2953" i="34"/>
  <c r="X2953" i="34"/>
  <c r="Y2953" i="34"/>
  <c r="N2954" i="34"/>
  <c r="O2954" i="34"/>
  <c r="S2954" i="34"/>
  <c r="T2954" i="34"/>
  <c r="U2954" i="34"/>
  <c r="X2954" i="34"/>
  <c r="Y2954" i="34"/>
  <c r="N2955" i="34"/>
  <c r="O2955" i="34"/>
  <c r="S2955" i="34"/>
  <c r="T2955" i="34"/>
  <c r="U2955" i="34"/>
  <c r="X2955" i="34"/>
  <c r="Y2955" i="34"/>
  <c r="N2956" i="34"/>
  <c r="O2956" i="34"/>
  <c r="S2956" i="34"/>
  <c r="T2956" i="34"/>
  <c r="U2956" i="34"/>
  <c r="X2956" i="34"/>
  <c r="Y2956" i="34"/>
  <c r="N2957" i="34"/>
  <c r="O2957" i="34"/>
  <c r="S2957" i="34"/>
  <c r="T2957" i="34"/>
  <c r="U2957" i="34"/>
  <c r="X2957" i="34"/>
  <c r="Y2957" i="34"/>
  <c r="N2958" i="34"/>
  <c r="O2958" i="34"/>
  <c r="S2958" i="34"/>
  <c r="T2958" i="34"/>
  <c r="U2958" i="34"/>
  <c r="X2958" i="34"/>
  <c r="Y2958" i="34"/>
  <c r="N2959" i="34"/>
  <c r="O2959" i="34"/>
  <c r="S2959" i="34"/>
  <c r="T2959" i="34"/>
  <c r="U2959" i="34"/>
  <c r="X2959" i="34"/>
  <c r="Y2959" i="34"/>
  <c r="N2960" i="34"/>
  <c r="O2960" i="34"/>
  <c r="S2960" i="34"/>
  <c r="T2960" i="34"/>
  <c r="U2960" i="34"/>
  <c r="X2960" i="34"/>
  <c r="Y2960" i="34"/>
  <c r="N2961" i="34"/>
  <c r="O2961" i="34"/>
  <c r="S2961" i="34"/>
  <c r="T2961" i="34"/>
  <c r="U2961" i="34"/>
  <c r="X2961" i="34"/>
  <c r="Y2961" i="34"/>
  <c r="N2962" i="34"/>
  <c r="O2962" i="34"/>
  <c r="S2962" i="34"/>
  <c r="T2962" i="34"/>
  <c r="U2962" i="34"/>
  <c r="X2962" i="34"/>
  <c r="Y2962" i="34"/>
  <c r="N2963" i="34"/>
  <c r="O2963" i="34"/>
  <c r="S2963" i="34"/>
  <c r="T2963" i="34"/>
  <c r="U2963" i="34"/>
  <c r="X2963" i="34"/>
  <c r="Y2963" i="34"/>
  <c r="N2964" i="34"/>
  <c r="O2964" i="34"/>
  <c r="S2964" i="34"/>
  <c r="T2964" i="34"/>
  <c r="U2964" i="34"/>
  <c r="X2964" i="34"/>
  <c r="Y2964" i="34"/>
  <c r="N2965" i="34"/>
  <c r="O2965" i="34"/>
  <c r="S2965" i="34"/>
  <c r="T2965" i="34"/>
  <c r="U2965" i="34"/>
  <c r="X2965" i="34"/>
  <c r="Y2965" i="34"/>
  <c r="N2966" i="34"/>
  <c r="O2966" i="34"/>
  <c r="S2966" i="34"/>
  <c r="T2966" i="34"/>
  <c r="U2966" i="34"/>
  <c r="X2966" i="34"/>
  <c r="Y2966" i="34"/>
  <c r="N2967" i="34"/>
  <c r="O2967" i="34"/>
  <c r="S2967" i="34"/>
  <c r="T2967" i="34"/>
  <c r="U2967" i="34"/>
  <c r="X2967" i="34"/>
  <c r="Y2967" i="34"/>
  <c r="N2968" i="34"/>
  <c r="O2968" i="34"/>
  <c r="S2968" i="34"/>
  <c r="T2968" i="34"/>
  <c r="U2968" i="34"/>
  <c r="X2968" i="34"/>
  <c r="Y2968" i="34"/>
  <c r="N2969" i="34"/>
  <c r="O2969" i="34"/>
  <c r="S2969" i="34"/>
  <c r="T2969" i="34"/>
  <c r="U2969" i="34"/>
  <c r="X2969" i="34"/>
  <c r="Y2969" i="34"/>
  <c r="N2970" i="34"/>
  <c r="O2970" i="34"/>
  <c r="S2970" i="34"/>
  <c r="T2970" i="34"/>
  <c r="U2970" i="34"/>
  <c r="X2970" i="34"/>
  <c r="Y2970" i="34"/>
  <c r="N2971" i="34"/>
  <c r="O2971" i="34"/>
  <c r="S2971" i="34"/>
  <c r="T2971" i="34"/>
  <c r="U2971" i="34"/>
  <c r="X2971" i="34"/>
  <c r="Y2971" i="34"/>
  <c r="N2972" i="34"/>
  <c r="O2972" i="34"/>
  <c r="S2972" i="34"/>
  <c r="T2972" i="34"/>
  <c r="U2972" i="34"/>
  <c r="X2972" i="34"/>
  <c r="Y2972" i="34"/>
  <c r="N2973" i="34"/>
  <c r="O2973" i="34"/>
  <c r="S2973" i="34"/>
  <c r="T2973" i="34"/>
  <c r="U2973" i="34"/>
  <c r="X2973" i="34"/>
  <c r="Y2973" i="34"/>
  <c r="N2974" i="34"/>
  <c r="O2974" i="34"/>
  <c r="S2974" i="34"/>
  <c r="T2974" i="34"/>
  <c r="U2974" i="34"/>
  <c r="X2974" i="34"/>
  <c r="Y2974" i="34"/>
  <c r="N2975" i="34"/>
  <c r="O2975" i="34"/>
  <c r="S2975" i="34"/>
  <c r="T2975" i="34"/>
  <c r="U2975" i="34"/>
  <c r="X2975" i="34"/>
  <c r="Y2975" i="34"/>
  <c r="N2976" i="34"/>
  <c r="O2976" i="34"/>
  <c r="S2976" i="34"/>
  <c r="T2976" i="34"/>
  <c r="U2976" i="34"/>
  <c r="X2976" i="34"/>
  <c r="Y2976" i="34"/>
  <c r="N2977" i="34"/>
  <c r="O2977" i="34"/>
  <c r="S2977" i="34"/>
  <c r="T2977" i="34"/>
  <c r="U2977" i="34"/>
  <c r="X2977" i="34"/>
  <c r="Y2977" i="34"/>
  <c r="N2978" i="34"/>
  <c r="O2978" i="34"/>
  <c r="S2978" i="34"/>
  <c r="T2978" i="34"/>
  <c r="U2978" i="34"/>
  <c r="X2978" i="34"/>
  <c r="Y2978" i="34"/>
  <c r="N2979" i="34"/>
  <c r="O2979" i="34"/>
  <c r="S2979" i="34"/>
  <c r="T2979" i="34"/>
  <c r="U2979" i="34"/>
  <c r="X2979" i="34"/>
  <c r="Y2979" i="34"/>
  <c r="N2980" i="34"/>
  <c r="O2980" i="34"/>
  <c r="S2980" i="34"/>
  <c r="T2980" i="34"/>
  <c r="U2980" i="34"/>
  <c r="X2980" i="34"/>
  <c r="Y2980" i="34"/>
  <c r="N2981" i="34"/>
  <c r="O2981" i="34"/>
  <c r="S2981" i="34"/>
  <c r="T2981" i="34"/>
  <c r="U2981" i="34"/>
  <c r="X2981" i="34"/>
  <c r="Y2981" i="34"/>
  <c r="N2982" i="34"/>
  <c r="O2982" i="34"/>
  <c r="S2982" i="34"/>
  <c r="T2982" i="34"/>
  <c r="U2982" i="34"/>
  <c r="X2982" i="34"/>
  <c r="Y2982" i="34"/>
  <c r="N2983" i="34"/>
  <c r="O2983" i="34"/>
  <c r="S2983" i="34"/>
  <c r="T2983" i="34"/>
  <c r="U2983" i="34"/>
  <c r="X2983" i="34"/>
  <c r="Y2983" i="34"/>
  <c r="N2984" i="34"/>
  <c r="O2984" i="34"/>
  <c r="S2984" i="34"/>
  <c r="T2984" i="34"/>
  <c r="U2984" i="34"/>
  <c r="X2984" i="34"/>
  <c r="Y2984" i="34"/>
  <c r="N2985" i="34"/>
  <c r="O2985" i="34"/>
  <c r="S2985" i="34"/>
  <c r="T2985" i="34"/>
  <c r="U2985" i="34"/>
  <c r="X2985" i="34"/>
  <c r="Y2985" i="34"/>
  <c r="N2986" i="34"/>
  <c r="O2986" i="34"/>
  <c r="S2986" i="34"/>
  <c r="T2986" i="34"/>
  <c r="U2986" i="34"/>
  <c r="X2986" i="34"/>
  <c r="Y2986" i="34"/>
  <c r="N2987" i="34"/>
  <c r="O2987" i="34"/>
  <c r="S2987" i="34"/>
  <c r="T2987" i="34"/>
  <c r="U2987" i="34"/>
  <c r="X2987" i="34"/>
  <c r="Y2987" i="34"/>
  <c r="N2988" i="34"/>
  <c r="O2988" i="34"/>
  <c r="S2988" i="34"/>
  <c r="T2988" i="34"/>
  <c r="U2988" i="34"/>
  <c r="X2988" i="34"/>
  <c r="Y2988" i="34"/>
  <c r="N2989" i="34"/>
  <c r="O2989" i="34"/>
  <c r="S2989" i="34"/>
  <c r="T2989" i="34"/>
  <c r="U2989" i="34"/>
  <c r="X2989" i="34"/>
  <c r="Y2989" i="34"/>
  <c r="N2990" i="34"/>
  <c r="O2990" i="34"/>
  <c r="S2990" i="34"/>
  <c r="T2990" i="34"/>
  <c r="U2990" i="34"/>
  <c r="X2990" i="34"/>
  <c r="Y2990" i="34"/>
  <c r="N2991" i="34"/>
  <c r="O2991" i="34"/>
  <c r="S2991" i="34"/>
  <c r="T2991" i="34"/>
  <c r="U2991" i="34"/>
  <c r="X2991" i="34"/>
  <c r="Y2991" i="34"/>
  <c r="N2992" i="34"/>
  <c r="O2992" i="34"/>
  <c r="S2992" i="34"/>
  <c r="T2992" i="34"/>
  <c r="U2992" i="34"/>
  <c r="X2992" i="34"/>
  <c r="Y2992" i="34"/>
  <c r="N2993" i="34"/>
  <c r="O2993" i="34"/>
  <c r="S2993" i="34"/>
  <c r="T2993" i="34"/>
  <c r="U2993" i="34"/>
  <c r="X2993" i="34"/>
  <c r="Y2993" i="34"/>
  <c r="N2994" i="34"/>
  <c r="O2994" i="34"/>
  <c r="S2994" i="34"/>
  <c r="T2994" i="34"/>
  <c r="U2994" i="34"/>
  <c r="X2994" i="34"/>
  <c r="Y2994" i="34"/>
  <c r="N2995" i="34"/>
  <c r="O2995" i="34"/>
  <c r="S2995" i="34"/>
  <c r="T2995" i="34"/>
  <c r="U2995" i="34"/>
  <c r="X2995" i="34"/>
  <c r="Y2995" i="34"/>
  <c r="N2996" i="34"/>
  <c r="O2996" i="34"/>
  <c r="S2996" i="34"/>
  <c r="T2996" i="34"/>
  <c r="U2996" i="34"/>
  <c r="X2996" i="34"/>
  <c r="Y2996" i="34"/>
  <c r="N2997" i="34"/>
  <c r="O2997" i="34"/>
  <c r="S2997" i="34"/>
  <c r="T2997" i="34"/>
  <c r="U2997" i="34"/>
  <c r="X2997" i="34"/>
  <c r="Y2997" i="34"/>
  <c r="N2998" i="34"/>
  <c r="O2998" i="34"/>
  <c r="S2998" i="34"/>
  <c r="T2998" i="34"/>
  <c r="U2998" i="34"/>
  <c r="X2998" i="34"/>
  <c r="Y2998" i="34"/>
  <c r="N2999" i="34"/>
  <c r="O2999" i="34"/>
  <c r="S2999" i="34"/>
  <c r="T2999" i="34"/>
  <c r="U2999" i="34"/>
  <c r="X2999" i="34"/>
  <c r="Y2999" i="34"/>
  <c r="N3000" i="34"/>
  <c r="O3000" i="34"/>
  <c r="S3000" i="34"/>
  <c r="T3000" i="34"/>
  <c r="U3000" i="34"/>
  <c r="X3000" i="34"/>
  <c r="Y3000" i="34"/>
  <c r="N3001" i="34"/>
  <c r="O3001" i="34"/>
  <c r="S3001" i="34"/>
  <c r="T3001" i="34"/>
  <c r="U3001" i="34"/>
  <c r="X3001" i="34"/>
  <c r="Y3001" i="34"/>
  <c r="N3002" i="34"/>
  <c r="O3002" i="34"/>
  <c r="S3002" i="34"/>
  <c r="T3002" i="34"/>
  <c r="U3002" i="34"/>
  <c r="X3002" i="34"/>
  <c r="Y3002" i="34"/>
  <c r="N3003" i="34"/>
  <c r="O3003" i="34"/>
  <c r="S3003" i="34"/>
  <c r="T3003" i="34"/>
  <c r="U3003" i="34"/>
  <c r="X3003" i="34"/>
  <c r="Y3003" i="34"/>
  <c r="N3004" i="34"/>
  <c r="O3004" i="34"/>
  <c r="S3004" i="34"/>
  <c r="T3004" i="34"/>
  <c r="U3004" i="34"/>
  <c r="X3004" i="34"/>
  <c r="Y3004" i="34"/>
  <c r="N3005" i="34"/>
  <c r="O3005" i="34"/>
  <c r="S3005" i="34"/>
  <c r="T3005" i="34"/>
  <c r="U3005" i="34"/>
  <c r="X3005" i="34"/>
  <c r="Y3005" i="34"/>
  <c r="N3006" i="34"/>
  <c r="O3006" i="34"/>
  <c r="S3006" i="34"/>
  <c r="T3006" i="34"/>
  <c r="U3006" i="34"/>
  <c r="X3006" i="34"/>
  <c r="Y3006" i="34"/>
  <c r="N3007" i="34"/>
  <c r="O3007" i="34"/>
  <c r="S3007" i="34"/>
  <c r="T3007" i="34"/>
  <c r="U3007" i="34"/>
  <c r="X3007" i="34"/>
  <c r="Y3007" i="34"/>
  <c r="N3008" i="34"/>
  <c r="O3008" i="34"/>
  <c r="S3008" i="34"/>
  <c r="T3008" i="34"/>
  <c r="U3008" i="34"/>
  <c r="X3008" i="34"/>
  <c r="Y3008" i="34"/>
  <c r="N3009" i="34"/>
  <c r="O3009" i="34"/>
  <c r="S3009" i="34"/>
  <c r="T3009" i="34"/>
  <c r="U3009" i="34"/>
  <c r="X3009" i="34"/>
  <c r="Y3009" i="34"/>
  <c r="N3010" i="34"/>
  <c r="O3010" i="34"/>
  <c r="S3010" i="34"/>
  <c r="T3010" i="34"/>
  <c r="U3010" i="34"/>
  <c r="X3010" i="34"/>
  <c r="Y3010" i="34"/>
  <c r="N3011" i="34"/>
  <c r="O3011" i="34"/>
  <c r="S3011" i="34"/>
  <c r="T3011" i="34"/>
  <c r="U3011" i="34"/>
  <c r="X3011" i="34"/>
  <c r="Y3011" i="34"/>
  <c r="N3012" i="34"/>
  <c r="O3012" i="34"/>
  <c r="S3012" i="34"/>
  <c r="T3012" i="34"/>
  <c r="U3012" i="34"/>
  <c r="X3012" i="34"/>
  <c r="Y3012" i="34"/>
  <c r="N3013" i="34"/>
  <c r="O3013" i="34"/>
  <c r="S3013" i="34"/>
  <c r="T3013" i="34"/>
  <c r="U3013" i="34"/>
  <c r="X3013" i="34"/>
  <c r="Y3013" i="34"/>
  <c r="N3014" i="34"/>
  <c r="O3014" i="34"/>
  <c r="S3014" i="34"/>
  <c r="T3014" i="34"/>
  <c r="U3014" i="34"/>
  <c r="X3014" i="34"/>
  <c r="Y3014" i="34"/>
  <c r="N3015" i="34"/>
  <c r="O3015" i="34"/>
  <c r="S3015" i="34"/>
  <c r="T3015" i="34"/>
  <c r="U3015" i="34"/>
  <c r="X3015" i="34"/>
  <c r="Y3015" i="34"/>
  <c r="N3016" i="34"/>
  <c r="O3016" i="34"/>
  <c r="S3016" i="34"/>
  <c r="T3016" i="34"/>
  <c r="U3016" i="34"/>
  <c r="X3016" i="34"/>
  <c r="Y3016" i="34"/>
  <c r="N3017" i="34"/>
  <c r="O3017" i="34"/>
  <c r="S3017" i="34"/>
  <c r="T3017" i="34"/>
  <c r="U3017" i="34"/>
  <c r="X3017" i="34"/>
  <c r="Y3017" i="34"/>
  <c r="N3018" i="34"/>
  <c r="O3018" i="34"/>
  <c r="S3018" i="34"/>
  <c r="T3018" i="34"/>
  <c r="U3018" i="34"/>
  <c r="X3018" i="34"/>
  <c r="Y3018" i="34"/>
  <c r="N3019" i="34"/>
  <c r="O3019" i="34"/>
  <c r="S3019" i="34"/>
  <c r="T3019" i="34"/>
  <c r="U3019" i="34"/>
  <c r="X3019" i="34"/>
  <c r="Y3019" i="34"/>
  <c r="N3020" i="34"/>
  <c r="O3020" i="34"/>
  <c r="S3020" i="34"/>
  <c r="T3020" i="34"/>
  <c r="U3020" i="34"/>
  <c r="X3020" i="34"/>
  <c r="Y3020" i="34"/>
  <c r="N3021" i="34"/>
  <c r="O3021" i="34"/>
  <c r="S3021" i="34"/>
  <c r="T3021" i="34"/>
  <c r="U3021" i="34"/>
  <c r="X3021" i="34"/>
  <c r="Y3021" i="34"/>
  <c r="N3022" i="34"/>
  <c r="O3022" i="34"/>
  <c r="S3022" i="34"/>
  <c r="T3022" i="34"/>
  <c r="U3022" i="34"/>
  <c r="X3022" i="34"/>
  <c r="Y3022" i="34"/>
  <c r="N3023" i="34"/>
  <c r="O3023" i="34"/>
  <c r="S3023" i="34"/>
  <c r="T3023" i="34"/>
  <c r="U3023" i="34"/>
  <c r="X3023" i="34"/>
  <c r="Y3023" i="34"/>
  <c r="N3024" i="34"/>
  <c r="O3024" i="34"/>
  <c r="S3024" i="34"/>
  <c r="T3024" i="34"/>
  <c r="U3024" i="34"/>
  <c r="X3024" i="34"/>
  <c r="Y3024" i="34"/>
  <c r="N3025" i="34"/>
  <c r="O3025" i="34"/>
  <c r="S3025" i="34"/>
  <c r="T3025" i="34"/>
  <c r="U3025" i="34"/>
  <c r="X3025" i="34"/>
  <c r="Y3025" i="34"/>
  <c r="N3026" i="34"/>
  <c r="O3026" i="34"/>
  <c r="S3026" i="34"/>
  <c r="T3026" i="34"/>
  <c r="U3026" i="34"/>
  <c r="X3026" i="34"/>
  <c r="Y3026" i="34"/>
  <c r="N3027" i="34"/>
  <c r="O3027" i="34"/>
  <c r="S3027" i="34"/>
  <c r="T3027" i="34"/>
  <c r="U3027" i="34"/>
  <c r="X3027" i="34"/>
  <c r="Y3027" i="34"/>
  <c r="N3028" i="34"/>
  <c r="O3028" i="34"/>
  <c r="S3028" i="34"/>
  <c r="T3028" i="34"/>
  <c r="U3028" i="34"/>
  <c r="X3028" i="34"/>
  <c r="Y3028" i="34"/>
  <c r="N3029" i="34"/>
  <c r="O3029" i="34"/>
  <c r="S3029" i="34"/>
  <c r="T3029" i="34"/>
  <c r="U3029" i="34"/>
  <c r="X3029" i="34"/>
  <c r="Y3029" i="34"/>
  <c r="N3030" i="34"/>
  <c r="O3030" i="34"/>
  <c r="S3030" i="34"/>
  <c r="T3030" i="34"/>
  <c r="U3030" i="34"/>
  <c r="X3030" i="34"/>
  <c r="Y3030" i="34"/>
  <c r="N3031" i="34"/>
  <c r="O3031" i="34"/>
  <c r="S3031" i="34"/>
  <c r="T3031" i="34"/>
  <c r="U3031" i="34"/>
  <c r="X3031" i="34"/>
  <c r="Y3031" i="34"/>
  <c r="N3032" i="34"/>
  <c r="O3032" i="34"/>
  <c r="S3032" i="34"/>
  <c r="T3032" i="34"/>
  <c r="U3032" i="34"/>
  <c r="X3032" i="34"/>
  <c r="Y3032" i="34"/>
  <c r="N3033" i="34"/>
  <c r="O3033" i="34"/>
  <c r="S3033" i="34"/>
  <c r="T3033" i="34"/>
  <c r="U3033" i="34"/>
  <c r="X3033" i="34"/>
  <c r="Y3033" i="34"/>
  <c r="N3034" i="34"/>
  <c r="O3034" i="34"/>
  <c r="S3034" i="34"/>
  <c r="T3034" i="34"/>
  <c r="U3034" i="34"/>
  <c r="X3034" i="34"/>
  <c r="Y3034" i="34"/>
  <c r="N3035" i="34"/>
  <c r="O3035" i="34"/>
  <c r="S3035" i="34"/>
  <c r="T3035" i="34"/>
  <c r="U3035" i="34"/>
  <c r="X3035" i="34"/>
  <c r="Y3035" i="34"/>
  <c r="N3036" i="34"/>
  <c r="O3036" i="34"/>
  <c r="S3036" i="34"/>
  <c r="T3036" i="34"/>
  <c r="U3036" i="34"/>
  <c r="X3036" i="34"/>
  <c r="Y3036" i="34"/>
  <c r="N3037" i="34"/>
  <c r="O3037" i="34"/>
  <c r="S3037" i="34"/>
  <c r="T3037" i="34"/>
  <c r="U3037" i="34"/>
  <c r="X3037" i="34"/>
  <c r="Y3037" i="34"/>
  <c r="N3038" i="34"/>
  <c r="O3038" i="34"/>
  <c r="S3038" i="34"/>
  <c r="T3038" i="34"/>
  <c r="U3038" i="34"/>
  <c r="X3038" i="34"/>
  <c r="Y3038" i="34"/>
  <c r="N3039" i="34"/>
  <c r="O3039" i="34"/>
  <c r="S3039" i="34"/>
  <c r="T3039" i="34"/>
  <c r="U3039" i="34"/>
  <c r="X3039" i="34"/>
  <c r="Y3039" i="34"/>
  <c r="N3040" i="34"/>
  <c r="O3040" i="34"/>
  <c r="S3040" i="34"/>
  <c r="T3040" i="34"/>
  <c r="U3040" i="34"/>
  <c r="X3040" i="34"/>
  <c r="Y3040" i="34"/>
  <c r="N3041" i="34"/>
  <c r="O3041" i="34"/>
  <c r="S3041" i="34"/>
  <c r="T3041" i="34"/>
  <c r="U3041" i="34"/>
  <c r="X3041" i="34"/>
  <c r="Y3041" i="34"/>
  <c r="N3042" i="34"/>
  <c r="O3042" i="34"/>
  <c r="S3042" i="34"/>
  <c r="T3042" i="34"/>
  <c r="U3042" i="34"/>
  <c r="X3042" i="34"/>
  <c r="Y3042" i="34"/>
  <c r="N3043" i="34"/>
  <c r="O3043" i="34"/>
  <c r="S3043" i="34"/>
  <c r="T3043" i="34"/>
  <c r="U3043" i="34"/>
  <c r="X3043" i="34"/>
  <c r="Y3043" i="34"/>
  <c r="N3044" i="34"/>
  <c r="O3044" i="34"/>
  <c r="S3044" i="34"/>
  <c r="T3044" i="34"/>
  <c r="U3044" i="34"/>
  <c r="X3044" i="34"/>
  <c r="Y3044" i="34"/>
  <c r="N3045" i="34"/>
  <c r="O3045" i="34"/>
  <c r="S3045" i="34"/>
  <c r="T3045" i="34"/>
  <c r="U3045" i="34"/>
  <c r="X3045" i="34"/>
  <c r="Y3045" i="34"/>
  <c r="N3046" i="34"/>
  <c r="O3046" i="34"/>
  <c r="S3046" i="34"/>
  <c r="T3046" i="34"/>
  <c r="U3046" i="34"/>
  <c r="X3046" i="34"/>
  <c r="Y3046" i="34"/>
  <c r="N3047" i="34"/>
  <c r="O3047" i="34"/>
  <c r="S3047" i="34"/>
  <c r="T3047" i="34"/>
  <c r="U3047" i="34"/>
  <c r="X3047" i="34"/>
  <c r="Y3047" i="34"/>
  <c r="N3048" i="34"/>
  <c r="O3048" i="34"/>
  <c r="S3048" i="34"/>
  <c r="T3048" i="34"/>
  <c r="U3048" i="34"/>
  <c r="X3048" i="34"/>
  <c r="Y3048" i="34"/>
  <c r="N3049" i="34"/>
  <c r="O3049" i="34"/>
  <c r="S3049" i="34"/>
  <c r="T3049" i="34"/>
  <c r="U3049" i="34"/>
  <c r="X3049" i="34"/>
  <c r="Y3049" i="34"/>
  <c r="N3050" i="34"/>
  <c r="O3050" i="34"/>
  <c r="S3050" i="34"/>
  <c r="T3050" i="34"/>
  <c r="U3050" i="34"/>
  <c r="X3050" i="34"/>
  <c r="Y3050" i="34"/>
  <c r="N3051" i="34"/>
  <c r="O3051" i="34"/>
  <c r="S3051" i="34"/>
  <c r="T3051" i="34"/>
  <c r="U3051" i="34"/>
  <c r="X3051" i="34"/>
  <c r="Y3051" i="34"/>
  <c r="N3052" i="34"/>
  <c r="O3052" i="34"/>
  <c r="S3052" i="34"/>
  <c r="T3052" i="34"/>
  <c r="U3052" i="34"/>
  <c r="X3052" i="34"/>
  <c r="Y3052" i="34"/>
  <c r="N3053" i="34"/>
  <c r="O3053" i="34"/>
  <c r="S3053" i="34"/>
  <c r="T3053" i="34"/>
  <c r="U3053" i="34"/>
  <c r="X3053" i="34"/>
  <c r="Y3053" i="34"/>
  <c r="N3054" i="34"/>
  <c r="O3054" i="34"/>
  <c r="S3054" i="34"/>
  <c r="T3054" i="34"/>
  <c r="U3054" i="34"/>
  <c r="X3054" i="34"/>
  <c r="Y3054" i="34"/>
  <c r="N3055" i="34"/>
  <c r="O3055" i="34"/>
  <c r="S3055" i="34"/>
  <c r="T3055" i="34"/>
  <c r="U3055" i="34"/>
  <c r="X3055" i="34"/>
  <c r="Y3055" i="34"/>
  <c r="N3056" i="34"/>
  <c r="O3056" i="34"/>
  <c r="S3056" i="34"/>
  <c r="T3056" i="34"/>
  <c r="U3056" i="34"/>
  <c r="X3056" i="34"/>
  <c r="Y3056" i="34"/>
  <c r="N3057" i="34"/>
  <c r="O3057" i="34"/>
  <c r="S3057" i="34"/>
  <c r="T3057" i="34"/>
  <c r="U3057" i="34"/>
  <c r="X3057" i="34"/>
  <c r="Y3057" i="34"/>
  <c r="N3058" i="34"/>
  <c r="O3058" i="34"/>
  <c r="S3058" i="34"/>
  <c r="T3058" i="34"/>
  <c r="U3058" i="34"/>
  <c r="X3058" i="34"/>
  <c r="Y3058" i="34"/>
  <c r="N3059" i="34"/>
  <c r="O3059" i="34"/>
  <c r="S3059" i="34"/>
  <c r="T3059" i="34"/>
  <c r="U3059" i="34"/>
  <c r="X3059" i="34"/>
  <c r="Y3059" i="34"/>
  <c r="N3060" i="34"/>
  <c r="O3060" i="34"/>
  <c r="S3060" i="34"/>
  <c r="T3060" i="34"/>
  <c r="U3060" i="34"/>
  <c r="X3060" i="34"/>
  <c r="Y3060" i="34"/>
  <c r="N3061" i="34"/>
  <c r="O3061" i="34"/>
  <c r="S3061" i="34"/>
  <c r="T3061" i="34"/>
  <c r="U3061" i="34"/>
  <c r="X3061" i="34"/>
  <c r="Y3061" i="34"/>
  <c r="N3062" i="34"/>
  <c r="O3062" i="34"/>
  <c r="S3062" i="34"/>
  <c r="T3062" i="34"/>
  <c r="U3062" i="34"/>
  <c r="X3062" i="34"/>
  <c r="Y3062" i="34"/>
  <c r="N3063" i="34"/>
  <c r="O3063" i="34"/>
  <c r="S3063" i="34"/>
  <c r="T3063" i="34"/>
  <c r="U3063" i="34"/>
  <c r="X3063" i="34"/>
  <c r="Y3063" i="34"/>
  <c r="N3064" i="34"/>
  <c r="O3064" i="34"/>
  <c r="S3064" i="34"/>
  <c r="T3064" i="34"/>
  <c r="U3064" i="34"/>
  <c r="X3064" i="34"/>
  <c r="Y3064" i="34"/>
  <c r="N3065" i="34"/>
  <c r="O3065" i="34"/>
  <c r="S3065" i="34"/>
  <c r="T3065" i="34"/>
  <c r="U3065" i="34"/>
  <c r="X3065" i="34"/>
  <c r="Y3065" i="34"/>
  <c r="N3066" i="34"/>
  <c r="O3066" i="34"/>
  <c r="S3066" i="34"/>
  <c r="T3066" i="34"/>
  <c r="U3066" i="34"/>
  <c r="X3066" i="34"/>
  <c r="Y3066" i="34"/>
  <c r="N3067" i="34"/>
  <c r="O3067" i="34"/>
  <c r="S3067" i="34"/>
  <c r="T3067" i="34"/>
  <c r="U3067" i="34"/>
  <c r="X3067" i="34"/>
  <c r="Y3067" i="34"/>
  <c r="N3068" i="34"/>
  <c r="O3068" i="34"/>
  <c r="S3068" i="34"/>
  <c r="T3068" i="34"/>
  <c r="U3068" i="34"/>
  <c r="X3068" i="34"/>
  <c r="Y3068" i="34"/>
  <c r="N3069" i="34"/>
  <c r="O3069" i="34"/>
  <c r="S3069" i="34"/>
  <c r="T3069" i="34"/>
  <c r="U3069" i="34"/>
  <c r="X3069" i="34"/>
  <c r="Y3069" i="34"/>
  <c r="N3070" i="34"/>
  <c r="O3070" i="34"/>
  <c r="S3070" i="34"/>
  <c r="T3070" i="34"/>
  <c r="U3070" i="34"/>
  <c r="X3070" i="34"/>
  <c r="Y3070" i="34"/>
  <c r="N3071" i="34"/>
  <c r="O3071" i="34"/>
  <c r="S3071" i="34"/>
  <c r="T3071" i="34"/>
  <c r="U3071" i="34"/>
  <c r="X3071" i="34"/>
  <c r="Y3071" i="34"/>
  <c r="N3072" i="34"/>
  <c r="O3072" i="34"/>
  <c r="S3072" i="34"/>
  <c r="T3072" i="34"/>
  <c r="U3072" i="34"/>
  <c r="X3072" i="34"/>
  <c r="Y3072" i="34"/>
  <c r="N3073" i="34"/>
  <c r="O3073" i="34"/>
  <c r="S3073" i="34"/>
  <c r="T3073" i="34"/>
  <c r="U3073" i="34"/>
  <c r="X3073" i="34"/>
  <c r="Y3073" i="34"/>
  <c r="N3074" i="34"/>
  <c r="O3074" i="34"/>
  <c r="S3074" i="34"/>
  <c r="T3074" i="34"/>
  <c r="U3074" i="34"/>
  <c r="X3074" i="34"/>
  <c r="Y3074" i="34"/>
  <c r="N3075" i="34"/>
  <c r="O3075" i="34"/>
  <c r="S3075" i="34"/>
  <c r="T3075" i="34"/>
  <c r="U3075" i="34"/>
  <c r="X3075" i="34"/>
  <c r="Y3075" i="34"/>
  <c r="N3076" i="34"/>
  <c r="O3076" i="34"/>
  <c r="S3076" i="34"/>
  <c r="T3076" i="34"/>
  <c r="U3076" i="34"/>
  <c r="X3076" i="34"/>
  <c r="Y3076" i="34"/>
  <c r="N3077" i="34"/>
  <c r="O3077" i="34"/>
  <c r="S3077" i="34"/>
  <c r="T3077" i="34"/>
  <c r="U3077" i="34"/>
  <c r="X3077" i="34"/>
  <c r="Y3077" i="34"/>
  <c r="N3078" i="34"/>
  <c r="O3078" i="34"/>
  <c r="S3078" i="34"/>
  <c r="T3078" i="34"/>
  <c r="U3078" i="34"/>
  <c r="X3078" i="34"/>
  <c r="Y3078" i="34"/>
  <c r="N3079" i="34"/>
  <c r="O3079" i="34"/>
  <c r="S3079" i="34"/>
  <c r="T3079" i="34"/>
  <c r="U3079" i="34"/>
  <c r="X3079" i="34"/>
  <c r="Y3079" i="34"/>
  <c r="N3080" i="34"/>
  <c r="O3080" i="34"/>
  <c r="S3080" i="34"/>
  <c r="T3080" i="34"/>
  <c r="U3080" i="34"/>
  <c r="X3080" i="34"/>
  <c r="Y3080" i="34"/>
  <c r="N3081" i="34"/>
  <c r="O3081" i="34"/>
  <c r="S3081" i="34"/>
  <c r="T3081" i="34"/>
  <c r="U3081" i="34"/>
  <c r="X3081" i="34"/>
  <c r="Y3081" i="34"/>
  <c r="N3082" i="34"/>
  <c r="O3082" i="34"/>
  <c r="S3082" i="34"/>
  <c r="T3082" i="34"/>
  <c r="U3082" i="34"/>
  <c r="X3082" i="34"/>
  <c r="Y3082" i="34"/>
  <c r="N3083" i="34"/>
  <c r="O3083" i="34"/>
  <c r="S3083" i="34"/>
  <c r="T3083" i="34"/>
  <c r="U3083" i="34"/>
  <c r="X3083" i="34"/>
  <c r="Y3083" i="34"/>
  <c r="N3084" i="34"/>
  <c r="O3084" i="34"/>
  <c r="S3084" i="34"/>
  <c r="T3084" i="34"/>
  <c r="U3084" i="34"/>
  <c r="X3084" i="34"/>
  <c r="Y3084" i="34"/>
  <c r="N3085" i="34"/>
  <c r="O3085" i="34"/>
  <c r="S3085" i="34"/>
  <c r="T3085" i="34"/>
  <c r="U3085" i="34"/>
  <c r="X3085" i="34"/>
  <c r="Y3085" i="34"/>
  <c r="N3086" i="34"/>
  <c r="O3086" i="34"/>
  <c r="S3086" i="34"/>
  <c r="T3086" i="34"/>
  <c r="U3086" i="34"/>
  <c r="X3086" i="34"/>
  <c r="Y3086" i="34"/>
  <c r="N3087" i="34"/>
  <c r="O3087" i="34"/>
  <c r="S3087" i="34"/>
  <c r="T3087" i="34"/>
  <c r="U3087" i="34"/>
  <c r="X3087" i="34"/>
  <c r="Y3087" i="34"/>
  <c r="N3088" i="34"/>
  <c r="O3088" i="34"/>
  <c r="S3088" i="34"/>
  <c r="T3088" i="34"/>
  <c r="U3088" i="34"/>
  <c r="X3088" i="34"/>
  <c r="Y3088" i="34"/>
  <c r="N3089" i="34"/>
  <c r="O3089" i="34"/>
  <c r="S3089" i="34"/>
  <c r="T3089" i="34"/>
  <c r="U3089" i="34"/>
  <c r="X3089" i="34"/>
  <c r="Y3089" i="34"/>
  <c r="N3090" i="34"/>
  <c r="O3090" i="34"/>
  <c r="S3090" i="34"/>
  <c r="T3090" i="34"/>
  <c r="U3090" i="34"/>
  <c r="X3090" i="34"/>
  <c r="Y3090" i="34"/>
  <c r="N3091" i="34"/>
  <c r="O3091" i="34"/>
  <c r="S3091" i="34"/>
  <c r="T3091" i="34"/>
  <c r="U3091" i="34"/>
  <c r="X3091" i="34"/>
  <c r="Y3091" i="34"/>
  <c r="N3092" i="34"/>
  <c r="O3092" i="34"/>
  <c r="S3092" i="34"/>
  <c r="T3092" i="34"/>
  <c r="U3092" i="34"/>
  <c r="X3092" i="34"/>
  <c r="Y3092" i="34"/>
  <c r="N3093" i="34"/>
  <c r="O3093" i="34"/>
  <c r="S3093" i="34"/>
  <c r="T3093" i="34"/>
  <c r="U3093" i="34"/>
  <c r="X3093" i="34"/>
  <c r="Y3093" i="34"/>
  <c r="N3094" i="34"/>
  <c r="O3094" i="34"/>
  <c r="S3094" i="34"/>
  <c r="T3094" i="34"/>
  <c r="U3094" i="34"/>
  <c r="X3094" i="34"/>
  <c r="Y3094" i="34"/>
  <c r="N3095" i="34"/>
  <c r="O3095" i="34"/>
  <c r="S3095" i="34"/>
  <c r="T3095" i="34"/>
  <c r="U3095" i="34"/>
  <c r="X3095" i="34"/>
  <c r="Y3095" i="34"/>
  <c r="N3096" i="34"/>
  <c r="O3096" i="34"/>
  <c r="S3096" i="34"/>
  <c r="T3096" i="34"/>
  <c r="U3096" i="34"/>
  <c r="X3096" i="34"/>
  <c r="Y3096" i="34"/>
  <c r="N3097" i="34"/>
  <c r="O3097" i="34"/>
  <c r="S3097" i="34"/>
  <c r="T3097" i="34"/>
  <c r="U3097" i="34"/>
  <c r="X3097" i="34"/>
  <c r="Y3097" i="34"/>
  <c r="N3098" i="34"/>
  <c r="O3098" i="34"/>
  <c r="S3098" i="34"/>
  <c r="T3098" i="34"/>
  <c r="U3098" i="34"/>
  <c r="X3098" i="34"/>
  <c r="Y3098" i="34"/>
  <c r="N3099" i="34"/>
  <c r="O3099" i="34"/>
  <c r="S3099" i="34"/>
  <c r="T3099" i="34"/>
  <c r="U3099" i="34"/>
  <c r="X3099" i="34"/>
  <c r="Y3099" i="34"/>
  <c r="N3100" i="34"/>
  <c r="O3100" i="34"/>
  <c r="S3100" i="34"/>
  <c r="T3100" i="34"/>
  <c r="U3100" i="34"/>
  <c r="X3100" i="34"/>
  <c r="Y3100" i="34"/>
  <c r="N3101" i="34"/>
  <c r="O3101" i="34"/>
  <c r="S3101" i="34"/>
  <c r="T3101" i="34"/>
  <c r="U3101" i="34"/>
  <c r="X3101" i="34"/>
  <c r="Y3101" i="34"/>
  <c r="N3102" i="34"/>
  <c r="O3102" i="34"/>
  <c r="S3102" i="34"/>
  <c r="T3102" i="34"/>
  <c r="U3102" i="34"/>
  <c r="X3102" i="34"/>
  <c r="Y3102" i="34"/>
  <c r="N3103" i="34"/>
  <c r="O3103" i="34"/>
  <c r="S3103" i="34"/>
  <c r="T3103" i="34"/>
  <c r="U3103" i="34"/>
  <c r="X3103" i="34"/>
  <c r="Y3103" i="34"/>
  <c r="N3104" i="34"/>
  <c r="O3104" i="34"/>
  <c r="S3104" i="34"/>
  <c r="T3104" i="34"/>
  <c r="U3104" i="34"/>
  <c r="X3104" i="34"/>
  <c r="Y3104" i="34"/>
  <c r="N3105" i="34"/>
  <c r="O3105" i="34"/>
  <c r="S3105" i="34"/>
  <c r="T3105" i="34"/>
  <c r="U3105" i="34"/>
  <c r="X3105" i="34"/>
  <c r="Y3105" i="34"/>
  <c r="N3106" i="34"/>
  <c r="O3106" i="34"/>
  <c r="S3106" i="34"/>
  <c r="T3106" i="34"/>
  <c r="U3106" i="34"/>
  <c r="X3106" i="34"/>
  <c r="Y3106" i="34"/>
  <c r="N3107" i="34"/>
  <c r="O3107" i="34"/>
  <c r="S3107" i="34"/>
  <c r="T3107" i="34"/>
  <c r="U3107" i="34"/>
  <c r="X3107" i="34"/>
  <c r="Y3107" i="34"/>
  <c r="N3108" i="34"/>
  <c r="O3108" i="34"/>
  <c r="S3108" i="34"/>
  <c r="T3108" i="34"/>
  <c r="U3108" i="34"/>
  <c r="X3108" i="34"/>
  <c r="Y3108" i="34"/>
  <c r="N3109" i="34"/>
  <c r="O3109" i="34"/>
  <c r="S3109" i="34"/>
  <c r="T3109" i="34"/>
  <c r="U3109" i="34"/>
  <c r="X3109" i="34"/>
  <c r="Y3109" i="34"/>
  <c r="N3110" i="34"/>
  <c r="O3110" i="34"/>
  <c r="S3110" i="34"/>
  <c r="T3110" i="34"/>
  <c r="U3110" i="34"/>
  <c r="X3110" i="34"/>
  <c r="Y3110" i="34"/>
  <c r="N3111" i="34"/>
  <c r="O3111" i="34"/>
  <c r="S3111" i="34"/>
  <c r="T3111" i="34"/>
  <c r="U3111" i="34"/>
  <c r="X3111" i="34"/>
  <c r="Y3111" i="34"/>
  <c r="N3112" i="34"/>
  <c r="O3112" i="34"/>
  <c r="S3112" i="34"/>
  <c r="T3112" i="34"/>
  <c r="U3112" i="34"/>
  <c r="X3112" i="34"/>
  <c r="Y3112" i="34"/>
  <c r="N3113" i="34"/>
  <c r="O3113" i="34"/>
  <c r="S3113" i="34"/>
  <c r="T3113" i="34"/>
  <c r="U3113" i="34"/>
  <c r="X3113" i="34"/>
  <c r="Y3113" i="34"/>
  <c r="N3114" i="34"/>
  <c r="O3114" i="34"/>
  <c r="S3114" i="34"/>
  <c r="T3114" i="34"/>
  <c r="U3114" i="34"/>
  <c r="X3114" i="34"/>
  <c r="Y3114" i="34"/>
  <c r="N3115" i="34"/>
  <c r="O3115" i="34"/>
  <c r="S3115" i="34"/>
  <c r="T3115" i="34"/>
  <c r="U3115" i="34"/>
  <c r="X3115" i="34"/>
  <c r="Y3115" i="34"/>
  <c r="N3116" i="34"/>
  <c r="O3116" i="34"/>
  <c r="S3116" i="34"/>
  <c r="T3116" i="34"/>
  <c r="U3116" i="34"/>
  <c r="X3116" i="34"/>
  <c r="Y3116" i="34"/>
  <c r="N3117" i="34"/>
  <c r="O3117" i="34"/>
  <c r="S3117" i="34"/>
  <c r="T3117" i="34"/>
  <c r="U3117" i="34"/>
  <c r="X3117" i="34"/>
  <c r="Y3117" i="34"/>
  <c r="N3118" i="34"/>
  <c r="O3118" i="34"/>
  <c r="S3118" i="34"/>
  <c r="T3118" i="34"/>
  <c r="U3118" i="34"/>
  <c r="X3118" i="34"/>
  <c r="Y3118" i="34"/>
  <c r="N3119" i="34"/>
  <c r="O3119" i="34"/>
  <c r="S3119" i="34"/>
  <c r="T3119" i="34"/>
  <c r="U3119" i="34"/>
  <c r="X3119" i="34"/>
  <c r="Y3119" i="34"/>
  <c r="N3120" i="34"/>
  <c r="O3120" i="34"/>
  <c r="S3120" i="34"/>
  <c r="T3120" i="34"/>
  <c r="U3120" i="34"/>
  <c r="X3120" i="34"/>
  <c r="Y3120" i="34"/>
  <c r="N3121" i="34"/>
  <c r="O3121" i="34"/>
  <c r="S3121" i="34"/>
  <c r="T3121" i="34"/>
  <c r="U3121" i="34"/>
  <c r="X3121" i="34"/>
  <c r="Y3121" i="34"/>
  <c r="N3122" i="34"/>
  <c r="O3122" i="34"/>
  <c r="S3122" i="34"/>
  <c r="T3122" i="34"/>
  <c r="U3122" i="34"/>
  <c r="X3122" i="34"/>
  <c r="Y3122" i="34"/>
  <c r="N3123" i="34"/>
  <c r="O3123" i="34"/>
  <c r="S3123" i="34"/>
  <c r="T3123" i="34"/>
  <c r="U3123" i="34"/>
  <c r="X3123" i="34"/>
  <c r="Y3123" i="34"/>
  <c r="N3124" i="34"/>
  <c r="O3124" i="34"/>
  <c r="S3124" i="34"/>
  <c r="T3124" i="34"/>
  <c r="U3124" i="34"/>
  <c r="X3124" i="34"/>
  <c r="Y3124" i="34"/>
  <c r="N3125" i="34"/>
  <c r="O3125" i="34"/>
  <c r="S3125" i="34"/>
  <c r="T3125" i="34"/>
  <c r="U3125" i="34"/>
  <c r="X3125" i="34"/>
  <c r="Y3125" i="34"/>
  <c r="N3126" i="34"/>
  <c r="O3126" i="34"/>
  <c r="S3126" i="34"/>
  <c r="T3126" i="34"/>
  <c r="U3126" i="34"/>
  <c r="X3126" i="34"/>
  <c r="Y3126" i="34"/>
  <c r="N3127" i="34"/>
  <c r="O3127" i="34"/>
  <c r="S3127" i="34"/>
  <c r="T3127" i="34"/>
  <c r="U3127" i="34"/>
  <c r="X3127" i="34"/>
  <c r="Y3127" i="34"/>
  <c r="N3128" i="34"/>
  <c r="O3128" i="34"/>
  <c r="S3128" i="34"/>
  <c r="T3128" i="34"/>
  <c r="U3128" i="34"/>
  <c r="X3128" i="34"/>
  <c r="Y3128" i="34"/>
  <c r="N3129" i="34"/>
  <c r="O3129" i="34"/>
  <c r="S3129" i="34"/>
  <c r="T3129" i="34"/>
  <c r="U3129" i="34"/>
  <c r="X3129" i="34"/>
  <c r="Y3129" i="34"/>
  <c r="N3130" i="34"/>
  <c r="O3130" i="34"/>
  <c r="S3130" i="34"/>
  <c r="T3130" i="34"/>
  <c r="U3130" i="34"/>
  <c r="X3130" i="34"/>
  <c r="Y3130" i="34"/>
  <c r="N3131" i="34"/>
  <c r="O3131" i="34"/>
  <c r="S3131" i="34"/>
  <c r="T3131" i="34"/>
  <c r="U3131" i="34"/>
  <c r="X3131" i="34"/>
  <c r="Y3131" i="34"/>
  <c r="N3132" i="34"/>
  <c r="O3132" i="34"/>
  <c r="S3132" i="34"/>
  <c r="T3132" i="34"/>
  <c r="U3132" i="34"/>
  <c r="X3132" i="34"/>
  <c r="Y3132" i="34"/>
  <c r="N3133" i="34"/>
  <c r="O3133" i="34"/>
  <c r="S3133" i="34"/>
  <c r="T3133" i="34"/>
  <c r="U3133" i="34"/>
  <c r="X3133" i="34"/>
  <c r="Y3133" i="34"/>
  <c r="N3134" i="34"/>
  <c r="O3134" i="34"/>
  <c r="S3134" i="34"/>
  <c r="T3134" i="34"/>
  <c r="U3134" i="34"/>
  <c r="X3134" i="34"/>
  <c r="Y3134" i="34"/>
  <c r="N3135" i="34"/>
  <c r="O3135" i="34"/>
  <c r="S3135" i="34"/>
  <c r="T3135" i="34"/>
  <c r="U3135" i="34"/>
  <c r="X3135" i="34"/>
  <c r="Y3135" i="34"/>
  <c r="N3136" i="34"/>
  <c r="O3136" i="34"/>
  <c r="S3136" i="34"/>
  <c r="T3136" i="34"/>
  <c r="U3136" i="34"/>
  <c r="X3136" i="34"/>
  <c r="Y3136" i="34"/>
  <c r="N3137" i="34"/>
  <c r="O3137" i="34"/>
  <c r="S3137" i="34"/>
  <c r="T3137" i="34"/>
  <c r="U3137" i="34"/>
  <c r="X3137" i="34"/>
  <c r="Y3137" i="34"/>
  <c r="N3138" i="34"/>
  <c r="O3138" i="34"/>
  <c r="S3138" i="34"/>
  <c r="T3138" i="34"/>
  <c r="U3138" i="34"/>
  <c r="X3138" i="34"/>
  <c r="Y3138" i="34"/>
  <c r="N3139" i="34"/>
  <c r="O3139" i="34"/>
  <c r="S3139" i="34"/>
  <c r="T3139" i="34"/>
  <c r="U3139" i="34"/>
  <c r="X3139" i="34"/>
  <c r="Y3139" i="34"/>
  <c r="N3140" i="34"/>
  <c r="O3140" i="34"/>
  <c r="S3140" i="34"/>
  <c r="T3140" i="34"/>
  <c r="U3140" i="34"/>
  <c r="X3140" i="34"/>
  <c r="Y3140" i="34"/>
  <c r="N3141" i="34"/>
  <c r="O3141" i="34"/>
  <c r="S3141" i="34"/>
  <c r="T3141" i="34"/>
  <c r="U3141" i="34"/>
  <c r="X3141" i="34"/>
  <c r="Y3141" i="34"/>
  <c r="N3142" i="34"/>
  <c r="O3142" i="34"/>
  <c r="S3142" i="34"/>
  <c r="T3142" i="34"/>
  <c r="U3142" i="34"/>
  <c r="X3142" i="34"/>
  <c r="Y3142" i="34"/>
  <c r="N3143" i="34"/>
  <c r="O3143" i="34"/>
  <c r="S3143" i="34"/>
  <c r="T3143" i="34"/>
  <c r="U3143" i="34"/>
  <c r="X3143" i="34"/>
  <c r="Y3143" i="34"/>
  <c r="N3144" i="34"/>
  <c r="O3144" i="34"/>
  <c r="S3144" i="34"/>
  <c r="T3144" i="34"/>
  <c r="U3144" i="34"/>
  <c r="X3144" i="34"/>
  <c r="Y3144" i="34"/>
  <c r="N3145" i="34"/>
  <c r="O3145" i="34"/>
  <c r="S3145" i="34"/>
  <c r="T3145" i="34"/>
  <c r="U3145" i="34"/>
  <c r="X3145" i="34"/>
  <c r="Y3145" i="34"/>
  <c r="N3146" i="34"/>
  <c r="O3146" i="34"/>
  <c r="S3146" i="34"/>
  <c r="T3146" i="34"/>
  <c r="U3146" i="34"/>
  <c r="X3146" i="34"/>
  <c r="Y3146" i="34"/>
  <c r="N3147" i="34"/>
  <c r="O3147" i="34"/>
  <c r="S3147" i="34"/>
  <c r="T3147" i="34"/>
  <c r="U3147" i="34"/>
  <c r="X3147" i="34"/>
  <c r="Y3147" i="34"/>
  <c r="N3148" i="34"/>
  <c r="O3148" i="34"/>
  <c r="S3148" i="34"/>
  <c r="T3148" i="34"/>
  <c r="U3148" i="34"/>
  <c r="X3148" i="34"/>
  <c r="Y3148" i="34"/>
  <c r="N3149" i="34"/>
  <c r="O3149" i="34"/>
  <c r="S3149" i="34"/>
  <c r="T3149" i="34"/>
  <c r="U3149" i="34"/>
  <c r="X3149" i="34"/>
  <c r="Y3149" i="34"/>
  <c r="N3150" i="34"/>
  <c r="O3150" i="34"/>
  <c r="S3150" i="34"/>
  <c r="T3150" i="34"/>
  <c r="U3150" i="34"/>
  <c r="X3150" i="34"/>
  <c r="Y3150" i="34"/>
  <c r="N3151" i="34"/>
  <c r="O3151" i="34"/>
  <c r="S3151" i="34"/>
  <c r="T3151" i="34"/>
  <c r="U3151" i="34"/>
  <c r="X3151" i="34"/>
  <c r="Y3151" i="34"/>
  <c r="N3152" i="34"/>
  <c r="O3152" i="34"/>
  <c r="S3152" i="34"/>
  <c r="T3152" i="34"/>
  <c r="U3152" i="34"/>
  <c r="X3152" i="34"/>
  <c r="Y3152" i="34"/>
  <c r="N3153" i="34"/>
  <c r="O3153" i="34"/>
  <c r="S3153" i="34"/>
  <c r="T3153" i="34"/>
  <c r="U3153" i="34"/>
  <c r="X3153" i="34"/>
  <c r="Y3153" i="34"/>
  <c r="N3154" i="34"/>
  <c r="O3154" i="34"/>
  <c r="S3154" i="34"/>
  <c r="T3154" i="34"/>
  <c r="U3154" i="34"/>
  <c r="X3154" i="34"/>
  <c r="Y3154" i="34"/>
  <c r="N3155" i="34"/>
  <c r="O3155" i="34"/>
  <c r="S3155" i="34"/>
  <c r="T3155" i="34"/>
  <c r="U3155" i="34"/>
  <c r="X3155" i="34"/>
  <c r="Y3155" i="34"/>
  <c r="N3156" i="34"/>
  <c r="O3156" i="34"/>
  <c r="S3156" i="34"/>
  <c r="T3156" i="34"/>
  <c r="U3156" i="34"/>
  <c r="X3156" i="34"/>
  <c r="Y3156" i="34"/>
  <c r="N3157" i="34"/>
  <c r="O3157" i="34"/>
  <c r="S3157" i="34"/>
  <c r="T3157" i="34"/>
  <c r="U3157" i="34"/>
  <c r="X3157" i="34"/>
  <c r="Y3157" i="34"/>
  <c r="N3158" i="34"/>
  <c r="O3158" i="34"/>
  <c r="S3158" i="34"/>
  <c r="T3158" i="34"/>
  <c r="U3158" i="34"/>
  <c r="X3158" i="34"/>
  <c r="Y3158" i="34"/>
  <c r="N3159" i="34"/>
  <c r="O3159" i="34"/>
  <c r="S3159" i="34"/>
  <c r="T3159" i="34"/>
  <c r="U3159" i="34"/>
  <c r="X3159" i="34"/>
  <c r="Y3159" i="34"/>
  <c r="N3160" i="34"/>
  <c r="O3160" i="34"/>
  <c r="S3160" i="34"/>
  <c r="T3160" i="34"/>
  <c r="U3160" i="34"/>
  <c r="X3160" i="34"/>
  <c r="Y3160" i="34"/>
  <c r="N3161" i="34"/>
  <c r="O3161" i="34"/>
  <c r="S3161" i="34"/>
  <c r="T3161" i="34"/>
  <c r="U3161" i="34"/>
  <c r="X3161" i="34"/>
  <c r="Y3161" i="34"/>
  <c r="N3162" i="34"/>
  <c r="O3162" i="34"/>
  <c r="S3162" i="34"/>
  <c r="T3162" i="34"/>
  <c r="U3162" i="34"/>
  <c r="X3162" i="34"/>
  <c r="Y3162" i="34"/>
  <c r="N3163" i="34"/>
  <c r="O3163" i="34"/>
  <c r="S3163" i="34"/>
  <c r="T3163" i="34"/>
  <c r="U3163" i="34"/>
  <c r="X3163" i="34"/>
  <c r="Y3163" i="34"/>
  <c r="N3164" i="34"/>
  <c r="O3164" i="34"/>
  <c r="S3164" i="34"/>
  <c r="T3164" i="34"/>
  <c r="U3164" i="34"/>
  <c r="X3164" i="34"/>
  <c r="Y3164" i="34"/>
  <c r="N3165" i="34"/>
  <c r="O3165" i="34"/>
  <c r="S3165" i="34"/>
  <c r="T3165" i="34"/>
  <c r="U3165" i="34"/>
  <c r="X3165" i="34"/>
  <c r="Y3165" i="34"/>
  <c r="N3166" i="34"/>
  <c r="O3166" i="34"/>
  <c r="S3166" i="34"/>
  <c r="T3166" i="34"/>
  <c r="U3166" i="34"/>
  <c r="X3166" i="34"/>
  <c r="Y3166" i="34"/>
  <c r="N3167" i="34"/>
  <c r="O3167" i="34"/>
  <c r="S3167" i="34"/>
  <c r="T3167" i="34"/>
  <c r="U3167" i="34"/>
  <c r="X3167" i="34"/>
  <c r="Y3167" i="34"/>
  <c r="N3168" i="34"/>
  <c r="O3168" i="34"/>
  <c r="S3168" i="34"/>
  <c r="T3168" i="34"/>
  <c r="U3168" i="34"/>
  <c r="X3168" i="34"/>
  <c r="Y3168" i="34"/>
  <c r="N3169" i="34"/>
  <c r="O3169" i="34"/>
  <c r="S3169" i="34"/>
  <c r="T3169" i="34"/>
  <c r="U3169" i="34"/>
  <c r="X3169" i="34"/>
  <c r="Y3169" i="34"/>
  <c r="N3170" i="34"/>
  <c r="O3170" i="34"/>
  <c r="S3170" i="34"/>
  <c r="T3170" i="34"/>
  <c r="U3170" i="34"/>
  <c r="X3170" i="34"/>
  <c r="Y3170" i="34"/>
  <c r="N3171" i="34"/>
  <c r="O3171" i="34"/>
  <c r="S3171" i="34"/>
  <c r="T3171" i="34"/>
  <c r="U3171" i="34"/>
  <c r="X3171" i="34"/>
  <c r="Y3171" i="34"/>
  <c r="N3172" i="34"/>
  <c r="O3172" i="34"/>
  <c r="S3172" i="34"/>
  <c r="T3172" i="34"/>
  <c r="U3172" i="34"/>
  <c r="X3172" i="34"/>
  <c r="Y3172" i="34"/>
  <c r="N3173" i="34"/>
  <c r="O3173" i="34"/>
  <c r="S3173" i="34"/>
  <c r="T3173" i="34"/>
  <c r="U3173" i="34"/>
  <c r="X3173" i="34"/>
  <c r="Y3173" i="34"/>
  <c r="N3174" i="34"/>
  <c r="O3174" i="34"/>
  <c r="S3174" i="34"/>
  <c r="T3174" i="34"/>
  <c r="U3174" i="34"/>
  <c r="X3174" i="34"/>
  <c r="Y3174" i="34"/>
  <c r="N3175" i="34"/>
  <c r="O3175" i="34"/>
  <c r="S3175" i="34"/>
  <c r="T3175" i="34"/>
  <c r="U3175" i="34"/>
  <c r="X3175" i="34"/>
  <c r="Y3175" i="34"/>
  <c r="N3176" i="34"/>
  <c r="O3176" i="34"/>
  <c r="S3176" i="34"/>
  <c r="T3176" i="34"/>
  <c r="U3176" i="34"/>
  <c r="X3176" i="34"/>
  <c r="Y3176" i="34"/>
  <c r="N3177" i="34"/>
  <c r="O3177" i="34"/>
  <c r="S3177" i="34"/>
  <c r="T3177" i="34"/>
  <c r="U3177" i="34"/>
  <c r="X3177" i="34"/>
  <c r="Y3177" i="34"/>
  <c r="N3178" i="34"/>
  <c r="O3178" i="34"/>
  <c r="S3178" i="34"/>
  <c r="T3178" i="34"/>
  <c r="U3178" i="34"/>
  <c r="X3178" i="34"/>
  <c r="Y3178" i="34"/>
  <c r="N3179" i="34"/>
  <c r="O3179" i="34"/>
  <c r="S3179" i="34"/>
  <c r="T3179" i="34"/>
  <c r="U3179" i="34"/>
  <c r="X3179" i="34"/>
  <c r="Y3179" i="34"/>
  <c r="N3180" i="34"/>
  <c r="O3180" i="34"/>
  <c r="S3180" i="34"/>
  <c r="T3180" i="34"/>
  <c r="U3180" i="34"/>
  <c r="X3180" i="34"/>
  <c r="Y3180" i="34"/>
  <c r="N3181" i="34"/>
  <c r="O3181" i="34"/>
  <c r="S3181" i="34"/>
  <c r="T3181" i="34"/>
  <c r="U3181" i="34"/>
  <c r="X3181" i="34"/>
  <c r="Y3181" i="34"/>
  <c r="N3182" i="34"/>
  <c r="O3182" i="34"/>
  <c r="S3182" i="34"/>
  <c r="T3182" i="34"/>
  <c r="U3182" i="34"/>
  <c r="X3182" i="34"/>
  <c r="Y3182" i="34"/>
  <c r="N3183" i="34"/>
  <c r="O3183" i="34"/>
  <c r="S3183" i="34"/>
  <c r="T3183" i="34"/>
  <c r="U3183" i="34"/>
  <c r="X3183" i="34"/>
  <c r="Y3183" i="34"/>
  <c r="N3184" i="34"/>
  <c r="O3184" i="34"/>
  <c r="S3184" i="34"/>
  <c r="T3184" i="34"/>
  <c r="U3184" i="34"/>
  <c r="X3184" i="34"/>
  <c r="Y3184" i="34"/>
  <c r="N3185" i="34"/>
  <c r="O3185" i="34"/>
  <c r="S3185" i="34"/>
  <c r="T3185" i="34"/>
  <c r="U3185" i="34"/>
  <c r="X3185" i="34"/>
  <c r="Y3185" i="34"/>
  <c r="N3186" i="34"/>
  <c r="O3186" i="34"/>
  <c r="S3186" i="34"/>
  <c r="T3186" i="34"/>
  <c r="U3186" i="34"/>
  <c r="X3186" i="34"/>
  <c r="Y3186" i="34"/>
  <c r="N3187" i="34"/>
  <c r="O3187" i="34"/>
  <c r="S3187" i="34"/>
  <c r="T3187" i="34"/>
  <c r="U3187" i="34"/>
  <c r="X3187" i="34"/>
  <c r="Y3187" i="34"/>
  <c r="N3188" i="34"/>
  <c r="O3188" i="34"/>
  <c r="S3188" i="34"/>
  <c r="T3188" i="34"/>
  <c r="U3188" i="34"/>
  <c r="X3188" i="34"/>
  <c r="Y3188" i="34"/>
  <c r="N3189" i="34"/>
  <c r="O3189" i="34"/>
  <c r="S3189" i="34"/>
  <c r="T3189" i="34"/>
  <c r="U3189" i="34"/>
  <c r="X3189" i="34"/>
  <c r="Y3189" i="34"/>
  <c r="N3190" i="34"/>
  <c r="O3190" i="34"/>
  <c r="S3190" i="34"/>
  <c r="T3190" i="34"/>
  <c r="U3190" i="34"/>
  <c r="X3190" i="34"/>
  <c r="Y3190" i="34"/>
  <c r="N3191" i="34"/>
  <c r="O3191" i="34"/>
  <c r="S3191" i="34"/>
  <c r="T3191" i="34"/>
  <c r="U3191" i="34"/>
  <c r="X3191" i="34"/>
  <c r="Y3191" i="34"/>
  <c r="N3192" i="34"/>
  <c r="O3192" i="34"/>
  <c r="S3192" i="34"/>
  <c r="T3192" i="34"/>
  <c r="U3192" i="34"/>
  <c r="X3192" i="34"/>
  <c r="Y3192" i="34"/>
  <c r="N3193" i="34"/>
  <c r="O3193" i="34"/>
  <c r="S3193" i="34"/>
  <c r="T3193" i="34"/>
  <c r="U3193" i="34"/>
  <c r="X3193" i="34"/>
  <c r="Y3193" i="34"/>
  <c r="N3194" i="34"/>
  <c r="O3194" i="34"/>
  <c r="S3194" i="34"/>
  <c r="T3194" i="34"/>
  <c r="U3194" i="34"/>
  <c r="X3194" i="34"/>
  <c r="Y3194" i="34"/>
  <c r="N3195" i="34"/>
  <c r="O3195" i="34"/>
  <c r="S3195" i="34"/>
  <c r="T3195" i="34"/>
  <c r="U3195" i="34"/>
  <c r="X3195" i="34"/>
  <c r="Y3195" i="34"/>
  <c r="N3196" i="34"/>
  <c r="O3196" i="34"/>
  <c r="S3196" i="34"/>
  <c r="T3196" i="34"/>
  <c r="U3196" i="34"/>
  <c r="X3196" i="34"/>
  <c r="Y3196" i="34"/>
  <c r="N3197" i="34"/>
  <c r="O3197" i="34"/>
  <c r="S3197" i="34"/>
  <c r="T3197" i="34"/>
  <c r="U3197" i="34"/>
  <c r="X3197" i="34"/>
  <c r="Y3197" i="34"/>
  <c r="N3198" i="34"/>
  <c r="O3198" i="34"/>
  <c r="S3198" i="34"/>
  <c r="T3198" i="34"/>
  <c r="U3198" i="34"/>
  <c r="X3198" i="34"/>
  <c r="Y3198" i="34"/>
  <c r="N3199" i="34"/>
  <c r="O3199" i="34"/>
  <c r="S3199" i="34"/>
  <c r="T3199" i="34"/>
  <c r="U3199" i="34"/>
  <c r="X3199" i="34"/>
  <c r="Y3199" i="34"/>
  <c r="N3200" i="34"/>
  <c r="O3200" i="34"/>
  <c r="S3200" i="34"/>
  <c r="T3200" i="34"/>
  <c r="U3200" i="34"/>
  <c r="X3200" i="34"/>
  <c r="Y3200" i="34"/>
  <c r="N3201" i="34"/>
  <c r="O3201" i="34"/>
  <c r="S3201" i="34"/>
  <c r="T3201" i="34"/>
  <c r="U3201" i="34"/>
  <c r="X3201" i="34"/>
  <c r="Y3201" i="34"/>
  <c r="N3202" i="34"/>
  <c r="O3202" i="34"/>
  <c r="S3202" i="34"/>
  <c r="T3202" i="34"/>
  <c r="U3202" i="34"/>
  <c r="X3202" i="34"/>
  <c r="Y3202" i="34"/>
  <c r="N3203" i="34"/>
  <c r="O3203" i="34"/>
  <c r="S3203" i="34"/>
  <c r="T3203" i="34"/>
  <c r="U3203" i="34"/>
  <c r="X3203" i="34"/>
  <c r="Y3203" i="34"/>
  <c r="N3204" i="34"/>
  <c r="O3204" i="34"/>
  <c r="S3204" i="34"/>
  <c r="T3204" i="34"/>
  <c r="U3204" i="34"/>
  <c r="X3204" i="34"/>
  <c r="Y3204" i="34"/>
  <c r="N3205" i="34"/>
  <c r="O3205" i="34"/>
  <c r="S3205" i="34"/>
  <c r="T3205" i="34"/>
  <c r="U3205" i="34"/>
  <c r="X3205" i="34"/>
  <c r="Y3205" i="34"/>
  <c r="N3206" i="34"/>
  <c r="O3206" i="34"/>
  <c r="S3206" i="34"/>
  <c r="T3206" i="34"/>
  <c r="U3206" i="34"/>
  <c r="X3206" i="34"/>
  <c r="Y3206" i="34"/>
  <c r="N3207" i="34"/>
  <c r="O3207" i="34"/>
  <c r="S3207" i="34"/>
  <c r="T3207" i="34"/>
  <c r="U3207" i="34"/>
  <c r="X3207" i="34"/>
  <c r="Y3207" i="34"/>
  <c r="N3208" i="34"/>
  <c r="O3208" i="34"/>
  <c r="S3208" i="34"/>
  <c r="T3208" i="34"/>
  <c r="U3208" i="34"/>
  <c r="X3208" i="34"/>
  <c r="Y3208" i="34"/>
  <c r="N3209" i="34"/>
  <c r="O3209" i="34"/>
  <c r="S3209" i="34"/>
  <c r="T3209" i="34"/>
  <c r="U3209" i="34"/>
  <c r="X3209" i="34"/>
  <c r="Y3209" i="34"/>
  <c r="N3210" i="34"/>
  <c r="O3210" i="34"/>
  <c r="S3210" i="34"/>
  <c r="T3210" i="34"/>
  <c r="U3210" i="34"/>
  <c r="X3210" i="34"/>
  <c r="Y3210" i="34"/>
  <c r="N3211" i="34"/>
  <c r="O3211" i="34"/>
  <c r="S3211" i="34"/>
  <c r="T3211" i="34"/>
  <c r="U3211" i="34"/>
  <c r="X3211" i="34"/>
  <c r="Y3211" i="34"/>
  <c r="N3212" i="34"/>
  <c r="O3212" i="34"/>
  <c r="S3212" i="34"/>
  <c r="T3212" i="34"/>
  <c r="U3212" i="34"/>
  <c r="X3212" i="34"/>
  <c r="Y3212" i="34"/>
  <c r="N3213" i="34"/>
  <c r="O3213" i="34"/>
  <c r="S3213" i="34"/>
  <c r="T3213" i="34"/>
  <c r="U3213" i="34"/>
  <c r="X3213" i="34"/>
  <c r="Y3213" i="34"/>
  <c r="N3214" i="34"/>
  <c r="O3214" i="34"/>
  <c r="S3214" i="34"/>
  <c r="T3214" i="34"/>
  <c r="U3214" i="34"/>
  <c r="X3214" i="34"/>
  <c r="Y3214" i="34"/>
  <c r="N3215" i="34"/>
  <c r="O3215" i="34"/>
  <c r="S3215" i="34"/>
  <c r="T3215" i="34"/>
  <c r="U3215" i="34"/>
  <c r="X3215" i="34"/>
  <c r="Y3215" i="34"/>
  <c r="N3216" i="34"/>
  <c r="O3216" i="34"/>
  <c r="S3216" i="34"/>
  <c r="T3216" i="34"/>
  <c r="U3216" i="34"/>
  <c r="X3216" i="34"/>
  <c r="Y3216" i="34"/>
  <c r="N3217" i="34"/>
  <c r="O3217" i="34"/>
  <c r="S3217" i="34"/>
  <c r="T3217" i="34"/>
  <c r="U3217" i="34"/>
  <c r="X3217" i="34"/>
  <c r="Y3217" i="34"/>
  <c r="N3218" i="34"/>
  <c r="O3218" i="34"/>
  <c r="S3218" i="34"/>
  <c r="T3218" i="34"/>
  <c r="U3218" i="34"/>
  <c r="X3218" i="34"/>
  <c r="Y3218" i="34"/>
  <c r="N3219" i="34"/>
  <c r="O3219" i="34"/>
  <c r="S3219" i="34"/>
  <c r="T3219" i="34"/>
  <c r="U3219" i="34"/>
  <c r="X3219" i="34"/>
  <c r="Y3219" i="34"/>
  <c r="N3220" i="34"/>
  <c r="O3220" i="34"/>
  <c r="S3220" i="34"/>
  <c r="T3220" i="34"/>
  <c r="U3220" i="34"/>
  <c r="X3220" i="34"/>
  <c r="Y3220" i="34"/>
  <c r="N3221" i="34"/>
  <c r="O3221" i="34"/>
  <c r="S3221" i="34"/>
  <c r="T3221" i="34"/>
  <c r="U3221" i="34"/>
  <c r="X3221" i="34"/>
  <c r="Y3221" i="34"/>
  <c r="N3222" i="34"/>
  <c r="O3222" i="34"/>
  <c r="S3222" i="34"/>
  <c r="T3222" i="34"/>
  <c r="U3222" i="34"/>
  <c r="X3222" i="34"/>
  <c r="Y3222" i="34"/>
  <c r="N3223" i="34"/>
  <c r="O3223" i="34"/>
  <c r="S3223" i="34"/>
  <c r="T3223" i="34"/>
  <c r="U3223" i="34"/>
  <c r="X3223" i="34"/>
  <c r="Y3223" i="34"/>
  <c r="N3224" i="34"/>
  <c r="O3224" i="34"/>
  <c r="S3224" i="34"/>
  <c r="T3224" i="34"/>
  <c r="U3224" i="34"/>
  <c r="X3224" i="34"/>
  <c r="Y3224" i="34"/>
  <c r="N3225" i="34"/>
  <c r="O3225" i="34"/>
  <c r="S3225" i="34"/>
  <c r="T3225" i="34"/>
  <c r="U3225" i="34"/>
  <c r="X3225" i="34"/>
  <c r="Y3225" i="34"/>
  <c r="N3226" i="34"/>
  <c r="O3226" i="34"/>
  <c r="S3226" i="34"/>
  <c r="T3226" i="34"/>
  <c r="U3226" i="34"/>
  <c r="X3226" i="34"/>
  <c r="Y3226" i="34"/>
  <c r="N3227" i="34"/>
  <c r="O3227" i="34"/>
  <c r="S3227" i="34"/>
  <c r="T3227" i="34"/>
  <c r="U3227" i="34"/>
  <c r="X3227" i="34"/>
  <c r="Y3227" i="34"/>
  <c r="N3228" i="34"/>
  <c r="O3228" i="34"/>
  <c r="S3228" i="34"/>
  <c r="T3228" i="34"/>
  <c r="U3228" i="34"/>
  <c r="X3228" i="34"/>
  <c r="Y3228" i="34"/>
  <c r="N3229" i="34"/>
  <c r="O3229" i="34"/>
  <c r="S3229" i="34"/>
  <c r="T3229" i="34"/>
  <c r="U3229" i="34"/>
  <c r="X3229" i="34"/>
  <c r="Y3229" i="34"/>
  <c r="N3230" i="34"/>
  <c r="O3230" i="34"/>
  <c r="S3230" i="34"/>
  <c r="T3230" i="34"/>
  <c r="U3230" i="34"/>
  <c r="X3230" i="34"/>
  <c r="Y3230" i="34"/>
  <c r="N3231" i="34"/>
  <c r="O3231" i="34"/>
  <c r="S3231" i="34"/>
  <c r="T3231" i="34"/>
  <c r="U3231" i="34"/>
  <c r="X3231" i="34"/>
  <c r="Y3231" i="34"/>
  <c r="N3232" i="34"/>
  <c r="O3232" i="34"/>
  <c r="S3232" i="34"/>
  <c r="T3232" i="34"/>
  <c r="U3232" i="34"/>
  <c r="X3232" i="34"/>
  <c r="Y3232" i="34"/>
  <c r="N3233" i="34"/>
  <c r="O3233" i="34"/>
  <c r="S3233" i="34"/>
  <c r="T3233" i="34"/>
  <c r="U3233" i="34"/>
  <c r="X3233" i="34"/>
  <c r="Y3233" i="34"/>
  <c r="N3234" i="34"/>
  <c r="O3234" i="34"/>
  <c r="S3234" i="34"/>
  <c r="T3234" i="34"/>
  <c r="U3234" i="34"/>
  <c r="X3234" i="34"/>
  <c r="Y3234" i="34"/>
  <c r="N3235" i="34"/>
  <c r="O3235" i="34"/>
  <c r="S3235" i="34"/>
  <c r="T3235" i="34"/>
  <c r="U3235" i="34"/>
  <c r="X3235" i="34"/>
  <c r="Y3235" i="34"/>
  <c r="N3236" i="34"/>
  <c r="O3236" i="34"/>
  <c r="S3236" i="34"/>
  <c r="T3236" i="34"/>
  <c r="U3236" i="34"/>
  <c r="X3236" i="34"/>
  <c r="Y3236" i="34"/>
  <c r="N3237" i="34"/>
  <c r="O3237" i="34"/>
  <c r="S3237" i="34"/>
  <c r="T3237" i="34"/>
  <c r="U3237" i="34"/>
  <c r="X3237" i="34"/>
  <c r="Y3237" i="34"/>
  <c r="N3238" i="34"/>
  <c r="O3238" i="34"/>
  <c r="S3238" i="34"/>
  <c r="T3238" i="34"/>
  <c r="U3238" i="34"/>
  <c r="X3238" i="34"/>
  <c r="Y3238" i="34"/>
  <c r="N3239" i="34"/>
  <c r="O3239" i="34"/>
  <c r="S3239" i="34"/>
  <c r="T3239" i="34"/>
  <c r="U3239" i="34"/>
  <c r="X3239" i="34"/>
  <c r="Y3239" i="34"/>
  <c r="N3240" i="34"/>
  <c r="O3240" i="34"/>
  <c r="S3240" i="34"/>
  <c r="T3240" i="34"/>
  <c r="U3240" i="34"/>
  <c r="X3240" i="34"/>
  <c r="Y3240" i="34"/>
  <c r="N3241" i="34"/>
  <c r="O3241" i="34"/>
  <c r="S3241" i="34"/>
  <c r="T3241" i="34"/>
  <c r="U3241" i="34"/>
  <c r="X3241" i="34"/>
  <c r="Y3241" i="34"/>
  <c r="N3242" i="34"/>
  <c r="O3242" i="34"/>
  <c r="S3242" i="34"/>
  <c r="T3242" i="34"/>
  <c r="U3242" i="34"/>
  <c r="X3242" i="34"/>
  <c r="Y3242" i="34"/>
  <c r="N3243" i="34"/>
  <c r="O3243" i="34"/>
  <c r="S3243" i="34"/>
  <c r="T3243" i="34"/>
  <c r="U3243" i="34"/>
  <c r="X3243" i="34"/>
  <c r="Y3243" i="34"/>
  <c r="N3244" i="34"/>
  <c r="O3244" i="34"/>
  <c r="S3244" i="34"/>
  <c r="T3244" i="34"/>
  <c r="U3244" i="34"/>
  <c r="X3244" i="34"/>
  <c r="Y3244" i="34"/>
  <c r="N3245" i="34"/>
  <c r="O3245" i="34"/>
  <c r="S3245" i="34"/>
  <c r="T3245" i="34"/>
  <c r="U3245" i="34"/>
  <c r="X3245" i="34"/>
  <c r="Y3245" i="34"/>
  <c r="N3246" i="34"/>
  <c r="O3246" i="34"/>
  <c r="S3246" i="34"/>
  <c r="T3246" i="34"/>
  <c r="U3246" i="34"/>
  <c r="X3246" i="34"/>
  <c r="Y3246" i="34"/>
  <c r="N3247" i="34"/>
  <c r="O3247" i="34"/>
  <c r="S3247" i="34"/>
  <c r="T3247" i="34"/>
  <c r="U3247" i="34"/>
  <c r="X3247" i="34"/>
  <c r="Y3247" i="34"/>
  <c r="N3248" i="34"/>
  <c r="O3248" i="34"/>
  <c r="S3248" i="34"/>
  <c r="T3248" i="34"/>
  <c r="U3248" i="34"/>
  <c r="X3248" i="34"/>
  <c r="Y3248" i="34"/>
  <c r="N3249" i="34"/>
  <c r="O3249" i="34"/>
  <c r="S3249" i="34"/>
  <c r="T3249" i="34"/>
  <c r="U3249" i="34"/>
  <c r="X3249" i="34"/>
  <c r="Y3249" i="34"/>
  <c r="N3250" i="34"/>
  <c r="O3250" i="34"/>
  <c r="S3250" i="34"/>
  <c r="T3250" i="34"/>
  <c r="U3250" i="34"/>
  <c r="X3250" i="34"/>
  <c r="Y3250" i="34"/>
  <c r="N3251" i="34"/>
  <c r="O3251" i="34"/>
  <c r="S3251" i="34"/>
  <c r="T3251" i="34"/>
  <c r="U3251" i="34"/>
  <c r="X3251" i="34"/>
  <c r="Y3251" i="34"/>
  <c r="N3252" i="34"/>
  <c r="O3252" i="34"/>
  <c r="S3252" i="34"/>
  <c r="T3252" i="34"/>
  <c r="U3252" i="34"/>
  <c r="X3252" i="34"/>
  <c r="Y3252" i="34"/>
  <c r="N3253" i="34"/>
  <c r="O3253" i="34"/>
  <c r="S3253" i="34"/>
  <c r="T3253" i="34"/>
  <c r="U3253" i="34"/>
  <c r="X3253" i="34"/>
  <c r="Y3253" i="34"/>
  <c r="N3254" i="34"/>
  <c r="O3254" i="34"/>
  <c r="S3254" i="34"/>
  <c r="T3254" i="34"/>
  <c r="U3254" i="34"/>
  <c r="X3254" i="34"/>
  <c r="Y3254" i="34"/>
  <c r="N3255" i="34"/>
  <c r="O3255" i="34"/>
  <c r="S3255" i="34"/>
  <c r="T3255" i="34"/>
  <c r="U3255" i="34"/>
  <c r="X3255" i="34"/>
  <c r="Y3255" i="34"/>
  <c r="N3256" i="34"/>
  <c r="O3256" i="34"/>
  <c r="S3256" i="34"/>
  <c r="T3256" i="34"/>
  <c r="U3256" i="34"/>
  <c r="X3256" i="34"/>
  <c r="Y3256" i="34"/>
  <c r="N3257" i="34"/>
  <c r="O3257" i="34"/>
  <c r="S3257" i="34"/>
  <c r="T3257" i="34"/>
  <c r="U3257" i="34"/>
  <c r="X3257" i="34"/>
  <c r="Y3257" i="34"/>
  <c r="N3258" i="34"/>
  <c r="O3258" i="34"/>
  <c r="S3258" i="34"/>
  <c r="T3258" i="34"/>
  <c r="U3258" i="34"/>
  <c r="X3258" i="34"/>
  <c r="Y3258" i="34"/>
  <c r="N3259" i="34"/>
  <c r="O3259" i="34"/>
  <c r="S3259" i="34"/>
  <c r="T3259" i="34"/>
  <c r="U3259" i="34"/>
  <c r="X3259" i="34"/>
  <c r="Y3259" i="34"/>
  <c r="N3260" i="34"/>
  <c r="O3260" i="34"/>
  <c r="S3260" i="34"/>
  <c r="T3260" i="34"/>
  <c r="U3260" i="34"/>
  <c r="X3260" i="34"/>
  <c r="Y3260" i="34"/>
  <c r="N3261" i="34"/>
  <c r="O3261" i="34"/>
  <c r="S3261" i="34"/>
  <c r="T3261" i="34"/>
  <c r="U3261" i="34"/>
  <c r="X3261" i="34"/>
  <c r="Y3261" i="34"/>
  <c r="N3262" i="34"/>
  <c r="O3262" i="34"/>
  <c r="S3262" i="34"/>
  <c r="T3262" i="34"/>
  <c r="U3262" i="34"/>
  <c r="X3262" i="34"/>
  <c r="Y3262" i="34"/>
  <c r="N3263" i="34"/>
  <c r="O3263" i="34"/>
  <c r="S3263" i="34"/>
  <c r="T3263" i="34"/>
  <c r="U3263" i="34"/>
  <c r="X3263" i="34"/>
  <c r="Y3263" i="34"/>
  <c r="N3264" i="34"/>
  <c r="O3264" i="34"/>
  <c r="S3264" i="34"/>
  <c r="T3264" i="34"/>
  <c r="U3264" i="34"/>
  <c r="X3264" i="34"/>
  <c r="Y3264" i="34"/>
  <c r="N3265" i="34"/>
  <c r="O3265" i="34"/>
  <c r="S3265" i="34"/>
  <c r="T3265" i="34"/>
  <c r="U3265" i="34"/>
  <c r="X3265" i="34"/>
  <c r="Y3265" i="34"/>
  <c r="N3266" i="34"/>
  <c r="O3266" i="34"/>
  <c r="S3266" i="34"/>
  <c r="T3266" i="34"/>
  <c r="U3266" i="34"/>
  <c r="X3266" i="34"/>
  <c r="Y3266" i="34"/>
  <c r="N3267" i="34"/>
  <c r="O3267" i="34"/>
  <c r="S3267" i="34"/>
  <c r="T3267" i="34"/>
  <c r="U3267" i="34"/>
  <c r="X3267" i="34"/>
  <c r="Y3267" i="34"/>
  <c r="N3268" i="34"/>
  <c r="O3268" i="34"/>
  <c r="S3268" i="34"/>
  <c r="T3268" i="34"/>
  <c r="U3268" i="34"/>
  <c r="X3268" i="34"/>
  <c r="Y3268" i="34"/>
  <c r="N3269" i="34"/>
  <c r="O3269" i="34"/>
  <c r="S3269" i="34"/>
  <c r="T3269" i="34"/>
  <c r="U3269" i="34"/>
  <c r="X3269" i="34"/>
  <c r="Y3269" i="34"/>
  <c r="N3270" i="34"/>
  <c r="O3270" i="34"/>
  <c r="S3270" i="34"/>
  <c r="T3270" i="34"/>
  <c r="U3270" i="34"/>
  <c r="X3270" i="34"/>
  <c r="Y3270" i="34"/>
  <c r="N3271" i="34"/>
  <c r="O3271" i="34"/>
  <c r="S3271" i="34"/>
  <c r="T3271" i="34"/>
  <c r="U3271" i="34"/>
  <c r="X3271" i="34"/>
  <c r="Y3271" i="34"/>
  <c r="N3272" i="34"/>
  <c r="O3272" i="34"/>
  <c r="S3272" i="34"/>
  <c r="T3272" i="34"/>
  <c r="U3272" i="34"/>
  <c r="X3272" i="34"/>
  <c r="Y3272" i="34"/>
  <c r="N3273" i="34"/>
  <c r="O3273" i="34"/>
  <c r="S3273" i="34"/>
  <c r="T3273" i="34"/>
  <c r="U3273" i="34"/>
  <c r="X3273" i="34"/>
  <c r="Y3273" i="34"/>
  <c r="N3274" i="34"/>
  <c r="O3274" i="34"/>
  <c r="S3274" i="34"/>
  <c r="T3274" i="34"/>
  <c r="U3274" i="34"/>
  <c r="X3274" i="34"/>
  <c r="Y3274" i="34"/>
  <c r="N3275" i="34"/>
  <c r="O3275" i="34"/>
  <c r="S3275" i="34"/>
  <c r="T3275" i="34"/>
  <c r="U3275" i="34"/>
  <c r="X3275" i="34"/>
  <c r="Y3275" i="34"/>
  <c r="N3276" i="34"/>
  <c r="O3276" i="34"/>
  <c r="S3276" i="34"/>
  <c r="T3276" i="34"/>
  <c r="U3276" i="34"/>
  <c r="X3276" i="34"/>
  <c r="Y3276" i="34"/>
  <c r="N3277" i="34"/>
  <c r="O3277" i="34"/>
  <c r="S3277" i="34"/>
  <c r="T3277" i="34"/>
  <c r="U3277" i="34"/>
  <c r="X3277" i="34"/>
  <c r="Y3277" i="34"/>
  <c r="N3278" i="34"/>
  <c r="O3278" i="34"/>
  <c r="S3278" i="34"/>
  <c r="T3278" i="34"/>
  <c r="U3278" i="34"/>
  <c r="X3278" i="34"/>
  <c r="Y3278" i="34"/>
  <c r="N3279" i="34"/>
  <c r="O3279" i="34"/>
  <c r="S3279" i="34"/>
  <c r="T3279" i="34"/>
  <c r="U3279" i="34"/>
  <c r="X3279" i="34"/>
  <c r="Y3279" i="34"/>
  <c r="N3280" i="34"/>
  <c r="O3280" i="34"/>
  <c r="S3280" i="34"/>
  <c r="T3280" i="34"/>
  <c r="U3280" i="34"/>
  <c r="X3280" i="34"/>
  <c r="Y3280" i="34"/>
  <c r="N3281" i="34"/>
  <c r="O3281" i="34"/>
  <c r="S3281" i="34"/>
  <c r="T3281" i="34"/>
  <c r="U3281" i="34"/>
  <c r="X3281" i="34"/>
  <c r="Y3281" i="34"/>
  <c r="N3282" i="34"/>
  <c r="O3282" i="34"/>
  <c r="S3282" i="34"/>
  <c r="T3282" i="34"/>
  <c r="U3282" i="34"/>
  <c r="X3282" i="34"/>
  <c r="Y3282" i="34"/>
  <c r="N3283" i="34"/>
  <c r="O3283" i="34"/>
  <c r="S3283" i="34"/>
  <c r="T3283" i="34"/>
  <c r="U3283" i="34"/>
  <c r="X3283" i="34"/>
  <c r="Y3283" i="34"/>
  <c r="N3284" i="34"/>
  <c r="O3284" i="34"/>
  <c r="S3284" i="34"/>
  <c r="T3284" i="34"/>
  <c r="U3284" i="34"/>
  <c r="X3284" i="34"/>
  <c r="Y3284" i="34"/>
  <c r="N3285" i="34"/>
  <c r="O3285" i="34"/>
  <c r="S3285" i="34"/>
  <c r="T3285" i="34"/>
  <c r="U3285" i="34"/>
  <c r="X3285" i="34"/>
  <c r="Y3285" i="34"/>
  <c r="N3286" i="34"/>
  <c r="O3286" i="34"/>
  <c r="S3286" i="34"/>
  <c r="T3286" i="34"/>
  <c r="U3286" i="34"/>
  <c r="X3286" i="34"/>
  <c r="Y3286" i="34"/>
  <c r="N3287" i="34"/>
  <c r="O3287" i="34"/>
  <c r="S3287" i="34"/>
  <c r="T3287" i="34"/>
  <c r="U3287" i="34"/>
  <c r="X3287" i="34"/>
  <c r="Y3287" i="34"/>
  <c r="N3288" i="34"/>
  <c r="O3288" i="34"/>
  <c r="S3288" i="34"/>
  <c r="T3288" i="34"/>
  <c r="U3288" i="34"/>
  <c r="X3288" i="34"/>
  <c r="Y3288" i="34"/>
  <c r="N3289" i="34"/>
  <c r="O3289" i="34"/>
  <c r="S3289" i="34"/>
  <c r="T3289" i="34"/>
  <c r="U3289" i="34"/>
  <c r="X3289" i="34"/>
  <c r="Y3289" i="34"/>
  <c r="N3290" i="34"/>
  <c r="O3290" i="34"/>
  <c r="S3290" i="34"/>
  <c r="T3290" i="34"/>
  <c r="U3290" i="34"/>
  <c r="X3290" i="34"/>
  <c r="Y3290" i="34"/>
  <c r="N3291" i="34"/>
  <c r="O3291" i="34"/>
  <c r="S3291" i="34"/>
  <c r="T3291" i="34"/>
  <c r="U3291" i="34"/>
  <c r="X3291" i="34"/>
  <c r="Y3291" i="34"/>
  <c r="N3292" i="34"/>
  <c r="O3292" i="34"/>
  <c r="S3292" i="34"/>
  <c r="T3292" i="34"/>
  <c r="U3292" i="34"/>
  <c r="X3292" i="34"/>
  <c r="Y3292" i="34"/>
  <c r="N3293" i="34"/>
  <c r="O3293" i="34"/>
  <c r="S3293" i="34"/>
  <c r="T3293" i="34"/>
  <c r="U3293" i="34"/>
  <c r="X3293" i="34"/>
  <c r="Y3293" i="34"/>
  <c r="N3294" i="34"/>
  <c r="O3294" i="34"/>
  <c r="S3294" i="34"/>
  <c r="T3294" i="34"/>
  <c r="U3294" i="34"/>
  <c r="X3294" i="34"/>
  <c r="Y3294" i="34"/>
  <c r="N3295" i="34"/>
  <c r="O3295" i="34"/>
  <c r="S3295" i="34"/>
  <c r="T3295" i="34"/>
  <c r="U3295" i="34"/>
  <c r="X3295" i="34"/>
  <c r="Y3295" i="34"/>
  <c r="N3296" i="34"/>
  <c r="O3296" i="34"/>
  <c r="S3296" i="34"/>
  <c r="T3296" i="34"/>
  <c r="U3296" i="34"/>
  <c r="X3296" i="34"/>
  <c r="Y3296" i="34"/>
  <c r="N3297" i="34"/>
  <c r="O3297" i="34"/>
  <c r="S3297" i="34"/>
  <c r="T3297" i="34"/>
  <c r="U3297" i="34"/>
  <c r="X3297" i="34"/>
  <c r="Y3297" i="34"/>
  <c r="N3298" i="34"/>
  <c r="O3298" i="34"/>
  <c r="S3298" i="34"/>
  <c r="T3298" i="34"/>
  <c r="U3298" i="34"/>
  <c r="X3298" i="34"/>
  <c r="Y3298" i="34"/>
  <c r="N3299" i="34"/>
  <c r="O3299" i="34"/>
  <c r="S3299" i="34"/>
  <c r="T3299" i="34"/>
  <c r="U3299" i="34"/>
  <c r="X3299" i="34"/>
  <c r="Y3299" i="34"/>
  <c r="N3300" i="34"/>
  <c r="O3300" i="34"/>
  <c r="S3300" i="34"/>
  <c r="T3300" i="34"/>
  <c r="U3300" i="34"/>
  <c r="X3300" i="34"/>
  <c r="Y3300" i="34"/>
  <c r="N3301" i="34"/>
  <c r="O3301" i="34"/>
  <c r="S3301" i="34"/>
  <c r="T3301" i="34"/>
  <c r="U3301" i="34"/>
  <c r="X3301" i="34"/>
  <c r="Y3301" i="34"/>
  <c r="N3302" i="34"/>
  <c r="O3302" i="34"/>
  <c r="S3302" i="34"/>
  <c r="T3302" i="34"/>
  <c r="U3302" i="34"/>
  <c r="X3302" i="34"/>
  <c r="Y3302" i="34"/>
  <c r="N3303" i="34"/>
  <c r="O3303" i="34"/>
  <c r="S3303" i="34"/>
  <c r="T3303" i="34"/>
  <c r="U3303" i="34"/>
  <c r="X3303" i="34"/>
  <c r="Y3303" i="34"/>
  <c r="N3304" i="34"/>
  <c r="O3304" i="34"/>
  <c r="S3304" i="34"/>
  <c r="T3304" i="34"/>
  <c r="U3304" i="34"/>
  <c r="X3304" i="34"/>
  <c r="Y3304" i="34"/>
  <c r="N3305" i="34"/>
  <c r="O3305" i="34"/>
  <c r="S3305" i="34"/>
  <c r="T3305" i="34"/>
  <c r="U3305" i="34"/>
  <c r="X3305" i="34"/>
  <c r="Y3305" i="34"/>
  <c r="N3306" i="34"/>
  <c r="O3306" i="34"/>
  <c r="S3306" i="34"/>
  <c r="T3306" i="34"/>
  <c r="U3306" i="34"/>
  <c r="X3306" i="34"/>
  <c r="Y3306" i="34"/>
  <c r="N3307" i="34"/>
  <c r="O3307" i="34"/>
  <c r="S3307" i="34"/>
  <c r="T3307" i="34"/>
  <c r="U3307" i="34"/>
  <c r="X3307" i="34"/>
  <c r="Y3307" i="34"/>
  <c r="N3308" i="34"/>
  <c r="O3308" i="34"/>
  <c r="S3308" i="34"/>
  <c r="T3308" i="34"/>
  <c r="U3308" i="34"/>
  <c r="X3308" i="34"/>
  <c r="Y3308" i="34"/>
  <c r="N3309" i="34"/>
  <c r="O3309" i="34"/>
  <c r="S3309" i="34"/>
  <c r="T3309" i="34"/>
  <c r="U3309" i="34"/>
  <c r="X3309" i="34"/>
  <c r="Y3309" i="34"/>
  <c r="N3310" i="34"/>
  <c r="O3310" i="34"/>
  <c r="S3310" i="34"/>
  <c r="T3310" i="34"/>
  <c r="U3310" i="34"/>
  <c r="X3310" i="34"/>
  <c r="Y3310" i="34"/>
  <c r="N3311" i="34"/>
  <c r="O3311" i="34"/>
  <c r="S3311" i="34"/>
  <c r="T3311" i="34"/>
  <c r="U3311" i="34"/>
  <c r="X3311" i="34"/>
  <c r="Y3311" i="34"/>
  <c r="N3312" i="34"/>
  <c r="O3312" i="34"/>
  <c r="S3312" i="34"/>
  <c r="T3312" i="34"/>
  <c r="U3312" i="34"/>
  <c r="X3312" i="34"/>
  <c r="Y3312" i="34"/>
  <c r="N3313" i="34"/>
  <c r="O3313" i="34"/>
  <c r="S3313" i="34"/>
  <c r="T3313" i="34"/>
  <c r="U3313" i="34"/>
  <c r="X3313" i="34"/>
  <c r="Y3313" i="34"/>
  <c r="N3314" i="34"/>
  <c r="O3314" i="34"/>
  <c r="S3314" i="34"/>
  <c r="T3314" i="34"/>
  <c r="U3314" i="34"/>
  <c r="X3314" i="34"/>
  <c r="Y3314" i="34"/>
  <c r="N3315" i="34"/>
  <c r="O3315" i="34"/>
  <c r="S3315" i="34"/>
  <c r="T3315" i="34"/>
  <c r="U3315" i="34"/>
  <c r="X3315" i="34"/>
  <c r="Y3315" i="34"/>
  <c r="N3316" i="34"/>
  <c r="O3316" i="34"/>
  <c r="S3316" i="34"/>
  <c r="T3316" i="34"/>
  <c r="U3316" i="34"/>
  <c r="X3316" i="34"/>
  <c r="Y3316" i="34"/>
  <c r="N3317" i="34"/>
  <c r="O3317" i="34"/>
  <c r="S3317" i="34"/>
  <c r="T3317" i="34"/>
  <c r="U3317" i="34"/>
  <c r="X3317" i="34"/>
  <c r="Y3317" i="34"/>
  <c r="N3318" i="34"/>
  <c r="O3318" i="34"/>
  <c r="S3318" i="34"/>
  <c r="T3318" i="34"/>
  <c r="U3318" i="34"/>
  <c r="X3318" i="34"/>
  <c r="Y3318" i="34"/>
  <c r="N3319" i="34"/>
  <c r="O3319" i="34"/>
  <c r="S3319" i="34"/>
  <c r="T3319" i="34"/>
  <c r="U3319" i="34"/>
  <c r="X3319" i="34"/>
  <c r="Y3319" i="34"/>
  <c r="N3320" i="34"/>
  <c r="O3320" i="34"/>
  <c r="S3320" i="34"/>
  <c r="T3320" i="34"/>
  <c r="U3320" i="34"/>
  <c r="X3320" i="34"/>
  <c r="Y3320" i="34"/>
  <c r="N3321" i="34"/>
  <c r="O3321" i="34"/>
  <c r="S3321" i="34"/>
  <c r="T3321" i="34"/>
  <c r="U3321" i="34"/>
  <c r="X3321" i="34"/>
  <c r="Y3321" i="34"/>
  <c r="N3322" i="34"/>
  <c r="O3322" i="34"/>
  <c r="S3322" i="34"/>
  <c r="T3322" i="34"/>
  <c r="U3322" i="34"/>
  <c r="X3322" i="34"/>
  <c r="Y3322" i="34"/>
  <c r="N3323" i="34"/>
  <c r="O3323" i="34"/>
  <c r="S3323" i="34"/>
  <c r="T3323" i="34"/>
  <c r="U3323" i="34"/>
  <c r="X3323" i="34"/>
  <c r="Y3323" i="34"/>
  <c r="N3324" i="34"/>
  <c r="O3324" i="34"/>
  <c r="S3324" i="34"/>
  <c r="T3324" i="34"/>
  <c r="U3324" i="34"/>
  <c r="X3324" i="34"/>
  <c r="Y3324" i="34"/>
  <c r="N3325" i="34"/>
  <c r="O3325" i="34"/>
  <c r="S3325" i="34"/>
  <c r="T3325" i="34"/>
  <c r="U3325" i="34"/>
  <c r="X3325" i="34"/>
  <c r="Y3325" i="34"/>
  <c r="N3326" i="34"/>
  <c r="O3326" i="34"/>
  <c r="S3326" i="34"/>
  <c r="T3326" i="34"/>
  <c r="U3326" i="34"/>
  <c r="X3326" i="34"/>
  <c r="Y3326" i="34"/>
  <c r="N3327" i="34"/>
  <c r="O3327" i="34"/>
  <c r="S3327" i="34"/>
  <c r="T3327" i="34"/>
  <c r="U3327" i="34"/>
  <c r="X3327" i="34"/>
  <c r="Y3327" i="34"/>
  <c r="N3328" i="34"/>
  <c r="O3328" i="34"/>
  <c r="S3328" i="34"/>
  <c r="T3328" i="34"/>
  <c r="U3328" i="34"/>
  <c r="X3328" i="34"/>
  <c r="Y3328" i="34"/>
  <c r="N3329" i="34"/>
  <c r="O3329" i="34"/>
  <c r="S3329" i="34"/>
  <c r="T3329" i="34"/>
  <c r="U3329" i="34"/>
  <c r="X3329" i="34"/>
  <c r="Y3329" i="34"/>
  <c r="N3330" i="34"/>
  <c r="O3330" i="34"/>
  <c r="S3330" i="34"/>
  <c r="T3330" i="34"/>
  <c r="U3330" i="34"/>
  <c r="X3330" i="34"/>
  <c r="Y3330" i="34"/>
  <c r="N3331" i="34"/>
  <c r="O3331" i="34"/>
  <c r="S3331" i="34"/>
  <c r="T3331" i="34"/>
  <c r="U3331" i="34"/>
  <c r="X3331" i="34"/>
  <c r="Y3331" i="34"/>
  <c r="N3332" i="34"/>
  <c r="O3332" i="34"/>
  <c r="S3332" i="34"/>
  <c r="T3332" i="34"/>
  <c r="U3332" i="34"/>
  <c r="X3332" i="34"/>
  <c r="Y3332" i="34"/>
  <c r="N3333" i="34"/>
  <c r="O3333" i="34"/>
  <c r="S3333" i="34"/>
  <c r="T3333" i="34"/>
  <c r="U3333" i="34"/>
  <c r="X3333" i="34"/>
  <c r="Y3333" i="34"/>
  <c r="N3334" i="34"/>
  <c r="O3334" i="34"/>
  <c r="S3334" i="34"/>
  <c r="T3334" i="34"/>
  <c r="U3334" i="34"/>
  <c r="X3334" i="34"/>
  <c r="Y3334" i="34"/>
  <c r="N3335" i="34"/>
  <c r="O3335" i="34"/>
  <c r="S3335" i="34"/>
  <c r="T3335" i="34"/>
  <c r="U3335" i="34"/>
  <c r="X3335" i="34"/>
  <c r="Y3335" i="34"/>
  <c r="N3336" i="34"/>
  <c r="O3336" i="34"/>
  <c r="S3336" i="34"/>
  <c r="T3336" i="34"/>
  <c r="U3336" i="34"/>
  <c r="X3336" i="34"/>
  <c r="Y3336" i="34"/>
  <c r="N3337" i="34"/>
  <c r="O3337" i="34"/>
  <c r="S3337" i="34"/>
  <c r="T3337" i="34"/>
  <c r="U3337" i="34"/>
  <c r="X3337" i="34"/>
  <c r="Y3337" i="34"/>
  <c r="N3338" i="34"/>
  <c r="O3338" i="34"/>
  <c r="S3338" i="34"/>
  <c r="T3338" i="34"/>
  <c r="U3338" i="34"/>
  <c r="X3338" i="34"/>
  <c r="Y3338" i="34"/>
  <c r="N3339" i="34"/>
  <c r="O3339" i="34"/>
  <c r="S3339" i="34"/>
  <c r="T3339" i="34"/>
  <c r="U3339" i="34"/>
  <c r="X3339" i="34"/>
  <c r="Y3339" i="34"/>
  <c r="N3340" i="34"/>
  <c r="O3340" i="34"/>
  <c r="S3340" i="34"/>
  <c r="T3340" i="34"/>
  <c r="U3340" i="34"/>
  <c r="X3340" i="34"/>
  <c r="Y3340" i="34"/>
  <c r="N3341" i="34"/>
  <c r="O3341" i="34"/>
  <c r="S3341" i="34"/>
  <c r="T3341" i="34"/>
  <c r="U3341" i="34"/>
  <c r="X3341" i="34"/>
  <c r="Y3341" i="34"/>
  <c r="N3342" i="34"/>
  <c r="O3342" i="34"/>
  <c r="S3342" i="34"/>
  <c r="T3342" i="34"/>
  <c r="U3342" i="34"/>
  <c r="X3342" i="34"/>
  <c r="Y3342" i="34"/>
  <c r="N3343" i="34"/>
  <c r="O3343" i="34"/>
  <c r="S3343" i="34"/>
  <c r="T3343" i="34"/>
  <c r="U3343" i="34"/>
  <c r="X3343" i="34"/>
  <c r="Y3343" i="34"/>
  <c r="N3344" i="34"/>
  <c r="O3344" i="34"/>
  <c r="S3344" i="34"/>
  <c r="T3344" i="34"/>
  <c r="U3344" i="34"/>
  <c r="X3344" i="34"/>
  <c r="Y3344" i="34"/>
  <c r="N3345" i="34"/>
  <c r="O3345" i="34"/>
  <c r="S3345" i="34"/>
  <c r="T3345" i="34"/>
  <c r="U3345" i="34"/>
  <c r="X3345" i="34"/>
  <c r="Y3345" i="34"/>
  <c r="N3346" i="34"/>
  <c r="O3346" i="34"/>
  <c r="S3346" i="34"/>
  <c r="T3346" i="34"/>
  <c r="U3346" i="34"/>
  <c r="X3346" i="34"/>
  <c r="Y3346" i="34"/>
  <c r="N3347" i="34"/>
  <c r="O3347" i="34"/>
  <c r="S3347" i="34"/>
  <c r="T3347" i="34"/>
  <c r="U3347" i="34"/>
  <c r="X3347" i="34"/>
  <c r="Y3347" i="34"/>
  <c r="N3348" i="34"/>
  <c r="O3348" i="34"/>
  <c r="S3348" i="34"/>
  <c r="T3348" i="34"/>
  <c r="U3348" i="34"/>
  <c r="X3348" i="34"/>
  <c r="Y3348" i="34"/>
  <c r="N3349" i="34"/>
  <c r="O3349" i="34"/>
  <c r="S3349" i="34"/>
  <c r="T3349" i="34"/>
  <c r="U3349" i="34"/>
  <c r="X3349" i="34"/>
  <c r="Y3349" i="34"/>
  <c r="N3350" i="34"/>
  <c r="O3350" i="34"/>
  <c r="S3350" i="34"/>
  <c r="T3350" i="34"/>
  <c r="U3350" i="34"/>
  <c r="X3350" i="34"/>
  <c r="Y3350" i="34"/>
  <c r="N3351" i="34"/>
  <c r="O3351" i="34"/>
  <c r="S3351" i="34"/>
  <c r="T3351" i="34"/>
  <c r="U3351" i="34"/>
  <c r="X3351" i="34"/>
  <c r="Y3351" i="34"/>
  <c r="N3352" i="34"/>
  <c r="O3352" i="34"/>
  <c r="S3352" i="34"/>
  <c r="T3352" i="34"/>
  <c r="U3352" i="34"/>
  <c r="X3352" i="34"/>
  <c r="Y3352" i="34"/>
  <c r="N3353" i="34"/>
  <c r="O3353" i="34"/>
  <c r="S3353" i="34"/>
  <c r="T3353" i="34"/>
  <c r="U3353" i="34"/>
  <c r="X3353" i="34"/>
  <c r="Y3353" i="34"/>
  <c r="N3354" i="34"/>
  <c r="O3354" i="34"/>
  <c r="S3354" i="34"/>
  <c r="T3354" i="34"/>
  <c r="U3354" i="34"/>
  <c r="X3354" i="34"/>
  <c r="Y3354" i="34"/>
  <c r="N3355" i="34"/>
  <c r="O3355" i="34"/>
  <c r="S3355" i="34"/>
  <c r="T3355" i="34"/>
  <c r="U3355" i="34"/>
  <c r="X3355" i="34"/>
  <c r="Y3355" i="34"/>
  <c r="N3356" i="34"/>
  <c r="O3356" i="34"/>
  <c r="S3356" i="34"/>
  <c r="T3356" i="34"/>
  <c r="U3356" i="34"/>
  <c r="X3356" i="34"/>
  <c r="Y3356" i="34"/>
  <c r="N3357" i="34"/>
  <c r="O3357" i="34"/>
  <c r="S3357" i="34"/>
  <c r="T3357" i="34"/>
  <c r="U3357" i="34"/>
  <c r="X3357" i="34"/>
  <c r="Y3357" i="34"/>
  <c r="N3358" i="34"/>
  <c r="O3358" i="34"/>
  <c r="S3358" i="34"/>
  <c r="T3358" i="34"/>
  <c r="U3358" i="34"/>
  <c r="X3358" i="34"/>
  <c r="Y3358" i="34"/>
  <c r="N3359" i="34"/>
  <c r="O3359" i="34"/>
  <c r="S3359" i="34"/>
  <c r="T3359" i="34"/>
  <c r="U3359" i="34"/>
  <c r="X3359" i="34"/>
  <c r="Y3359" i="34"/>
  <c r="N3360" i="34"/>
  <c r="O3360" i="34"/>
  <c r="S3360" i="34"/>
  <c r="T3360" i="34"/>
  <c r="U3360" i="34"/>
  <c r="X3360" i="34"/>
  <c r="Y3360" i="34"/>
  <c r="N3361" i="34"/>
  <c r="O3361" i="34"/>
  <c r="S3361" i="34"/>
  <c r="T3361" i="34"/>
  <c r="U3361" i="34"/>
  <c r="X3361" i="34"/>
  <c r="Y3361" i="34"/>
  <c r="N3362" i="34"/>
  <c r="O3362" i="34"/>
  <c r="S3362" i="34"/>
  <c r="T3362" i="34"/>
  <c r="U3362" i="34"/>
  <c r="X3362" i="34"/>
  <c r="Y3362" i="34"/>
  <c r="N3363" i="34"/>
  <c r="O3363" i="34"/>
  <c r="S3363" i="34"/>
  <c r="T3363" i="34"/>
  <c r="U3363" i="34"/>
  <c r="X3363" i="34"/>
  <c r="Y3363" i="34"/>
  <c r="N3364" i="34"/>
  <c r="O3364" i="34"/>
  <c r="S3364" i="34"/>
  <c r="T3364" i="34"/>
  <c r="U3364" i="34"/>
  <c r="X3364" i="34"/>
  <c r="Y3364" i="34"/>
  <c r="N3365" i="34"/>
  <c r="O3365" i="34"/>
  <c r="S3365" i="34"/>
  <c r="T3365" i="34"/>
  <c r="U3365" i="34"/>
  <c r="X3365" i="34"/>
  <c r="Y3365" i="34"/>
  <c r="N3366" i="34"/>
  <c r="O3366" i="34"/>
  <c r="S3366" i="34"/>
  <c r="T3366" i="34"/>
  <c r="U3366" i="34"/>
  <c r="X3366" i="34"/>
  <c r="Y3366" i="34"/>
  <c r="N3367" i="34"/>
  <c r="O3367" i="34"/>
  <c r="S3367" i="34"/>
  <c r="T3367" i="34"/>
  <c r="U3367" i="34"/>
  <c r="X3367" i="34"/>
  <c r="Y3367" i="34"/>
  <c r="N3368" i="34"/>
  <c r="O3368" i="34"/>
  <c r="S3368" i="34"/>
  <c r="T3368" i="34"/>
  <c r="U3368" i="34"/>
  <c r="X3368" i="34"/>
  <c r="Y3368" i="34"/>
  <c r="N3369" i="34"/>
  <c r="O3369" i="34"/>
  <c r="S3369" i="34"/>
  <c r="T3369" i="34"/>
  <c r="U3369" i="34"/>
  <c r="X3369" i="34"/>
  <c r="Y3369" i="34"/>
  <c r="N3370" i="34"/>
  <c r="O3370" i="34"/>
  <c r="S3370" i="34"/>
  <c r="T3370" i="34"/>
  <c r="U3370" i="34"/>
  <c r="X3370" i="34"/>
  <c r="Y3370" i="34"/>
  <c r="N3371" i="34"/>
  <c r="O3371" i="34"/>
  <c r="S3371" i="34"/>
  <c r="T3371" i="34"/>
  <c r="U3371" i="34"/>
  <c r="X3371" i="34"/>
  <c r="Y3371" i="34"/>
  <c r="N3372" i="34"/>
  <c r="O3372" i="34"/>
  <c r="S3372" i="34"/>
  <c r="T3372" i="34"/>
  <c r="U3372" i="34"/>
  <c r="X3372" i="34"/>
  <c r="Y3372" i="34"/>
  <c r="N3373" i="34"/>
  <c r="O3373" i="34"/>
  <c r="S3373" i="34"/>
  <c r="T3373" i="34"/>
  <c r="U3373" i="34"/>
  <c r="X3373" i="34"/>
  <c r="Y3373" i="34"/>
  <c r="N3374" i="34"/>
  <c r="O3374" i="34"/>
  <c r="S3374" i="34"/>
  <c r="T3374" i="34"/>
  <c r="U3374" i="34"/>
  <c r="X3374" i="34"/>
  <c r="Y3374" i="34"/>
  <c r="N3375" i="34"/>
  <c r="O3375" i="34"/>
  <c r="S3375" i="34"/>
  <c r="T3375" i="34"/>
  <c r="U3375" i="34"/>
  <c r="X3375" i="34"/>
  <c r="Y3375" i="34"/>
  <c r="N3376" i="34"/>
  <c r="O3376" i="34"/>
  <c r="S3376" i="34"/>
  <c r="T3376" i="34"/>
  <c r="U3376" i="34"/>
  <c r="X3376" i="34"/>
  <c r="Y3376" i="34"/>
  <c r="N3377" i="34"/>
  <c r="O3377" i="34"/>
  <c r="S3377" i="34"/>
  <c r="T3377" i="34"/>
  <c r="U3377" i="34"/>
  <c r="X3377" i="34"/>
  <c r="Y3377" i="34"/>
  <c r="N3378" i="34"/>
  <c r="O3378" i="34"/>
  <c r="S3378" i="34"/>
  <c r="T3378" i="34"/>
  <c r="U3378" i="34"/>
  <c r="X3378" i="34"/>
  <c r="Y3378" i="34"/>
  <c r="N3379" i="34"/>
  <c r="O3379" i="34"/>
  <c r="S3379" i="34"/>
  <c r="T3379" i="34"/>
  <c r="U3379" i="34"/>
  <c r="X3379" i="34"/>
  <c r="Y3379" i="34"/>
  <c r="N3380" i="34"/>
  <c r="O3380" i="34"/>
  <c r="S3380" i="34"/>
  <c r="T3380" i="34"/>
  <c r="U3380" i="34"/>
  <c r="X3380" i="34"/>
  <c r="Y3380" i="34"/>
  <c r="N3381" i="34"/>
  <c r="O3381" i="34"/>
  <c r="S3381" i="34"/>
  <c r="T3381" i="34"/>
  <c r="U3381" i="34"/>
  <c r="X3381" i="34"/>
  <c r="Y3381" i="34"/>
  <c r="N3382" i="34"/>
  <c r="O3382" i="34"/>
  <c r="S3382" i="34"/>
  <c r="T3382" i="34"/>
  <c r="U3382" i="34"/>
  <c r="X3382" i="34"/>
  <c r="Y3382" i="34"/>
  <c r="N3383" i="34"/>
  <c r="O3383" i="34"/>
  <c r="S3383" i="34"/>
  <c r="T3383" i="34"/>
  <c r="U3383" i="34"/>
  <c r="X3383" i="34"/>
  <c r="Y3383" i="34"/>
  <c r="N3384" i="34"/>
  <c r="O3384" i="34"/>
  <c r="S3384" i="34"/>
  <c r="T3384" i="34"/>
  <c r="U3384" i="34"/>
  <c r="X3384" i="34"/>
  <c r="Y3384" i="34"/>
  <c r="N3385" i="34"/>
  <c r="O3385" i="34"/>
  <c r="S3385" i="34"/>
  <c r="T3385" i="34"/>
  <c r="U3385" i="34"/>
  <c r="X3385" i="34"/>
  <c r="Y3385" i="34"/>
  <c r="N3386" i="34"/>
  <c r="O3386" i="34"/>
  <c r="S3386" i="34"/>
  <c r="T3386" i="34"/>
  <c r="U3386" i="34"/>
  <c r="X3386" i="34"/>
  <c r="Y3386" i="34"/>
  <c r="N3387" i="34"/>
  <c r="O3387" i="34"/>
  <c r="S3387" i="34"/>
  <c r="T3387" i="34"/>
  <c r="U3387" i="34"/>
  <c r="X3387" i="34"/>
  <c r="Y3387" i="34"/>
  <c r="N3388" i="34"/>
  <c r="O3388" i="34"/>
  <c r="S3388" i="34"/>
  <c r="T3388" i="34"/>
  <c r="U3388" i="34"/>
  <c r="X3388" i="34"/>
  <c r="Y3388" i="34"/>
  <c r="N3389" i="34"/>
  <c r="O3389" i="34"/>
  <c r="S3389" i="34"/>
  <c r="T3389" i="34"/>
  <c r="U3389" i="34"/>
  <c r="X3389" i="34"/>
  <c r="Y3389" i="34"/>
  <c r="N3390" i="34"/>
  <c r="O3390" i="34"/>
  <c r="S3390" i="34"/>
  <c r="T3390" i="34"/>
  <c r="U3390" i="34"/>
  <c r="X3390" i="34"/>
  <c r="Y3390" i="34"/>
  <c r="N3391" i="34"/>
  <c r="O3391" i="34"/>
  <c r="S3391" i="34"/>
  <c r="T3391" i="34"/>
  <c r="U3391" i="34"/>
  <c r="X3391" i="34"/>
  <c r="Y3391" i="34"/>
  <c r="N3392" i="34"/>
  <c r="O3392" i="34"/>
  <c r="S3392" i="34"/>
  <c r="T3392" i="34"/>
  <c r="U3392" i="34"/>
  <c r="X3392" i="34"/>
  <c r="Y3392" i="34"/>
  <c r="N3393" i="34"/>
  <c r="O3393" i="34"/>
  <c r="S3393" i="34"/>
  <c r="T3393" i="34"/>
  <c r="U3393" i="34"/>
  <c r="X3393" i="34"/>
  <c r="Y3393" i="34"/>
  <c r="N3394" i="34"/>
  <c r="O3394" i="34"/>
  <c r="S3394" i="34"/>
  <c r="T3394" i="34"/>
  <c r="U3394" i="34"/>
  <c r="X3394" i="34"/>
  <c r="Y3394" i="34"/>
  <c r="N3395" i="34"/>
  <c r="O3395" i="34"/>
  <c r="S3395" i="34"/>
  <c r="T3395" i="34"/>
  <c r="U3395" i="34"/>
  <c r="X3395" i="34"/>
  <c r="Y3395" i="34"/>
  <c r="N3396" i="34"/>
  <c r="O3396" i="34"/>
  <c r="S3396" i="34"/>
  <c r="T3396" i="34"/>
  <c r="U3396" i="34"/>
  <c r="X3396" i="34"/>
  <c r="Y3396" i="34"/>
  <c r="N3397" i="34"/>
  <c r="O3397" i="34"/>
  <c r="S3397" i="34"/>
  <c r="T3397" i="34"/>
  <c r="U3397" i="34"/>
  <c r="X3397" i="34"/>
  <c r="Y3397" i="34"/>
  <c r="N3398" i="34"/>
  <c r="O3398" i="34"/>
  <c r="S3398" i="34"/>
  <c r="T3398" i="34"/>
  <c r="U3398" i="34"/>
  <c r="X3398" i="34"/>
  <c r="Y3398" i="34"/>
  <c r="N3399" i="34"/>
  <c r="O3399" i="34"/>
  <c r="S3399" i="34"/>
  <c r="T3399" i="34"/>
  <c r="U3399" i="34"/>
  <c r="X3399" i="34"/>
  <c r="Y3399" i="34"/>
  <c r="X10" i="34"/>
  <c r="X11" i="34"/>
  <c r="X12" i="34"/>
  <c r="X13" i="34"/>
  <c r="X14" i="34"/>
  <c r="X15" i="34"/>
  <c r="X16" i="34"/>
  <c r="W2014" i="34" l="1"/>
  <c r="Z2014" i="34"/>
  <c r="A2014" i="34"/>
  <c r="Z2003" i="34"/>
  <c r="W2003" i="34"/>
  <c r="A2003" i="34"/>
  <c r="Z2015" i="34"/>
  <c r="W2015" i="34"/>
  <c r="A2015" i="34"/>
  <c r="K2029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1" i="34"/>
  <c r="K3352" i="34"/>
  <c r="K3353" i="34"/>
  <c r="K3354" i="34"/>
  <c r="K3355" i="34"/>
  <c r="K3356" i="34"/>
  <c r="K3357" i="34"/>
  <c r="K3358" i="34"/>
  <c r="K3359" i="34"/>
  <c r="K3360" i="34"/>
  <c r="K3361" i="34"/>
  <c r="K3362" i="34"/>
  <c r="K3363" i="34"/>
  <c r="K3364" i="34"/>
  <c r="K3365" i="34"/>
  <c r="K3366" i="34"/>
  <c r="K3367" i="34"/>
  <c r="K3368" i="34"/>
  <c r="K3369" i="34"/>
  <c r="K3370" i="34"/>
  <c r="K3371" i="34"/>
  <c r="K3372" i="34"/>
  <c r="K3373" i="34"/>
  <c r="K3374" i="34"/>
  <c r="K3375" i="34"/>
  <c r="K3376" i="34"/>
  <c r="K3377" i="34"/>
  <c r="K3378" i="34"/>
  <c r="K3379" i="34"/>
  <c r="K3380" i="34"/>
  <c r="K3381" i="34"/>
  <c r="K3382" i="34"/>
  <c r="K3383" i="34"/>
  <c r="K3384" i="34"/>
  <c r="K3385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2713" i="34"/>
  <c r="K2714" i="34"/>
  <c r="K2715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C2715" i="34"/>
  <c r="C2716" i="34"/>
  <c r="C2717" i="34"/>
  <c r="C2718" i="34"/>
  <c r="C2719" i="34"/>
  <c r="C2720" i="34"/>
  <c r="C2721" i="34"/>
  <c r="C2722" i="34"/>
  <c r="B2722" i="34" s="1"/>
  <c r="C2723" i="34"/>
  <c r="B2723" i="34" s="1"/>
  <c r="C2724" i="34"/>
  <c r="B2724" i="34" s="1"/>
  <c r="C2725" i="34"/>
  <c r="B2725" i="34" s="1"/>
  <c r="C2726" i="34"/>
  <c r="B2726" i="34" s="1"/>
  <c r="C2727" i="34"/>
  <c r="B2727" i="34" s="1"/>
  <c r="C2728" i="34"/>
  <c r="B2728" i="34" s="1"/>
  <c r="C2729" i="34"/>
  <c r="B2729" i="34" s="1"/>
  <c r="C2730" i="34"/>
  <c r="B2730" i="34" s="1"/>
  <c r="C2731" i="34"/>
  <c r="B2731" i="34" s="1"/>
  <c r="C2732" i="34"/>
  <c r="B2732" i="34" s="1"/>
  <c r="C2733" i="34"/>
  <c r="B2733" i="34" s="1"/>
  <c r="C2734" i="34"/>
  <c r="B2734" i="34" s="1"/>
  <c r="C2735" i="34"/>
  <c r="B2735" i="34" s="1"/>
  <c r="C2736" i="34"/>
  <c r="B2736" i="34" s="1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3027" i="34"/>
  <c r="C3028" i="34"/>
  <c r="C3029" i="34"/>
  <c r="C3030" i="34"/>
  <c r="C3031" i="34"/>
  <c r="C3032" i="34"/>
  <c r="C3033" i="34"/>
  <c r="C3034" i="34"/>
  <c r="C3035" i="34"/>
  <c r="C3036" i="34"/>
  <c r="C3037" i="34"/>
  <c r="C3038" i="34"/>
  <c r="C3039" i="34"/>
  <c r="C3040" i="34"/>
  <c r="C3041" i="34"/>
  <c r="C3042" i="34"/>
  <c r="C3043" i="34"/>
  <c r="C3044" i="34"/>
  <c r="C3045" i="34"/>
  <c r="C3046" i="34"/>
  <c r="C3047" i="34"/>
  <c r="C3048" i="34"/>
  <c r="C3049" i="34"/>
  <c r="C3050" i="34"/>
  <c r="C3051" i="34"/>
  <c r="C3052" i="34"/>
  <c r="C3053" i="34"/>
  <c r="C3054" i="34"/>
  <c r="C3055" i="34"/>
  <c r="C3056" i="34"/>
  <c r="C3057" i="34"/>
  <c r="C3058" i="34"/>
  <c r="C3059" i="34"/>
  <c r="C3060" i="34"/>
  <c r="C3061" i="34"/>
  <c r="C3062" i="34"/>
  <c r="C3063" i="34"/>
  <c r="C3064" i="34"/>
  <c r="C3065" i="34"/>
  <c r="C3066" i="34"/>
  <c r="C3067" i="34"/>
  <c r="C3068" i="34"/>
  <c r="C3069" i="34"/>
  <c r="C3070" i="34"/>
  <c r="C3071" i="34"/>
  <c r="C3072" i="34"/>
  <c r="C3073" i="34"/>
  <c r="C3074" i="34"/>
  <c r="C3075" i="34"/>
  <c r="C3076" i="34"/>
  <c r="C3077" i="34"/>
  <c r="C3078" i="34"/>
  <c r="C3079" i="34"/>
  <c r="C3080" i="34"/>
  <c r="C3081" i="34"/>
  <c r="C3082" i="34"/>
  <c r="C3083" i="34"/>
  <c r="C3084" i="34"/>
  <c r="C3085" i="34"/>
  <c r="C3086" i="34"/>
  <c r="C3087" i="34"/>
  <c r="C3088" i="34"/>
  <c r="C3089" i="34"/>
  <c r="C3090" i="34"/>
  <c r="C3091" i="34"/>
  <c r="C3092" i="34"/>
  <c r="C3093" i="34"/>
  <c r="C3094" i="34"/>
  <c r="C3095" i="34"/>
  <c r="C3096" i="34"/>
  <c r="C3097" i="34"/>
  <c r="C3098" i="34"/>
  <c r="C3099" i="34"/>
  <c r="C3100" i="34"/>
  <c r="C3101" i="34"/>
  <c r="C3102" i="34"/>
  <c r="C3103" i="34"/>
  <c r="C3104" i="34"/>
  <c r="C3105" i="34"/>
  <c r="C3106" i="34"/>
  <c r="C3107" i="34"/>
  <c r="C3108" i="34"/>
  <c r="C3109" i="34"/>
  <c r="C3110" i="34"/>
  <c r="C3111" i="34"/>
  <c r="C3112" i="34"/>
  <c r="C3113" i="34"/>
  <c r="C3114" i="34"/>
  <c r="C3115" i="34"/>
  <c r="C3116" i="34"/>
  <c r="C3117" i="34"/>
  <c r="C3118" i="34"/>
  <c r="C3119" i="34"/>
  <c r="C3120" i="34"/>
  <c r="C3121" i="34"/>
  <c r="C3122" i="34"/>
  <c r="C3123" i="34"/>
  <c r="C3124" i="34"/>
  <c r="C3125" i="34"/>
  <c r="C3126" i="34"/>
  <c r="C3127" i="34"/>
  <c r="C3128" i="34"/>
  <c r="C3129" i="34"/>
  <c r="C3130" i="34"/>
  <c r="C3131" i="34"/>
  <c r="C3132" i="34"/>
  <c r="C3133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47" i="34"/>
  <c r="C3148" i="34"/>
  <c r="C3149" i="34"/>
  <c r="C3150" i="34"/>
  <c r="C3151" i="34"/>
  <c r="C3152" i="34"/>
  <c r="C3153" i="34"/>
  <c r="C3154" i="34"/>
  <c r="C3155" i="34"/>
  <c r="C3156" i="34"/>
  <c r="C3157" i="34"/>
  <c r="C3158" i="34"/>
  <c r="C3159" i="34"/>
  <c r="C3160" i="34"/>
  <c r="C3161" i="34"/>
  <c r="C3162" i="34"/>
  <c r="C3163" i="34"/>
  <c r="C3164" i="34"/>
  <c r="C3165" i="34"/>
  <c r="C3166" i="34"/>
  <c r="C3167" i="34"/>
  <c r="C3168" i="34"/>
  <c r="C3169" i="34"/>
  <c r="C3170" i="34"/>
  <c r="C3171" i="34"/>
  <c r="C3172" i="34"/>
  <c r="C3173" i="34"/>
  <c r="C3174" i="34"/>
  <c r="C3175" i="34"/>
  <c r="C3176" i="34"/>
  <c r="C3177" i="34"/>
  <c r="C3178" i="34"/>
  <c r="C3179" i="34"/>
  <c r="C3180" i="34"/>
  <c r="C3181" i="34"/>
  <c r="C3182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219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C3236" i="34"/>
  <c r="C3237" i="34"/>
  <c r="C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C3260" i="34"/>
  <c r="C3261" i="34"/>
  <c r="C3262" i="34"/>
  <c r="C3263" i="34"/>
  <c r="C3264" i="34"/>
  <c r="C3265" i="34"/>
  <c r="C3266" i="34"/>
  <c r="C3267" i="34"/>
  <c r="C3268" i="34"/>
  <c r="C3269" i="34"/>
  <c r="C3270" i="34"/>
  <c r="C3271" i="34"/>
  <c r="C3272" i="34"/>
  <c r="C3273" i="34"/>
  <c r="C3274" i="34"/>
  <c r="C3275" i="34"/>
  <c r="C3276" i="34"/>
  <c r="C3277" i="34"/>
  <c r="C3278" i="34"/>
  <c r="C3279" i="34"/>
  <c r="C3280" i="34"/>
  <c r="C3281" i="34"/>
  <c r="C3282" i="34"/>
  <c r="C3283" i="34"/>
  <c r="C3284" i="34"/>
  <c r="C3285" i="34"/>
  <c r="C3286" i="34"/>
  <c r="C3287" i="34"/>
  <c r="C3288" i="34"/>
  <c r="C3289" i="34"/>
  <c r="C3290" i="34"/>
  <c r="C3291" i="34"/>
  <c r="C3292" i="34"/>
  <c r="C3293" i="34"/>
  <c r="C3294" i="34"/>
  <c r="C3295" i="34"/>
  <c r="C3296" i="34"/>
  <c r="C3297" i="34"/>
  <c r="C3298" i="34"/>
  <c r="C3299" i="34"/>
  <c r="C3300" i="34"/>
  <c r="C3301" i="34"/>
  <c r="C3302" i="34"/>
  <c r="C3303" i="34"/>
  <c r="C3304" i="34"/>
  <c r="C3305" i="34"/>
  <c r="C3306" i="34"/>
  <c r="C3307" i="34"/>
  <c r="C3308" i="34"/>
  <c r="C3309" i="34"/>
  <c r="C3310" i="34"/>
  <c r="C3311" i="34"/>
  <c r="C3312" i="34"/>
  <c r="C3313" i="34"/>
  <c r="C3314" i="34"/>
  <c r="C3315" i="34"/>
  <c r="C3316" i="34"/>
  <c r="C3317" i="34"/>
  <c r="C3318" i="34"/>
  <c r="C3319" i="34"/>
  <c r="C3320" i="34"/>
  <c r="C3321" i="34"/>
  <c r="C3322" i="34"/>
  <c r="C3323" i="34"/>
  <c r="C3324" i="34"/>
  <c r="C3325" i="34"/>
  <c r="C3326" i="34"/>
  <c r="C3327" i="34"/>
  <c r="C3328" i="34"/>
  <c r="C3329" i="34"/>
  <c r="C3330" i="34"/>
  <c r="C3331" i="34"/>
  <c r="C3332" i="34"/>
  <c r="C3333" i="34"/>
  <c r="C3334" i="34"/>
  <c r="C3335" i="34"/>
  <c r="C3336" i="34"/>
  <c r="C3337" i="34"/>
  <c r="C3338" i="34"/>
  <c r="C3339" i="34"/>
  <c r="C3340" i="34"/>
  <c r="C3341" i="34"/>
  <c r="C3342" i="34"/>
  <c r="C3343" i="34"/>
  <c r="C3344" i="34"/>
  <c r="C3345" i="34"/>
  <c r="C3346" i="34"/>
  <c r="C3347" i="34"/>
  <c r="C3348" i="34"/>
  <c r="C3349" i="34"/>
  <c r="C3350" i="34"/>
  <c r="C3351" i="34"/>
  <c r="C3352" i="34"/>
  <c r="C3353" i="34"/>
  <c r="C3354" i="34"/>
  <c r="C3355" i="34"/>
  <c r="C3356" i="34"/>
  <c r="C3357" i="34"/>
  <c r="C3358" i="34"/>
  <c r="C3359" i="34"/>
  <c r="C3360" i="34"/>
  <c r="C3361" i="34"/>
  <c r="C3362" i="34"/>
  <c r="C3363" i="34"/>
  <c r="C3364" i="34"/>
  <c r="C3365" i="34"/>
  <c r="C3366" i="34"/>
  <c r="C3367" i="34"/>
  <c r="C3368" i="34"/>
  <c r="C3369" i="34"/>
  <c r="C3370" i="34"/>
  <c r="C3371" i="34"/>
  <c r="C3372" i="34"/>
  <c r="C3373" i="34"/>
  <c r="C3374" i="34"/>
  <c r="C3375" i="34"/>
  <c r="C3376" i="34"/>
  <c r="C3377" i="34"/>
  <c r="C3378" i="34"/>
  <c r="C3379" i="34"/>
  <c r="C3380" i="34"/>
  <c r="C3381" i="34"/>
  <c r="C3382" i="34"/>
  <c r="C3383" i="34"/>
  <c r="C3384" i="34"/>
  <c r="C3385" i="34"/>
  <c r="C3386" i="34"/>
  <c r="C3387" i="34"/>
  <c r="C3388" i="34"/>
  <c r="C3389" i="34"/>
  <c r="C3390" i="34"/>
  <c r="C3391" i="34"/>
  <c r="C3392" i="34"/>
  <c r="C3393" i="34"/>
  <c r="C3394" i="34"/>
  <c r="C3395" i="34"/>
  <c r="C3396" i="34"/>
  <c r="B2737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030" i="34"/>
  <c r="W2735" i="34" l="1"/>
  <c r="Z2735" i="34"/>
  <c r="A2735" i="34"/>
  <c r="W2731" i="34"/>
  <c r="Z2731" i="34"/>
  <c r="A2731" i="34"/>
  <c r="W2727" i="34"/>
  <c r="Z2727" i="34"/>
  <c r="A2727" i="34"/>
  <c r="W2723" i="34"/>
  <c r="Z2723" i="34"/>
  <c r="A2723" i="34"/>
  <c r="Z2734" i="34"/>
  <c r="W2734" i="34"/>
  <c r="A2734" i="34"/>
  <c r="Z2730" i="34"/>
  <c r="W2730" i="34"/>
  <c r="A2730" i="34"/>
  <c r="Z2726" i="34"/>
  <c r="W2726" i="34"/>
  <c r="A2726" i="34"/>
  <c r="Z2722" i="34"/>
  <c r="W2722" i="34"/>
  <c r="A2722" i="34"/>
  <c r="W2737" i="34"/>
  <c r="Z2737" i="34"/>
  <c r="A2737" i="34"/>
  <c r="W2733" i="34"/>
  <c r="Z2733" i="34"/>
  <c r="A2733" i="34"/>
  <c r="W2729" i="34"/>
  <c r="Z2729" i="34"/>
  <c r="A2729" i="34"/>
  <c r="W2725" i="34"/>
  <c r="Z2725" i="34"/>
  <c r="A2725" i="34"/>
  <c r="Z2736" i="34"/>
  <c r="W2736" i="34"/>
  <c r="A2736" i="34"/>
  <c r="Z2732" i="34"/>
  <c r="W2732" i="34"/>
  <c r="A2732" i="34"/>
  <c r="Z2728" i="34"/>
  <c r="W2728" i="34"/>
  <c r="A2728" i="34"/>
  <c r="Z2724" i="34"/>
  <c r="W2724" i="34"/>
  <c r="A2724" i="34"/>
  <c r="K2002" i="34"/>
  <c r="C2002" i="34"/>
  <c r="B2002" i="34" s="1"/>
  <c r="A73" i="81"/>
  <c r="L13" i="81"/>
  <c r="K13" i="81"/>
  <c r="I7" i="81"/>
  <c r="G7" i="81"/>
  <c r="B3" i="81"/>
  <c r="B2" i="81"/>
  <c r="N13" i="34"/>
  <c r="O13" i="34"/>
  <c r="S13" i="34"/>
  <c r="T13" i="34"/>
  <c r="U13" i="34"/>
  <c r="Y13" i="34"/>
  <c r="N14" i="34"/>
  <c r="O14" i="34"/>
  <c r="S14" i="34"/>
  <c r="T14" i="34"/>
  <c r="U14" i="34"/>
  <c r="Y14" i="34"/>
  <c r="N15" i="34"/>
  <c r="O15" i="34"/>
  <c r="S15" i="34"/>
  <c r="T15" i="34"/>
  <c r="U15" i="34"/>
  <c r="Y15" i="34"/>
  <c r="N16" i="34"/>
  <c r="O16" i="34"/>
  <c r="S16" i="34"/>
  <c r="T16" i="34"/>
  <c r="U16" i="34"/>
  <c r="Y16" i="34"/>
  <c r="R24" i="60"/>
  <c r="W2002" i="34" l="1"/>
  <c r="Z2002" i="34"/>
  <c r="A2002" i="34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97" i="60"/>
  <c r="S598" i="60"/>
  <c r="S599" i="60"/>
  <c r="S600" i="60"/>
  <c r="S601" i="60"/>
  <c r="S602" i="60"/>
  <c r="S603" i="60"/>
  <c r="S604" i="60"/>
  <c r="S605" i="60"/>
  <c r="S606" i="60"/>
  <c r="S607" i="60"/>
  <c r="S608" i="60"/>
  <c r="S609" i="60"/>
  <c r="S610" i="60"/>
  <c r="S611" i="60"/>
  <c r="S612" i="60"/>
  <c r="S613" i="60"/>
  <c r="S614" i="60"/>
  <c r="S615" i="60"/>
  <c r="S616" i="60"/>
  <c r="S617" i="60"/>
  <c r="S618" i="60"/>
  <c r="S619" i="60"/>
  <c r="S620" i="60"/>
  <c r="S621" i="60"/>
  <c r="S622" i="60"/>
  <c r="S623" i="60"/>
  <c r="S624" i="60"/>
  <c r="S625" i="60"/>
  <c r="S626" i="60"/>
  <c r="S627" i="60"/>
  <c r="S628" i="60"/>
  <c r="S629" i="60"/>
  <c r="S630" i="60"/>
  <c r="S631" i="60"/>
  <c r="S632" i="60"/>
  <c r="S633" i="60"/>
  <c r="S634" i="60"/>
  <c r="S635" i="60"/>
  <c r="S636" i="60"/>
  <c r="S637" i="60"/>
  <c r="S638" i="60"/>
  <c r="S639" i="60"/>
  <c r="S640" i="60"/>
  <c r="S641" i="60"/>
  <c r="S642" i="60"/>
  <c r="S643" i="60"/>
  <c r="S644" i="60"/>
  <c r="S645" i="60"/>
  <c r="S646" i="60"/>
  <c r="S647" i="60"/>
  <c r="S648" i="60"/>
  <c r="S649" i="60"/>
  <c r="S650" i="60"/>
  <c r="S651" i="60"/>
  <c r="S652" i="60"/>
  <c r="S653" i="60"/>
  <c r="S654" i="60"/>
  <c r="S655" i="60"/>
  <c r="S656" i="60"/>
  <c r="S657" i="60"/>
  <c r="S658" i="60"/>
  <c r="S659" i="60"/>
  <c r="S660" i="60"/>
  <c r="S661" i="60"/>
  <c r="S662" i="60"/>
  <c r="S663" i="60"/>
  <c r="S664" i="60"/>
  <c r="S665" i="60"/>
  <c r="S666" i="60"/>
  <c r="S667" i="60"/>
  <c r="S668" i="60"/>
  <c r="S669" i="60"/>
  <c r="S670" i="60"/>
  <c r="S671" i="60"/>
  <c r="S672" i="60"/>
  <c r="S673" i="60"/>
  <c r="S674" i="60"/>
  <c r="S675" i="60"/>
  <c r="S676" i="60"/>
  <c r="S677" i="60"/>
  <c r="S678" i="60"/>
  <c r="S679" i="60"/>
  <c r="S680" i="60"/>
  <c r="S681" i="60"/>
  <c r="S682" i="60"/>
  <c r="S683" i="60"/>
  <c r="S684" i="60"/>
  <c r="S685" i="60"/>
  <c r="S686" i="60"/>
  <c r="S687" i="60"/>
  <c r="S688" i="60"/>
  <c r="S689" i="60"/>
  <c r="S690" i="60"/>
  <c r="S691" i="60"/>
  <c r="S692" i="60"/>
  <c r="S693" i="60"/>
  <c r="S694" i="60"/>
  <c r="S695" i="60"/>
  <c r="S696" i="60"/>
  <c r="S697" i="60"/>
  <c r="S698" i="60"/>
  <c r="S699" i="60"/>
  <c r="S700" i="60"/>
  <c r="S701" i="60"/>
  <c r="S702" i="60"/>
  <c r="S703" i="60"/>
  <c r="S704" i="60"/>
  <c r="S705" i="60"/>
  <c r="S706" i="60"/>
  <c r="S707" i="60"/>
  <c r="S708" i="60"/>
  <c r="S709" i="60"/>
  <c r="S710" i="60"/>
  <c r="S711" i="60"/>
  <c r="S712" i="60"/>
  <c r="S713" i="60"/>
  <c r="S714" i="60"/>
  <c r="S715" i="60"/>
  <c r="S568" i="60"/>
  <c r="S717" i="60" s="1"/>
  <c r="R570" i="60"/>
  <c r="R571" i="60"/>
  <c r="R572" i="60"/>
  <c r="R573" i="60"/>
  <c r="R574" i="60"/>
  <c r="R575" i="60"/>
  <c r="R576" i="60"/>
  <c r="S559" i="60"/>
  <c r="R282" i="60"/>
  <c r="R281" i="60"/>
  <c r="S535" i="60" l="1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34" i="60"/>
  <c r="S561" i="60" l="1"/>
  <c r="I273" i="60"/>
  <c r="H700" i="60" l="1"/>
  <c r="H699" i="60"/>
  <c r="H698" i="60"/>
  <c r="H697" i="60"/>
  <c r="H696" i="60"/>
  <c r="H695" i="60"/>
  <c r="H694" i="60"/>
  <c r="H693" i="60"/>
  <c r="H692" i="60"/>
  <c r="H691" i="60"/>
  <c r="H690" i="60"/>
  <c r="H689" i="60"/>
  <c r="H688" i="60"/>
  <c r="H687" i="60"/>
  <c r="H686" i="60"/>
  <c r="H685" i="60"/>
  <c r="H684" i="60"/>
  <c r="H683" i="60"/>
  <c r="H682" i="60"/>
  <c r="H681" i="60"/>
  <c r="H680" i="60"/>
  <c r="H679" i="60"/>
  <c r="H678" i="60"/>
  <c r="H677" i="60"/>
  <c r="H676" i="60"/>
  <c r="H675" i="60"/>
  <c r="H674" i="60"/>
  <c r="H673" i="60"/>
  <c r="H672" i="60"/>
  <c r="H671" i="60"/>
  <c r="H670" i="60"/>
  <c r="H669" i="60"/>
  <c r="H668" i="60"/>
  <c r="H667" i="60"/>
  <c r="H666" i="60"/>
  <c r="H665" i="60"/>
  <c r="H664" i="60"/>
  <c r="H663" i="60"/>
  <c r="H662" i="60"/>
  <c r="H661" i="60"/>
  <c r="H660" i="60"/>
  <c r="H659" i="60"/>
  <c r="H658" i="60"/>
  <c r="H657" i="60"/>
  <c r="H656" i="60"/>
  <c r="J656" i="60" s="1"/>
  <c r="H655" i="60"/>
  <c r="J655" i="60" s="1"/>
  <c r="H654" i="60"/>
  <c r="J654" i="60" s="1"/>
  <c r="H653" i="60"/>
  <c r="H652" i="60"/>
  <c r="H651" i="60"/>
  <c r="J651" i="60" s="1"/>
  <c r="H650" i="60"/>
  <c r="J650" i="60" s="1"/>
  <c r="H649" i="60"/>
  <c r="H648" i="60"/>
  <c r="H647" i="60"/>
  <c r="J647" i="60" s="1"/>
  <c r="H646" i="60"/>
  <c r="J646" i="60" s="1"/>
  <c r="H645" i="60"/>
  <c r="H644" i="60"/>
  <c r="H643" i="60"/>
  <c r="J643" i="60" s="1"/>
  <c r="H642" i="60"/>
  <c r="J642" i="60" s="1"/>
  <c r="H641" i="60"/>
  <c r="H640" i="60"/>
  <c r="H639" i="60"/>
  <c r="J639" i="60" s="1"/>
  <c r="H638" i="60"/>
  <c r="J638" i="60" s="1"/>
  <c r="H637" i="60"/>
  <c r="H636" i="60"/>
  <c r="H635" i="60"/>
  <c r="J635" i="60" s="1"/>
  <c r="H634" i="60"/>
  <c r="J634" i="60" s="1"/>
  <c r="H633" i="60"/>
  <c r="H632" i="60"/>
  <c r="H631" i="60"/>
  <c r="J631" i="60" s="1"/>
  <c r="H630" i="60"/>
  <c r="J630" i="60" s="1"/>
  <c r="H629" i="60"/>
  <c r="H628" i="60"/>
  <c r="H627" i="60"/>
  <c r="J627" i="60" s="1"/>
  <c r="H626" i="60"/>
  <c r="J626" i="60" s="1"/>
  <c r="H625" i="60"/>
  <c r="H624" i="60"/>
  <c r="H623" i="60"/>
  <c r="J623" i="60" s="1"/>
  <c r="H622" i="60"/>
  <c r="J622" i="60" s="1"/>
  <c r="H621" i="60"/>
  <c r="H620" i="60"/>
  <c r="H619" i="60"/>
  <c r="J619" i="60" s="1"/>
  <c r="H618" i="60"/>
  <c r="J618" i="60" s="1"/>
  <c r="H617" i="60"/>
  <c r="H616" i="60"/>
  <c r="H615" i="60"/>
  <c r="J615" i="60" s="1"/>
  <c r="H614" i="60"/>
  <c r="J614" i="60" s="1"/>
  <c r="H613" i="60"/>
  <c r="J613" i="60" s="1"/>
  <c r="H612" i="60"/>
  <c r="J612" i="60" s="1"/>
  <c r="H611" i="60"/>
  <c r="J611" i="60" s="1"/>
  <c r="H715" i="60"/>
  <c r="H714" i="60"/>
  <c r="J714" i="60" s="1"/>
  <c r="H713" i="60"/>
  <c r="J713" i="60" s="1"/>
  <c r="H712" i="60"/>
  <c r="H711" i="60"/>
  <c r="H710" i="60"/>
  <c r="J710" i="60" s="1"/>
  <c r="H709" i="60"/>
  <c r="J709" i="60" s="1"/>
  <c r="H708" i="60"/>
  <c r="H707" i="60"/>
  <c r="H706" i="60"/>
  <c r="J706" i="60" s="1"/>
  <c r="H705" i="60"/>
  <c r="J705" i="60" s="1"/>
  <c r="H704" i="60"/>
  <c r="J704" i="60" s="1"/>
  <c r="H703" i="60"/>
  <c r="J703" i="60" s="1"/>
  <c r="H702" i="60"/>
  <c r="J702" i="60" s="1"/>
  <c r="H701" i="60"/>
  <c r="J701" i="60" s="1"/>
  <c r="H610" i="60"/>
  <c r="H609" i="60"/>
  <c r="H608" i="60"/>
  <c r="H607" i="60"/>
  <c r="H606" i="60"/>
  <c r="H605" i="60"/>
  <c r="H604" i="60"/>
  <c r="H603" i="60"/>
  <c r="H602" i="60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H568" i="60"/>
  <c r="J657" i="60" l="1"/>
  <c r="J659" i="60"/>
  <c r="J661" i="60"/>
  <c r="J663" i="60"/>
  <c r="J665" i="60"/>
  <c r="J667" i="60"/>
  <c r="J669" i="60"/>
  <c r="J671" i="60"/>
  <c r="J673" i="60"/>
  <c r="J675" i="60"/>
  <c r="J677" i="60"/>
  <c r="J679" i="60"/>
  <c r="J681" i="60"/>
  <c r="J683" i="60"/>
  <c r="J685" i="60"/>
  <c r="J687" i="60"/>
  <c r="J689" i="60"/>
  <c r="J691" i="60"/>
  <c r="J617" i="60"/>
  <c r="J621" i="60"/>
  <c r="J625" i="60"/>
  <c r="J629" i="60"/>
  <c r="J633" i="60"/>
  <c r="J637" i="60"/>
  <c r="J641" i="60"/>
  <c r="J645" i="60"/>
  <c r="J649" i="60"/>
  <c r="J653" i="60"/>
  <c r="J616" i="60"/>
  <c r="J620" i="60"/>
  <c r="J624" i="60"/>
  <c r="J628" i="60"/>
  <c r="J632" i="60"/>
  <c r="J636" i="60"/>
  <c r="J640" i="60"/>
  <c r="J644" i="60"/>
  <c r="J648" i="60"/>
  <c r="J652" i="60"/>
  <c r="J658" i="60"/>
  <c r="J660" i="60"/>
  <c r="J662" i="60"/>
  <c r="J664" i="60"/>
  <c r="J666" i="60"/>
  <c r="J668" i="60"/>
  <c r="J670" i="60"/>
  <c r="J672" i="60"/>
  <c r="J674" i="60"/>
  <c r="J676" i="60"/>
  <c r="J678" i="60"/>
  <c r="J680" i="60"/>
  <c r="J682" i="60"/>
  <c r="J684" i="60"/>
  <c r="J686" i="60"/>
  <c r="J688" i="60"/>
  <c r="J690" i="60"/>
  <c r="J692" i="60"/>
  <c r="J693" i="60"/>
  <c r="J694" i="60"/>
  <c r="J695" i="60"/>
  <c r="J696" i="60"/>
  <c r="J697" i="60"/>
  <c r="J698" i="60"/>
  <c r="J699" i="60"/>
  <c r="J700" i="60"/>
  <c r="J708" i="60"/>
  <c r="J712" i="60"/>
  <c r="J707" i="60"/>
  <c r="J711" i="60"/>
  <c r="J715" i="60"/>
  <c r="J604" i="60"/>
  <c r="J605" i="60"/>
  <c r="J608" i="60"/>
  <c r="J602" i="60"/>
  <c r="J603" i="60"/>
  <c r="J606" i="60"/>
  <c r="J607" i="60"/>
  <c r="J609" i="60"/>
  <c r="J610" i="60"/>
  <c r="J568" i="60"/>
  <c r="H569" i="60" l="1"/>
  <c r="J569" i="60" s="1"/>
  <c r="H570" i="60"/>
  <c r="J570" i="60" s="1"/>
  <c r="H571" i="60"/>
  <c r="H572" i="60"/>
  <c r="J572" i="60" s="1"/>
  <c r="H573" i="60"/>
  <c r="J573" i="60" s="1"/>
  <c r="H574" i="60"/>
  <c r="J574" i="60" s="1"/>
  <c r="H575" i="60"/>
  <c r="H576" i="60"/>
  <c r="J576" i="60" s="1"/>
  <c r="H577" i="60"/>
  <c r="J577" i="60" s="1"/>
  <c r="H578" i="60"/>
  <c r="J578" i="60" s="1"/>
  <c r="H579" i="60"/>
  <c r="H580" i="60"/>
  <c r="J580" i="60" s="1"/>
  <c r="H581" i="60"/>
  <c r="J581" i="60" s="1"/>
  <c r="H582" i="60"/>
  <c r="J582" i="60" s="1"/>
  <c r="H583" i="60"/>
  <c r="H584" i="60"/>
  <c r="J584" i="60" s="1"/>
  <c r="H585" i="60"/>
  <c r="J585" i="60" s="1"/>
  <c r="H586" i="60"/>
  <c r="J586" i="60" s="1"/>
  <c r="H587" i="60"/>
  <c r="H588" i="60"/>
  <c r="J588" i="60" s="1"/>
  <c r="H589" i="60"/>
  <c r="J589" i="60" s="1"/>
  <c r="H590" i="60"/>
  <c r="J590" i="60" s="1"/>
  <c r="H591" i="60"/>
  <c r="H592" i="60"/>
  <c r="J592" i="60" s="1"/>
  <c r="H593" i="60"/>
  <c r="J593" i="60" s="1"/>
  <c r="H594" i="60"/>
  <c r="J594" i="60" s="1"/>
  <c r="H595" i="60"/>
  <c r="H596" i="60"/>
  <c r="J596" i="60" s="1"/>
  <c r="H597" i="60"/>
  <c r="J597" i="60" s="1"/>
  <c r="H598" i="60"/>
  <c r="J598" i="60" s="1"/>
  <c r="H599" i="60"/>
  <c r="H600" i="60"/>
  <c r="J600" i="60" s="1"/>
  <c r="H601" i="60"/>
  <c r="J601" i="60" s="1"/>
  <c r="C1484" i="34"/>
  <c r="B1484" i="34" s="1"/>
  <c r="K1483" i="34"/>
  <c r="C1483" i="34"/>
  <c r="B1483" i="34" s="1"/>
  <c r="K1508" i="34"/>
  <c r="C1508" i="34"/>
  <c r="B1508" i="34" s="1"/>
  <c r="C1509" i="34"/>
  <c r="B1509" i="34" s="1"/>
  <c r="K1507" i="34"/>
  <c r="C1507" i="34"/>
  <c r="B1507" i="34" s="1"/>
  <c r="C1718" i="34"/>
  <c r="B1718" i="34" s="1"/>
  <c r="C1717" i="34"/>
  <c r="B1717" i="34" s="1"/>
  <c r="K1716" i="34"/>
  <c r="C1716" i="34"/>
  <c r="B1716" i="34" s="1"/>
  <c r="C1715" i="34"/>
  <c r="B1715" i="34" s="1"/>
  <c r="K1714" i="34"/>
  <c r="C1714" i="34"/>
  <c r="B1714" i="34" s="1"/>
  <c r="Z1714" i="34" l="1"/>
  <c r="W1714" i="34"/>
  <c r="A1714" i="34"/>
  <c r="Z1483" i="34"/>
  <c r="W1483" i="34"/>
  <c r="A1483" i="34"/>
  <c r="Z1717" i="34"/>
  <c r="W1717" i="34"/>
  <c r="A1717" i="34"/>
  <c r="Z1509" i="34"/>
  <c r="W1509" i="34"/>
  <c r="A1509" i="34"/>
  <c r="Z1715" i="34"/>
  <c r="W1715" i="34"/>
  <c r="A1715" i="34"/>
  <c r="Z1718" i="34"/>
  <c r="W1718" i="34"/>
  <c r="A1718" i="34"/>
  <c r="Z1508" i="34"/>
  <c r="W1508" i="34"/>
  <c r="A1508" i="34"/>
  <c r="Z1484" i="34"/>
  <c r="W1484" i="34"/>
  <c r="A1484" i="34"/>
  <c r="Z1716" i="34"/>
  <c r="W1716" i="34"/>
  <c r="A1716" i="34"/>
  <c r="Z1507" i="34"/>
  <c r="W1507" i="34"/>
  <c r="A1507" i="34"/>
  <c r="J599" i="60"/>
  <c r="J595" i="60"/>
  <c r="J591" i="60"/>
  <c r="J587" i="60"/>
  <c r="J583" i="60"/>
  <c r="J579" i="60"/>
  <c r="J575" i="60"/>
  <c r="J571" i="60"/>
  <c r="C1894" i="34"/>
  <c r="B1894" i="34" s="1"/>
  <c r="C1893" i="34"/>
  <c r="B1893" i="34" s="1"/>
  <c r="C1753" i="34"/>
  <c r="B1753" i="34" s="1"/>
  <c r="C1752" i="34"/>
  <c r="B1752" i="34" s="1"/>
  <c r="Z1893" i="34" l="1"/>
  <c r="W1893" i="34"/>
  <c r="A1893" i="34"/>
  <c r="Z1894" i="34"/>
  <c r="W1894" i="34"/>
  <c r="A1894" i="34"/>
  <c r="W1752" i="34"/>
  <c r="Z1752" i="34"/>
  <c r="A1752" i="34"/>
  <c r="W1753" i="34"/>
  <c r="Z1753" i="34"/>
  <c r="A1753" i="34"/>
  <c r="C1671" i="34"/>
  <c r="B1671" i="34" s="1"/>
  <c r="C1670" i="34"/>
  <c r="B1670" i="34" s="1"/>
  <c r="C1669" i="34"/>
  <c r="B1669" i="34" s="1"/>
  <c r="C1789" i="34"/>
  <c r="B1789" i="34" s="1"/>
  <c r="C1788" i="34"/>
  <c r="B1788" i="34" s="1"/>
  <c r="C1667" i="34"/>
  <c r="B1667" i="34" s="1"/>
  <c r="C1668" i="34"/>
  <c r="B1668" i="34" s="1"/>
  <c r="C1666" i="34"/>
  <c r="B1666" i="34" s="1"/>
  <c r="AC1455" i="34"/>
  <c r="C1455" i="34"/>
  <c r="B1455" i="34" s="1"/>
  <c r="AC1454" i="34"/>
  <c r="C1454" i="34"/>
  <c r="B1454" i="34" s="1"/>
  <c r="AC1453" i="34"/>
  <c r="K1453" i="34"/>
  <c r="C1453" i="34"/>
  <c r="B1453" i="34" s="1"/>
  <c r="C1464" i="34"/>
  <c r="B1464" i="34" s="1"/>
  <c r="AC1463" i="34"/>
  <c r="C1463" i="34"/>
  <c r="B1463" i="34" s="1"/>
  <c r="AC1462" i="34"/>
  <c r="K1462" i="34"/>
  <c r="C1462" i="34"/>
  <c r="B1462" i="34" s="1"/>
  <c r="K1418" i="34"/>
  <c r="C1418" i="34"/>
  <c r="B1418" i="34" s="1"/>
  <c r="C1420" i="34"/>
  <c r="B1420" i="34" s="1"/>
  <c r="K1419" i="34"/>
  <c r="C1419" i="34"/>
  <c r="B1419" i="34" s="1"/>
  <c r="K1417" i="34"/>
  <c r="C1417" i="34"/>
  <c r="B1417" i="34" s="1"/>
  <c r="C1449" i="34"/>
  <c r="B1449" i="34" s="1"/>
  <c r="K1448" i="34"/>
  <c r="C1448" i="34"/>
  <c r="B1448" i="34" s="1"/>
  <c r="K1447" i="34"/>
  <c r="C1447" i="34"/>
  <c r="B1447" i="34" s="1"/>
  <c r="W1447" i="34" l="1"/>
  <c r="Z1447" i="34"/>
  <c r="A1447" i="34"/>
  <c r="W1417" i="34"/>
  <c r="Z1417" i="34"/>
  <c r="A1417" i="34"/>
  <c r="Z1420" i="34"/>
  <c r="W1420" i="34"/>
  <c r="A1420" i="34"/>
  <c r="Z1464" i="34"/>
  <c r="W1464" i="34"/>
  <c r="A1464" i="34"/>
  <c r="Z1454" i="34"/>
  <c r="W1454" i="34"/>
  <c r="A1454" i="34"/>
  <c r="Z1666" i="34"/>
  <c r="W1666" i="34"/>
  <c r="A1666" i="34"/>
  <c r="Z1789" i="34"/>
  <c r="W1789" i="34"/>
  <c r="A1789" i="34"/>
  <c r="Z1448" i="34"/>
  <c r="W1448" i="34"/>
  <c r="A1448" i="34"/>
  <c r="Z1418" i="34"/>
  <c r="W1418" i="34"/>
  <c r="A1418" i="34"/>
  <c r="W1453" i="34"/>
  <c r="Z1453" i="34"/>
  <c r="A1453" i="34"/>
  <c r="Z1668" i="34"/>
  <c r="W1668" i="34"/>
  <c r="A1668" i="34"/>
  <c r="Z1669" i="34"/>
  <c r="W1669" i="34"/>
  <c r="A1669" i="34"/>
  <c r="W1419" i="34"/>
  <c r="Z1419" i="34"/>
  <c r="A1419" i="34"/>
  <c r="Z1463" i="34"/>
  <c r="W1463" i="34"/>
  <c r="A1463" i="34"/>
  <c r="Z1455" i="34"/>
  <c r="W1455" i="34"/>
  <c r="A1455" i="34"/>
  <c r="Z1667" i="34"/>
  <c r="W1667" i="34"/>
  <c r="A1667" i="34"/>
  <c r="Z1670" i="34"/>
  <c r="W1670" i="34"/>
  <c r="A1670" i="34"/>
  <c r="W1449" i="34"/>
  <c r="Z1449" i="34"/>
  <c r="A1449" i="34"/>
  <c r="Z1462" i="34"/>
  <c r="W1462" i="34"/>
  <c r="A1462" i="34"/>
  <c r="Z1788" i="34"/>
  <c r="W1788" i="34"/>
  <c r="A1788" i="34"/>
  <c r="Z1671" i="34"/>
  <c r="W1671" i="34"/>
  <c r="A1671" i="34"/>
  <c r="I1973" i="34"/>
  <c r="K1973" i="34" s="1"/>
  <c r="C1973" i="34"/>
  <c r="B1973" i="34" s="1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C1010" i="34"/>
  <c r="B1010" i="34" s="1"/>
  <c r="C1694" i="34"/>
  <c r="B1694" i="34" s="1"/>
  <c r="C1693" i="34"/>
  <c r="B1693" i="34" s="1"/>
  <c r="C1941" i="34"/>
  <c r="B1941" i="34" s="1"/>
  <c r="C1940" i="34"/>
  <c r="B1940" i="34" s="1"/>
  <c r="C1939" i="34"/>
  <c r="B1939" i="34" s="1"/>
  <c r="C1938" i="34"/>
  <c r="B1938" i="34" s="1"/>
  <c r="C1937" i="34"/>
  <c r="B1937" i="34" s="1"/>
  <c r="C1936" i="34"/>
  <c r="B1936" i="34" s="1"/>
  <c r="C1935" i="34"/>
  <c r="B1935" i="34" s="1"/>
  <c r="C1929" i="34"/>
  <c r="B1929" i="34" s="1"/>
  <c r="C1928" i="34"/>
  <c r="B1928" i="34" s="1"/>
  <c r="C1927" i="34"/>
  <c r="B1927" i="34" s="1"/>
  <c r="C1926" i="34"/>
  <c r="B1926" i="34" s="1"/>
  <c r="C1925" i="34"/>
  <c r="B1925" i="34" s="1"/>
  <c r="C1911" i="34"/>
  <c r="B1911" i="34" s="1"/>
  <c r="C1910" i="34"/>
  <c r="B1910" i="34" s="1"/>
  <c r="C1909" i="34"/>
  <c r="B1909" i="34" s="1"/>
  <c r="C1908" i="34"/>
  <c r="B1908" i="34" s="1"/>
  <c r="C1902" i="34"/>
  <c r="B1902" i="34" s="1"/>
  <c r="C1890" i="34"/>
  <c r="B1890" i="34" s="1"/>
  <c r="C1889" i="34"/>
  <c r="B1889" i="34" s="1"/>
  <c r="C1888" i="34"/>
  <c r="B1888" i="34" s="1"/>
  <c r="C1887" i="34"/>
  <c r="B1887" i="34" s="1"/>
  <c r="C1886" i="34"/>
  <c r="B1886" i="34" s="1"/>
  <c r="C1885" i="34"/>
  <c r="B1885" i="34" s="1"/>
  <c r="C1933" i="34"/>
  <c r="B1933" i="34" s="1"/>
  <c r="C1932" i="34"/>
  <c r="B1932" i="34" s="1"/>
  <c r="C1931" i="34"/>
  <c r="B1931" i="34" s="1"/>
  <c r="C1930" i="34"/>
  <c r="B1930" i="34" s="1"/>
  <c r="C1892" i="34"/>
  <c r="B1892" i="34" s="1"/>
  <c r="C1891" i="34"/>
  <c r="B1891" i="34" s="1"/>
  <c r="C1872" i="34"/>
  <c r="B1872" i="34" s="1"/>
  <c r="C1871" i="34"/>
  <c r="B1871" i="34" s="1"/>
  <c r="C1868" i="34"/>
  <c r="B1868" i="34" s="1"/>
  <c r="C1867" i="34"/>
  <c r="B1867" i="34" s="1"/>
  <c r="C1866" i="34"/>
  <c r="B1866" i="34" s="1"/>
  <c r="C1865" i="34"/>
  <c r="B1865" i="34" s="1"/>
  <c r="C1858" i="34"/>
  <c r="B1858" i="34" s="1"/>
  <c r="C1851" i="34"/>
  <c r="B1851" i="34" s="1"/>
  <c r="C1850" i="34"/>
  <c r="B1850" i="34" s="1"/>
  <c r="C1849" i="34"/>
  <c r="B1849" i="34" s="1"/>
  <c r="C1934" i="34"/>
  <c r="B1934" i="34" s="1"/>
  <c r="C1884" i="34"/>
  <c r="B1884" i="34" s="1"/>
  <c r="C1883" i="34"/>
  <c r="B1883" i="34" s="1"/>
  <c r="C1874" i="34"/>
  <c r="B1874" i="34" s="1"/>
  <c r="C1873" i="34"/>
  <c r="B1873" i="34" s="1"/>
  <c r="C1828" i="34"/>
  <c r="B1828" i="34" s="1"/>
  <c r="C1822" i="34"/>
  <c r="B1822" i="34" s="1"/>
  <c r="C1821" i="34"/>
  <c r="B1821" i="34" s="1"/>
  <c r="C1820" i="34"/>
  <c r="B1820" i="34" s="1"/>
  <c r="C1819" i="34"/>
  <c r="B1819" i="34" s="1"/>
  <c r="C1818" i="34"/>
  <c r="B1818" i="34" s="1"/>
  <c r="C1817" i="34"/>
  <c r="B1817" i="34" s="1"/>
  <c r="C1816" i="34"/>
  <c r="B1816" i="34" s="1"/>
  <c r="C1815" i="34"/>
  <c r="B1815" i="34" s="1"/>
  <c r="C1814" i="34"/>
  <c r="B1814" i="34" s="1"/>
  <c r="C1813" i="34"/>
  <c r="B1813" i="34" s="1"/>
  <c r="C1486" i="34"/>
  <c r="B1486" i="34" s="1"/>
  <c r="C1485" i="34"/>
  <c r="B1485" i="34" s="1"/>
  <c r="C1812" i="34"/>
  <c r="B1812" i="34" s="1"/>
  <c r="C1804" i="34"/>
  <c r="B1804" i="34" s="1"/>
  <c r="C1803" i="34"/>
  <c r="B1803" i="34" s="1"/>
  <c r="C1768" i="34"/>
  <c r="B1768" i="34" s="1"/>
  <c r="C1746" i="34"/>
  <c r="B1746" i="34" s="1"/>
  <c r="C1745" i="34"/>
  <c r="B1745" i="34" s="1"/>
  <c r="C1744" i="34"/>
  <c r="B1744" i="34" s="1"/>
  <c r="C1743" i="34"/>
  <c r="B1743" i="34" s="1"/>
  <c r="C1742" i="34"/>
  <c r="B1742" i="34" s="1"/>
  <c r="C1741" i="34"/>
  <c r="B1741" i="34" s="1"/>
  <c r="C1740" i="34"/>
  <c r="B1740" i="34" s="1"/>
  <c r="B408" i="55"/>
  <c r="A408" i="55" s="1"/>
  <c r="Z1973" i="34" l="1"/>
  <c r="W1973" i="34"/>
  <c r="A1973" i="34"/>
  <c r="T1741" i="34"/>
  <c r="W1741" i="34"/>
  <c r="U1741" i="34"/>
  <c r="Z1741" i="34"/>
  <c r="S1741" i="34"/>
  <c r="A1741" i="34"/>
  <c r="T1745" i="34"/>
  <c r="W1745" i="34"/>
  <c r="U1745" i="34"/>
  <c r="Z1745" i="34"/>
  <c r="S1745" i="34"/>
  <c r="A1745" i="34"/>
  <c r="U1804" i="34"/>
  <c r="S1804" i="34"/>
  <c r="Z1804" i="34"/>
  <c r="T1804" i="34"/>
  <c r="W1804" i="34"/>
  <c r="A1804" i="34"/>
  <c r="S1813" i="34"/>
  <c r="Z1813" i="34"/>
  <c r="T1813" i="34"/>
  <c r="W1813" i="34"/>
  <c r="U1813" i="34"/>
  <c r="A1813" i="34"/>
  <c r="S1817" i="34"/>
  <c r="Z1817" i="34"/>
  <c r="T1817" i="34"/>
  <c r="W1817" i="34"/>
  <c r="U1817" i="34"/>
  <c r="A1817" i="34"/>
  <c r="S1821" i="34"/>
  <c r="Z1821" i="34"/>
  <c r="T1821" i="34"/>
  <c r="W1821" i="34"/>
  <c r="U1821" i="34"/>
  <c r="A1821" i="34"/>
  <c r="U1874" i="34"/>
  <c r="S1874" i="34"/>
  <c r="Z1874" i="34"/>
  <c r="T1874" i="34"/>
  <c r="W1874" i="34"/>
  <c r="A1874" i="34"/>
  <c r="S1849" i="34"/>
  <c r="Z1849" i="34"/>
  <c r="T1849" i="34"/>
  <c r="W1849" i="34"/>
  <c r="U1849" i="34"/>
  <c r="A1849" i="34"/>
  <c r="S1865" i="34"/>
  <c r="Z1865" i="34"/>
  <c r="T1865" i="34"/>
  <c r="W1865" i="34"/>
  <c r="U1865" i="34"/>
  <c r="A1865" i="34"/>
  <c r="S1871" i="34"/>
  <c r="Z1871" i="34"/>
  <c r="T1871" i="34"/>
  <c r="W1871" i="34"/>
  <c r="U1871" i="34"/>
  <c r="A1871" i="34"/>
  <c r="U1930" i="34"/>
  <c r="S1930" i="34"/>
  <c r="Z1930" i="34"/>
  <c r="T1930" i="34"/>
  <c r="W1930" i="34"/>
  <c r="A1930" i="34"/>
  <c r="S1885" i="34"/>
  <c r="Z1885" i="34"/>
  <c r="T1885" i="34"/>
  <c r="W1885" i="34"/>
  <c r="U1885" i="34"/>
  <c r="A1885" i="34"/>
  <c r="S1889" i="34"/>
  <c r="Z1889" i="34"/>
  <c r="T1889" i="34"/>
  <c r="W1889" i="34"/>
  <c r="U1889" i="34"/>
  <c r="A1889" i="34"/>
  <c r="S1909" i="34"/>
  <c r="Z1909" i="34"/>
  <c r="T1909" i="34"/>
  <c r="W1909" i="34"/>
  <c r="U1909" i="34"/>
  <c r="A1909" i="34"/>
  <c r="U1926" i="34"/>
  <c r="S1926" i="34"/>
  <c r="Z1926" i="34"/>
  <c r="T1926" i="34"/>
  <c r="W1926" i="34"/>
  <c r="A1926" i="34"/>
  <c r="S1935" i="34"/>
  <c r="Z1935" i="34"/>
  <c r="T1935" i="34"/>
  <c r="W1935" i="34"/>
  <c r="U1935" i="34"/>
  <c r="A1935" i="34"/>
  <c r="S1939" i="34"/>
  <c r="Z1939" i="34"/>
  <c r="T1939" i="34"/>
  <c r="W1939" i="34"/>
  <c r="U1939" i="34"/>
  <c r="A1939" i="34"/>
  <c r="S1694" i="34"/>
  <c r="Z1694" i="34"/>
  <c r="T1694" i="34"/>
  <c r="W1694" i="34"/>
  <c r="U1694" i="34"/>
  <c r="A1694" i="34"/>
  <c r="T1742" i="34"/>
  <c r="W1742" i="34"/>
  <c r="S1742" i="34"/>
  <c r="U1742" i="34"/>
  <c r="Z1742" i="34"/>
  <c r="A1742" i="34"/>
  <c r="T1746" i="34"/>
  <c r="W1746" i="34"/>
  <c r="S1746" i="34"/>
  <c r="U1746" i="34"/>
  <c r="Z1746" i="34"/>
  <c r="A1746" i="34"/>
  <c r="U1812" i="34"/>
  <c r="S1812" i="34"/>
  <c r="Z1812" i="34"/>
  <c r="T1812" i="34"/>
  <c r="W1812" i="34"/>
  <c r="A1812" i="34"/>
  <c r="U1814" i="34"/>
  <c r="S1814" i="34"/>
  <c r="Z1814" i="34"/>
  <c r="T1814" i="34"/>
  <c r="W1814" i="34"/>
  <c r="A1814" i="34"/>
  <c r="U1818" i="34"/>
  <c r="S1818" i="34"/>
  <c r="Z1818" i="34"/>
  <c r="T1818" i="34"/>
  <c r="W1818" i="34"/>
  <c r="A1818" i="34"/>
  <c r="U1822" i="34"/>
  <c r="S1822" i="34"/>
  <c r="Z1822" i="34"/>
  <c r="T1822" i="34"/>
  <c r="W1822" i="34"/>
  <c r="A1822" i="34"/>
  <c r="S1883" i="34"/>
  <c r="Z1883" i="34"/>
  <c r="T1883" i="34"/>
  <c r="W1883" i="34"/>
  <c r="U1883" i="34"/>
  <c r="A1883" i="34"/>
  <c r="U1850" i="34"/>
  <c r="S1850" i="34"/>
  <c r="Z1850" i="34"/>
  <c r="T1850" i="34"/>
  <c r="W1850" i="34"/>
  <c r="A1850" i="34"/>
  <c r="U1866" i="34"/>
  <c r="S1866" i="34"/>
  <c r="Z1866" i="34"/>
  <c r="T1866" i="34"/>
  <c r="W1866" i="34"/>
  <c r="A1866" i="34"/>
  <c r="U1872" i="34"/>
  <c r="S1872" i="34"/>
  <c r="Z1872" i="34"/>
  <c r="T1872" i="34"/>
  <c r="W1872" i="34"/>
  <c r="A1872" i="34"/>
  <c r="S1931" i="34"/>
  <c r="Z1931" i="34"/>
  <c r="T1931" i="34"/>
  <c r="W1931" i="34"/>
  <c r="U1931" i="34"/>
  <c r="A1931" i="34"/>
  <c r="U1886" i="34"/>
  <c r="S1886" i="34"/>
  <c r="Z1886" i="34"/>
  <c r="T1886" i="34"/>
  <c r="W1886" i="34"/>
  <c r="A1886" i="34"/>
  <c r="U1890" i="34"/>
  <c r="S1890" i="34"/>
  <c r="Z1890" i="34"/>
  <c r="T1890" i="34"/>
  <c r="W1890" i="34"/>
  <c r="A1890" i="34"/>
  <c r="U1910" i="34"/>
  <c r="S1910" i="34"/>
  <c r="Z1910" i="34"/>
  <c r="T1910" i="34"/>
  <c r="W1910" i="34"/>
  <c r="A1910" i="34"/>
  <c r="S1927" i="34"/>
  <c r="Z1927" i="34"/>
  <c r="T1927" i="34"/>
  <c r="W1927" i="34"/>
  <c r="U1927" i="34"/>
  <c r="A1927" i="34"/>
  <c r="U1936" i="34"/>
  <c r="S1936" i="34"/>
  <c r="Z1936" i="34"/>
  <c r="T1936" i="34"/>
  <c r="W1936" i="34"/>
  <c r="A1936" i="34"/>
  <c r="U1940" i="34"/>
  <c r="S1940" i="34"/>
  <c r="Z1940" i="34"/>
  <c r="T1940" i="34"/>
  <c r="W1940" i="34"/>
  <c r="A1940" i="34"/>
  <c r="Z1010" i="34"/>
  <c r="W1010" i="34"/>
  <c r="A1010" i="34"/>
  <c r="T1743" i="34"/>
  <c r="W1743" i="34"/>
  <c r="S1743" i="34"/>
  <c r="U1743" i="34"/>
  <c r="Z1743" i="34"/>
  <c r="A1743" i="34"/>
  <c r="T1768" i="34"/>
  <c r="W1768" i="34"/>
  <c r="U1768" i="34"/>
  <c r="Z1768" i="34"/>
  <c r="S1768" i="34"/>
  <c r="A1768" i="34"/>
  <c r="U1485" i="34"/>
  <c r="S1485" i="34"/>
  <c r="Z1485" i="34"/>
  <c r="T1485" i="34"/>
  <c r="W1485" i="34"/>
  <c r="A1485" i="34"/>
  <c r="S1815" i="34"/>
  <c r="Z1815" i="34"/>
  <c r="T1815" i="34"/>
  <c r="W1815" i="34"/>
  <c r="U1815" i="34"/>
  <c r="A1815" i="34"/>
  <c r="S1819" i="34"/>
  <c r="Z1819" i="34"/>
  <c r="T1819" i="34"/>
  <c r="W1819" i="34"/>
  <c r="U1819" i="34"/>
  <c r="A1819" i="34"/>
  <c r="U1828" i="34"/>
  <c r="S1828" i="34"/>
  <c r="Z1828" i="34"/>
  <c r="T1828" i="34"/>
  <c r="W1828" i="34"/>
  <c r="A1828" i="34"/>
  <c r="U1884" i="34"/>
  <c r="S1884" i="34"/>
  <c r="Z1884" i="34"/>
  <c r="T1884" i="34"/>
  <c r="W1884" i="34"/>
  <c r="A1884" i="34"/>
  <c r="S1851" i="34"/>
  <c r="Z1851" i="34"/>
  <c r="T1851" i="34"/>
  <c r="W1851" i="34"/>
  <c r="U1851" i="34"/>
  <c r="A1851" i="34"/>
  <c r="S1867" i="34"/>
  <c r="Z1867" i="34"/>
  <c r="T1867" i="34"/>
  <c r="W1867" i="34"/>
  <c r="U1867" i="34"/>
  <c r="A1867" i="34"/>
  <c r="S1891" i="34"/>
  <c r="Z1891" i="34"/>
  <c r="T1891" i="34"/>
  <c r="W1891" i="34"/>
  <c r="U1891" i="34"/>
  <c r="A1891" i="34"/>
  <c r="U1932" i="34"/>
  <c r="S1932" i="34"/>
  <c r="Z1932" i="34"/>
  <c r="T1932" i="34"/>
  <c r="W1932" i="34"/>
  <c r="A1932" i="34"/>
  <c r="S1887" i="34"/>
  <c r="Z1887" i="34"/>
  <c r="T1887" i="34"/>
  <c r="W1887" i="34"/>
  <c r="U1887" i="34"/>
  <c r="A1887" i="34"/>
  <c r="U1902" i="34"/>
  <c r="S1902" i="34"/>
  <c r="Z1902" i="34"/>
  <c r="T1902" i="34"/>
  <c r="W1902" i="34"/>
  <c r="A1902" i="34"/>
  <c r="S1911" i="34"/>
  <c r="Z1911" i="34"/>
  <c r="T1911" i="34"/>
  <c r="W1911" i="34"/>
  <c r="U1911" i="34"/>
  <c r="A1911" i="34"/>
  <c r="U1928" i="34"/>
  <c r="S1928" i="34"/>
  <c r="Z1928" i="34"/>
  <c r="T1928" i="34"/>
  <c r="W1928" i="34"/>
  <c r="A1928" i="34"/>
  <c r="S1937" i="34"/>
  <c r="Z1937" i="34"/>
  <c r="T1937" i="34"/>
  <c r="W1937" i="34"/>
  <c r="U1937" i="34"/>
  <c r="A1937" i="34"/>
  <c r="S1941" i="34"/>
  <c r="Z1941" i="34"/>
  <c r="T1941" i="34"/>
  <c r="W1941" i="34"/>
  <c r="U1941" i="34"/>
  <c r="A1941" i="34"/>
  <c r="T1740" i="34"/>
  <c r="W1740" i="34"/>
  <c r="S1740" i="34"/>
  <c r="U1740" i="34"/>
  <c r="Z1740" i="34"/>
  <c r="A1740" i="34"/>
  <c r="T1744" i="34"/>
  <c r="W1744" i="34"/>
  <c r="S1744" i="34"/>
  <c r="U1744" i="34"/>
  <c r="Z1744" i="34"/>
  <c r="A1744" i="34"/>
  <c r="S1803" i="34"/>
  <c r="Z1803" i="34"/>
  <c r="T1803" i="34"/>
  <c r="W1803" i="34"/>
  <c r="U1803" i="34"/>
  <c r="A1803" i="34"/>
  <c r="S1486" i="34"/>
  <c r="Z1486" i="34"/>
  <c r="T1486" i="34"/>
  <c r="W1486" i="34"/>
  <c r="U1486" i="34"/>
  <c r="A1486" i="34"/>
  <c r="U1816" i="34"/>
  <c r="S1816" i="34"/>
  <c r="Z1816" i="34"/>
  <c r="T1816" i="34"/>
  <c r="W1816" i="34"/>
  <c r="A1816" i="34"/>
  <c r="U1820" i="34"/>
  <c r="S1820" i="34"/>
  <c r="Z1820" i="34"/>
  <c r="T1820" i="34"/>
  <c r="W1820" i="34"/>
  <c r="A1820" i="34"/>
  <c r="S1873" i="34"/>
  <c r="Z1873" i="34"/>
  <c r="T1873" i="34"/>
  <c r="W1873" i="34"/>
  <c r="U1873" i="34"/>
  <c r="A1873" i="34"/>
  <c r="U1934" i="34"/>
  <c r="S1934" i="34"/>
  <c r="Z1934" i="34"/>
  <c r="T1934" i="34"/>
  <c r="W1934" i="34"/>
  <c r="A1934" i="34"/>
  <c r="U1858" i="34"/>
  <c r="S1858" i="34"/>
  <c r="Z1858" i="34"/>
  <c r="T1858" i="34"/>
  <c r="W1858" i="34"/>
  <c r="A1858" i="34"/>
  <c r="U1868" i="34"/>
  <c r="S1868" i="34"/>
  <c r="Z1868" i="34"/>
  <c r="T1868" i="34"/>
  <c r="W1868" i="34"/>
  <c r="A1868" i="34"/>
  <c r="U1892" i="34"/>
  <c r="S1892" i="34"/>
  <c r="Z1892" i="34"/>
  <c r="T1892" i="34"/>
  <c r="W1892" i="34"/>
  <c r="A1892" i="34"/>
  <c r="S1933" i="34"/>
  <c r="Z1933" i="34"/>
  <c r="T1933" i="34"/>
  <c r="W1933" i="34"/>
  <c r="U1933" i="34"/>
  <c r="A1933" i="34"/>
  <c r="U1888" i="34"/>
  <c r="S1888" i="34"/>
  <c r="Z1888" i="34"/>
  <c r="T1888" i="34"/>
  <c r="W1888" i="34"/>
  <c r="A1888" i="34"/>
  <c r="U1908" i="34"/>
  <c r="S1908" i="34"/>
  <c r="Z1908" i="34"/>
  <c r="T1908" i="34"/>
  <c r="W1908" i="34"/>
  <c r="A1908" i="34"/>
  <c r="S1925" i="34"/>
  <c r="Z1925" i="34"/>
  <c r="T1925" i="34"/>
  <c r="W1925" i="34"/>
  <c r="U1925" i="34"/>
  <c r="A1925" i="34"/>
  <c r="S1929" i="34"/>
  <c r="Z1929" i="34"/>
  <c r="T1929" i="34"/>
  <c r="W1929" i="34"/>
  <c r="U1929" i="34"/>
  <c r="A1929" i="34"/>
  <c r="U1938" i="34"/>
  <c r="S1938" i="34"/>
  <c r="Z1938" i="34"/>
  <c r="T1938" i="34"/>
  <c r="W1938" i="34"/>
  <c r="A1938" i="34"/>
  <c r="U1693" i="34"/>
  <c r="S1693" i="34"/>
  <c r="Z1693" i="34"/>
  <c r="T1693" i="34"/>
  <c r="W1693" i="34"/>
  <c r="A1693" i="34"/>
  <c r="K1942" i="34"/>
  <c r="K1921" i="34"/>
  <c r="K1912" i="34"/>
  <c r="K1903" i="34"/>
  <c r="K1900" i="34"/>
  <c r="K1881" i="34"/>
  <c r="K1915" i="34"/>
  <c r="C1915" i="34"/>
  <c r="B1915" i="34" s="1"/>
  <c r="K1914" i="34"/>
  <c r="C1914" i="34"/>
  <c r="B1914" i="34" s="1"/>
  <c r="C1913" i="34"/>
  <c r="B1913" i="34" s="1"/>
  <c r="C1912" i="34"/>
  <c r="B1912" i="34" s="1"/>
  <c r="C1907" i="34"/>
  <c r="B1907" i="34" s="1"/>
  <c r="K1906" i="34"/>
  <c r="C1906" i="34"/>
  <c r="B1906" i="34" s="1"/>
  <c r="K1905" i="34"/>
  <c r="C1905" i="34"/>
  <c r="B1905" i="34" s="1"/>
  <c r="C1904" i="34"/>
  <c r="B1904" i="34" s="1"/>
  <c r="C1903" i="34"/>
  <c r="B1903" i="34" s="1"/>
  <c r="C1901" i="34"/>
  <c r="B1901" i="34" s="1"/>
  <c r="C1900" i="34"/>
  <c r="B1900" i="34" s="1"/>
  <c r="C1899" i="34"/>
  <c r="B1899" i="34" s="1"/>
  <c r="K1898" i="34"/>
  <c r="C1898" i="34"/>
  <c r="B1898" i="34" s="1"/>
  <c r="K1897" i="34"/>
  <c r="C1897" i="34"/>
  <c r="B1897" i="34" s="1"/>
  <c r="K1896" i="34"/>
  <c r="C1896" i="34"/>
  <c r="B1896" i="34" s="1"/>
  <c r="K1895" i="34"/>
  <c r="C1895" i="34"/>
  <c r="B1895" i="34" s="1"/>
  <c r="C1882" i="34"/>
  <c r="B1882" i="34" s="1"/>
  <c r="C1881" i="34"/>
  <c r="B1881" i="34" s="1"/>
  <c r="K1947" i="34"/>
  <c r="C1947" i="34"/>
  <c r="B1947" i="34" s="1"/>
  <c r="C1946" i="34"/>
  <c r="B1946" i="34" s="1"/>
  <c r="K1945" i="34"/>
  <c r="C1945" i="34"/>
  <c r="B1945" i="34" s="1"/>
  <c r="C1943" i="34"/>
  <c r="B1943" i="34" s="1"/>
  <c r="C1942" i="34"/>
  <c r="B1942" i="34" s="1"/>
  <c r="C1922" i="34"/>
  <c r="B1922" i="34" s="1"/>
  <c r="C1921" i="34"/>
  <c r="B1921" i="34" s="1"/>
  <c r="C1917" i="34"/>
  <c r="B1917" i="34" s="1"/>
  <c r="K1916" i="34"/>
  <c r="C1916" i="34"/>
  <c r="B1916" i="34" s="1"/>
  <c r="K1879" i="34"/>
  <c r="K1877" i="34"/>
  <c r="K1875" i="34"/>
  <c r="K1869" i="34"/>
  <c r="K1863" i="34"/>
  <c r="K1861" i="34"/>
  <c r="K1842" i="34"/>
  <c r="C1870" i="34"/>
  <c r="B1870" i="34" s="1"/>
  <c r="C1869" i="34"/>
  <c r="B1869" i="34" s="1"/>
  <c r="C1864" i="34"/>
  <c r="B1864" i="34" s="1"/>
  <c r="C1863" i="34"/>
  <c r="B1863" i="34" s="1"/>
  <c r="C1862" i="34"/>
  <c r="B1862" i="34" s="1"/>
  <c r="C1861" i="34"/>
  <c r="B1861" i="34" s="1"/>
  <c r="C1860" i="34"/>
  <c r="B1860" i="34" s="1"/>
  <c r="K1859" i="34"/>
  <c r="C1859" i="34"/>
  <c r="B1859" i="34" s="1"/>
  <c r="C1857" i="34"/>
  <c r="B1857" i="34" s="1"/>
  <c r="K1856" i="34"/>
  <c r="C1856" i="34"/>
  <c r="B1856" i="34" s="1"/>
  <c r="K1855" i="34"/>
  <c r="C1855" i="34"/>
  <c r="B1855" i="34" s="1"/>
  <c r="C1854" i="34"/>
  <c r="B1854" i="34" s="1"/>
  <c r="K1853" i="34"/>
  <c r="C1853" i="34"/>
  <c r="B1853" i="34" s="1"/>
  <c r="K1852" i="34"/>
  <c r="C1852" i="34"/>
  <c r="B1852" i="34" s="1"/>
  <c r="C1843" i="34"/>
  <c r="B1843" i="34" s="1"/>
  <c r="C1842" i="34"/>
  <c r="B1842" i="34" s="1"/>
  <c r="K1948" i="34"/>
  <c r="C1948" i="34"/>
  <c r="B1948" i="34" s="1"/>
  <c r="C1880" i="34"/>
  <c r="B1880" i="34" s="1"/>
  <c r="C1879" i="34"/>
  <c r="B1879" i="34" s="1"/>
  <c r="C1878" i="34"/>
  <c r="B1878" i="34" s="1"/>
  <c r="C1877" i="34"/>
  <c r="B1877" i="34" s="1"/>
  <c r="C1876" i="34"/>
  <c r="B1876" i="34" s="1"/>
  <c r="C1875" i="34"/>
  <c r="B1875" i="34" s="1"/>
  <c r="C1959" i="34"/>
  <c r="B1959" i="34" s="1"/>
  <c r="K1958" i="34"/>
  <c r="C1958" i="34"/>
  <c r="B1958" i="34" s="1"/>
  <c r="C1949" i="34"/>
  <c r="B1949" i="34" s="1"/>
  <c r="K1840" i="34"/>
  <c r="A55" i="70"/>
  <c r="I1826" i="34"/>
  <c r="K1826" i="34" s="1"/>
  <c r="K1823" i="34"/>
  <c r="K1805" i="34"/>
  <c r="K1795" i="34"/>
  <c r="K1831" i="34"/>
  <c r="C1831" i="34"/>
  <c r="B1831" i="34" s="1"/>
  <c r="K1830" i="34"/>
  <c r="C1830" i="34"/>
  <c r="B1830" i="34" s="1"/>
  <c r="C1827" i="34"/>
  <c r="B1827" i="34" s="1"/>
  <c r="C1826" i="34"/>
  <c r="B1826" i="34" s="1"/>
  <c r="C1824" i="34"/>
  <c r="B1824" i="34" s="1"/>
  <c r="C1823" i="34"/>
  <c r="B1823" i="34" s="1"/>
  <c r="C1807" i="34"/>
  <c r="B1807" i="34" s="1"/>
  <c r="C1806" i="34"/>
  <c r="B1806" i="34" s="1"/>
  <c r="C1805" i="34"/>
  <c r="B1805" i="34" s="1"/>
  <c r="C1797" i="34"/>
  <c r="B1797" i="34" s="1"/>
  <c r="C1796" i="34"/>
  <c r="B1796" i="34" s="1"/>
  <c r="C1795" i="34"/>
  <c r="B1795" i="34" s="1"/>
  <c r="C1794" i="34"/>
  <c r="B1794" i="34" s="1"/>
  <c r="C1793" i="34"/>
  <c r="B1793" i="34" s="1"/>
  <c r="K1792" i="34"/>
  <c r="C1792" i="34"/>
  <c r="B1792" i="34" s="1"/>
  <c r="C1839" i="34"/>
  <c r="B1839" i="34" s="1"/>
  <c r="K1838" i="34"/>
  <c r="C1838" i="34"/>
  <c r="B1838" i="34" s="1"/>
  <c r="K1837" i="34"/>
  <c r="C1837" i="34"/>
  <c r="B1837" i="34" s="1"/>
  <c r="C1836" i="34"/>
  <c r="B1836" i="34" s="1"/>
  <c r="K1835" i="34"/>
  <c r="C1835" i="34"/>
  <c r="B1835" i="34" s="1"/>
  <c r="K1834" i="34"/>
  <c r="C1834" i="34"/>
  <c r="B1834" i="34" s="1"/>
  <c r="C1833" i="34"/>
  <c r="B1833" i="34" s="1"/>
  <c r="K1832" i="34"/>
  <c r="C1832" i="34"/>
  <c r="B1832" i="34" s="1"/>
  <c r="C1841" i="34"/>
  <c r="B1841" i="34" s="1"/>
  <c r="C1840" i="34"/>
  <c r="B1840" i="34" s="1"/>
  <c r="Z1794" i="34" l="1"/>
  <c r="W1794" i="34"/>
  <c r="A1794" i="34"/>
  <c r="Z1824" i="34"/>
  <c r="W1824" i="34"/>
  <c r="A1824" i="34"/>
  <c r="Z1959" i="34"/>
  <c r="W1959" i="34"/>
  <c r="A1959" i="34"/>
  <c r="Z1878" i="34"/>
  <c r="W1878" i="34"/>
  <c r="A1878" i="34"/>
  <c r="Z1855" i="34"/>
  <c r="W1855" i="34"/>
  <c r="A1855" i="34"/>
  <c r="Z1857" i="34"/>
  <c r="W1857" i="34"/>
  <c r="A1857" i="34"/>
  <c r="Z1861" i="34"/>
  <c r="W1861" i="34"/>
  <c r="A1861" i="34"/>
  <c r="Z1869" i="34"/>
  <c r="W1869" i="34"/>
  <c r="A1869" i="34"/>
  <c r="Z1921" i="34"/>
  <c r="W1921" i="34"/>
  <c r="A1921" i="34"/>
  <c r="Z1945" i="34"/>
  <c r="W1945" i="34"/>
  <c r="A1945" i="34"/>
  <c r="Z1900" i="34"/>
  <c r="W1900" i="34"/>
  <c r="A1900" i="34"/>
  <c r="Z1905" i="34"/>
  <c r="W1905" i="34"/>
  <c r="A1905" i="34"/>
  <c r="Z1907" i="34"/>
  <c r="W1907" i="34"/>
  <c r="A1907" i="34"/>
  <c r="Z1839" i="34"/>
  <c r="W1839" i="34"/>
  <c r="A1839" i="34"/>
  <c r="Z1805" i="34"/>
  <c r="W1805" i="34"/>
  <c r="A1805" i="34"/>
  <c r="Z1835" i="34"/>
  <c r="W1835" i="34"/>
  <c r="A1835" i="34"/>
  <c r="Z1792" i="34"/>
  <c r="W1792" i="34"/>
  <c r="A1792" i="34"/>
  <c r="Z1795" i="34"/>
  <c r="W1795" i="34"/>
  <c r="A1795" i="34"/>
  <c r="Z1806" i="34"/>
  <c r="W1806" i="34"/>
  <c r="A1806" i="34"/>
  <c r="Z1826" i="34"/>
  <c r="W1826" i="34"/>
  <c r="A1826" i="34"/>
  <c r="Z1831" i="34"/>
  <c r="W1831" i="34"/>
  <c r="A1831" i="34"/>
  <c r="Z1949" i="34"/>
  <c r="W1949" i="34"/>
  <c r="A1949" i="34"/>
  <c r="Z1875" i="34"/>
  <c r="W1875" i="34"/>
  <c r="A1875" i="34"/>
  <c r="Z1879" i="34"/>
  <c r="W1879" i="34"/>
  <c r="A1879" i="34"/>
  <c r="Z1842" i="34"/>
  <c r="W1842" i="34"/>
  <c r="A1842" i="34"/>
  <c r="Z1853" i="34"/>
  <c r="W1853" i="34"/>
  <c r="A1853" i="34"/>
  <c r="Z1859" i="34"/>
  <c r="W1859" i="34"/>
  <c r="A1859" i="34"/>
  <c r="Z1862" i="34"/>
  <c r="W1862" i="34"/>
  <c r="A1862" i="34"/>
  <c r="Z1870" i="34"/>
  <c r="W1870" i="34"/>
  <c r="A1870" i="34"/>
  <c r="Z1916" i="34"/>
  <c r="W1916" i="34"/>
  <c r="A1916" i="34"/>
  <c r="Z1922" i="34"/>
  <c r="W1922" i="34"/>
  <c r="A1922" i="34"/>
  <c r="Z1881" i="34"/>
  <c r="W1881" i="34"/>
  <c r="A1881" i="34"/>
  <c r="Z1896" i="34"/>
  <c r="W1896" i="34"/>
  <c r="A1896" i="34"/>
  <c r="Z1898" i="34"/>
  <c r="W1898" i="34"/>
  <c r="A1898" i="34"/>
  <c r="Z1901" i="34"/>
  <c r="W1901" i="34"/>
  <c r="A1901" i="34"/>
  <c r="Z1912" i="34"/>
  <c r="W1912" i="34"/>
  <c r="A1912" i="34"/>
  <c r="Z1915" i="34"/>
  <c r="W1915" i="34"/>
  <c r="A1915" i="34"/>
  <c r="Z1832" i="34"/>
  <c r="W1832" i="34"/>
  <c r="A1832" i="34"/>
  <c r="Z1833" i="34"/>
  <c r="W1833" i="34"/>
  <c r="A1833" i="34"/>
  <c r="Z1838" i="34"/>
  <c r="W1838" i="34"/>
  <c r="A1838" i="34"/>
  <c r="Z1796" i="34"/>
  <c r="W1796" i="34"/>
  <c r="A1796" i="34"/>
  <c r="Z1807" i="34"/>
  <c r="W1807" i="34"/>
  <c r="A1807" i="34"/>
  <c r="Z1827" i="34"/>
  <c r="W1827" i="34"/>
  <c r="A1827" i="34"/>
  <c r="Z1958" i="34"/>
  <c r="W1958" i="34"/>
  <c r="A1958" i="34"/>
  <c r="Z1876" i="34"/>
  <c r="W1876" i="34"/>
  <c r="A1876" i="34"/>
  <c r="Z1880" i="34"/>
  <c r="W1880" i="34"/>
  <c r="A1880" i="34"/>
  <c r="Z1843" i="34"/>
  <c r="W1843" i="34"/>
  <c r="A1843" i="34"/>
  <c r="Z1856" i="34"/>
  <c r="W1856" i="34"/>
  <c r="A1856" i="34"/>
  <c r="Z1863" i="34"/>
  <c r="W1863" i="34"/>
  <c r="A1863" i="34"/>
  <c r="Z1942" i="34"/>
  <c r="W1942" i="34"/>
  <c r="A1942" i="34"/>
  <c r="Z1946" i="34"/>
  <c r="W1946" i="34"/>
  <c r="A1946" i="34"/>
  <c r="Z1882" i="34"/>
  <c r="W1882" i="34"/>
  <c r="A1882" i="34"/>
  <c r="Z1903" i="34"/>
  <c r="W1903" i="34"/>
  <c r="A1903" i="34"/>
  <c r="Z1906" i="34"/>
  <c r="W1906" i="34"/>
  <c r="A1906" i="34"/>
  <c r="Z1913" i="34"/>
  <c r="W1913" i="34"/>
  <c r="A1913" i="34"/>
  <c r="Z1837" i="34"/>
  <c r="W1837" i="34"/>
  <c r="A1837" i="34"/>
  <c r="Z1840" i="34"/>
  <c r="W1840" i="34"/>
  <c r="A1840" i="34"/>
  <c r="Z1841" i="34"/>
  <c r="W1841" i="34"/>
  <c r="A1841" i="34"/>
  <c r="Z1834" i="34"/>
  <c r="W1834" i="34"/>
  <c r="A1834" i="34"/>
  <c r="Z1836" i="34"/>
  <c r="W1836" i="34"/>
  <c r="A1836" i="34"/>
  <c r="Z1793" i="34"/>
  <c r="W1793" i="34"/>
  <c r="A1793" i="34"/>
  <c r="Z1797" i="34"/>
  <c r="W1797" i="34"/>
  <c r="A1797" i="34"/>
  <c r="Z1823" i="34"/>
  <c r="W1823" i="34"/>
  <c r="A1823" i="34"/>
  <c r="Z1830" i="34"/>
  <c r="W1830" i="34"/>
  <c r="A1830" i="34"/>
  <c r="Z1877" i="34"/>
  <c r="W1877" i="34"/>
  <c r="A1877" i="34"/>
  <c r="Z1948" i="34"/>
  <c r="W1948" i="34"/>
  <c r="A1948" i="34"/>
  <c r="Z1852" i="34"/>
  <c r="W1852" i="34"/>
  <c r="A1852" i="34"/>
  <c r="Z1854" i="34"/>
  <c r="W1854" i="34"/>
  <c r="A1854" i="34"/>
  <c r="Z1860" i="34"/>
  <c r="W1860" i="34"/>
  <c r="A1860" i="34"/>
  <c r="Z1864" i="34"/>
  <c r="W1864" i="34"/>
  <c r="A1864" i="34"/>
  <c r="Z1917" i="34"/>
  <c r="W1917" i="34"/>
  <c r="A1917" i="34"/>
  <c r="Z1943" i="34"/>
  <c r="W1943" i="34"/>
  <c r="A1943" i="34"/>
  <c r="Z1947" i="34"/>
  <c r="W1947" i="34"/>
  <c r="A1947" i="34"/>
  <c r="Z1895" i="34"/>
  <c r="W1895" i="34"/>
  <c r="A1895" i="34"/>
  <c r="Z1897" i="34"/>
  <c r="W1897" i="34"/>
  <c r="A1897" i="34"/>
  <c r="Z1899" i="34"/>
  <c r="W1899" i="34"/>
  <c r="A1899" i="34"/>
  <c r="Z1904" i="34"/>
  <c r="W1904" i="34"/>
  <c r="A1904" i="34"/>
  <c r="Z1914" i="34"/>
  <c r="W1914" i="34"/>
  <c r="A1914" i="34"/>
  <c r="A13" i="79"/>
  <c r="A14" i="79"/>
  <c r="A12" i="79"/>
  <c r="A15" i="79"/>
  <c r="A17" i="79"/>
  <c r="A18" i="79"/>
  <c r="A16" i="79"/>
  <c r="A19" i="79"/>
  <c r="A20" i="79"/>
  <c r="C1739" i="34"/>
  <c r="B1739" i="34" s="1"/>
  <c r="C1722" i="34"/>
  <c r="B1722" i="34" s="1"/>
  <c r="C1721" i="34"/>
  <c r="B1721" i="34" s="1"/>
  <c r="C1713" i="34"/>
  <c r="B1713" i="34" s="1"/>
  <c r="C1712" i="34"/>
  <c r="B1712" i="34" s="1"/>
  <c r="C1692" i="34"/>
  <c r="B1692" i="34" s="1"/>
  <c r="C1691" i="34"/>
  <c r="B1691" i="34" s="1"/>
  <c r="C1659" i="34"/>
  <c r="B1659" i="34" s="1"/>
  <c r="C1658" i="34"/>
  <c r="B1658" i="34" s="1"/>
  <c r="C1657" i="34"/>
  <c r="B1657" i="34" s="1"/>
  <c r="C1645" i="34"/>
  <c r="B1645" i="34" s="1"/>
  <c r="S1658" i="34" l="1"/>
  <c r="Z1658" i="34"/>
  <c r="T1658" i="34"/>
  <c r="W1658" i="34"/>
  <c r="U1658" i="34"/>
  <c r="A1658" i="34"/>
  <c r="T1739" i="34"/>
  <c r="W1739" i="34"/>
  <c r="S1739" i="34"/>
  <c r="U1739" i="34"/>
  <c r="Z1739" i="34"/>
  <c r="A1739" i="34"/>
  <c r="S1712" i="34"/>
  <c r="Z1712" i="34"/>
  <c r="T1712" i="34"/>
  <c r="W1712" i="34"/>
  <c r="U1712" i="34"/>
  <c r="A1712" i="34"/>
  <c r="U1659" i="34"/>
  <c r="S1659" i="34"/>
  <c r="Z1659" i="34"/>
  <c r="T1659" i="34"/>
  <c r="W1659" i="34"/>
  <c r="A1659" i="34"/>
  <c r="U1713" i="34"/>
  <c r="S1713" i="34"/>
  <c r="Z1713" i="34"/>
  <c r="T1713" i="34"/>
  <c r="W1713" i="34"/>
  <c r="A1713" i="34"/>
  <c r="U1645" i="34"/>
  <c r="S1645" i="34"/>
  <c r="Z1645" i="34"/>
  <c r="T1645" i="34"/>
  <c r="W1645" i="34"/>
  <c r="A1645" i="34"/>
  <c r="U1691" i="34"/>
  <c r="S1691" i="34"/>
  <c r="Z1691" i="34"/>
  <c r="T1691" i="34"/>
  <c r="W1691" i="34"/>
  <c r="A1691" i="34"/>
  <c r="U1721" i="34"/>
  <c r="S1721" i="34"/>
  <c r="Z1721" i="34"/>
  <c r="T1721" i="34"/>
  <c r="W1721" i="34"/>
  <c r="A1721" i="34"/>
  <c r="U1657" i="34"/>
  <c r="S1657" i="34"/>
  <c r="Z1657" i="34"/>
  <c r="T1657" i="34"/>
  <c r="W1657" i="34"/>
  <c r="A1657" i="34"/>
  <c r="S1692" i="34"/>
  <c r="Z1692" i="34"/>
  <c r="T1692" i="34"/>
  <c r="W1692" i="34"/>
  <c r="U1692" i="34"/>
  <c r="A1692" i="34"/>
  <c r="S1722" i="34"/>
  <c r="Z1722" i="34"/>
  <c r="T1722" i="34"/>
  <c r="W1722" i="34"/>
  <c r="U1722" i="34"/>
  <c r="A1722" i="34"/>
  <c r="C1637" i="34"/>
  <c r="B1637" i="34" s="1"/>
  <c r="C1629" i="34"/>
  <c r="B1629" i="34" s="1"/>
  <c r="C1594" i="34"/>
  <c r="B1594" i="34" s="1"/>
  <c r="C1593" i="34"/>
  <c r="B1593" i="34" s="1"/>
  <c r="C1592" i="34"/>
  <c r="B1592" i="34" s="1"/>
  <c r="C1591" i="34"/>
  <c r="B1591" i="34" s="1"/>
  <c r="C1590" i="34"/>
  <c r="B1590" i="34" s="1"/>
  <c r="C1589" i="34"/>
  <c r="B1589" i="34" s="1"/>
  <c r="C1573" i="34"/>
  <c r="B1573" i="34" s="1"/>
  <c r="C1572" i="34"/>
  <c r="B1572" i="34" s="1"/>
  <c r="C1571" i="34"/>
  <c r="B1571" i="34" s="1"/>
  <c r="C1570" i="34"/>
  <c r="B1570" i="34" s="1"/>
  <c r="C1847" i="34"/>
  <c r="B1847" i="34" s="1"/>
  <c r="C1846" i="34"/>
  <c r="B1846" i="34" s="1"/>
  <c r="C1845" i="34"/>
  <c r="B1845" i="34" s="1"/>
  <c r="C1844" i="34"/>
  <c r="B1844" i="34" s="1"/>
  <c r="C1829" i="34"/>
  <c r="B1829" i="34" s="1"/>
  <c r="C1638" i="34"/>
  <c r="B1638" i="34" s="1"/>
  <c r="C1848" i="34"/>
  <c r="B1848" i="34" s="1"/>
  <c r="C1514" i="34"/>
  <c r="B1514" i="34" s="1"/>
  <c r="C1513" i="34"/>
  <c r="B1513" i="34" s="1"/>
  <c r="C1496" i="34"/>
  <c r="B1496" i="34" s="1"/>
  <c r="C1495" i="34"/>
  <c r="B1495" i="34" s="1"/>
  <c r="C1488" i="34"/>
  <c r="B1488" i="34" s="1"/>
  <c r="C1487" i="34"/>
  <c r="B1487" i="34" s="1"/>
  <c r="C1512" i="34"/>
  <c r="B1512" i="34" s="1"/>
  <c r="C1410" i="34"/>
  <c r="B1410" i="34" s="1"/>
  <c r="C1547" i="34"/>
  <c r="B1547" i="34" s="1"/>
  <c r="C1543" i="34"/>
  <c r="B1543" i="34" s="1"/>
  <c r="C1542" i="34"/>
  <c r="B1542" i="34" s="1"/>
  <c r="C1541" i="34"/>
  <c r="B1541" i="34" s="1"/>
  <c r="C1540" i="34"/>
  <c r="B1540" i="34" s="1"/>
  <c r="C1539" i="34"/>
  <c r="B1539" i="34" s="1"/>
  <c r="C1511" i="34"/>
  <c r="B1511" i="34" s="1"/>
  <c r="C1459" i="34"/>
  <c r="B1459" i="34" s="1"/>
  <c r="C1734" i="34"/>
  <c r="B1734" i="34" s="1"/>
  <c r="C1733" i="34"/>
  <c r="B1733" i="34" s="1"/>
  <c r="C1732" i="34"/>
  <c r="B1732" i="34" s="1"/>
  <c r="C1705" i="34"/>
  <c r="B1705" i="34" s="1"/>
  <c r="C1690" i="34"/>
  <c r="B1690" i="34" s="1"/>
  <c r="C1636" i="34"/>
  <c r="B1636" i="34" s="1"/>
  <c r="C1635" i="34"/>
  <c r="B1635" i="34" s="1"/>
  <c r="C1634" i="34"/>
  <c r="B1634" i="34" s="1"/>
  <c r="C1633" i="34"/>
  <c r="B1633" i="34" s="1"/>
  <c r="C1621" i="34"/>
  <c r="B1621" i="34" s="1"/>
  <c r="C1620" i="34"/>
  <c r="B1620" i="34" s="1"/>
  <c r="C1619" i="34"/>
  <c r="B1619" i="34" s="1"/>
  <c r="C1800" i="34"/>
  <c r="B1800" i="34" s="1"/>
  <c r="C1799" i="34"/>
  <c r="B1799" i="34" s="1"/>
  <c r="C1798" i="34"/>
  <c r="B1798" i="34" s="1"/>
  <c r="C1767" i="34"/>
  <c r="B1767" i="34" s="1"/>
  <c r="C1766" i="34"/>
  <c r="B1766" i="34" s="1"/>
  <c r="C1765" i="34"/>
  <c r="B1765" i="34" s="1"/>
  <c r="C1764" i="34"/>
  <c r="B1764" i="34" s="1"/>
  <c r="C1763" i="34"/>
  <c r="B1763" i="34" s="1"/>
  <c r="C1762" i="34"/>
  <c r="B1762" i="34" s="1"/>
  <c r="C1738" i="34"/>
  <c r="B1738" i="34" s="1"/>
  <c r="C1737" i="34"/>
  <c r="B1737" i="34" s="1"/>
  <c r="C1736" i="34"/>
  <c r="B1736" i="34" s="1"/>
  <c r="C1549" i="34"/>
  <c r="B1549" i="34" s="1"/>
  <c r="C1548" i="34"/>
  <c r="B1548" i="34" s="1"/>
  <c r="C1944" i="34"/>
  <c r="B1944" i="34" s="1"/>
  <c r="C1825" i="34"/>
  <c r="B1825" i="34" s="1"/>
  <c r="C1802" i="34"/>
  <c r="B1802" i="34" s="1"/>
  <c r="C1801" i="34"/>
  <c r="B1801" i="34" s="1"/>
  <c r="C1526" i="34"/>
  <c r="B1526" i="34" s="1"/>
  <c r="C1525" i="34"/>
  <c r="B1525" i="34" s="1"/>
  <c r="C1520" i="34"/>
  <c r="B1520" i="34" s="1"/>
  <c r="C1519" i="34"/>
  <c r="B1519" i="34" s="1"/>
  <c r="C1518" i="34"/>
  <c r="B1518" i="34" s="1"/>
  <c r="C1482" i="34"/>
  <c r="B1482" i="34" s="1"/>
  <c r="C1481" i="34"/>
  <c r="B1481" i="34" s="1"/>
  <c r="C1480" i="34"/>
  <c r="B1480" i="34" s="1"/>
  <c r="C1479" i="34"/>
  <c r="B1479" i="34" s="1"/>
  <c r="C1478" i="34"/>
  <c r="B1478" i="34" s="1"/>
  <c r="C1477" i="34"/>
  <c r="B1477" i="34" s="1"/>
  <c r="C1476" i="34"/>
  <c r="B1476" i="34" s="1"/>
  <c r="C1475" i="34"/>
  <c r="B1475" i="34" s="1"/>
  <c r="C1474" i="34"/>
  <c r="B1474" i="34" s="1"/>
  <c r="C1473" i="34"/>
  <c r="B1473" i="34" s="1"/>
  <c r="C1472" i="34"/>
  <c r="B1472" i="34" s="1"/>
  <c r="C1471" i="34"/>
  <c r="B1471" i="34" s="1"/>
  <c r="C1470" i="34"/>
  <c r="B1470" i="34" s="1"/>
  <c r="C1601" i="34"/>
  <c r="B1601" i="34" s="1"/>
  <c r="C1600" i="34"/>
  <c r="B1600" i="34" s="1"/>
  <c r="C1533" i="34"/>
  <c r="B1533" i="34" s="1"/>
  <c r="C1532" i="34"/>
  <c r="B1532" i="34" s="1"/>
  <c r="C1531" i="34"/>
  <c r="B1531" i="34" s="1"/>
  <c r="C1530" i="34"/>
  <c r="B1530" i="34" s="1"/>
  <c r="C1529" i="34"/>
  <c r="B1529" i="34" s="1"/>
  <c r="C1528" i="34"/>
  <c r="B1528" i="34" s="1"/>
  <c r="C1527" i="34"/>
  <c r="B1527" i="34" s="1"/>
  <c r="C1759" i="34"/>
  <c r="B1759" i="34" s="1"/>
  <c r="C1751" i="34"/>
  <c r="B1751" i="34" s="1"/>
  <c r="C1735" i="34"/>
  <c r="B1735" i="34" s="1"/>
  <c r="C1731" i="34"/>
  <c r="B1731" i="34" s="1"/>
  <c r="C1704" i="34"/>
  <c r="B1704" i="34" s="1"/>
  <c r="C1689" i="34"/>
  <c r="B1689" i="34" s="1"/>
  <c r="C1675" i="34"/>
  <c r="B1675" i="34" s="1"/>
  <c r="C1628" i="34"/>
  <c r="B1628" i="34" s="1"/>
  <c r="C1920" i="34"/>
  <c r="B1920" i="34" s="1"/>
  <c r="C1811" i="34"/>
  <c r="B1811" i="34" s="1"/>
  <c r="C1761" i="34"/>
  <c r="B1761" i="34" s="1"/>
  <c r="C1760" i="34"/>
  <c r="B1760" i="34" s="1"/>
  <c r="C1924" i="34"/>
  <c r="B1924" i="34" s="1"/>
  <c r="C1516" i="34"/>
  <c r="B1516" i="34" s="1"/>
  <c r="C1515" i="34"/>
  <c r="B1515" i="34" s="1"/>
  <c r="C1510" i="34"/>
  <c r="B1510" i="34" s="1"/>
  <c r="C1469" i="34"/>
  <c r="B1469" i="34" s="1"/>
  <c r="C1468" i="34"/>
  <c r="B1468" i="34" s="1"/>
  <c r="C1467" i="34"/>
  <c r="B1467" i="34" s="1"/>
  <c r="C1466" i="34"/>
  <c r="B1466" i="34" s="1"/>
  <c r="C1602" i="34"/>
  <c r="B1602" i="34" s="1"/>
  <c r="C1610" i="34"/>
  <c r="B1610" i="34" s="1"/>
  <c r="C1599" i="34"/>
  <c r="B1599" i="34" s="1"/>
  <c r="C1598" i="34"/>
  <c r="B1598" i="34" s="1"/>
  <c r="C1524" i="34"/>
  <c r="B1524" i="34" s="1"/>
  <c r="C1523" i="34"/>
  <c r="B1523" i="34" s="1"/>
  <c r="C1517" i="34"/>
  <c r="B1517" i="34" s="1"/>
  <c r="C1551" i="34"/>
  <c r="B1551" i="34" s="1"/>
  <c r="C1550" i="34"/>
  <c r="B1550" i="34" s="1"/>
  <c r="C1604" i="34"/>
  <c r="B1604" i="34" s="1"/>
  <c r="C1603" i="34"/>
  <c r="B1603" i="34" s="1"/>
  <c r="C1552" i="34"/>
  <c r="B1552" i="34" s="1"/>
  <c r="Z1604" i="34" l="1"/>
  <c r="W1604" i="34"/>
  <c r="A1604" i="34"/>
  <c r="Z1523" i="34"/>
  <c r="W1523" i="34"/>
  <c r="A1523" i="34"/>
  <c r="Z1610" i="34"/>
  <c r="W1610" i="34"/>
  <c r="A1610" i="34"/>
  <c r="Z1468" i="34"/>
  <c r="W1468" i="34"/>
  <c r="A1468" i="34"/>
  <c r="Z1516" i="34"/>
  <c r="W1516" i="34"/>
  <c r="A1516" i="34"/>
  <c r="Z1811" i="34"/>
  <c r="W1811" i="34"/>
  <c r="A1811" i="34"/>
  <c r="Z1689" i="34"/>
  <c r="W1689" i="34"/>
  <c r="A1689" i="34"/>
  <c r="W1751" i="34"/>
  <c r="Z1751" i="34"/>
  <c r="A1751" i="34"/>
  <c r="Z1529" i="34"/>
  <c r="W1529" i="34"/>
  <c r="A1529" i="34"/>
  <c r="Z1533" i="34"/>
  <c r="W1533" i="34"/>
  <c r="A1533" i="34"/>
  <c r="Z1471" i="34"/>
  <c r="W1471" i="34"/>
  <c r="A1471" i="34"/>
  <c r="Z1475" i="34"/>
  <c r="W1475" i="34"/>
  <c r="A1475" i="34"/>
  <c r="Z1479" i="34"/>
  <c r="W1479" i="34"/>
  <c r="A1479" i="34"/>
  <c r="Z1518" i="34"/>
  <c r="W1518" i="34"/>
  <c r="A1518" i="34"/>
  <c r="Z1526" i="34"/>
  <c r="W1526" i="34"/>
  <c r="A1526" i="34"/>
  <c r="Z1944" i="34"/>
  <c r="W1944" i="34"/>
  <c r="A1944" i="34"/>
  <c r="W1737" i="34"/>
  <c r="Z1737" i="34"/>
  <c r="A1737" i="34"/>
  <c r="W1764" i="34"/>
  <c r="Z1764" i="34"/>
  <c r="A1764" i="34"/>
  <c r="Z1798" i="34"/>
  <c r="W1798" i="34"/>
  <c r="A1798" i="34"/>
  <c r="Z1620" i="34"/>
  <c r="W1620" i="34"/>
  <c r="A1620" i="34"/>
  <c r="Z1635" i="34"/>
  <c r="W1635" i="34"/>
  <c r="A1635" i="34"/>
  <c r="Z1732" i="34"/>
  <c r="W1732" i="34"/>
  <c r="A1732" i="34"/>
  <c r="U1511" i="34"/>
  <c r="S1511" i="34"/>
  <c r="Z1511" i="34"/>
  <c r="T1511" i="34"/>
  <c r="W1511" i="34"/>
  <c r="A1511" i="34"/>
  <c r="S1542" i="34"/>
  <c r="Z1542" i="34"/>
  <c r="T1542" i="34"/>
  <c r="W1542" i="34"/>
  <c r="U1542" i="34"/>
  <c r="A1542" i="34"/>
  <c r="S1512" i="34"/>
  <c r="Z1512" i="34"/>
  <c r="T1512" i="34"/>
  <c r="W1512" i="34"/>
  <c r="U1512" i="34"/>
  <c r="A1512" i="34"/>
  <c r="S1496" i="34"/>
  <c r="Z1496" i="34"/>
  <c r="T1496" i="34"/>
  <c r="W1496" i="34"/>
  <c r="U1496" i="34"/>
  <c r="A1496" i="34"/>
  <c r="S1638" i="34"/>
  <c r="Z1638" i="34"/>
  <c r="T1638" i="34"/>
  <c r="W1638" i="34"/>
  <c r="U1638" i="34"/>
  <c r="A1638" i="34"/>
  <c r="U1846" i="34"/>
  <c r="S1846" i="34"/>
  <c r="Z1846" i="34"/>
  <c r="T1846" i="34"/>
  <c r="W1846" i="34"/>
  <c r="A1846" i="34"/>
  <c r="S1572" i="34"/>
  <c r="Z1572" i="34"/>
  <c r="T1572" i="34"/>
  <c r="W1572" i="34"/>
  <c r="U1572" i="34"/>
  <c r="A1572" i="34"/>
  <c r="U1591" i="34"/>
  <c r="S1591" i="34"/>
  <c r="Z1591" i="34"/>
  <c r="T1591" i="34"/>
  <c r="W1591" i="34"/>
  <c r="A1591" i="34"/>
  <c r="U1629" i="34"/>
  <c r="S1629" i="34"/>
  <c r="Z1629" i="34"/>
  <c r="T1629" i="34"/>
  <c r="W1629" i="34"/>
  <c r="A1629" i="34"/>
  <c r="S1550" i="34"/>
  <c r="Z1550" i="34"/>
  <c r="T1550" i="34"/>
  <c r="W1550" i="34"/>
  <c r="U1550" i="34"/>
  <c r="A1550" i="34"/>
  <c r="Z1524" i="34"/>
  <c r="W1524" i="34"/>
  <c r="A1524" i="34"/>
  <c r="Z1602" i="34"/>
  <c r="W1602" i="34"/>
  <c r="A1602" i="34"/>
  <c r="Z1469" i="34"/>
  <c r="W1469" i="34"/>
  <c r="A1469" i="34"/>
  <c r="Z1924" i="34"/>
  <c r="W1924" i="34"/>
  <c r="A1924" i="34"/>
  <c r="Z1920" i="34"/>
  <c r="W1920" i="34"/>
  <c r="A1920" i="34"/>
  <c r="Z1704" i="34"/>
  <c r="W1704" i="34"/>
  <c r="A1704" i="34"/>
  <c r="W1759" i="34"/>
  <c r="Z1759" i="34"/>
  <c r="A1759" i="34"/>
  <c r="Z1530" i="34"/>
  <c r="W1530" i="34"/>
  <c r="A1530" i="34"/>
  <c r="Z1600" i="34"/>
  <c r="W1600" i="34"/>
  <c r="A1600" i="34"/>
  <c r="Z1472" i="34"/>
  <c r="W1472" i="34"/>
  <c r="A1472" i="34"/>
  <c r="Z1476" i="34"/>
  <c r="W1476" i="34"/>
  <c r="A1476" i="34"/>
  <c r="Z1480" i="34"/>
  <c r="W1480" i="34"/>
  <c r="A1480" i="34"/>
  <c r="Z1519" i="34"/>
  <c r="W1519" i="34"/>
  <c r="A1519" i="34"/>
  <c r="Z1801" i="34"/>
  <c r="W1801" i="34"/>
  <c r="A1801" i="34"/>
  <c r="S1548" i="34"/>
  <c r="Z1548" i="34"/>
  <c r="T1548" i="34"/>
  <c r="W1548" i="34"/>
  <c r="U1548" i="34"/>
  <c r="A1548" i="34"/>
  <c r="W1738" i="34"/>
  <c r="Z1738" i="34"/>
  <c r="A1738" i="34"/>
  <c r="W1765" i="34"/>
  <c r="Z1765" i="34"/>
  <c r="A1765" i="34"/>
  <c r="Z1799" i="34"/>
  <c r="W1799" i="34"/>
  <c r="A1799" i="34"/>
  <c r="Z1621" i="34"/>
  <c r="W1621" i="34"/>
  <c r="A1621" i="34"/>
  <c r="Z1636" i="34"/>
  <c r="W1636" i="34"/>
  <c r="A1636" i="34"/>
  <c r="W1733" i="34"/>
  <c r="Z1733" i="34"/>
  <c r="A1733" i="34"/>
  <c r="U1539" i="34"/>
  <c r="S1539" i="34"/>
  <c r="Z1539" i="34"/>
  <c r="T1539" i="34"/>
  <c r="W1539" i="34"/>
  <c r="A1539" i="34"/>
  <c r="U1543" i="34"/>
  <c r="S1543" i="34"/>
  <c r="Z1543" i="34"/>
  <c r="T1543" i="34"/>
  <c r="W1543" i="34"/>
  <c r="A1543" i="34"/>
  <c r="U1487" i="34"/>
  <c r="S1487" i="34"/>
  <c r="Z1487" i="34"/>
  <c r="T1487" i="34"/>
  <c r="W1487" i="34"/>
  <c r="A1487" i="34"/>
  <c r="U1513" i="34"/>
  <c r="S1513" i="34"/>
  <c r="Z1513" i="34"/>
  <c r="T1513" i="34"/>
  <c r="W1513" i="34"/>
  <c r="A1513" i="34"/>
  <c r="S1829" i="34"/>
  <c r="Z1829" i="34"/>
  <c r="T1829" i="34"/>
  <c r="W1829" i="34"/>
  <c r="U1829" i="34"/>
  <c r="A1829" i="34"/>
  <c r="S1847" i="34"/>
  <c r="Z1847" i="34"/>
  <c r="T1847" i="34"/>
  <c r="W1847" i="34"/>
  <c r="U1847" i="34"/>
  <c r="A1847" i="34"/>
  <c r="U1573" i="34"/>
  <c r="S1573" i="34"/>
  <c r="Z1573" i="34"/>
  <c r="T1573" i="34"/>
  <c r="W1573" i="34"/>
  <c r="A1573" i="34"/>
  <c r="S1592" i="34"/>
  <c r="Z1592" i="34"/>
  <c r="T1592" i="34"/>
  <c r="W1592" i="34"/>
  <c r="U1592" i="34"/>
  <c r="A1592" i="34"/>
  <c r="U1637" i="34"/>
  <c r="S1637" i="34"/>
  <c r="Z1637" i="34"/>
  <c r="T1637" i="34"/>
  <c r="W1637" i="34"/>
  <c r="A1637" i="34"/>
  <c r="S1552" i="34"/>
  <c r="Z1552" i="34"/>
  <c r="T1552" i="34"/>
  <c r="W1552" i="34"/>
  <c r="U1552" i="34"/>
  <c r="A1552" i="34"/>
  <c r="U1551" i="34"/>
  <c r="S1551" i="34"/>
  <c r="Z1551" i="34"/>
  <c r="T1551" i="34"/>
  <c r="W1551" i="34"/>
  <c r="A1551" i="34"/>
  <c r="Z1598" i="34"/>
  <c r="W1598" i="34"/>
  <c r="A1598" i="34"/>
  <c r="Z1466" i="34"/>
  <c r="W1466" i="34"/>
  <c r="A1466" i="34"/>
  <c r="Z1510" i="34"/>
  <c r="W1510" i="34"/>
  <c r="A1510" i="34"/>
  <c r="W1760" i="34"/>
  <c r="Z1760" i="34"/>
  <c r="A1760" i="34"/>
  <c r="Z1628" i="34"/>
  <c r="W1628" i="34"/>
  <c r="A1628" i="34"/>
  <c r="W1731" i="34"/>
  <c r="Z1731" i="34"/>
  <c r="A1731" i="34"/>
  <c r="Z1527" i="34"/>
  <c r="W1527" i="34"/>
  <c r="A1527" i="34"/>
  <c r="Z1531" i="34"/>
  <c r="W1531" i="34"/>
  <c r="A1531" i="34"/>
  <c r="Z1601" i="34"/>
  <c r="W1601" i="34"/>
  <c r="A1601" i="34"/>
  <c r="Z1473" i="34"/>
  <c r="W1473" i="34"/>
  <c r="A1473" i="34"/>
  <c r="Z1477" i="34"/>
  <c r="W1477" i="34"/>
  <c r="A1477" i="34"/>
  <c r="Z1481" i="34"/>
  <c r="W1481" i="34"/>
  <c r="A1481" i="34"/>
  <c r="Z1520" i="34"/>
  <c r="W1520" i="34"/>
  <c r="A1520" i="34"/>
  <c r="Z1802" i="34"/>
  <c r="W1802" i="34"/>
  <c r="A1802" i="34"/>
  <c r="U1549" i="34"/>
  <c r="S1549" i="34"/>
  <c r="Z1549" i="34"/>
  <c r="T1549" i="34"/>
  <c r="W1549" i="34"/>
  <c r="A1549" i="34"/>
  <c r="W1762" i="34"/>
  <c r="Z1762" i="34"/>
  <c r="A1762" i="34"/>
  <c r="W1766" i="34"/>
  <c r="Z1766" i="34"/>
  <c r="A1766" i="34"/>
  <c r="Z1800" i="34"/>
  <c r="W1800" i="34"/>
  <c r="A1800" i="34"/>
  <c r="Z1633" i="34"/>
  <c r="W1633" i="34"/>
  <c r="A1633" i="34"/>
  <c r="Z1690" i="34"/>
  <c r="W1690" i="34"/>
  <c r="A1690" i="34"/>
  <c r="Z1734" i="34"/>
  <c r="W1734" i="34"/>
  <c r="A1734" i="34"/>
  <c r="S1540" i="34"/>
  <c r="Z1540" i="34"/>
  <c r="T1540" i="34"/>
  <c r="W1540" i="34"/>
  <c r="U1540" i="34"/>
  <c r="A1540" i="34"/>
  <c r="U1547" i="34"/>
  <c r="S1547" i="34"/>
  <c r="Z1547" i="34"/>
  <c r="T1547" i="34"/>
  <c r="W1547" i="34"/>
  <c r="A1547" i="34"/>
  <c r="S1488" i="34"/>
  <c r="Z1488" i="34"/>
  <c r="T1488" i="34"/>
  <c r="W1488" i="34"/>
  <c r="U1488" i="34"/>
  <c r="A1488" i="34"/>
  <c r="S1514" i="34"/>
  <c r="Z1514" i="34"/>
  <c r="T1514" i="34"/>
  <c r="W1514" i="34"/>
  <c r="U1514" i="34"/>
  <c r="A1514" i="34"/>
  <c r="U1844" i="34"/>
  <c r="S1844" i="34"/>
  <c r="Z1844" i="34"/>
  <c r="T1844" i="34"/>
  <c r="W1844" i="34"/>
  <c r="A1844" i="34"/>
  <c r="S1570" i="34"/>
  <c r="Z1570" i="34"/>
  <c r="T1570" i="34"/>
  <c r="W1570" i="34"/>
  <c r="U1570" i="34"/>
  <c r="A1570" i="34"/>
  <c r="U1589" i="34"/>
  <c r="S1589" i="34"/>
  <c r="Z1589" i="34"/>
  <c r="T1589" i="34"/>
  <c r="W1589" i="34"/>
  <c r="A1589" i="34"/>
  <c r="U1593" i="34"/>
  <c r="S1593" i="34"/>
  <c r="Z1593" i="34"/>
  <c r="T1593" i="34"/>
  <c r="W1593" i="34"/>
  <c r="A1593" i="34"/>
  <c r="Z1603" i="34"/>
  <c r="W1603" i="34"/>
  <c r="A1603" i="34"/>
  <c r="Z1517" i="34"/>
  <c r="W1517" i="34"/>
  <c r="A1517" i="34"/>
  <c r="Z1599" i="34"/>
  <c r="W1599" i="34"/>
  <c r="A1599" i="34"/>
  <c r="Z1467" i="34"/>
  <c r="W1467" i="34"/>
  <c r="A1467" i="34"/>
  <c r="Z1515" i="34"/>
  <c r="W1515" i="34"/>
  <c r="A1515" i="34"/>
  <c r="W1761" i="34"/>
  <c r="Z1761" i="34"/>
  <c r="A1761" i="34"/>
  <c r="Z1675" i="34"/>
  <c r="W1675" i="34"/>
  <c r="A1675" i="34"/>
  <c r="W1735" i="34"/>
  <c r="Z1735" i="34"/>
  <c r="A1735" i="34"/>
  <c r="Z1528" i="34"/>
  <c r="W1528" i="34"/>
  <c r="A1528" i="34"/>
  <c r="Z1532" i="34"/>
  <c r="W1532" i="34"/>
  <c r="A1532" i="34"/>
  <c r="Z1470" i="34"/>
  <c r="W1470" i="34"/>
  <c r="A1470" i="34"/>
  <c r="Z1474" i="34"/>
  <c r="W1474" i="34"/>
  <c r="A1474" i="34"/>
  <c r="Z1478" i="34"/>
  <c r="W1478" i="34"/>
  <c r="A1478" i="34"/>
  <c r="Z1482" i="34"/>
  <c r="W1482" i="34"/>
  <c r="A1482" i="34"/>
  <c r="Z1525" i="34"/>
  <c r="W1525" i="34"/>
  <c r="A1525" i="34"/>
  <c r="Z1825" i="34"/>
  <c r="W1825" i="34"/>
  <c r="A1825" i="34"/>
  <c r="W1736" i="34"/>
  <c r="Z1736" i="34"/>
  <c r="A1736" i="34"/>
  <c r="W1763" i="34"/>
  <c r="Z1763" i="34"/>
  <c r="A1763" i="34"/>
  <c r="W1767" i="34"/>
  <c r="Z1767" i="34"/>
  <c r="A1767" i="34"/>
  <c r="Z1619" i="34"/>
  <c r="W1619" i="34"/>
  <c r="A1619" i="34"/>
  <c r="Z1634" i="34"/>
  <c r="W1634" i="34"/>
  <c r="A1634" i="34"/>
  <c r="Z1705" i="34"/>
  <c r="W1705" i="34"/>
  <c r="A1705" i="34"/>
  <c r="U1459" i="34"/>
  <c r="S1459" i="34"/>
  <c r="Z1459" i="34"/>
  <c r="T1459" i="34"/>
  <c r="W1459" i="34"/>
  <c r="A1459" i="34"/>
  <c r="U1541" i="34"/>
  <c r="S1541" i="34"/>
  <c r="Z1541" i="34"/>
  <c r="T1541" i="34"/>
  <c r="W1541" i="34"/>
  <c r="A1541" i="34"/>
  <c r="S1410" i="34"/>
  <c r="Z1410" i="34"/>
  <c r="T1410" i="34"/>
  <c r="W1410" i="34"/>
  <c r="U1410" i="34"/>
  <c r="A1410" i="34"/>
  <c r="U1495" i="34"/>
  <c r="S1495" i="34"/>
  <c r="Z1495" i="34"/>
  <c r="T1495" i="34"/>
  <c r="W1495" i="34"/>
  <c r="A1495" i="34"/>
  <c r="U1848" i="34"/>
  <c r="S1848" i="34"/>
  <c r="Z1848" i="34"/>
  <c r="T1848" i="34"/>
  <c r="W1848" i="34"/>
  <c r="A1848" i="34"/>
  <c r="S1845" i="34"/>
  <c r="Z1845" i="34"/>
  <c r="T1845" i="34"/>
  <c r="W1845" i="34"/>
  <c r="U1845" i="34"/>
  <c r="A1845" i="34"/>
  <c r="U1571" i="34"/>
  <c r="S1571" i="34"/>
  <c r="Z1571" i="34"/>
  <c r="T1571" i="34"/>
  <c r="W1571" i="34"/>
  <c r="A1571" i="34"/>
  <c r="S1590" i="34"/>
  <c r="Z1590" i="34"/>
  <c r="T1590" i="34"/>
  <c r="W1590" i="34"/>
  <c r="U1590" i="34"/>
  <c r="A1590" i="34"/>
  <c r="S1594" i="34"/>
  <c r="Z1594" i="34"/>
  <c r="T1594" i="34"/>
  <c r="W1594" i="34"/>
  <c r="U1594" i="34"/>
  <c r="A1594" i="34"/>
  <c r="N19" i="55"/>
  <c r="P22" i="60"/>
  <c r="P11" i="60"/>
  <c r="S271" i="60" l="1"/>
  <c r="AC1301" i="34" l="1"/>
  <c r="C1301" i="34"/>
  <c r="B1301" i="34" s="1"/>
  <c r="AC1399" i="34"/>
  <c r="C1399" i="34"/>
  <c r="B1399" i="34" s="1"/>
  <c r="AC576" i="34"/>
  <c r="C576" i="34"/>
  <c r="B576" i="34" s="1"/>
  <c r="AC510" i="34"/>
  <c r="C510" i="34"/>
  <c r="B510" i="34" s="1"/>
  <c r="AC506" i="34"/>
  <c r="C506" i="34"/>
  <c r="B506" i="34" s="1"/>
  <c r="AC503" i="34"/>
  <c r="C503" i="34"/>
  <c r="B503" i="34" s="1"/>
  <c r="AC488" i="34"/>
  <c r="C488" i="34"/>
  <c r="B488" i="34" s="1"/>
  <c r="AC480" i="34"/>
  <c r="C480" i="34"/>
  <c r="B480" i="34" s="1"/>
  <c r="AC472" i="34"/>
  <c r="C472" i="34"/>
  <c r="B472" i="34" s="1"/>
  <c r="AC463" i="34"/>
  <c r="C463" i="34"/>
  <c r="B463" i="34" s="1"/>
  <c r="AC443" i="34"/>
  <c r="C443" i="34"/>
  <c r="B443" i="34" s="1"/>
  <c r="AC423" i="34"/>
  <c r="C423" i="34"/>
  <c r="B423" i="34" s="1"/>
  <c r="AC361" i="34"/>
  <c r="C361" i="34"/>
  <c r="B361" i="34" s="1"/>
  <c r="AC345" i="34"/>
  <c r="C345" i="34"/>
  <c r="B345" i="34" s="1"/>
  <c r="AC337" i="34"/>
  <c r="C337" i="34"/>
  <c r="B337" i="34" s="1"/>
  <c r="AC332" i="34"/>
  <c r="C332" i="34"/>
  <c r="B332" i="34" s="1"/>
  <c r="AC327" i="34"/>
  <c r="C327" i="34"/>
  <c r="B327" i="34" s="1"/>
  <c r="AC859" i="34"/>
  <c r="C859" i="34"/>
  <c r="B859" i="34" s="1"/>
  <c r="Z859" i="34" l="1"/>
  <c r="W859" i="34"/>
  <c r="A859" i="34"/>
  <c r="Z332" i="34"/>
  <c r="W332" i="34"/>
  <c r="A332" i="34"/>
  <c r="Z345" i="34"/>
  <c r="W345" i="34"/>
  <c r="A345" i="34"/>
  <c r="W423" i="34"/>
  <c r="Z423" i="34"/>
  <c r="A423" i="34"/>
  <c r="W463" i="34"/>
  <c r="Z463" i="34"/>
  <c r="A463" i="34"/>
  <c r="Z480" i="34"/>
  <c r="W480" i="34"/>
  <c r="A480" i="34"/>
  <c r="Z503" i="34"/>
  <c r="W503" i="34"/>
  <c r="A503" i="34"/>
  <c r="Z510" i="34"/>
  <c r="W510" i="34"/>
  <c r="A510" i="34"/>
  <c r="W1399" i="34"/>
  <c r="Z1399" i="34"/>
  <c r="A1399" i="34"/>
  <c r="Z327" i="34"/>
  <c r="W327" i="34"/>
  <c r="A327" i="34"/>
  <c r="Z337" i="34"/>
  <c r="W337" i="34"/>
  <c r="A337" i="34"/>
  <c r="Z361" i="34"/>
  <c r="W361" i="34"/>
  <c r="A361" i="34"/>
  <c r="W443" i="34"/>
  <c r="Z443" i="34"/>
  <c r="A443" i="34"/>
  <c r="W472" i="34"/>
  <c r="Z472" i="34"/>
  <c r="A472" i="34"/>
  <c r="Z488" i="34"/>
  <c r="W488" i="34"/>
  <c r="A488" i="34"/>
  <c r="Z506" i="34"/>
  <c r="W506" i="34"/>
  <c r="A506" i="34"/>
  <c r="Z576" i="34"/>
  <c r="W576" i="34"/>
  <c r="A576" i="34"/>
  <c r="W1301" i="34"/>
  <c r="Z1301" i="34"/>
  <c r="A1301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4" i="34"/>
  <c r="K2005" i="34"/>
  <c r="K2006" i="34"/>
  <c r="K2007" i="34"/>
  <c r="K2008" i="34"/>
  <c r="K2009" i="34"/>
  <c r="K2010" i="34"/>
  <c r="K2011" i="34"/>
  <c r="K2012" i="34"/>
  <c r="K2013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1984" i="34"/>
  <c r="K1975" i="34"/>
  <c r="K1976" i="34"/>
  <c r="K1977" i="34"/>
  <c r="K1978" i="34"/>
  <c r="K1979" i="34"/>
  <c r="K1980" i="34"/>
  <c r="K1981" i="34"/>
  <c r="K1982" i="34"/>
  <c r="K1983" i="34"/>
  <c r="K1974" i="34"/>
  <c r="B35" i="55"/>
  <c r="A35" i="55" s="1"/>
  <c r="K1972" i="34"/>
  <c r="C1972" i="34"/>
  <c r="B1972" i="34" s="1"/>
  <c r="K1971" i="34"/>
  <c r="C1971" i="34"/>
  <c r="B1971" i="34" s="1"/>
  <c r="W1972" i="34" l="1"/>
  <c r="Z1972" i="34"/>
  <c r="A1972" i="34"/>
  <c r="Z1971" i="34"/>
  <c r="W1971" i="34"/>
  <c r="A1971" i="34"/>
  <c r="B36" i="55"/>
  <c r="B37" i="55" s="1"/>
  <c r="A37" i="55" s="1"/>
  <c r="K608" i="34"/>
  <c r="B38" i="55" l="1"/>
  <c r="B39" i="55" s="1"/>
  <c r="B40" i="55" s="1"/>
  <c r="A40" i="55" s="1"/>
  <c r="B41" i="55"/>
  <c r="A41" i="55" s="1"/>
  <c r="Q17" i="64"/>
  <c r="Q18" i="64"/>
  <c r="Q15" i="64"/>
  <c r="Q16" i="64"/>
  <c r="Q14" i="64"/>
  <c r="F1962" i="34"/>
  <c r="C1962" i="34"/>
  <c r="B1962" i="34" s="1"/>
  <c r="C1961" i="34"/>
  <c r="B1961" i="34" s="1"/>
  <c r="C1960" i="34"/>
  <c r="B1960" i="34" s="1"/>
  <c r="F1810" i="34"/>
  <c r="C1810" i="34"/>
  <c r="B1810" i="34" s="1"/>
  <c r="C1809" i="34"/>
  <c r="B1809" i="34" s="1"/>
  <c r="C1808" i="34"/>
  <c r="B1808" i="34" s="1"/>
  <c r="F1632" i="34"/>
  <c r="C1632" i="34"/>
  <c r="B1632" i="34" s="1"/>
  <c r="C1631" i="34"/>
  <c r="B1631" i="34" s="1"/>
  <c r="C1630" i="34"/>
  <c r="B1630" i="34" s="1"/>
  <c r="F1458" i="34"/>
  <c r="C1458" i="34"/>
  <c r="B1458" i="34" s="1"/>
  <c r="C1457" i="34"/>
  <c r="B1457" i="34" s="1"/>
  <c r="C1456" i="34"/>
  <c r="B1456" i="34" s="1"/>
  <c r="F1393" i="34"/>
  <c r="C1393" i="34"/>
  <c r="B1393" i="34" s="1"/>
  <c r="C1392" i="34"/>
  <c r="B1392" i="34" s="1"/>
  <c r="C1391" i="34"/>
  <c r="B1391" i="34" s="1"/>
  <c r="F1304" i="34"/>
  <c r="C1304" i="34"/>
  <c r="B1304" i="34" s="1"/>
  <c r="C1303" i="34"/>
  <c r="B1303" i="34" s="1"/>
  <c r="C1302" i="34"/>
  <c r="B1302" i="34" s="1"/>
  <c r="F1207" i="34"/>
  <c r="C1207" i="34"/>
  <c r="B1207" i="34" s="1"/>
  <c r="C1206" i="34"/>
  <c r="B1206" i="34" s="1"/>
  <c r="C1205" i="34"/>
  <c r="B1205" i="34" s="1"/>
  <c r="F1006" i="34"/>
  <c r="C1006" i="34"/>
  <c r="B1006" i="34" s="1"/>
  <c r="C1005" i="34"/>
  <c r="B1005" i="34" s="1"/>
  <c r="C1004" i="34"/>
  <c r="B1004" i="34" s="1"/>
  <c r="F780" i="34"/>
  <c r="C780" i="34"/>
  <c r="B780" i="34" s="1"/>
  <c r="C779" i="34"/>
  <c r="B779" i="34" s="1"/>
  <c r="C778" i="34"/>
  <c r="B778" i="34" s="1"/>
  <c r="F605" i="34"/>
  <c r="C605" i="34"/>
  <c r="B605" i="34" s="1"/>
  <c r="C604" i="34"/>
  <c r="B604" i="34" s="1"/>
  <c r="C603" i="34"/>
  <c r="B603" i="34" s="1"/>
  <c r="F408" i="34"/>
  <c r="C408" i="34"/>
  <c r="B408" i="34" s="1"/>
  <c r="C407" i="34"/>
  <c r="B407" i="34" s="1"/>
  <c r="C406" i="34"/>
  <c r="B406" i="34" s="1"/>
  <c r="K270" i="34"/>
  <c r="K1632" i="34" s="1"/>
  <c r="F270" i="34"/>
  <c r="C270" i="34"/>
  <c r="B270" i="34" s="1"/>
  <c r="C269" i="34"/>
  <c r="B269" i="34" s="1"/>
  <c r="C268" i="34"/>
  <c r="B268" i="34" s="1"/>
  <c r="C1465" i="34"/>
  <c r="B1465" i="34" s="1"/>
  <c r="C1223" i="34"/>
  <c r="B1223" i="34" s="1"/>
  <c r="C608" i="34"/>
  <c r="B608" i="34" s="1"/>
  <c r="C20" i="34"/>
  <c r="B20" i="34" s="1"/>
  <c r="Z268" i="34" l="1"/>
  <c r="W268" i="34"/>
  <c r="A268" i="34"/>
  <c r="Y780" i="34"/>
  <c r="X780" i="34"/>
  <c r="Y1304" i="34"/>
  <c r="X1304" i="34"/>
  <c r="X1393" i="34"/>
  <c r="Y1393" i="34"/>
  <c r="X1458" i="34"/>
  <c r="Y1458" i="34"/>
  <c r="X1632" i="34"/>
  <c r="Y1632" i="34"/>
  <c r="X1810" i="34"/>
  <c r="Y1810" i="34"/>
  <c r="X1962" i="34"/>
  <c r="Y1962" i="34"/>
  <c r="Y408" i="34"/>
  <c r="X408" i="34"/>
  <c r="X1207" i="34"/>
  <c r="Y1207" i="34"/>
  <c r="W608" i="34"/>
  <c r="Z608" i="34"/>
  <c r="A608" i="34"/>
  <c r="Z269" i="34"/>
  <c r="W269" i="34"/>
  <c r="A269" i="34"/>
  <c r="Z406" i="34"/>
  <c r="W406" i="34"/>
  <c r="A406" i="34"/>
  <c r="Z603" i="34"/>
  <c r="W603" i="34"/>
  <c r="A603" i="34"/>
  <c r="W778" i="34"/>
  <c r="Z778" i="34"/>
  <c r="A778" i="34"/>
  <c r="Z1004" i="34"/>
  <c r="W1004" i="34"/>
  <c r="A1004" i="34"/>
  <c r="Z1205" i="34"/>
  <c r="W1205" i="34"/>
  <c r="A1205" i="34"/>
  <c r="Z1302" i="34"/>
  <c r="W1302" i="34"/>
  <c r="A1302" i="34"/>
  <c r="W1391" i="34"/>
  <c r="Z1391" i="34"/>
  <c r="A1391" i="34"/>
  <c r="Z1456" i="34"/>
  <c r="W1456" i="34"/>
  <c r="A1456" i="34"/>
  <c r="Z1630" i="34"/>
  <c r="W1630" i="34"/>
  <c r="A1630" i="34"/>
  <c r="Z1808" i="34"/>
  <c r="W1808" i="34"/>
  <c r="A1808" i="34"/>
  <c r="Z1960" i="34"/>
  <c r="W1960" i="34"/>
  <c r="A1960" i="34"/>
  <c r="X1006" i="34"/>
  <c r="Y1006" i="34"/>
  <c r="Z1223" i="34"/>
  <c r="W1223" i="34"/>
  <c r="A1223" i="34"/>
  <c r="Z270" i="34"/>
  <c r="W270" i="34"/>
  <c r="A270" i="34"/>
  <c r="W407" i="34"/>
  <c r="Z407" i="34"/>
  <c r="A407" i="34"/>
  <c r="W604" i="34"/>
  <c r="Z604" i="34"/>
  <c r="A604" i="34"/>
  <c r="W779" i="34"/>
  <c r="Z779" i="34"/>
  <c r="A779" i="34"/>
  <c r="Z1005" i="34"/>
  <c r="W1005" i="34"/>
  <c r="A1005" i="34"/>
  <c r="Z1206" i="34"/>
  <c r="W1206" i="34"/>
  <c r="A1206" i="34"/>
  <c r="W1303" i="34"/>
  <c r="Z1303" i="34"/>
  <c r="A1303" i="34"/>
  <c r="Z1392" i="34"/>
  <c r="W1392" i="34"/>
  <c r="A1392" i="34"/>
  <c r="Z1457" i="34"/>
  <c r="W1457" i="34"/>
  <c r="A1457" i="34"/>
  <c r="Z1631" i="34"/>
  <c r="W1631" i="34"/>
  <c r="A1631" i="34"/>
  <c r="Z1809" i="34"/>
  <c r="W1809" i="34"/>
  <c r="A1809" i="34"/>
  <c r="Z1961" i="34"/>
  <c r="W1961" i="34"/>
  <c r="A1961" i="34"/>
  <c r="W20" i="34"/>
  <c r="Z20" i="34"/>
  <c r="A20" i="34"/>
  <c r="Y605" i="34"/>
  <c r="X605" i="34"/>
  <c r="Z1465" i="34"/>
  <c r="W1465" i="34"/>
  <c r="A1465" i="34"/>
  <c r="X270" i="34"/>
  <c r="Y270" i="34"/>
  <c r="Z408" i="34"/>
  <c r="W408" i="34"/>
  <c r="A408" i="34"/>
  <c r="Z605" i="34"/>
  <c r="W605" i="34"/>
  <c r="A605" i="34"/>
  <c r="W780" i="34"/>
  <c r="Z780" i="34"/>
  <c r="A780" i="34"/>
  <c r="Z1006" i="34"/>
  <c r="W1006" i="34"/>
  <c r="A1006" i="34"/>
  <c r="Z1207" i="34"/>
  <c r="W1207" i="34"/>
  <c r="A1207" i="34"/>
  <c r="Z1304" i="34"/>
  <c r="W1304" i="34"/>
  <c r="A1304" i="34"/>
  <c r="W1393" i="34"/>
  <c r="Z1393" i="34"/>
  <c r="A1393" i="34"/>
  <c r="Z1458" i="34"/>
  <c r="W1458" i="34"/>
  <c r="A1458" i="34"/>
  <c r="Z1632" i="34"/>
  <c r="W1632" i="34"/>
  <c r="A1632" i="34"/>
  <c r="Z1810" i="34"/>
  <c r="W1810" i="34"/>
  <c r="A1810" i="34"/>
  <c r="Z1962" i="34"/>
  <c r="W1962" i="34"/>
  <c r="A1962" i="34"/>
  <c r="A38" i="55"/>
  <c r="A39" i="55"/>
  <c r="K1962" i="34"/>
  <c r="K1810" i="34"/>
  <c r="H20" i="64"/>
  <c r="J20" i="64"/>
  <c r="L18" i="64"/>
  <c r="L17" i="64"/>
  <c r="L16" i="64"/>
  <c r="L15" i="64"/>
  <c r="L14" i="64"/>
  <c r="P16" i="64"/>
  <c r="P15" i="64"/>
  <c r="F37" i="81" l="1"/>
  <c r="B25" i="81"/>
  <c r="C34" i="81"/>
  <c r="G38" i="81"/>
  <c r="G22" i="81"/>
  <c r="F21" i="81"/>
  <c r="E28" i="81"/>
  <c r="C22" i="81"/>
  <c r="D31" i="81"/>
  <c r="B21" i="81"/>
  <c r="C30" i="81"/>
  <c r="E15" i="81"/>
  <c r="F38" i="81"/>
  <c r="D36" i="81"/>
  <c r="B34" i="81"/>
  <c r="G31" i="81"/>
  <c r="E29" i="81"/>
  <c r="C27" i="81"/>
  <c r="I24" i="81"/>
  <c r="F22" i="81"/>
  <c r="D20" i="81"/>
  <c r="B18" i="81"/>
  <c r="G15" i="81"/>
  <c r="D37" i="81"/>
  <c r="G32" i="81"/>
  <c r="C28" i="81"/>
  <c r="F23" i="81"/>
  <c r="E18" i="81"/>
  <c r="C14" i="81"/>
  <c r="E34" i="81"/>
  <c r="I29" i="81"/>
  <c r="D25" i="81"/>
  <c r="G20" i="81"/>
  <c r="G16" i="81"/>
  <c r="G37" i="81"/>
  <c r="E35" i="81"/>
  <c r="C33" i="81"/>
  <c r="I30" i="81"/>
  <c r="F28" i="81"/>
  <c r="D26" i="81"/>
  <c r="B24" i="81"/>
  <c r="G21" i="81"/>
  <c r="H21" i="81" s="1"/>
  <c r="E19" i="81"/>
  <c r="C17" i="81"/>
  <c r="F33" i="81"/>
  <c r="E36" i="81"/>
  <c r="D35" i="81"/>
  <c r="C18" i="81"/>
  <c r="B17" i="81"/>
  <c r="I23" i="81"/>
  <c r="C15" i="81"/>
  <c r="E24" i="81"/>
  <c r="D15" i="81"/>
  <c r="D23" i="81"/>
  <c r="E32" i="81"/>
  <c r="D14" i="81"/>
  <c r="B38" i="81"/>
  <c r="G35" i="81"/>
  <c r="E33" i="81"/>
  <c r="C31" i="81"/>
  <c r="I28" i="81"/>
  <c r="F26" i="81"/>
  <c r="D24" i="81"/>
  <c r="B22" i="81"/>
  <c r="G19" i="81"/>
  <c r="E17" i="81"/>
  <c r="B15" i="81"/>
  <c r="C36" i="81"/>
  <c r="F31" i="81"/>
  <c r="B27" i="81"/>
  <c r="E22" i="81"/>
  <c r="D17" i="81"/>
  <c r="I37" i="81"/>
  <c r="D33" i="81"/>
  <c r="G28" i="81"/>
  <c r="C24" i="81"/>
  <c r="C20" i="81"/>
  <c r="F15" i="81"/>
  <c r="C37" i="81"/>
  <c r="I34" i="81"/>
  <c r="F32" i="81"/>
  <c r="D30" i="81"/>
  <c r="B28" i="81"/>
  <c r="G25" i="81"/>
  <c r="E23" i="81"/>
  <c r="C21" i="81"/>
  <c r="I18" i="81"/>
  <c r="F16" i="81"/>
  <c r="I31" i="81"/>
  <c r="I15" i="81"/>
  <c r="F29" i="81"/>
  <c r="J29" i="81" s="1"/>
  <c r="G30" i="81"/>
  <c r="I35" i="81"/>
  <c r="F17" i="81"/>
  <c r="G26" i="81"/>
  <c r="E16" i="81"/>
  <c r="F25" i="81"/>
  <c r="G34" i="81"/>
  <c r="E37" i="81"/>
  <c r="C35" i="81"/>
  <c r="I32" i="81"/>
  <c r="F30" i="81"/>
  <c r="D28" i="81"/>
  <c r="B26" i="81"/>
  <c r="G23" i="81"/>
  <c r="E21" i="81"/>
  <c r="C19" i="81"/>
  <c r="I16" i="81"/>
  <c r="F14" i="81"/>
  <c r="B35" i="81"/>
  <c r="E30" i="81"/>
  <c r="I25" i="81"/>
  <c r="D21" i="81"/>
  <c r="C16" i="81"/>
  <c r="G36" i="81"/>
  <c r="C32" i="81"/>
  <c r="F27" i="81"/>
  <c r="B23" i="81"/>
  <c r="B19" i="81"/>
  <c r="I38" i="81"/>
  <c r="F36" i="81"/>
  <c r="D34" i="81"/>
  <c r="B32" i="81"/>
  <c r="G29" i="81"/>
  <c r="E27" i="81"/>
  <c r="C25" i="81"/>
  <c r="I22" i="81"/>
  <c r="F20" i="81"/>
  <c r="D18" i="81"/>
  <c r="B16" i="81"/>
  <c r="E20" i="81"/>
  <c r="C38" i="81"/>
  <c r="D19" i="81"/>
  <c r="D27" i="81"/>
  <c r="C26" i="81"/>
  <c r="B33" i="81"/>
  <c r="I19" i="81"/>
  <c r="B29" i="81"/>
  <c r="G18" i="81"/>
  <c r="I27" i="81"/>
  <c r="B37" i="81"/>
  <c r="I36" i="81"/>
  <c r="F34" i="81"/>
  <c r="D32" i="81"/>
  <c r="B30" i="81"/>
  <c r="G27" i="81"/>
  <c r="E25" i="81"/>
  <c r="C23" i="81"/>
  <c r="I20" i="81"/>
  <c r="F18" i="81"/>
  <c r="D16" i="81"/>
  <c r="E38" i="81"/>
  <c r="I33" i="81"/>
  <c r="D29" i="81"/>
  <c r="G24" i="81"/>
  <c r="F19" i="81"/>
  <c r="B14" i="81"/>
  <c r="F35" i="81"/>
  <c r="B31" i="81"/>
  <c r="E26" i="81"/>
  <c r="I21" i="81"/>
  <c r="I17" i="81"/>
  <c r="D38" i="81"/>
  <c r="B36" i="81"/>
  <c r="G33" i="81"/>
  <c r="E31" i="81"/>
  <c r="C29" i="81"/>
  <c r="I26" i="81"/>
  <c r="F24" i="81"/>
  <c r="D22" i="81"/>
  <c r="B20" i="81"/>
  <c r="G17" i="81"/>
  <c r="E14" i="81"/>
  <c r="K408" i="34"/>
  <c r="N21" i="55"/>
  <c r="H17" i="81" l="1"/>
  <c r="J37" i="81"/>
  <c r="H34" i="81"/>
  <c r="H22" i="81"/>
  <c r="H29" i="81"/>
  <c r="J22" i="81"/>
  <c r="H30" i="81"/>
  <c r="H24" i="81"/>
  <c r="J24" i="81"/>
  <c r="J17" i="81"/>
  <c r="J18" i="81"/>
  <c r="H28" i="81"/>
  <c r="J28" i="81"/>
  <c r="H23" i="81"/>
  <c r="J23" i="81"/>
  <c r="H36" i="81"/>
  <c r="J36" i="81"/>
  <c r="H27" i="81"/>
  <c r="J27" i="81"/>
  <c r="J25" i="81"/>
  <c r="J15" i="81"/>
  <c r="H15" i="81"/>
  <c r="H26" i="81"/>
  <c r="J26" i="81"/>
  <c r="J30" i="81"/>
  <c r="J19" i="81"/>
  <c r="H19" i="81"/>
  <c r="J20" i="81"/>
  <c r="H20" i="81"/>
  <c r="H32" i="81"/>
  <c r="J32" i="81"/>
  <c r="H31" i="81"/>
  <c r="J31" i="81"/>
  <c r="J33" i="81"/>
  <c r="H33" i="81"/>
  <c r="H38" i="81"/>
  <c r="J38" i="81"/>
  <c r="J21" i="81"/>
  <c r="J35" i="81"/>
  <c r="H35" i="81"/>
  <c r="H18" i="81"/>
  <c r="J16" i="81"/>
  <c r="H16" i="81"/>
  <c r="H25" i="81"/>
  <c r="J34" i="81"/>
  <c r="H37" i="81"/>
  <c r="K780" i="34"/>
  <c r="K605" i="34"/>
  <c r="K1664" i="34"/>
  <c r="K1493" i="34"/>
  <c r="K1492" i="34"/>
  <c r="K1545" i="34"/>
  <c r="K1544" i="34"/>
  <c r="K1207" i="34" l="1"/>
  <c r="K1006" i="34"/>
  <c r="A52" i="70"/>
  <c r="A53" i="70"/>
  <c r="A54" i="70"/>
  <c r="K1747" i="34"/>
  <c r="K1749" i="34"/>
  <c r="K1754" i="34"/>
  <c r="K1756" i="34"/>
  <c r="K1757" i="34"/>
  <c r="K1769" i="34"/>
  <c r="K1770" i="34"/>
  <c r="K1772" i="34"/>
  <c r="K1773" i="34"/>
  <c r="K1775" i="34"/>
  <c r="K1776" i="34"/>
  <c r="K1778" i="34"/>
  <c r="K1779" i="34"/>
  <c r="K1780" i="34"/>
  <c r="K1782" i="34"/>
  <c r="K1784" i="34"/>
  <c r="K1785" i="34"/>
  <c r="K1786" i="34"/>
  <c r="K1790" i="34"/>
  <c r="C15" i="34"/>
  <c r="B15" i="34" s="1"/>
  <c r="A15" i="34" s="1"/>
  <c r="D49" i="15"/>
  <c r="G49" i="15"/>
  <c r="H49" i="15"/>
  <c r="C49" i="15"/>
  <c r="K1676" i="34"/>
  <c r="K1677" i="34"/>
  <c r="K1678" i="34"/>
  <c r="K1679" i="34"/>
  <c r="K1680" i="34"/>
  <c r="K1682" i="34"/>
  <c r="K1683" i="34"/>
  <c r="K1684" i="34"/>
  <c r="K1686" i="34"/>
  <c r="K1687" i="34"/>
  <c r="K1695" i="34"/>
  <c r="K1697" i="34"/>
  <c r="K1698" i="34"/>
  <c r="K1699" i="34"/>
  <c r="K1700" i="34"/>
  <c r="K1702" i="34"/>
  <c r="K1706" i="34"/>
  <c r="K1708" i="34"/>
  <c r="K1709" i="34"/>
  <c r="K1710" i="34"/>
  <c r="K1723" i="34"/>
  <c r="K1725" i="34"/>
  <c r="K1726" i="34"/>
  <c r="K1727" i="34"/>
  <c r="K1729" i="34"/>
  <c r="K1393" i="34" l="1"/>
  <c r="K1304" i="34"/>
  <c r="K1614" i="34"/>
  <c r="K1616" i="34"/>
  <c r="K1617" i="34"/>
  <c r="K1622" i="34"/>
  <c r="K1624" i="34"/>
  <c r="K1626" i="34"/>
  <c r="K1646" i="34"/>
  <c r="K1647" i="34"/>
  <c r="K1648" i="34"/>
  <c r="K1649" i="34"/>
  <c r="K1650" i="34"/>
  <c r="K1651" i="34"/>
  <c r="K1652" i="34"/>
  <c r="K1653" i="34"/>
  <c r="K1655" i="34"/>
  <c r="K1660" i="34"/>
  <c r="K1661" i="34"/>
  <c r="K1662" i="34"/>
  <c r="K1672" i="34"/>
  <c r="K1673" i="34"/>
  <c r="A47" i="70"/>
  <c r="A48" i="70"/>
  <c r="A49" i="70"/>
  <c r="A50" i="70"/>
  <c r="A51" i="70"/>
  <c r="A44" i="70"/>
  <c r="A45" i="70"/>
  <c r="A46" i="70"/>
  <c r="K15" i="34" l="1"/>
  <c r="K1458" i="34"/>
  <c r="K1537" i="34"/>
  <c r="K1553" i="34"/>
  <c r="K1555" i="34"/>
  <c r="K1556" i="34"/>
  <c r="K1558" i="34"/>
  <c r="K1559" i="34"/>
  <c r="K1560" i="34"/>
  <c r="K1562" i="34"/>
  <c r="K1563" i="34"/>
  <c r="K1565" i="34"/>
  <c r="K1567" i="34"/>
  <c r="K1568" i="34"/>
  <c r="K1574" i="34"/>
  <c r="K1575" i="34"/>
  <c r="K1576" i="34"/>
  <c r="K1577" i="34"/>
  <c r="K1578" i="34"/>
  <c r="K1579" i="34"/>
  <c r="K1580" i="34"/>
  <c r="K1581" i="34"/>
  <c r="K1583" i="34"/>
  <c r="K1584" i="34"/>
  <c r="K1585" i="34"/>
  <c r="K1587" i="34"/>
  <c r="K1595" i="34"/>
  <c r="K1596" i="34"/>
  <c r="K1605" i="34"/>
  <c r="K1606" i="34"/>
  <c r="K1611" i="34"/>
  <c r="K1612" i="34"/>
  <c r="K1490" i="34"/>
  <c r="K1497" i="34"/>
  <c r="K1499" i="34"/>
  <c r="K1500" i="34"/>
  <c r="K1501" i="34"/>
  <c r="K1502" i="34"/>
  <c r="K1503" i="34"/>
  <c r="K1504" i="34"/>
  <c r="K1505" i="34"/>
  <c r="K1521" i="34"/>
  <c r="K1534" i="34"/>
  <c r="K1535" i="34"/>
  <c r="K1489" i="34"/>
  <c r="S267" i="60" l="1"/>
  <c r="C1281" i="34" l="1"/>
  <c r="B1281" i="34" s="1"/>
  <c r="C1280" i="34"/>
  <c r="B1280" i="34" s="1"/>
  <c r="C1279" i="34"/>
  <c r="B1279" i="34" s="1"/>
  <c r="C1278" i="34"/>
  <c r="B1278" i="34" s="1"/>
  <c r="C1277" i="34"/>
  <c r="B1277" i="34" s="1"/>
  <c r="C1274" i="34"/>
  <c r="B1274" i="34" s="1"/>
  <c r="C1273" i="34"/>
  <c r="B1273" i="34" s="1"/>
  <c r="C1276" i="34"/>
  <c r="B1276" i="34" s="1"/>
  <c r="C1275" i="34"/>
  <c r="B1275" i="34" s="1"/>
  <c r="C1272" i="34"/>
  <c r="B1272" i="34" s="1"/>
  <c r="W1276" i="34" l="1"/>
  <c r="Z1276" i="34"/>
  <c r="A1276" i="34"/>
  <c r="W1278" i="34"/>
  <c r="Z1278" i="34"/>
  <c r="A1278" i="34"/>
  <c r="W1273" i="34"/>
  <c r="Z1273" i="34"/>
  <c r="A1273" i="34"/>
  <c r="W1279" i="34"/>
  <c r="Z1279" i="34"/>
  <c r="A1279" i="34"/>
  <c r="W1272" i="34"/>
  <c r="Z1272" i="34"/>
  <c r="A1272" i="34"/>
  <c r="W1274" i="34"/>
  <c r="Z1274" i="34"/>
  <c r="A1274" i="34"/>
  <c r="W1280" i="34"/>
  <c r="Z1280" i="34"/>
  <c r="A1280" i="34"/>
  <c r="W1275" i="34"/>
  <c r="Z1275" i="34"/>
  <c r="A1275" i="34"/>
  <c r="W1277" i="34"/>
  <c r="Z1277" i="34"/>
  <c r="A1277" i="34"/>
  <c r="W1281" i="34"/>
  <c r="Z1281" i="34"/>
  <c r="A1281" i="34"/>
  <c r="I561" i="60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H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H35" i="60"/>
  <c r="J35" i="60" s="1"/>
  <c r="H36" i="60"/>
  <c r="J36" i="60" s="1"/>
  <c r="H37" i="60"/>
  <c r="J37" i="60" s="1"/>
  <c r="H38" i="60"/>
  <c r="H39" i="60"/>
  <c r="H40" i="60"/>
  <c r="H41" i="60"/>
  <c r="J41" i="60" s="1"/>
  <c r="H42" i="60"/>
  <c r="H43" i="60"/>
  <c r="J43" i="60" s="1"/>
  <c r="H44" i="60"/>
  <c r="J44" i="60" s="1"/>
  <c r="H45" i="60"/>
  <c r="J45" i="60" s="1"/>
  <c r="H46" i="60"/>
  <c r="H47" i="60"/>
  <c r="J47" i="60" s="1"/>
  <c r="H48" i="60"/>
  <c r="J48" i="60" s="1"/>
  <c r="H49" i="60"/>
  <c r="J49" i="60" s="1"/>
  <c r="H50" i="60"/>
  <c r="H51" i="60"/>
  <c r="J51" i="60" s="1"/>
  <c r="H52" i="60"/>
  <c r="J52" i="60" s="1"/>
  <c r="H53" i="60"/>
  <c r="J53" i="60" s="1"/>
  <c r="H54" i="60"/>
  <c r="H55" i="60"/>
  <c r="H56" i="60"/>
  <c r="J56" i="60" s="1"/>
  <c r="H57" i="60"/>
  <c r="J57" i="60" s="1"/>
  <c r="H58" i="60"/>
  <c r="H59" i="60"/>
  <c r="J59" i="60" s="1"/>
  <c r="H60" i="60"/>
  <c r="J60" i="60" s="1"/>
  <c r="H61" i="60"/>
  <c r="J61" i="60" s="1"/>
  <c r="H62" i="60"/>
  <c r="H63" i="60"/>
  <c r="J63" i="60" s="1"/>
  <c r="H64" i="60"/>
  <c r="J64" i="60" s="1"/>
  <c r="H65" i="60"/>
  <c r="J65" i="60" s="1"/>
  <c r="H66" i="60"/>
  <c r="H67" i="60"/>
  <c r="J67" i="60" s="1"/>
  <c r="H68" i="60"/>
  <c r="J68" i="60" s="1"/>
  <c r="H69" i="60"/>
  <c r="J69" i="60" s="1"/>
  <c r="H70" i="60"/>
  <c r="H71" i="60"/>
  <c r="H72" i="60"/>
  <c r="J72" i="60" s="1"/>
  <c r="H73" i="60"/>
  <c r="J73" i="60" s="1"/>
  <c r="H74" i="60"/>
  <c r="H75" i="60"/>
  <c r="J75" i="60" s="1"/>
  <c r="H76" i="60"/>
  <c r="J76" i="60" s="1"/>
  <c r="H77" i="60"/>
  <c r="J77" i="60" s="1"/>
  <c r="H78" i="60"/>
  <c r="H79" i="60"/>
  <c r="J79" i="60" s="1"/>
  <c r="H80" i="60"/>
  <c r="J80" i="60" s="1"/>
  <c r="H81" i="60"/>
  <c r="J81" i="60" s="1"/>
  <c r="H82" i="60"/>
  <c r="H83" i="60"/>
  <c r="J83" i="60" s="1"/>
  <c r="H84" i="60"/>
  <c r="J84" i="60" s="1"/>
  <c r="H85" i="60"/>
  <c r="J85" i="60" s="1"/>
  <c r="H86" i="60"/>
  <c r="H87" i="60"/>
  <c r="H88" i="60"/>
  <c r="J88" i="60" s="1"/>
  <c r="H89" i="60"/>
  <c r="J89" i="60" s="1"/>
  <c r="H90" i="60"/>
  <c r="H91" i="60"/>
  <c r="J91" i="60" s="1"/>
  <c r="H92" i="60"/>
  <c r="J92" i="60" s="1"/>
  <c r="H93" i="60"/>
  <c r="J93" i="60" s="1"/>
  <c r="H94" i="60"/>
  <c r="H95" i="60"/>
  <c r="J95" i="60" s="1"/>
  <c r="H96" i="60"/>
  <c r="J96" i="60" s="1"/>
  <c r="H97" i="60"/>
  <c r="J97" i="60" s="1"/>
  <c r="H98" i="60"/>
  <c r="J98" i="60" s="1"/>
  <c r="H99" i="60"/>
  <c r="J99" i="60" s="1"/>
  <c r="H100" i="60"/>
  <c r="J100" i="60" s="1"/>
  <c r="H101" i="60"/>
  <c r="H102" i="60"/>
  <c r="H103" i="60"/>
  <c r="H104" i="60"/>
  <c r="J104" i="60" s="1"/>
  <c r="H105" i="60"/>
  <c r="J105" i="60" s="1"/>
  <c r="H106" i="60"/>
  <c r="H107" i="60"/>
  <c r="H108" i="60"/>
  <c r="J108" i="60" s="1"/>
  <c r="H109" i="60"/>
  <c r="J109" i="60" s="1"/>
  <c r="H110" i="60"/>
  <c r="J110" i="60" s="1"/>
  <c r="H111" i="60"/>
  <c r="J111" i="60" s="1"/>
  <c r="H112" i="60"/>
  <c r="J112" i="60" s="1"/>
  <c r="H113" i="60"/>
  <c r="J113" i="60" s="1"/>
  <c r="H114" i="60"/>
  <c r="J114" i="60" s="1"/>
  <c r="H115" i="60"/>
  <c r="J115" i="60" s="1"/>
  <c r="H116" i="60"/>
  <c r="J116" i="60" s="1"/>
  <c r="H117" i="60"/>
  <c r="J117" i="60" s="1"/>
  <c r="H118" i="60"/>
  <c r="J118" i="60" s="1"/>
  <c r="H119" i="60"/>
  <c r="H120" i="60"/>
  <c r="J120" i="60" s="1"/>
  <c r="H121" i="60"/>
  <c r="J121" i="60" s="1"/>
  <c r="H122" i="60"/>
  <c r="J122" i="60" s="1"/>
  <c r="H123" i="60"/>
  <c r="J123" i="60" s="1"/>
  <c r="H124" i="60"/>
  <c r="J124" i="60" s="1"/>
  <c r="H125" i="60"/>
  <c r="J125" i="60" s="1"/>
  <c r="H126" i="60"/>
  <c r="J126" i="60" s="1"/>
  <c r="H127" i="60"/>
  <c r="J127" i="60" s="1"/>
  <c r="H128" i="60"/>
  <c r="J128" i="60" s="1"/>
  <c r="H129" i="60"/>
  <c r="J129" i="60" s="1"/>
  <c r="H130" i="60"/>
  <c r="J130" i="60" s="1"/>
  <c r="H131" i="60"/>
  <c r="J131" i="60" s="1"/>
  <c r="H132" i="60"/>
  <c r="J132" i="60" s="1"/>
  <c r="H133" i="60"/>
  <c r="J133" i="60" s="1"/>
  <c r="H134" i="60"/>
  <c r="J134" i="60" s="1"/>
  <c r="H135" i="60"/>
  <c r="J135" i="60" s="1"/>
  <c r="H136" i="60"/>
  <c r="J136" i="60" s="1"/>
  <c r="H137" i="60"/>
  <c r="J137" i="60" s="1"/>
  <c r="H138" i="60"/>
  <c r="J138" i="60" s="1"/>
  <c r="H139" i="60"/>
  <c r="J139" i="60" s="1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162" i="60"/>
  <c r="J162" i="60" s="1"/>
  <c r="H163" i="60"/>
  <c r="J163" i="60" s="1"/>
  <c r="H164" i="60"/>
  <c r="J164" i="60" s="1"/>
  <c r="H165" i="60"/>
  <c r="J165" i="60" s="1"/>
  <c r="H166" i="60"/>
  <c r="J166" i="60" s="1"/>
  <c r="H167" i="60"/>
  <c r="J167" i="60" s="1"/>
  <c r="H168" i="60"/>
  <c r="J168" i="60" s="1"/>
  <c r="H169" i="60"/>
  <c r="J169" i="60" s="1"/>
  <c r="H170" i="60"/>
  <c r="J170" i="60" s="1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107" i="60"/>
  <c r="J146" i="60"/>
  <c r="J234" i="60"/>
  <c r="J34" i="60"/>
  <c r="J38" i="60"/>
  <c r="J39" i="60"/>
  <c r="J40" i="60"/>
  <c r="J42" i="60"/>
  <c r="J46" i="60"/>
  <c r="J50" i="60"/>
  <c r="J54" i="60"/>
  <c r="J55" i="60"/>
  <c r="J58" i="60"/>
  <c r="J62" i="60"/>
  <c r="J66" i="60"/>
  <c r="J70" i="60"/>
  <c r="J71" i="60"/>
  <c r="J74" i="60"/>
  <c r="J78" i="60"/>
  <c r="J82" i="60"/>
  <c r="J86" i="60"/>
  <c r="J87" i="60"/>
  <c r="J90" i="60"/>
  <c r="J94" i="60"/>
  <c r="J101" i="60"/>
  <c r="J102" i="60"/>
  <c r="J103" i="60"/>
  <c r="J106" i="60"/>
  <c r="J119" i="60"/>
  <c r="J155" i="60"/>
  <c r="J191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965" i="34"/>
  <c r="K1966" i="34"/>
  <c r="K1967" i="34"/>
  <c r="K1968" i="34"/>
  <c r="K1969" i="34"/>
  <c r="K1970" i="34"/>
  <c r="K1964" i="34"/>
  <c r="R287" i="60"/>
  <c r="R288" i="60"/>
  <c r="R289" i="60"/>
  <c r="R290" i="60"/>
  <c r="R291" i="60"/>
  <c r="R292" i="60"/>
  <c r="R293" i="60"/>
  <c r="R294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95" i="34"/>
  <c r="C738" i="34" l="1"/>
  <c r="B738" i="34" s="1"/>
  <c r="C245" i="34"/>
  <c r="B245" i="34" s="1"/>
  <c r="Z245" i="34" l="1"/>
  <c r="W245" i="34"/>
  <c r="A245" i="34"/>
  <c r="Z738" i="34"/>
  <c r="W738" i="34"/>
  <c r="A738" i="34"/>
  <c r="AC1300" i="34"/>
  <c r="AC1299" i="34"/>
  <c r="AC1398" i="34"/>
  <c r="AC1397" i="34"/>
  <c r="AC1461" i="34"/>
  <c r="AC1460" i="34"/>
  <c r="AC1396" i="34"/>
  <c r="AC1395" i="34"/>
  <c r="AC1380" i="34"/>
  <c r="AC1379" i="34"/>
  <c r="AC1378" i="34"/>
  <c r="AC1355" i="34"/>
  <c r="AC1354" i="34"/>
  <c r="AC1353" i="34"/>
  <c r="AC1352" i="34"/>
  <c r="AC1220" i="34"/>
  <c r="AC1219" i="34"/>
  <c r="AC1218" i="34"/>
  <c r="AC1217" i="34"/>
  <c r="AC1216" i="34"/>
  <c r="AC1215" i="34"/>
  <c r="AC1214" i="34"/>
  <c r="AC1213" i="34"/>
  <c r="AC1212" i="34"/>
  <c r="AC1211" i="34"/>
  <c r="AC1062" i="34"/>
  <c r="AC1061" i="34"/>
  <c r="AC1059" i="34"/>
  <c r="AC1058" i="34"/>
  <c r="AC1019" i="34"/>
  <c r="AC1018" i="34"/>
  <c r="AC1017" i="34"/>
  <c r="AC988" i="34"/>
  <c r="AC987" i="34"/>
  <c r="AC955" i="34"/>
  <c r="AC954" i="34"/>
  <c r="AC912" i="34"/>
  <c r="AC911" i="34"/>
  <c r="AC904" i="34"/>
  <c r="AC903" i="34"/>
  <c r="AC858" i="34"/>
  <c r="AC857" i="34"/>
  <c r="AC814" i="34"/>
  <c r="AC813" i="34"/>
  <c r="AC812" i="34"/>
  <c r="AC811" i="34"/>
  <c r="AC802" i="34"/>
  <c r="AC801" i="34"/>
  <c r="AC775" i="34"/>
  <c r="AC774" i="34"/>
  <c r="AC692" i="34"/>
  <c r="AC691" i="34"/>
  <c r="AC621" i="34"/>
  <c r="AC620" i="34"/>
  <c r="AC619" i="34"/>
  <c r="AC618" i="34"/>
  <c r="AC614" i="34"/>
  <c r="AC613" i="34"/>
  <c r="AC612" i="34"/>
  <c r="AC611" i="34"/>
  <c r="AC610" i="34"/>
  <c r="AC609" i="34"/>
  <c r="AC600" i="34"/>
  <c r="AC599" i="34"/>
  <c r="AC598" i="34"/>
  <c r="AC596" i="34"/>
  <c r="AC595" i="34"/>
  <c r="AC575" i="34"/>
  <c r="AC574" i="34"/>
  <c r="AC509" i="34"/>
  <c r="AC508" i="34"/>
  <c r="AC505" i="34"/>
  <c r="AC504" i="34"/>
  <c r="AC502" i="34"/>
  <c r="AC501" i="34"/>
  <c r="AC487" i="34"/>
  <c r="AC486" i="34"/>
  <c r="AC479" i="34"/>
  <c r="AC478" i="34"/>
  <c r="AC471" i="34"/>
  <c r="AC470" i="34"/>
  <c r="AC462" i="34"/>
  <c r="AC461" i="34"/>
  <c r="AC442" i="34"/>
  <c r="AC441" i="34"/>
  <c r="AC422" i="34"/>
  <c r="AC421" i="34"/>
  <c r="AC360" i="34"/>
  <c r="AC359" i="34"/>
  <c r="AC344" i="34"/>
  <c r="AC343" i="34"/>
  <c r="AC336" i="34"/>
  <c r="AC335" i="34"/>
  <c r="AC331" i="34"/>
  <c r="AC330" i="34"/>
  <c r="AC326" i="34"/>
  <c r="AC325" i="34"/>
  <c r="AC324" i="34"/>
  <c r="AC250" i="34"/>
  <c r="AC249" i="34"/>
  <c r="AC216" i="34"/>
  <c r="AC215" i="34"/>
  <c r="C1430" i="34"/>
  <c r="B1430" i="34" s="1"/>
  <c r="C1429" i="34"/>
  <c r="B1429" i="34" s="1"/>
  <c r="C1431" i="34"/>
  <c r="B1431" i="34" s="1"/>
  <c r="A10" i="79"/>
  <c r="A11" i="79"/>
  <c r="C1411" i="34"/>
  <c r="B1411" i="34" s="1"/>
  <c r="C1409" i="34"/>
  <c r="B1409" i="34" s="1"/>
  <c r="C1394" i="34"/>
  <c r="B1394" i="34" s="1"/>
  <c r="C1371" i="34"/>
  <c r="B1371" i="34" s="1"/>
  <c r="C1370" i="34"/>
  <c r="B1370" i="34" s="1"/>
  <c r="C1369" i="34"/>
  <c r="B1369" i="34" s="1"/>
  <c r="C1368" i="34"/>
  <c r="B1368" i="34" s="1"/>
  <c r="C1350" i="34"/>
  <c r="B1350" i="34" s="1"/>
  <c r="C1373" i="34"/>
  <c r="B1373" i="34" s="1"/>
  <c r="C1372" i="34"/>
  <c r="B1372" i="34" s="1"/>
  <c r="C1428" i="34"/>
  <c r="B1428" i="34" s="1"/>
  <c r="C1412" i="34"/>
  <c r="B1412" i="34" s="1"/>
  <c r="C1347" i="34"/>
  <c r="B1347" i="34" s="1"/>
  <c r="C1346" i="34"/>
  <c r="B1346" i="34" s="1"/>
  <c r="C1345" i="34"/>
  <c r="B1345" i="34" s="1"/>
  <c r="C1327" i="34"/>
  <c r="B1327" i="34" s="1"/>
  <c r="C1349" i="34"/>
  <c r="B1349" i="34" s="1"/>
  <c r="C1348" i="34"/>
  <c r="B1348" i="34" s="1"/>
  <c r="T1345" i="34" l="1"/>
  <c r="W1345" i="34"/>
  <c r="U1345" i="34"/>
  <c r="S1345" i="34"/>
  <c r="Z1345" i="34"/>
  <c r="A1345" i="34"/>
  <c r="S1428" i="34"/>
  <c r="Z1428" i="34"/>
  <c r="T1428" i="34"/>
  <c r="W1428" i="34"/>
  <c r="U1428" i="34"/>
  <c r="A1428" i="34"/>
  <c r="S1368" i="34"/>
  <c r="Z1368" i="34"/>
  <c r="T1368" i="34"/>
  <c r="W1368" i="34"/>
  <c r="U1368" i="34"/>
  <c r="A1368" i="34"/>
  <c r="S1394" i="34"/>
  <c r="Z1394" i="34"/>
  <c r="T1394" i="34"/>
  <c r="W1394" i="34"/>
  <c r="U1394" i="34"/>
  <c r="A1394" i="34"/>
  <c r="S1348" i="34"/>
  <c r="Z1348" i="34"/>
  <c r="T1348" i="34"/>
  <c r="W1348" i="34"/>
  <c r="U1348" i="34"/>
  <c r="A1348" i="34"/>
  <c r="S1346" i="34"/>
  <c r="Z1346" i="34"/>
  <c r="T1346" i="34"/>
  <c r="W1346" i="34"/>
  <c r="U1346" i="34"/>
  <c r="A1346" i="34"/>
  <c r="S1372" i="34"/>
  <c r="Z1372" i="34"/>
  <c r="T1372" i="34"/>
  <c r="W1372" i="34"/>
  <c r="U1372" i="34"/>
  <c r="A1372" i="34"/>
  <c r="T1369" i="34"/>
  <c r="W1369" i="34"/>
  <c r="U1369" i="34"/>
  <c r="S1369" i="34"/>
  <c r="Z1369" i="34"/>
  <c r="A1369" i="34"/>
  <c r="T1409" i="34"/>
  <c r="W1409" i="34"/>
  <c r="U1409" i="34"/>
  <c r="S1409" i="34"/>
  <c r="Z1409" i="34"/>
  <c r="A1409" i="34"/>
  <c r="T1431" i="34"/>
  <c r="W1431" i="34"/>
  <c r="U1431" i="34"/>
  <c r="S1431" i="34"/>
  <c r="Z1431" i="34"/>
  <c r="A1431" i="34"/>
  <c r="T1349" i="34"/>
  <c r="W1349" i="34"/>
  <c r="U1349" i="34"/>
  <c r="S1349" i="34"/>
  <c r="Z1349" i="34"/>
  <c r="A1349" i="34"/>
  <c r="T1347" i="34"/>
  <c r="W1347" i="34"/>
  <c r="U1347" i="34"/>
  <c r="S1347" i="34"/>
  <c r="Z1347" i="34"/>
  <c r="A1347" i="34"/>
  <c r="T1373" i="34"/>
  <c r="W1373" i="34"/>
  <c r="U1373" i="34"/>
  <c r="S1373" i="34"/>
  <c r="Z1373" i="34"/>
  <c r="A1373" i="34"/>
  <c r="S1370" i="34"/>
  <c r="Z1370" i="34"/>
  <c r="T1370" i="34"/>
  <c r="W1370" i="34"/>
  <c r="U1370" i="34"/>
  <c r="A1370" i="34"/>
  <c r="T1411" i="34"/>
  <c r="W1411" i="34"/>
  <c r="U1411" i="34"/>
  <c r="S1411" i="34"/>
  <c r="Z1411" i="34"/>
  <c r="A1411" i="34"/>
  <c r="T1429" i="34"/>
  <c r="W1429" i="34"/>
  <c r="U1429" i="34"/>
  <c r="S1429" i="34"/>
  <c r="Z1429" i="34"/>
  <c r="A1429" i="34"/>
  <c r="T1327" i="34"/>
  <c r="W1327" i="34"/>
  <c r="U1327" i="34"/>
  <c r="S1327" i="34"/>
  <c r="Z1327" i="34"/>
  <c r="A1327" i="34"/>
  <c r="S1412" i="34"/>
  <c r="Z1412" i="34"/>
  <c r="T1412" i="34"/>
  <c r="W1412" i="34"/>
  <c r="U1412" i="34"/>
  <c r="A1412" i="34"/>
  <c r="S1350" i="34"/>
  <c r="Z1350" i="34"/>
  <c r="T1350" i="34"/>
  <c r="W1350" i="34"/>
  <c r="U1350" i="34"/>
  <c r="A1350" i="34"/>
  <c r="T1371" i="34"/>
  <c r="W1371" i="34"/>
  <c r="U1371" i="34"/>
  <c r="S1371" i="34"/>
  <c r="Z1371" i="34"/>
  <c r="A1371" i="34"/>
  <c r="S1430" i="34"/>
  <c r="Z1430" i="34"/>
  <c r="T1430" i="34"/>
  <c r="W1430" i="34"/>
  <c r="U1430" i="34"/>
  <c r="A1430" i="34"/>
  <c r="C1461" i="34"/>
  <c r="B1461" i="34" s="1"/>
  <c r="K1460" i="34"/>
  <c r="C1460" i="34"/>
  <c r="B1460" i="34" s="1"/>
  <c r="A39" i="70"/>
  <c r="A40" i="70"/>
  <c r="A41" i="70"/>
  <c r="A42" i="70"/>
  <c r="A43" i="70"/>
  <c r="Z1461" i="34" l="1"/>
  <c r="W1461" i="34"/>
  <c r="A1461" i="34"/>
  <c r="Z1460" i="34"/>
  <c r="W1460" i="34"/>
  <c r="A1460" i="34"/>
  <c r="N12" i="34"/>
  <c r="O12" i="34"/>
  <c r="S12" i="34"/>
  <c r="T12" i="34"/>
  <c r="U12" i="34"/>
  <c r="Y12" i="34"/>
  <c r="C1404" i="34"/>
  <c r="B1404" i="34" s="1"/>
  <c r="C1358" i="34"/>
  <c r="B1358" i="34" s="1"/>
  <c r="C1360" i="34"/>
  <c r="B1360" i="34" s="1"/>
  <c r="C1359" i="34"/>
  <c r="B1359" i="34" s="1"/>
  <c r="C1332" i="34"/>
  <c r="B1332" i="34" s="1"/>
  <c r="C1331" i="34"/>
  <c r="B1331" i="34" s="1"/>
  <c r="C1330" i="34"/>
  <c r="B1330" i="34" s="1"/>
  <c r="C1329" i="34"/>
  <c r="B1329" i="34" s="1"/>
  <c r="C1328" i="34"/>
  <c r="B1328" i="34" s="1"/>
  <c r="C1324" i="34"/>
  <c r="B1324" i="34" s="1"/>
  <c r="C1323" i="34"/>
  <c r="B1323" i="34" s="1"/>
  <c r="C1322" i="34"/>
  <c r="B1322" i="34" s="1"/>
  <c r="C1321" i="34"/>
  <c r="B1321" i="34" s="1"/>
  <c r="C1320" i="34"/>
  <c r="B1320" i="34" s="1"/>
  <c r="C1318" i="34"/>
  <c r="B1318" i="34" s="1"/>
  <c r="C1317" i="34"/>
  <c r="B1317" i="34" s="1"/>
  <c r="C1316" i="34"/>
  <c r="B1316" i="34" s="1"/>
  <c r="C1315" i="34"/>
  <c r="B1315" i="34" s="1"/>
  <c r="C1314" i="34"/>
  <c r="B1314" i="34" s="1"/>
  <c r="C1312" i="34"/>
  <c r="B1312" i="34" s="1"/>
  <c r="C1311" i="34"/>
  <c r="B1311" i="34" s="1"/>
  <c r="C1310" i="34"/>
  <c r="B1310" i="34" s="1"/>
  <c r="C1309" i="34"/>
  <c r="B1309" i="34" s="1"/>
  <c r="C1308" i="34"/>
  <c r="B1308" i="34" s="1"/>
  <c r="C1326" i="34"/>
  <c r="B1326" i="34" s="1"/>
  <c r="C1325" i="34"/>
  <c r="B1325" i="34" s="1"/>
  <c r="C1319" i="34"/>
  <c r="B1319" i="34" s="1"/>
  <c r="C1313" i="34"/>
  <c r="B1313" i="34" s="1"/>
  <c r="C1307" i="34"/>
  <c r="B1307" i="34" s="1"/>
  <c r="C1306" i="34"/>
  <c r="B1306" i="34" s="1"/>
  <c r="C1305" i="34"/>
  <c r="B1305" i="34" s="1"/>
  <c r="C1298" i="34"/>
  <c r="B1298" i="34" s="1"/>
  <c r="C1297" i="34"/>
  <c r="B1297" i="34" s="1"/>
  <c r="C1296" i="34"/>
  <c r="B1296" i="34" s="1"/>
  <c r="C1295" i="34"/>
  <c r="B1295" i="34" s="1"/>
  <c r="C1284" i="34"/>
  <c r="B1284" i="34" s="1"/>
  <c r="C1294" i="34"/>
  <c r="B1294" i="34" s="1"/>
  <c r="C1293" i="34"/>
  <c r="B1293" i="34" s="1"/>
  <c r="C1283" i="34"/>
  <c r="B1283" i="34" s="1"/>
  <c r="C1262" i="34"/>
  <c r="B1262" i="34" s="1"/>
  <c r="C1261" i="34"/>
  <c r="B1261" i="34" s="1"/>
  <c r="C1260" i="34"/>
  <c r="B1260" i="34" s="1"/>
  <c r="C1259" i="34"/>
  <c r="B1259" i="34" s="1"/>
  <c r="C1258" i="34"/>
  <c r="B1258" i="34" s="1"/>
  <c r="C1250" i="34"/>
  <c r="B1250" i="34" s="1"/>
  <c r="C1249" i="34"/>
  <c r="B1249" i="34" s="1"/>
  <c r="C1248" i="34"/>
  <c r="B1248" i="34" s="1"/>
  <c r="C1247" i="34"/>
  <c r="B1247" i="34" s="1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29" i="34"/>
  <c r="B1229" i="34" s="1"/>
  <c r="C1228" i="34"/>
  <c r="B1228" i="34" s="1"/>
  <c r="C1227" i="34"/>
  <c r="B1227" i="34" s="1"/>
  <c r="C1282" i="34"/>
  <c r="B1282" i="34" s="1"/>
  <c r="C1257" i="34"/>
  <c r="B1257" i="34" s="1"/>
  <c r="C1256" i="34"/>
  <c r="B1256" i="34" s="1"/>
  <c r="C1246" i="34"/>
  <c r="B1246" i="34" s="1"/>
  <c r="C1239" i="34"/>
  <c r="B1239" i="34" s="1"/>
  <c r="C1231" i="34"/>
  <c r="B1231" i="34" s="1"/>
  <c r="C1230" i="34"/>
  <c r="B1230" i="34" s="1"/>
  <c r="C1226" i="34"/>
  <c r="B1226" i="34" s="1"/>
  <c r="C1225" i="34"/>
  <c r="B1225" i="34" s="1"/>
  <c r="C1224" i="34"/>
  <c r="B1224" i="34" s="1"/>
  <c r="C1443" i="34"/>
  <c r="B1443" i="34" s="1"/>
  <c r="C1442" i="34"/>
  <c r="B1442" i="34" s="1"/>
  <c r="C1441" i="34"/>
  <c r="B1441" i="34" s="1"/>
  <c r="C1440" i="34"/>
  <c r="B1440" i="34" s="1"/>
  <c r="C1439" i="34"/>
  <c r="B1439" i="34" s="1"/>
  <c r="C1437" i="34"/>
  <c r="B1437" i="34" s="1"/>
  <c r="C1436" i="34"/>
  <c r="B1436" i="34" s="1"/>
  <c r="C1435" i="34"/>
  <c r="B1435" i="34" s="1"/>
  <c r="C1434" i="34"/>
  <c r="B1434" i="34" s="1"/>
  <c r="C1433" i="34"/>
  <c r="B1433" i="34" s="1"/>
  <c r="C1427" i="34"/>
  <c r="B1427" i="34" s="1"/>
  <c r="C1422" i="34"/>
  <c r="B1422" i="34" s="1"/>
  <c r="C1408" i="34"/>
  <c r="B1408" i="34" s="1"/>
  <c r="C1407" i="34"/>
  <c r="B1407" i="34" s="1"/>
  <c r="C1406" i="34"/>
  <c r="B1406" i="34" s="1"/>
  <c r="C1405" i="34"/>
  <c r="B1405" i="34" s="1"/>
  <c r="C1403" i="34"/>
  <c r="B1403" i="34" s="1"/>
  <c r="C1400" i="34"/>
  <c r="B1400" i="34" s="1"/>
  <c r="C1438" i="34"/>
  <c r="B1438" i="34" s="1"/>
  <c r="C1432" i="34"/>
  <c r="B1432" i="34" s="1"/>
  <c r="C1426" i="34"/>
  <c r="B1426" i="34" s="1"/>
  <c r="C1423" i="34"/>
  <c r="B1423" i="34" s="1"/>
  <c r="C1421" i="34"/>
  <c r="B1421" i="34" s="1"/>
  <c r="C1402" i="34"/>
  <c r="B1402" i="34" s="1"/>
  <c r="C1401" i="34"/>
  <c r="B1401" i="34" s="1"/>
  <c r="C1367" i="34"/>
  <c r="B1367" i="34" s="1"/>
  <c r="C1366" i="34"/>
  <c r="B1366" i="34" s="1"/>
  <c r="C1365" i="34"/>
  <c r="B1365" i="34" s="1"/>
  <c r="C1364" i="34"/>
  <c r="B1364" i="34" s="1"/>
  <c r="C1344" i="34"/>
  <c r="B1344" i="34" s="1"/>
  <c r="C1381" i="34"/>
  <c r="B1381" i="34" s="1"/>
  <c r="C1374" i="34"/>
  <c r="B1374" i="34" s="1"/>
  <c r="C1452" i="34"/>
  <c r="B1452" i="34" s="1"/>
  <c r="C1451" i="34"/>
  <c r="B1451" i="34" s="1"/>
  <c r="C1450" i="34"/>
  <c r="B1450" i="34" s="1"/>
  <c r="C1446" i="34"/>
  <c r="B1446" i="34" s="1"/>
  <c r="W1451" i="34" l="1"/>
  <c r="Z1451" i="34"/>
  <c r="A1451" i="34"/>
  <c r="Z1344" i="34"/>
  <c r="W1344" i="34"/>
  <c r="A1344" i="34"/>
  <c r="W1367" i="34"/>
  <c r="Z1367" i="34"/>
  <c r="A1367" i="34"/>
  <c r="W1423" i="34"/>
  <c r="Z1423" i="34"/>
  <c r="A1423" i="34"/>
  <c r="Z1400" i="34"/>
  <c r="W1400" i="34"/>
  <c r="A1400" i="34"/>
  <c r="W1407" i="34"/>
  <c r="Z1407" i="34"/>
  <c r="A1407" i="34"/>
  <c r="W1433" i="34"/>
  <c r="Z1433" i="34"/>
  <c r="A1433" i="34"/>
  <c r="W1437" i="34"/>
  <c r="Z1437" i="34"/>
  <c r="A1437" i="34"/>
  <c r="Z1442" i="34"/>
  <c r="W1442" i="34"/>
  <c r="A1442" i="34"/>
  <c r="Z1226" i="34"/>
  <c r="W1226" i="34"/>
  <c r="A1226" i="34"/>
  <c r="W1246" i="34"/>
  <c r="Z1246" i="34"/>
  <c r="A1246" i="34"/>
  <c r="Z1227" i="34"/>
  <c r="W1227" i="34"/>
  <c r="A1227" i="34"/>
  <c r="W1233" i="34"/>
  <c r="Z1233" i="34"/>
  <c r="A1233" i="34"/>
  <c r="W1247" i="34"/>
  <c r="Z1247" i="34"/>
  <c r="A1247" i="34"/>
  <c r="W1258" i="34"/>
  <c r="Z1258" i="34"/>
  <c r="A1258" i="34"/>
  <c r="W1262" i="34"/>
  <c r="Z1262" i="34"/>
  <c r="A1262" i="34"/>
  <c r="W1284" i="34"/>
  <c r="Z1284" i="34"/>
  <c r="A1284" i="34"/>
  <c r="W1298" i="34"/>
  <c r="Z1298" i="34"/>
  <c r="A1298" i="34"/>
  <c r="W1313" i="34"/>
  <c r="Z1313" i="34"/>
  <c r="A1313" i="34"/>
  <c r="Z1308" i="34"/>
  <c r="W1308" i="34"/>
  <c r="A1308" i="34"/>
  <c r="Z1312" i="34"/>
  <c r="W1312" i="34"/>
  <c r="A1312" i="34"/>
  <c r="W1317" i="34"/>
  <c r="Z1317" i="34"/>
  <c r="A1317" i="34"/>
  <c r="Z1322" i="34"/>
  <c r="W1322" i="34"/>
  <c r="A1322" i="34"/>
  <c r="W1329" i="34"/>
  <c r="Z1329" i="34"/>
  <c r="A1329" i="34"/>
  <c r="W1359" i="34"/>
  <c r="Z1359" i="34"/>
  <c r="A1359" i="34"/>
  <c r="Z1452" i="34"/>
  <c r="W1452" i="34"/>
  <c r="A1452" i="34"/>
  <c r="Z1364" i="34"/>
  <c r="W1364" i="34"/>
  <c r="A1364" i="34"/>
  <c r="W1401" i="34"/>
  <c r="Z1401" i="34"/>
  <c r="A1401" i="34"/>
  <c r="Z1426" i="34"/>
  <c r="W1426" i="34"/>
  <c r="A1426" i="34"/>
  <c r="W1403" i="34"/>
  <c r="Z1403" i="34"/>
  <c r="A1403" i="34"/>
  <c r="Z1408" i="34"/>
  <c r="W1408" i="34"/>
  <c r="A1408" i="34"/>
  <c r="Z1434" i="34"/>
  <c r="W1434" i="34"/>
  <c r="A1434" i="34"/>
  <c r="W1439" i="34"/>
  <c r="Z1439" i="34"/>
  <c r="A1439" i="34"/>
  <c r="W1443" i="34"/>
  <c r="Z1443" i="34"/>
  <c r="A1443" i="34"/>
  <c r="Z1230" i="34"/>
  <c r="W1230" i="34"/>
  <c r="A1230" i="34"/>
  <c r="W1256" i="34"/>
  <c r="Z1256" i="34"/>
  <c r="A1256" i="34"/>
  <c r="Z1228" i="34"/>
  <c r="W1228" i="34"/>
  <c r="A1228" i="34"/>
  <c r="Z1234" i="34"/>
  <c r="W1234" i="34"/>
  <c r="A1234" i="34"/>
  <c r="W1248" i="34"/>
  <c r="Z1248" i="34"/>
  <c r="A1248" i="34"/>
  <c r="W1259" i="34"/>
  <c r="Z1259" i="34"/>
  <c r="A1259" i="34"/>
  <c r="W1283" i="34"/>
  <c r="Z1283" i="34"/>
  <c r="A1283" i="34"/>
  <c r="W1295" i="34"/>
  <c r="Z1295" i="34"/>
  <c r="A1295" i="34"/>
  <c r="W1305" i="34"/>
  <c r="Z1305" i="34"/>
  <c r="A1305" i="34"/>
  <c r="W1319" i="34"/>
  <c r="Z1319" i="34"/>
  <c r="A1319" i="34"/>
  <c r="W1309" i="34"/>
  <c r="Z1309" i="34"/>
  <c r="A1309" i="34"/>
  <c r="Z1314" i="34"/>
  <c r="W1314" i="34"/>
  <c r="A1314" i="34"/>
  <c r="Z1318" i="34"/>
  <c r="W1318" i="34"/>
  <c r="A1318" i="34"/>
  <c r="W1323" i="34"/>
  <c r="Z1323" i="34"/>
  <c r="A1323" i="34"/>
  <c r="Z1330" i="34"/>
  <c r="W1330" i="34"/>
  <c r="A1330" i="34"/>
  <c r="Z1360" i="34"/>
  <c r="W1360" i="34"/>
  <c r="A1360" i="34"/>
  <c r="Z1446" i="34"/>
  <c r="W1446" i="34"/>
  <c r="A1446" i="34"/>
  <c r="Z1374" i="34"/>
  <c r="W1374" i="34"/>
  <c r="A1374" i="34"/>
  <c r="W1365" i="34"/>
  <c r="Z1365" i="34"/>
  <c r="A1365" i="34"/>
  <c r="Z1402" i="34"/>
  <c r="W1402" i="34"/>
  <c r="A1402" i="34"/>
  <c r="Z1432" i="34"/>
  <c r="W1432" i="34"/>
  <c r="A1432" i="34"/>
  <c r="W1405" i="34"/>
  <c r="Z1405" i="34"/>
  <c r="A1405" i="34"/>
  <c r="Z1422" i="34"/>
  <c r="W1422" i="34"/>
  <c r="A1422" i="34"/>
  <c r="W1435" i="34"/>
  <c r="Z1435" i="34"/>
  <c r="A1435" i="34"/>
  <c r="Z1440" i="34"/>
  <c r="W1440" i="34"/>
  <c r="A1440" i="34"/>
  <c r="Z1224" i="34"/>
  <c r="W1224" i="34"/>
  <c r="A1224" i="34"/>
  <c r="W1231" i="34"/>
  <c r="Z1231" i="34"/>
  <c r="A1231" i="34"/>
  <c r="W1257" i="34"/>
  <c r="Z1257" i="34"/>
  <c r="A1257" i="34"/>
  <c r="W1229" i="34"/>
  <c r="Z1229" i="34"/>
  <c r="A1229" i="34"/>
  <c r="W1235" i="34"/>
  <c r="Z1235" i="34"/>
  <c r="A1235" i="34"/>
  <c r="W1249" i="34"/>
  <c r="Z1249" i="34"/>
  <c r="A1249" i="34"/>
  <c r="W1260" i="34"/>
  <c r="Z1260" i="34"/>
  <c r="A1260" i="34"/>
  <c r="W1293" i="34"/>
  <c r="Z1293" i="34"/>
  <c r="A1293" i="34"/>
  <c r="W1296" i="34"/>
  <c r="Z1296" i="34"/>
  <c r="A1296" i="34"/>
  <c r="Z1306" i="34"/>
  <c r="W1306" i="34"/>
  <c r="A1306" i="34"/>
  <c r="W1325" i="34"/>
  <c r="Z1325" i="34"/>
  <c r="A1325" i="34"/>
  <c r="Z1310" i="34"/>
  <c r="W1310" i="34"/>
  <c r="A1310" i="34"/>
  <c r="W1315" i="34"/>
  <c r="Z1315" i="34"/>
  <c r="A1315" i="34"/>
  <c r="Z1320" i="34"/>
  <c r="W1320" i="34"/>
  <c r="A1320" i="34"/>
  <c r="Z1324" i="34"/>
  <c r="W1324" i="34"/>
  <c r="A1324" i="34"/>
  <c r="W1331" i="34"/>
  <c r="Z1331" i="34"/>
  <c r="A1331" i="34"/>
  <c r="Z1358" i="34"/>
  <c r="W1358" i="34"/>
  <c r="A1358" i="34"/>
  <c r="Z1450" i="34"/>
  <c r="W1450" i="34"/>
  <c r="A1450" i="34"/>
  <c r="W1381" i="34"/>
  <c r="Z1381" i="34"/>
  <c r="A1381" i="34"/>
  <c r="Z1366" i="34"/>
  <c r="W1366" i="34"/>
  <c r="A1366" i="34"/>
  <c r="W1421" i="34"/>
  <c r="Z1421" i="34"/>
  <c r="A1421" i="34"/>
  <c r="Z1438" i="34"/>
  <c r="W1438" i="34"/>
  <c r="A1438" i="34"/>
  <c r="Z1406" i="34"/>
  <c r="W1406" i="34"/>
  <c r="A1406" i="34"/>
  <c r="W1427" i="34"/>
  <c r="Z1427" i="34"/>
  <c r="A1427" i="34"/>
  <c r="Z1436" i="34"/>
  <c r="W1436" i="34"/>
  <c r="A1436" i="34"/>
  <c r="W1441" i="34"/>
  <c r="Z1441" i="34"/>
  <c r="A1441" i="34"/>
  <c r="Z1225" i="34"/>
  <c r="W1225" i="34"/>
  <c r="A1225" i="34"/>
  <c r="W1239" i="34"/>
  <c r="Z1239" i="34"/>
  <c r="A1239" i="34"/>
  <c r="W1282" i="34"/>
  <c r="Z1282" i="34"/>
  <c r="A1282" i="34"/>
  <c r="Z1232" i="34"/>
  <c r="W1232" i="34"/>
  <c r="A1232" i="34"/>
  <c r="W1236" i="34"/>
  <c r="Z1236" i="34"/>
  <c r="A1236" i="34"/>
  <c r="W1250" i="34"/>
  <c r="Z1250" i="34"/>
  <c r="A1250" i="34"/>
  <c r="W1261" i="34"/>
  <c r="Z1261" i="34"/>
  <c r="A1261" i="34"/>
  <c r="W1294" i="34"/>
  <c r="Z1294" i="34"/>
  <c r="A1294" i="34"/>
  <c r="W1297" i="34"/>
  <c r="Z1297" i="34"/>
  <c r="A1297" i="34"/>
  <c r="W1307" i="34"/>
  <c r="Z1307" i="34"/>
  <c r="A1307" i="34"/>
  <c r="Z1326" i="34"/>
  <c r="W1326" i="34"/>
  <c r="A1326" i="34"/>
  <c r="W1311" i="34"/>
  <c r="Z1311" i="34"/>
  <c r="A1311" i="34"/>
  <c r="Z1316" i="34"/>
  <c r="W1316" i="34"/>
  <c r="A1316" i="34"/>
  <c r="W1321" i="34"/>
  <c r="Z1321" i="34"/>
  <c r="A1321" i="34"/>
  <c r="Z1328" i="34"/>
  <c r="W1328" i="34"/>
  <c r="A1328" i="34"/>
  <c r="Z1332" i="34"/>
  <c r="W1332" i="34"/>
  <c r="A1332" i="34"/>
  <c r="Z1404" i="34"/>
  <c r="W1404" i="34"/>
  <c r="A1404" i="34"/>
  <c r="C1377" i="34"/>
  <c r="B1377" i="34" s="1"/>
  <c r="C1376" i="34"/>
  <c r="B1376" i="34" s="1"/>
  <c r="C1375" i="34"/>
  <c r="B1375" i="34" s="1"/>
  <c r="C1351" i="34"/>
  <c r="B1351" i="34" s="1"/>
  <c r="C1339" i="34"/>
  <c r="B1339" i="34" s="1"/>
  <c r="C1338" i="34"/>
  <c r="B1338" i="34" s="1"/>
  <c r="C1337" i="34"/>
  <c r="B1337" i="34" s="1"/>
  <c r="C1336" i="34"/>
  <c r="B1336" i="34" s="1"/>
  <c r="C1335" i="34"/>
  <c r="B1335" i="34" s="1"/>
  <c r="W1337" i="34" l="1"/>
  <c r="Z1337" i="34"/>
  <c r="A1337" i="34"/>
  <c r="W1375" i="34"/>
  <c r="Z1375" i="34"/>
  <c r="A1375" i="34"/>
  <c r="Z1338" i="34"/>
  <c r="W1338" i="34"/>
  <c r="A1338" i="34"/>
  <c r="Z1376" i="34"/>
  <c r="W1376" i="34"/>
  <c r="A1376" i="34"/>
  <c r="W1339" i="34"/>
  <c r="Z1339" i="34"/>
  <c r="A1339" i="34"/>
  <c r="W1377" i="34"/>
  <c r="Z1377" i="34"/>
  <c r="A1377" i="34"/>
  <c r="Z1336" i="34"/>
  <c r="W1336" i="34"/>
  <c r="A1336" i="34"/>
  <c r="W1351" i="34"/>
  <c r="Z1351" i="34"/>
  <c r="A1351" i="34"/>
  <c r="W1335" i="34"/>
  <c r="Z1335" i="34"/>
  <c r="A1335" i="34"/>
  <c r="C1287" i="34"/>
  <c r="B1287" i="34" s="1"/>
  <c r="C1145" i="34"/>
  <c r="B1145" i="34" s="1"/>
  <c r="C1132" i="34"/>
  <c r="B1132" i="34" s="1"/>
  <c r="C1131" i="34"/>
  <c r="B1131" i="34" s="1"/>
  <c r="C1130" i="34"/>
  <c r="B1130" i="34" s="1"/>
  <c r="C1112" i="34"/>
  <c r="B1112" i="34" s="1"/>
  <c r="C1111" i="34"/>
  <c r="B1111" i="34" s="1"/>
  <c r="C1110" i="34"/>
  <c r="B1110" i="34" s="1"/>
  <c r="C1109" i="34"/>
  <c r="B1109" i="34" s="1"/>
  <c r="C1108" i="34"/>
  <c r="B1108" i="34" s="1"/>
  <c r="C1071" i="34"/>
  <c r="B1071" i="34" s="1"/>
  <c r="C1070" i="34"/>
  <c r="B1070" i="34" s="1"/>
  <c r="C1333" i="34"/>
  <c r="B1333" i="34" s="1"/>
  <c r="C1292" i="34"/>
  <c r="B1292" i="34" s="1"/>
  <c r="C1291" i="34"/>
  <c r="B1291" i="34" s="1"/>
  <c r="C1290" i="34"/>
  <c r="B1290" i="34" s="1"/>
  <c r="C1289" i="34"/>
  <c r="B1289" i="34" s="1"/>
  <c r="C1288" i="34"/>
  <c r="B1288" i="34" s="1"/>
  <c r="W1288" i="34" l="1"/>
  <c r="Z1288" i="34"/>
  <c r="A1288" i="34"/>
  <c r="W1289" i="34"/>
  <c r="Z1289" i="34"/>
  <c r="A1289" i="34"/>
  <c r="W1333" i="34"/>
  <c r="Z1333" i="34"/>
  <c r="A1333" i="34"/>
  <c r="Z1109" i="34"/>
  <c r="W1109" i="34"/>
  <c r="A1109" i="34"/>
  <c r="Z1130" i="34"/>
  <c r="W1130" i="34"/>
  <c r="A1130" i="34"/>
  <c r="W1287" i="34"/>
  <c r="Z1287" i="34"/>
  <c r="A1287" i="34"/>
  <c r="W1290" i="34"/>
  <c r="Z1290" i="34"/>
  <c r="A1290" i="34"/>
  <c r="Z1070" i="34"/>
  <c r="W1070" i="34"/>
  <c r="A1070" i="34"/>
  <c r="Z1110" i="34"/>
  <c r="W1110" i="34"/>
  <c r="A1110" i="34"/>
  <c r="Z1131" i="34"/>
  <c r="W1131" i="34"/>
  <c r="A1131" i="34"/>
  <c r="W1291" i="34"/>
  <c r="Z1291" i="34"/>
  <c r="A1291" i="34"/>
  <c r="Z1071" i="34"/>
  <c r="W1071" i="34"/>
  <c r="A1071" i="34"/>
  <c r="Z1111" i="34"/>
  <c r="W1111" i="34"/>
  <c r="A1111" i="34"/>
  <c r="Z1132" i="34"/>
  <c r="W1132" i="34"/>
  <c r="A1132" i="34"/>
  <c r="W1292" i="34"/>
  <c r="Z1292" i="34"/>
  <c r="A1292" i="34"/>
  <c r="Z1108" i="34"/>
  <c r="W1108" i="34"/>
  <c r="A1108" i="34"/>
  <c r="Z1112" i="34"/>
  <c r="W1112" i="34"/>
  <c r="A1112" i="34"/>
  <c r="Z1145" i="34"/>
  <c r="W1145" i="34"/>
  <c r="A1145" i="34"/>
  <c r="K1221" i="34"/>
  <c r="C1222" i="34"/>
  <c r="B1222" i="34" s="1"/>
  <c r="C1221" i="34"/>
  <c r="B1221" i="34" s="1"/>
  <c r="Z1222" i="34" l="1"/>
  <c r="W1222" i="34"/>
  <c r="A1222" i="34"/>
  <c r="Z1221" i="34"/>
  <c r="W1221" i="34"/>
  <c r="A1221" i="34"/>
  <c r="C1390" i="34"/>
  <c r="B1390" i="34" s="1"/>
  <c r="K1389" i="34"/>
  <c r="C1389" i="34"/>
  <c r="B1389" i="34" s="1"/>
  <c r="K1424" i="34"/>
  <c r="K1444" i="34"/>
  <c r="Z1390" i="34" l="1"/>
  <c r="W1390" i="34"/>
  <c r="A1390" i="34"/>
  <c r="W1389" i="34"/>
  <c r="Z1389" i="34"/>
  <c r="A1389" i="34"/>
  <c r="I1266" i="34"/>
  <c r="K1266" i="34" s="1"/>
  <c r="I1251" i="34"/>
  <c r="K1254" i="34"/>
  <c r="K1263" i="34"/>
  <c r="K1264" i="34"/>
  <c r="K1265" i="34"/>
  <c r="K1267" i="34"/>
  <c r="K1269" i="34"/>
  <c r="K1270" i="34"/>
  <c r="K1356" i="34"/>
  <c r="K1361" i="34"/>
  <c r="K1362" i="34"/>
  <c r="K1382" i="34"/>
  <c r="K1383" i="34"/>
  <c r="K1384" i="34"/>
  <c r="K1385" i="34"/>
  <c r="K1387" i="34"/>
  <c r="K1413" i="34"/>
  <c r="K1415" i="34"/>
  <c r="K1241" i="34"/>
  <c r="K1242" i="34"/>
  <c r="K1244" i="34"/>
  <c r="K1252" i="34"/>
  <c r="K1240" i="34"/>
  <c r="K1237" i="34"/>
  <c r="I15" i="55" l="1" a="1"/>
  <c r="I15" i="55" s="1"/>
  <c r="G15" i="55" a="1"/>
  <c r="G15" i="55" s="1"/>
  <c r="G310" i="55" a="1"/>
  <c r="G310" i="55" s="1"/>
  <c r="I310" i="55" a="1"/>
  <c r="I310" i="55" s="1"/>
  <c r="G388" i="55" a="1"/>
  <c r="G388" i="55" s="1"/>
  <c r="I388" i="55" a="1"/>
  <c r="I388" i="55" s="1"/>
  <c r="G275" i="55" a="1"/>
  <c r="G275" i="55" s="1"/>
  <c r="I275" i="55" a="1"/>
  <c r="I275" i="55" s="1"/>
  <c r="G334" i="55" a="1"/>
  <c r="G334" i="55" s="1"/>
  <c r="I334" i="55" a="1"/>
  <c r="I334" i="55" s="1"/>
  <c r="G35" i="55" a="1"/>
  <c r="G35" i="55" s="1"/>
  <c r="I35" i="55" a="1"/>
  <c r="I35" i="55" s="1"/>
  <c r="K1251" i="34"/>
  <c r="G29" i="55" a="1"/>
  <c r="G29" i="55" s="1"/>
  <c r="I30" i="55" a="1"/>
  <c r="I30" i="55" s="1"/>
  <c r="I29" i="55" a="1"/>
  <c r="I29" i="55" s="1"/>
  <c r="G31" i="55" a="1"/>
  <c r="G31" i="55" s="1"/>
  <c r="G30" i="55" a="1"/>
  <c r="G30" i="55" s="1"/>
  <c r="I31" i="55" a="1"/>
  <c r="I31" i="55" s="1"/>
  <c r="K1299" i="34"/>
  <c r="K1397" i="34"/>
  <c r="K1379" i="34"/>
  <c r="K1378" i="34"/>
  <c r="K1354" i="34"/>
  <c r="K1353" i="34"/>
  <c r="K1352" i="34"/>
  <c r="K15" i="55" l="1"/>
  <c r="K334" i="55"/>
  <c r="K388" i="55"/>
  <c r="K275" i="55"/>
  <c r="K310" i="55"/>
  <c r="K35" i="55"/>
  <c r="K30" i="55"/>
  <c r="K29" i="55"/>
  <c r="K31" i="55"/>
  <c r="C1343" i="34"/>
  <c r="B1343" i="34" s="1"/>
  <c r="C1342" i="34"/>
  <c r="B1342" i="34" s="1"/>
  <c r="C1341" i="34"/>
  <c r="B1341" i="34" s="1"/>
  <c r="C1340" i="34"/>
  <c r="B1340" i="34" s="1"/>
  <c r="C1334" i="34"/>
  <c r="B1334" i="34" s="1"/>
  <c r="C983" i="34"/>
  <c r="B983" i="34" s="1"/>
  <c r="C982" i="34"/>
  <c r="B982" i="34" s="1"/>
  <c r="C960" i="34"/>
  <c r="B960" i="34" s="1"/>
  <c r="C959" i="34"/>
  <c r="B959" i="34" s="1"/>
  <c r="C947" i="34"/>
  <c r="B947" i="34" s="1"/>
  <c r="C946" i="34"/>
  <c r="B946" i="34" s="1"/>
  <c r="C945" i="34"/>
  <c r="B945" i="34" s="1"/>
  <c r="C905" i="34"/>
  <c r="B905" i="34" s="1"/>
  <c r="C730" i="34"/>
  <c r="B730" i="34" s="1"/>
  <c r="C714" i="34"/>
  <c r="B714" i="34" s="1"/>
  <c r="C713" i="34"/>
  <c r="B713" i="34" s="1"/>
  <c r="C712" i="34"/>
  <c r="B712" i="34" s="1"/>
  <c r="C711" i="34"/>
  <c r="B711" i="34" s="1"/>
  <c r="Z714" i="34" l="1"/>
  <c r="W714" i="34"/>
  <c r="A714" i="34"/>
  <c r="W946" i="34"/>
  <c r="Z946" i="34"/>
  <c r="A946" i="34"/>
  <c r="Z982" i="34"/>
  <c r="W982" i="34"/>
  <c r="A982" i="34"/>
  <c r="W1341" i="34"/>
  <c r="Z1341" i="34"/>
  <c r="A1341" i="34"/>
  <c r="W711" i="34"/>
  <c r="Z711" i="34"/>
  <c r="A711" i="34"/>
  <c r="Z730" i="34"/>
  <c r="W730" i="34"/>
  <c r="A730" i="34"/>
  <c r="W947" i="34"/>
  <c r="Z947" i="34"/>
  <c r="A947" i="34"/>
  <c r="Z983" i="34"/>
  <c r="W983" i="34"/>
  <c r="A983" i="34"/>
  <c r="Z1342" i="34"/>
  <c r="W1342" i="34"/>
  <c r="A1342" i="34"/>
  <c r="Z712" i="34"/>
  <c r="W712" i="34"/>
  <c r="A712" i="34"/>
  <c r="Z905" i="34"/>
  <c r="W905" i="34"/>
  <c r="A905" i="34"/>
  <c r="W959" i="34"/>
  <c r="Z959" i="34"/>
  <c r="A959" i="34"/>
  <c r="Z1334" i="34"/>
  <c r="W1334" i="34"/>
  <c r="A1334" i="34"/>
  <c r="W1343" i="34"/>
  <c r="Z1343" i="34"/>
  <c r="A1343" i="34"/>
  <c r="W713" i="34"/>
  <c r="Z713" i="34"/>
  <c r="A713" i="34"/>
  <c r="W945" i="34"/>
  <c r="Z945" i="34"/>
  <c r="A945" i="34"/>
  <c r="W960" i="34"/>
  <c r="Z960" i="34"/>
  <c r="A960" i="34"/>
  <c r="Z1340" i="34"/>
  <c r="W1340" i="34"/>
  <c r="A1340" i="34"/>
  <c r="K1209" i="34"/>
  <c r="K1208" i="34"/>
  <c r="K1203" i="34"/>
  <c r="K1202" i="34"/>
  <c r="K1201" i="34"/>
  <c r="K1200" i="34"/>
  <c r="K1198" i="34"/>
  <c r="K1196" i="34"/>
  <c r="K1194" i="34"/>
  <c r="K1192" i="34"/>
  <c r="K1191" i="34"/>
  <c r="K1190" i="34"/>
  <c r="K1189" i="34"/>
  <c r="K1188" i="34"/>
  <c r="K1186" i="34"/>
  <c r="K1184" i="34"/>
  <c r="K1183" i="34"/>
  <c r="K1182" i="34"/>
  <c r="K1180" i="34"/>
  <c r="K1179" i="34"/>
  <c r="K1178" i="34"/>
  <c r="K1176" i="34"/>
  <c r="K1175" i="34"/>
  <c r="K1174" i="34"/>
  <c r="K1172" i="34"/>
  <c r="K1170" i="34"/>
  <c r="K1169" i="34"/>
  <c r="K1165" i="34"/>
  <c r="K1163" i="34"/>
  <c r="K1161" i="34"/>
  <c r="K1159" i="34"/>
  <c r="K1158" i="34"/>
  <c r="K1154" i="34"/>
  <c r="K1143" i="34"/>
  <c r="K1142" i="34"/>
  <c r="K1140" i="34"/>
  <c r="K1139" i="34"/>
  <c r="K1137" i="34"/>
  <c r="K1136" i="34"/>
  <c r="K1135" i="34"/>
  <c r="K1128" i="34"/>
  <c r="K1126" i="34"/>
  <c r="K1125" i="34"/>
  <c r="K1124" i="34"/>
  <c r="K1123" i="34"/>
  <c r="K1106" i="34"/>
  <c r="K1104" i="34"/>
  <c r="K1102" i="34"/>
  <c r="K1101" i="34"/>
  <c r="K1100" i="34"/>
  <c r="K1099" i="34"/>
  <c r="K1093" i="34"/>
  <c r="K1090" i="34"/>
  <c r="K1089" i="34"/>
  <c r="K1082" i="34"/>
  <c r="K1081" i="34"/>
  <c r="K1079" i="34"/>
  <c r="K1078" i="34"/>
  <c r="K1077" i="34"/>
  <c r="K1075" i="34"/>
  <c r="K1073" i="34"/>
  <c r="K1072" i="34"/>
  <c r="K1068" i="34"/>
  <c r="K1066" i="34"/>
  <c r="K1064" i="34"/>
  <c r="K1038" i="34"/>
  <c r="K1036" i="34"/>
  <c r="K1035" i="34"/>
  <c r="K1033" i="34"/>
  <c r="K1032" i="34"/>
  <c r="K1031" i="34"/>
  <c r="K1030" i="34"/>
  <c r="K1029" i="34"/>
  <c r="K1028" i="34"/>
  <c r="K1027" i="34"/>
  <c r="K1026" i="34"/>
  <c r="K1025" i="34"/>
  <c r="K1023" i="34"/>
  <c r="K1021" i="34"/>
  <c r="K1020" i="34"/>
  <c r="K1002" i="34"/>
  <c r="K1001" i="34"/>
  <c r="K1000" i="34"/>
  <c r="K998" i="34"/>
  <c r="K996" i="34"/>
  <c r="K995" i="34"/>
  <c r="K993" i="34"/>
  <c r="K992" i="34"/>
  <c r="K990" i="34"/>
  <c r="K980" i="34"/>
  <c r="K975" i="34"/>
  <c r="K973" i="34"/>
  <c r="K972" i="34"/>
  <c r="K971" i="34"/>
  <c r="K970" i="34"/>
  <c r="K969" i="34"/>
  <c r="K968" i="34"/>
  <c r="K967" i="34"/>
  <c r="K966" i="34"/>
  <c r="K965" i="34"/>
  <c r="K942" i="34"/>
  <c r="K941" i="34"/>
  <c r="K940" i="34"/>
  <c r="K939" i="34"/>
  <c r="K938" i="34"/>
  <c r="K936" i="34"/>
  <c r="K934" i="34"/>
  <c r="K932" i="34"/>
  <c r="K931" i="34"/>
  <c r="K930" i="34"/>
  <c r="K928" i="34"/>
  <c r="K927" i="34"/>
  <c r="K925" i="34"/>
  <c r="K924" i="34"/>
  <c r="K923" i="34"/>
  <c r="K922" i="34"/>
  <c r="K920" i="34"/>
  <c r="K919" i="34"/>
  <c r="K918" i="34"/>
  <c r="K917" i="34"/>
  <c r="K899" i="34"/>
  <c r="K897" i="34"/>
  <c r="K895" i="34"/>
  <c r="K894" i="34"/>
  <c r="K893" i="34"/>
  <c r="K891" i="34"/>
  <c r="K890" i="34"/>
  <c r="K889" i="34"/>
  <c r="K887" i="34"/>
  <c r="K886" i="34"/>
  <c r="K885" i="34"/>
  <c r="K873" i="34"/>
  <c r="K872" i="34"/>
  <c r="K871" i="34"/>
  <c r="K870" i="34"/>
  <c r="K869" i="34"/>
  <c r="K868" i="34"/>
  <c r="K867" i="34"/>
  <c r="K866" i="34"/>
  <c r="K864" i="34"/>
  <c r="K863" i="34"/>
  <c r="K862" i="34"/>
  <c r="K861" i="34"/>
  <c r="K860" i="34"/>
  <c r="K854" i="34"/>
  <c r="K853" i="34"/>
  <c r="K852" i="34"/>
  <c r="K851" i="34"/>
  <c r="K849" i="34"/>
  <c r="K848" i="34"/>
  <c r="K846" i="34"/>
  <c r="K845" i="34"/>
  <c r="K844" i="34"/>
  <c r="K843" i="34"/>
  <c r="K842" i="34"/>
  <c r="K841" i="34"/>
  <c r="K840" i="34"/>
  <c r="K839" i="34"/>
  <c r="K838" i="34"/>
  <c r="K835" i="34"/>
  <c r="K834" i="34"/>
  <c r="K833" i="34"/>
  <c r="K832" i="34"/>
  <c r="K831" i="34"/>
  <c r="K830" i="34"/>
  <c r="K829" i="34"/>
  <c r="K828" i="34"/>
  <c r="K827" i="34"/>
  <c r="K825" i="34"/>
  <c r="K824" i="34"/>
  <c r="K823" i="34"/>
  <c r="K822" i="34"/>
  <c r="K821" i="34"/>
  <c r="K820" i="34"/>
  <c r="K819" i="34"/>
  <c r="K818" i="34"/>
  <c r="K817" i="34"/>
  <c r="K815" i="34"/>
  <c r="K806" i="34"/>
  <c r="K805" i="34"/>
  <c r="K803" i="34"/>
  <c r="K786" i="34"/>
  <c r="K785" i="34"/>
  <c r="K784" i="34"/>
  <c r="K782" i="34"/>
  <c r="K776" i="34"/>
  <c r="K764" i="34"/>
  <c r="K762" i="34"/>
  <c r="K761" i="34"/>
  <c r="K760" i="34"/>
  <c r="K755" i="34"/>
  <c r="K754" i="34"/>
  <c r="K753" i="34"/>
  <c r="K752" i="34"/>
  <c r="K750" i="34"/>
  <c r="K749" i="34"/>
  <c r="K748" i="34"/>
  <c r="K743" i="34"/>
  <c r="K742" i="34"/>
  <c r="K740" i="34"/>
  <c r="K734" i="34"/>
  <c r="K733" i="34"/>
  <c r="K727" i="34"/>
  <c r="K726" i="34"/>
  <c r="K725" i="34"/>
  <c r="K723" i="34"/>
  <c r="K722" i="34"/>
  <c r="K709" i="34"/>
  <c r="K707" i="34"/>
  <c r="K700" i="34"/>
  <c r="K699" i="34"/>
  <c r="K698" i="34"/>
  <c r="K696" i="34"/>
  <c r="K695" i="34"/>
  <c r="K686" i="34"/>
  <c r="K684" i="34"/>
  <c r="K683" i="34"/>
  <c r="K679" i="34"/>
  <c r="K678" i="34"/>
  <c r="K677" i="34"/>
  <c r="K675" i="34"/>
  <c r="K674" i="34"/>
  <c r="K672" i="34"/>
  <c r="K671" i="34"/>
  <c r="K669" i="34"/>
  <c r="K668" i="34"/>
  <c r="K666" i="34"/>
  <c r="K665" i="34"/>
  <c r="K664" i="34"/>
  <c r="K652" i="34"/>
  <c r="K650" i="34"/>
  <c r="K648" i="34"/>
  <c r="K646" i="34"/>
  <c r="K645" i="34"/>
  <c r="K644" i="34"/>
  <c r="K643" i="34"/>
  <c r="K641" i="34"/>
  <c r="K640" i="34"/>
  <c r="K638" i="34"/>
  <c r="K637" i="34"/>
  <c r="K628" i="34"/>
  <c r="K627" i="34"/>
  <c r="K626" i="34"/>
  <c r="K624" i="34"/>
  <c r="K623" i="34"/>
  <c r="K622" i="34"/>
  <c r="K615" i="34"/>
  <c r="K585" i="34"/>
  <c r="K583" i="34"/>
  <c r="K581" i="34"/>
  <c r="K579" i="34"/>
  <c r="K577" i="34"/>
  <c r="K572" i="34"/>
  <c r="K571" i="34"/>
  <c r="K569" i="34"/>
  <c r="K567" i="34"/>
  <c r="K563" i="34"/>
  <c r="K562" i="34"/>
  <c r="K561" i="34"/>
  <c r="K559" i="34"/>
  <c r="K557" i="34"/>
  <c r="K556" i="34"/>
  <c r="K554" i="34"/>
  <c r="K553" i="34"/>
  <c r="K552" i="34"/>
  <c r="K550" i="34"/>
  <c r="K548" i="34"/>
  <c r="K540" i="34"/>
  <c r="K534" i="34"/>
  <c r="K532" i="34"/>
  <c r="K530" i="34"/>
  <c r="K519" i="34"/>
  <c r="K518" i="34"/>
  <c r="K516" i="34"/>
  <c r="K515" i="34"/>
  <c r="K511" i="34"/>
  <c r="K498" i="34"/>
  <c r="K497" i="34"/>
  <c r="K495" i="34"/>
  <c r="K493" i="34"/>
  <c r="K492" i="34"/>
  <c r="K490" i="34"/>
  <c r="K489" i="34"/>
  <c r="K483" i="34"/>
  <c r="K481" i="34"/>
  <c r="K474" i="34"/>
  <c r="K473" i="34"/>
  <c r="K457" i="34"/>
  <c r="K455" i="34"/>
  <c r="K450" i="34"/>
  <c r="K449" i="34"/>
  <c r="K446" i="34"/>
  <c r="K444" i="34"/>
  <c r="K437" i="34"/>
  <c r="K436" i="34"/>
  <c r="K435" i="34"/>
  <c r="K434" i="34"/>
  <c r="K433" i="34"/>
  <c r="K432" i="34"/>
  <c r="K431" i="34"/>
  <c r="K429" i="34"/>
  <c r="K427" i="34"/>
  <c r="K426" i="34"/>
  <c r="K425" i="34"/>
  <c r="K424" i="34"/>
  <c r="K414" i="34"/>
  <c r="K412" i="34"/>
  <c r="K411" i="34"/>
  <c r="K409" i="34"/>
  <c r="K404" i="34"/>
  <c r="K402" i="34"/>
  <c r="K401" i="34"/>
  <c r="K400" i="34"/>
  <c r="K399" i="34"/>
  <c r="K397" i="34"/>
  <c r="K396" i="34"/>
  <c r="K395" i="34"/>
  <c r="K394" i="34"/>
  <c r="K393" i="34"/>
  <c r="K392" i="34"/>
  <c r="K391" i="34"/>
  <c r="K387" i="34"/>
  <c r="K386" i="34"/>
  <c r="K385" i="34"/>
  <c r="K384" i="34"/>
  <c r="K383" i="34"/>
  <c r="K382" i="34"/>
  <c r="K381" i="34"/>
  <c r="K379" i="34"/>
  <c r="K378" i="34"/>
  <c r="K377" i="34"/>
  <c r="K376" i="34"/>
  <c r="K373" i="34"/>
  <c r="K372" i="34"/>
  <c r="K371" i="34"/>
  <c r="K370" i="34"/>
  <c r="K369" i="34"/>
  <c r="K368" i="34"/>
  <c r="K366" i="34"/>
  <c r="K365" i="34"/>
  <c r="K364" i="34"/>
  <c r="K362" i="34"/>
  <c r="K355" i="34"/>
  <c r="K354" i="34"/>
  <c r="K353" i="34"/>
  <c r="K351" i="34"/>
  <c r="K350" i="34"/>
  <c r="K348" i="34"/>
  <c r="K346" i="34"/>
  <c r="K341" i="34"/>
  <c r="K340" i="34"/>
  <c r="K339" i="34"/>
  <c r="K338" i="34"/>
  <c r="K333" i="34"/>
  <c r="K316" i="34"/>
  <c r="K315" i="34"/>
  <c r="K314" i="34"/>
  <c r="K295" i="34"/>
  <c r="K294" i="34"/>
  <c r="K293" i="34"/>
  <c r="K292" i="34"/>
  <c r="K291" i="34"/>
  <c r="K290" i="34"/>
  <c r="K284" i="34"/>
  <c r="K282" i="34"/>
  <c r="K281" i="34"/>
  <c r="K277" i="34"/>
  <c r="K275" i="34"/>
  <c r="K273" i="34"/>
  <c r="K266" i="34"/>
  <c r="K264" i="34"/>
  <c r="K263" i="34"/>
  <c r="K261" i="34"/>
  <c r="K260" i="34"/>
  <c r="K259" i="34"/>
  <c r="K258" i="34"/>
  <c r="K257" i="34"/>
  <c r="K255" i="34"/>
  <c r="K254" i="34"/>
  <c r="K253" i="34"/>
  <c r="K252" i="34"/>
  <c r="K242" i="34"/>
  <c r="K241" i="34"/>
  <c r="K240" i="34"/>
  <c r="K239" i="34"/>
  <c r="K237" i="34"/>
  <c r="K235" i="34"/>
  <c r="K233" i="34"/>
  <c r="K232" i="34"/>
  <c r="K231" i="34"/>
  <c r="K229" i="34"/>
  <c r="K228" i="34"/>
  <c r="K226" i="34"/>
  <c r="K225" i="34"/>
  <c r="K224" i="34"/>
  <c r="K223" i="34"/>
  <c r="K221" i="34"/>
  <c r="K220" i="34"/>
  <c r="K219" i="34"/>
  <c r="K208" i="34"/>
  <c r="K207" i="34"/>
  <c r="K206" i="34"/>
  <c r="K205" i="34"/>
  <c r="K204" i="34"/>
  <c r="K203" i="34"/>
  <c r="K202" i="34"/>
  <c r="K201" i="34"/>
  <c r="K200" i="34"/>
  <c r="K198" i="34"/>
  <c r="K197" i="34"/>
  <c r="K196" i="34"/>
  <c r="K195" i="34"/>
  <c r="K194" i="34"/>
  <c r="K193" i="34"/>
  <c r="K192" i="34"/>
  <c r="K191" i="34"/>
  <c r="K189" i="34"/>
  <c r="K188" i="34"/>
  <c r="K187" i="34"/>
  <c r="K185" i="34"/>
  <c r="K184" i="34"/>
  <c r="K180" i="34"/>
  <c r="K174" i="34"/>
  <c r="K173" i="34"/>
  <c r="K172" i="34"/>
  <c r="K171" i="34"/>
  <c r="K170" i="34"/>
  <c r="K169" i="34"/>
  <c r="K168" i="34"/>
  <c r="K167" i="34"/>
  <c r="K166" i="34"/>
  <c r="K165" i="34"/>
  <c r="K163" i="34"/>
  <c r="K162" i="34"/>
  <c r="K161" i="34"/>
  <c r="K150" i="34"/>
  <c r="K147" i="34"/>
  <c r="K145" i="34"/>
  <c r="K144" i="34"/>
  <c r="K143" i="34"/>
  <c r="K142" i="34"/>
  <c r="K138" i="34"/>
  <c r="K136" i="34"/>
  <c r="K134" i="34"/>
  <c r="K133" i="34"/>
  <c r="K132" i="34"/>
  <c r="K131" i="34"/>
  <c r="K130" i="34"/>
  <c r="K129" i="34"/>
  <c r="K128" i="34"/>
  <c r="K127" i="34"/>
  <c r="K122" i="34"/>
  <c r="K121" i="34"/>
  <c r="K120" i="34"/>
  <c r="K118" i="34"/>
  <c r="K114" i="34"/>
  <c r="K113" i="34"/>
  <c r="K112" i="34"/>
  <c r="K111" i="34"/>
  <c r="K110" i="34"/>
  <c r="K109" i="34"/>
  <c r="K108" i="34"/>
  <c r="K107" i="34"/>
  <c r="K105" i="34"/>
  <c r="K104" i="34"/>
  <c r="K102" i="34"/>
  <c r="K100" i="34"/>
  <c r="K99" i="34"/>
  <c r="K98" i="34"/>
  <c r="K97" i="34"/>
  <c r="K95" i="34"/>
  <c r="K93" i="34"/>
  <c r="K92" i="34"/>
  <c r="K89" i="34"/>
  <c r="K88" i="34"/>
  <c r="K86" i="34"/>
  <c r="K82" i="34"/>
  <c r="K75" i="34"/>
  <c r="K72" i="34"/>
  <c r="K70" i="34"/>
  <c r="K69" i="34"/>
  <c r="K68" i="34"/>
  <c r="K67" i="34"/>
  <c r="K65" i="34"/>
  <c r="K64" i="34"/>
  <c r="K63" i="34"/>
  <c r="K62" i="34"/>
  <c r="K61" i="34"/>
  <c r="K60" i="34"/>
  <c r="K59" i="34"/>
  <c r="K58" i="34"/>
  <c r="K57" i="34"/>
  <c r="K56" i="34"/>
  <c r="K54" i="34"/>
  <c r="K53" i="34"/>
  <c r="K52" i="34"/>
  <c r="K51" i="34"/>
  <c r="K50" i="34"/>
  <c r="K49" i="34"/>
  <c r="K48" i="34"/>
  <c r="K47" i="34"/>
  <c r="K46" i="34"/>
  <c r="K45" i="34"/>
  <c r="K43" i="34"/>
  <c r="K41" i="34"/>
  <c r="K37" i="34"/>
  <c r="K36" i="34"/>
  <c r="K35" i="34"/>
  <c r="K34" i="34"/>
  <c r="K33" i="34"/>
  <c r="K31" i="34"/>
  <c r="K30" i="34"/>
  <c r="K27" i="34"/>
  <c r="K25" i="34"/>
  <c r="K24" i="34"/>
  <c r="K1061" i="34"/>
  <c r="K1058" i="34"/>
  <c r="K1018" i="34"/>
  <c r="K1017" i="34"/>
  <c r="K987" i="34"/>
  <c r="K954" i="34"/>
  <c r="K911" i="34"/>
  <c r="K903" i="34"/>
  <c r="K857" i="34"/>
  <c r="K813" i="34"/>
  <c r="K811" i="34"/>
  <c r="K801" i="34"/>
  <c r="K774" i="34"/>
  <c r="K691" i="34"/>
  <c r="K620" i="34"/>
  <c r="K618" i="34"/>
  <c r="K613" i="34"/>
  <c r="K611" i="34"/>
  <c r="K609" i="34"/>
  <c r="K599" i="34"/>
  <c r="K598" i="34"/>
  <c r="K595" i="34"/>
  <c r="K249" i="34"/>
  <c r="K215" i="34"/>
  <c r="K22" i="34"/>
  <c r="K574" i="34"/>
  <c r="K508" i="34"/>
  <c r="K504" i="34"/>
  <c r="K501" i="34"/>
  <c r="K486" i="34"/>
  <c r="K478" i="34"/>
  <c r="K470" i="34"/>
  <c r="K461" i="34"/>
  <c r="K441" i="34"/>
  <c r="K421" i="34"/>
  <c r="K359" i="34"/>
  <c r="K343" i="34"/>
  <c r="K335" i="34"/>
  <c r="K330" i="34"/>
  <c r="K325" i="34"/>
  <c r="K324" i="34"/>
  <c r="D41" i="15" l="1"/>
  <c r="C41" i="15"/>
  <c r="O10" i="34" l="1"/>
  <c r="O11" i="34"/>
  <c r="A30" i="80" l="1"/>
  <c r="I15" i="80"/>
  <c r="H15" i="80"/>
  <c r="G9" i="80"/>
  <c r="A8" i="80"/>
  <c r="A2" i="80"/>
  <c r="A1" i="80"/>
  <c r="E22" i="79"/>
  <c r="D22" i="79"/>
  <c r="A21" i="79"/>
  <c r="A9" i="79"/>
  <c r="A5" i="79"/>
  <c r="A8" i="79"/>
  <c r="A7" i="79"/>
  <c r="A6" i="79"/>
  <c r="A4" i="79"/>
  <c r="R28" i="60" l="1"/>
  <c r="R31" i="60"/>
  <c r="A1" i="60" l="1"/>
  <c r="R585" i="60"/>
  <c r="R586" i="60"/>
  <c r="R539" i="60"/>
  <c r="R540" i="60"/>
  <c r="R584" i="60"/>
  <c r="R583" i="60"/>
  <c r="R580" i="60"/>
  <c r="R579" i="60"/>
  <c r="R578" i="60"/>
  <c r="R577" i="60"/>
  <c r="R569" i="60"/>
  <c r="R568" i="60"/>
  <c r="R538" i="60"/>
  <c r="R537" i="60"/>
  <c r="R534" i="60"/>
  <c r="R533" i="60"/>
  <c r="R299" i="60"/>
  <c r="R298" i="60"/>
  <c r="R297" i="60"/>
  <c r="R286" i="60"/>
  <c r="R285" i="60"/>
  <c r="R284" i="60"/>
  <c r="R283" i="60"/>
  <c r="I525" i="60"/>
  <c r="I717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R6" i="60"/>
  <c r="R29" i="60"/>
  <c r="R3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12" i="55"/>
  <c r="B410" i="55"/>
  <c r="A410" i="55" s="1"/>
  <c r="A412" i="55"/>
  <c r="F412" i="55"/>
  <c r="F413" i="55" s="1"/>
  <c r="R536" i="60" l="1"/>
  <c r="R296" i="60"/>
  <c r="R302" i="60" s="1"/>
  <c r="R588" i="60"/>
  <c r="R590" i="60" s="1"/>
  <c r="R582" i="60"/>
  <c r="R589" i="60" s="1"/>
  <c r="R542" i="60"/>
  <c r="R544" i="60" s="1"/>
  <c r="R543" i="60"/>
  <c r="J533" i="60"/>
  <c r="J561" i="60" s="1"/>
  <c r="H525" i="60"/>
  <c r="H717" i="60"/>
  <c r="R301" i="60"/>
  <c r="R303" i="60" s="1"/>
  <c r="J299" i="60"/>
  <c r="J297" i="60"/>
  <c r="J296" i="60"/>
  <c r="J295" i="60"/>
  <c r="J291" i="60"/>
  <c r="J288" i="60"/>
  <c r="J281" i="60"/>
  <c r="J273" i="60"/>
  <c r="H273" i="60"/>
  <c r="R33" i="60"/>
  <c r="R35" i="60" s="1"/>
  <c r="F33" i="55"/>
  <c r="F34" i="55" s="1"/>
  <c r="R596" i="60" l="1"/>
  <c r="R550" i="60"/>
  <c r="R553" i="60" s="1"/>
  <c r="J717" i="60"/>
  <c r="R308" i="60"/>
  <c r="J525" i="60"/>
  <c r="R599" i="60" l="1"/>
  <c r="K611" i="60" s="1"/>
  <c r="T611" i="60" s="1"/>
  <c r="K533" i="60"/>
  <c r="T533" i="60" s="1"/>
  <c r="K537" i="60"/>
  <c r="T537" i="60" s="1"/>
  <c r="K541" i="60"/>
  <c r="T541" i="60" s="1"/>
  <c r="K545" i="60"/>
  <c r="T545" i="60" s="1"/>
  <c r="K549" i="60"/>
  <c r="T549" i="60" s="1"/>
  <c r="K553" i="60"/>
  <c r="T553" i="60" s="1"/>
  <c r="K557" i="60"/>
  <c r="T557" i="60" s="1"/>
  <c r="K534" i="60"/>
  <c r="T534" i="60" s="1"/>
  <c r="K538" i="60"/>
  <c r="T538" i="60" s="1"/>
  <c r="K542" i="60"/>
  <c r="T542" i="60" s="1"/>
  <c r="K546" i="60"/>
  <c r="T546" i="60" s="1"/>
  <c r="K550" i="60"/>
  <c r="T550" i="60" s="1"/>
  <c r="K554" i="60"/>
  <c r="T554" i="60" s="1"/>
  <c r="K558" i="60"/>
  <c r="T558" i="60" s="1"/>
  <c r="K535" i="60"/>
  <c r="T535" i="60" s="1"/>
  <c r="K539" i="60"/>
  <c r="T539" i="60" s="1"/>
  <c r="K543" i="60"/>
  <c r="T543" i="60" s="1"/>
  <c r="K547" i="60"/>
  <c r="T547" i="60" s="1"/>
  <c r="K551" i="60"/>
  <c r="T551" i="60" s="1"/>
  <c r="K555" i="60"/>
  <c r="T555" i="60" s="1"/>
  <c r="K559" i="60"/>
  <c r="T559" i="60" s="1"/>
  <c r="K536" i="60"/>
  <c r="T536" i="60" s="1"/>
  <c r="K540" i="60"/>
  <c r="T540" i="60" s="1"/>
  <c r="K544" i="60"/>
  <c r="T544" i="60" s="1"/>
  <c r="K548" i="60"/>
  <c r="T548" i="60" s="1"/>
  <c r="K552" i="60"/>
  <c r="T552" i="60" s="1"/>
  <c r="K556" i="60"/>
  <c r="T556" i="60" s="1"/>
  <c r="R311" i="60"/>
  <c r="K281" i="60" s="1"/>
  <c r="T561" i="60" l="1"/>
  <c r="K695" i="60"/>
  <c r="T695" i="60" s="1"/>
  <c r="K668" i="60"/>
  <c r="T668" i="60" s="1"/>
  <c r="K701" i="60"/>
  <c r="T701" i="60" s="1"/>
  <c r="K604" i="60"/>
  <c r="T604" i="60" s="1"/>
  <c r="K710" i="60"/>
  <c r="T710" i="60" s="1"/>
  <c r="K683" i="60"/>
  <c r="T683" i="60" s="1"/>
  <c r="K706" i="60"/>
  <c r="T706" i="60" s="1"/>
  <c r="K704" i="60"/>
  <c r="T704" i="60" s="1"/>
  <c r="K651" i="60"/>
  <c r="T651" i="60" s="1"/>
  <c r="K628" i="60"/>
  <c r="T628" i="60" s="1"/>
  <c r="K671" i="60"/>
  <c r="T671" i="60" s="1"/>
  <c r="K655" i="60"/>
  <c r="T655" i="60" s="1"/>
  <c r="K673" i="60"/>
  <c r="T673" i="60" s="1"/>
  <c r="K700" i="60"/>
  <c r="T700" i="60" s="1"/>
  <c r="K568" i="60"/>
  <c r="T568" i="60" s="1"/>
  <c r="K609" i="60"/>
  <c r="T609" i="60" s="1"/>
  <c r="K711" i="60"/>
  <c r="T711" i="60" s="1"/>
  <c r="K705" i="60"/>
  <c r="T705" i="60" s="1"/>
  <c r="K692" i="60"/>
  <c r="T692" i="60" s="1"/>
  <c r="K643" i="60"/>
  <c r="T643" i="60" s="1"/>
  <c r="K620" i="60"/>
  <c r="T620" i="60" s="1"/>
  <c r="K649" i="60"/>
  <c r="T649" i="60" s="1"/>
  <c r="K623" i="60"/>
  <c r="T623" i="60" s="1"/>
  <c r="K657" i="60"/>
  <c r="T657" i="60" s="1"/>
  <c r="K699" i="60"/>
  <c r="T699" i="60" s="1"/>
  <c r="K652" i="60"/>
  <c r="T652" i="60" s="1"/>
  <c r="K670" i="60"/>
  <c r="T670" i="60" s="1"/>
  <c r="K689" i="60"/>
  <c r="T689" i="60" s="1"/>
  <c r="K678" i="60"/>
  <c r="T678" i="60" s="1"/>
  <c r="K610" i="60"/>
  <c r="T610" i="60" s="1"/>
  <c r="K613" i="60"/>
  <c r="T613" i="60" s="1"/>
  <c r="K605" i="60"/>
  <c r="T605" i="60" s="1"/>
  <c r="K708" i="60"/>
  <c r="T708" i="60" s="1"/>
  <c r="K709" i="60"/>
  <c r="T709" i="60" s="1"/>
  <c r="K666" i="60"/>
  <c r="T666" i="60" s="1"/>
  <c r="K676" i="60"/>
  <c r="T676" i="60" s="1"/>
  <c r="K619" i="60"/>
  <c r="T619" i="60" s="1"/>
  <c r="K687" i="60"/>
  <c r="T687" i="60" s="1"/>
  <c r="K626" i="60"/>
  <c r="T626" i="60" s="1"/>
  <c r="K632" i="60"/>
  <c r="T632" i="60" s="1"/>
  <c r="K634" i="60"/>
  <c r="T634" i="60" s="1"/>
  <c r="K646" i="60"/>
  <c r="T646" i="60" s="1"/>
  <c r="R561" i="60"/>
  <c r="K614" i="60"/>
  <c r="T614" i="60" s="1"/>
  <c r="K656" i="60"/>
  <c r="T656" i="60" s="1"/>
  <c r="K624" i="60"/>
  <c r="T624" i="60" s="1"/>
  <c r="K685" i="60"/>
  <c r="T685" i="60" s="1"/>
  <c r="K669" i="60"/>
  <c r="T669" i="60" s="1"/>
  <c r="K641" i="60"/>
  <c r="T641" i="60" s="1"/>
  <c r="K618" i="60"/>
  <c r="T618" i="60" s="1"/>
  <c r="K662" i="60"/>
  <c r="T662" i="60" s="1"/>
  <c r="K684" i="60"/>
  <c r="T684" i="60" s="1"/>
  <c r="K653" i="60"/>
  <c r="T653" i="60" s="1"/>
  <c r="K630" i="60"/>
  <c r="T630" i="60" s="1"/>
  <c r="K667" i="60"/>
  <c r="T667" i="60" s="1"/>
  <c r="K647" i="60"/>
  <c r="T647" i="60" s="1"/>
  <c r="K607" i="60"/>
  <c r="T607" i="60" s="1"/>
  <c r="K602" i="60"/>
  <c r="T602" i="60" s="1"/>
  <c r="K608" i="60"/>
  <c r="T608" i="60" s="1"/>
  <c r="K707" i="60"/>
  <c r="T707" i="60" s="1"/>
  <c r="K713" i="60"/>
  <c r="T713" i="60" s="1"/>
  <c r="K702" i="60"/>
  <c r="T702" i="60" s="1"/>
  <c r="K686" i="60"/>
  <c r="T686" i="60" s="1"/>
  <c r="K629" i="60"/>
  <c r="T629" i="60" s="1"/>
  <c r="K688" i="60"/>
  <c r="T688" i="60" s="1"/>
  <c r="K664" i="60"/>
  <c r="T664" i="60" s="1"/>
  <c r="K635" i="60"/>
  <c r="T635" i="60" s="1"/>
  <c r="K644" i="60"/>
  <c r="T644" i="60" s="1"/>
  <c r="K697" i="60"/>
  <c r="T697" i="60" s="1"/>
  <c r="K679" i="60"/>
  <c r="T679" i="60" s="1"/>
  <c r="K663" i="60"/>
  <c r="T663" i="60" s="1"/>
  <c r="K617" i="60"/>
  <c r="T617" i="60" s="1"/>
  <c r="K696" i="60"/>
  <c r="T696" i="60" s="1"/>
  <c r="K638" i="60"/>
  <c r="T638" i="60" s="1"/>
  <c r="K639" i="60"/>
  <c r="T639" i="60" s="1"/>
  <c r="K648" i="60"/>
  <c r="T648" i="60" s="1"/>
  <c r="K616" i="60"/>
  <c r="T616" i="60" s="1"/>
  <c r="K681" i="60"/>
  <c r="T681" i="60" s="1"/>
  <c r="K665" i="60"/>
  <c r="T665" i="60" s="1"/>
  <c r="K625" i="60"/>
  <c r="T625" i="60" s="1"/>
  <c r="K612" i="60"/>
  <c r="T612" i="60" s="1"/>
  <c r="K645" i="60"/>
  <c r="T645" i="60" s="1"/>
  <c r="K672" i="60"/>
  <c r="T672" i="60" s="1"/>
  <c r="K637" i="60"/>
  <c r="T637" i="60" s="1"/>
  <c r="K615" i="60"/>
  <c r="T615" i="60" s="1"/>
  <c r="K633" i="60"/>
  <c r="T633" i="60" s="1"/>
  <c r="K658" i="60"/>
  <c r="T658" i="60" s="1"/>
  <c r="K606" i="60"/>
  <c r="T606" i="60" s="1"/>
  <c r="K603" i="60"/>
  <c r="T603" i="60" s="1"/>
  <c r="K715" i="60"/>
  <c r="T715" i="60" s="1"/>
  <c r="K714" i="60"/>
  <c r="T714" i="60" s="1"/>
  <c r="K712" i="60"/>
  <c r="T712" i="60" s="1"/>
  <c r="K703" i="60"/>
  <c r="T703" i="60" s="1"/>
  <c r="K674" i="60"/>
  <c r="T674" i="60" s="1"/>
  <c r="K654" i="60"/>
  <c r="T654" i="60" s="1"/>
  <c r="K680" i="60"/>
  <c r="T680" i="60" s="1"/>
  <c r="K698" i="60"/>
  <c r="T698" i="60" s="1"/>
  <c r="K627" i="60"/>
  <c r="T627" i="60" s="1"/>
  <c r="K636" i="60"/>
  <c r="T636" i="60" s="1"/>
  <c r="K691" i="60"/>
  <c r="T691" i="60" s="1"/>
  <c r="K675" i="60"/>
  <c r="T675" i="60" s="1"/>
  <c r="K659" i="60"/>
  <c r="T659" i="60" s="1"/>
  <c r="K642" i="60"/>
  <c r="T642" i="60" s="1"/>
  <c r="K682" i="60"/>
  <c r="T682" i="60" s="1"/>
  <c r="K694" i="60"/>
  <c r="T694" i="60" s="1"/>
  <c r="K631" i="60"/>
  <c r="T631" i="60" s="1"/>
  <c r="K640" i="60"/>
  <c r="T640" i="60" s="1"/>
  <c r="K693" i="60"/>
  <c r="T693" i="60" s="1"/>
  <c r="K677" i="60"/>
  <c r="T677" i="60" s="1"/>
  <c r="K661" i="60"/>
  <c r="T661" i="60" s="1"/>
  <c r="K650" i="60"/>
  <c r="T650" i="60" s="1"/>
  <c r="K690" i="60"/>
  <c r="T690" i="60" s="1"/>
  <c r="K622" i="60"/>
  <c r="T622" i="60" s="1"/>
  <c r="K660" i="60"/>
  <c r="T660" i="60" s="1"/>
  <c r="K621" i="60"/>
  <c r="T621" i="60" s="1"/>
  <c r="K570" i="60"/>
  <c r="T570" i="60" s="1"/>
  <c r="K574" i="60"/>
  <c r="T574" i="60" s="1"/>
  <c r="K578" i="60"/>
  <c r="T578" i="60" s="1"/>
  <c r="K582" i="60"/>
  <c r="T582" i="60" s="1"/>
  <c r="K586" i="60"/>
  <c r="T586" i="60" s="1"/>
  <c r="K590" i="60"/>
  <c r="T590" i="60" s="1"/>
  <c r="K594" i="60"/>
  <c r="T594" i="60" s="1"/>
  <c r="K598" i="60"/>
  <c r="T598" i="60" s="1"/>
  <c r="K569" i="60"/>
  <c r="T569" i="60" s="1"/>
  <c r="K573" i="60"/>
  <c r="T573" i="60" s="1"/>
  <c r="K577" i="60"/>
  <c r="T577" i="60" s="1"/>
  <c r="K581" i="60"/>
  <c r="T581" i="60" s="1"/>
  <c r="K585" i="60"/>
  <c r="T585" i="60" s="1"/>
  <c r="K589" i="60"/>
  <c r="T589" i="60" s="1"/>
  <c r="K593" i="60"/>
  <c r="T593" i="60" s="1"/>
  <c r="K597" i="60"/>
  <c r="T597" i="60" s="1"/>
  <c r="K601" i="60"/>
  <c r="T601" i="60" s="1"/>
  <c r="K580" i="60"/>
  <c r="T580" i="60" s="1"/>
  <c r="K600" i="60"/>
  <c r="T600" i="60" s="1"/>
  <c r="K599" i="60"/>
  <c r="T599" i="60" s="1"/>
  <c r="K584" i="60"/>
  <c r="T584" i="60" s="1"/>
  <c r="K579" i="60"/>
  <c r="T579" i="60" s="1"/>
  <c r="K591" i="60"/>
  <c r="T591" i="60" s="1"/>
  <c r="K571" i="60"/>
  <c r="T571" i="60" s="1"/>
  <c r="K583" i="60"/>
  <c r="T583" i="60" s="1"/>
  <c r="K596" i="60"/>
  <c r="T596" i="60" s="1"/>
  <c r="K588" i="60"/>
  <c r="T588" i="60" s="1"/>
  <c r="K572" i="60"/>
  <c r="T572" i="60" s="1"/>
  <c r="K595" i="60"/>
  <c r="T595" i="60" s="1"/>
  <c r="K575" i="60"/>
  <c r="T575" i="60" s="1"/>
  <c r="K587" i="60"/>
  <c r="T587" i="60" s="1"/>
  <c r="K592" i="60"/>
  <c r="T592" i="60" s="1"/>
  <c r="K576" i="60"/>
  <c r="T576" i="60" s="1"/>
  <c r="T281" i="60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670" i="34"/>
  <c r="B2670" i="34" s="1"/>
  <c r="C2681" i="34"/>
  <c r="B2681" i="34" s="1"/>
  <c r="C2677" i="34"/>
  <c r="B2677" i="34" s="1"/>
  <c r="B2816" i="34"/>
  <c r="B2849" i="34"/>
  <c r="B2848" i="34"/>
  <c r="B2847" i="34"/>
  <c r="B2842" i="34"/>
  <c r="B2841" i="34"/>
  <c r="B2826" i="34"/>
  <c r="B2825" i="34"/>
  <c r="B2824" i="34"/>
  <c r="B2812" i="34"/>
  <c r="B2811" i="34"/>
  <c r="B2808" i="34"/>
  <c r="B2807" i="34"/>
  <c r="B2802" i="34"/>
  <c r="B2801" i="34"/>
  <c r="B2800" i="34"/>
  <c r="B2806" i="34"/>
  <c r="B2805" i="34"/>
  <c r="B2783" i="34"/>
  <c r="B2782" i="34"/>
  <c r="B2766" i="34"/>
  <c r="B2765" i="34"/>
  <c r="B2764" i="34"/>
  <c r="B2763" i="34"/>
  <c r="B2749" i="34"/>
  <c r="B2748" i="34"/>
  <c r="B2747" i="34"/>
  <c r="B2743" i="34"/>
  <c r="B2742" i="34"/>
  <c r="C2705" i="34"/>
  <c r="B2705" i="34" s="1"/>
  <c r="C2694" i="34"/>
  <c r="B2694" i="34" s="1"/>
  <c r="C2693" i="34"/>
  <c r="B2693" i="34" s="1"/>
  <c r="C2684" i="34"/>
  <c r="B2684" i="34" s="1"/>
  <c r="C2683" i="34"/>
  <c r="B2683" i="34" s="1"/>
  <c r="C2668" i="34"/>
  <c r="B2668" i="34" s="1"/>
  <c r="C2667" i="34"/>
  <c r="B2667" i="34" s="1"/>
  <c r="C2660" i="34"/>
  <c r="B2660" i="34" s="1"/>
  <c r="C2657" i="34"/>
  <c r="B2657" i="34" s="1"/>
  <c r="C2635" i="34"/>
  <c r="B2635" i="34" s="1"/>
  <c r="C2630" i="34"/>
  <c r="B2630" i="34" s="1"/>
  <c r="C2536" i="34"/>
  <c r="B2536" i="34" s="1"/>
  <c r="Z2536" i="34" l="1"/>
  <c r="W2536" i="34"/>
  <c r="A2536" i="34"/>
  <c r="Z2660" i="34"/>
  <c r="W2660" i="34"/>
  <c r="A2660" i="34"/>
  <c r="Z2684" i="34"/>
  <c r="W2684" i="34"/>
  <c r="A2684" i="34"/>
  <c r="Z2742" i="34"/>
  <c r="W2742" i="34"/>
  <c r="A2742" i="34"/>
  <c r="W2749" i="34"/>
  <c r="Z2749" i="34"/>
  <c r="A2749" i="34"/>
  <c r="Z2766" i="34"/>
  <c r="W2766" i="34"/>
  <c r="A2766" i="34"/>
  <c r="Z2806" i="34"/>
  <c r="W2806" i="34"/>
  <c r="A2806" i="34"/>
  <c r="Z2807" i="34"/>
  <c r="A2807" i="34"/>
  <c r="W2807" i="34"/>
  <c r="Z2824" i="34"/>
  <c r="W2824" i="34"/>
  <c r="A2824" i="34"/>
  <c r="Z2842" i="34"/>
  <c r="W2842" i="34"/>
  <c r="A2842" i="34"/>
  <c r="Z2816" i="34"/>
  <c r="W2816" i="34"/>
  <c r="A2816" i="34"/>
  <c r="Z2630" i="34"/>
  <c r="W2630" i="34"/>
  <c r="A2630" i="34"/>
  <c r="W2667" i="34"/>
  <c r="Z2667" i="34"/>
  <c r="A2667" i="34"/>
  <c r="W2693" i="34"/>
  <c r="Z2693" i="34"/>
  <c r="A2693" i="34"/>
  <c r="W2743" i="34"/>
  <c r="Z2743" i="34"/>
  <c r="A2743" i="34"/>
  <c r="W2763" i="34"/>
  <c r="Z2763" i="34"/>
  <c r="A2763" i="34"/>
  <c r="Z2782" i="34"/>
  <c r="W2782" i="34"/>
  <c r="A2782" i="34"/>
  <c r="Z2800" i="34"/>
  <c r="W2800" i="34"/>
  <c r="A2800" i="34"/>
  <c r="Z2808" i="34"/>
  <c r="W2808" i="34"/>
  <c r="A2808" i="34"/>
  <c r="A2825" i="34"/>
  <c r="Z2825" i="34"/>
  <c r="W2825" i="34"/>
  <c r="Z2847" i="34"/>
  <c r="A2847" i="34"/>
  <c r="W2847" i="34"/>
  <c r="W2677" i="34"/>
  <c r="Z2677" i="34"/>
  <c r="A2677" i="34"/>
  <c r="W2635" i="34"/>
  <c r="Z2635" i="34"/>
  <c r="A2635" i="34"/>
  <c r="Z2668" i="34"/>
  <c r="W2668" i="34"/>
  <c r="A2668" i="34"/>
  <c r="Z2694" i="34"/>
  <c r="W2694" i="34"/>
  <c r="A2694" i="34"/>
  <c r="W2747" i="34"/>
  <c r="Z2747" i="34"/>
  <c r="A2747" i="34"/>
  <c r="Z2764" i="34"/>
  <c r="W2764" i="34"/>
  <c r="A2764" i="34"/>
  <c r="Z2783" i="34"/>
  <c r="W2783" i="34"/>
  <c r="A2783" i="34"/>
  <c r="A2801" i="34"/>
  <c r="Z2801" i="34"/>
  <c r="W2801" i="34"/>
  <c r="Z2811" i="34"/>
  <c r="A2811" i="34"/>
  <c r="W2811" i="34"/>
  <c r="Z2826" i="34"/>
  <c r="W2826" i="34"/>
  <c r="A2826" i="34"/>
  <c r="Z2848" i="34"/>
  <c r="W2848" i="34"/>
  <c r="A2848" i="34"/>
  <c r="W2681" i="34"/>
  <c r="Z2681" i="34"/>
  <c r="A2681" i="34"/>
  <c r="W2657" i="34"/>
  <c r="Z2657" i="34"/>
  <c r="A2657" i="34"/>
  <c r="W2683" i="34"/>
  <c r="Z2683" i="34"/>
  <c r="A2683" i="34"/>
  <c r="W2705" i="34"/>
  <c r="Z2705" i="34"/>
  <c r="A2705" i="34"/>
  <c r="Z2748" i="34"/>
  <c r="W2748" i="34"/>
  <c r="A2748" i="34"/>
  <c r="W2765" i="34"/>
  <c r="Z2765" i="34"/>
  <c r="A2765" i="34"/>
  <c r="A2805" i="34"/>
  <c r="Z2805" i="34"/>
  <c r="W2805" i="34"/>
  <c r="Z2802" i="34"/>
  <c r="W2802" i="34"/>
  <c r="A2802" i="34"/>
  <c r="Z2812" i="34"/>
  <c r="W2812" i="34"/>
  <c r="A2812" i="34"/>
  <c r="A2841" i="34"/>
  <c r="Z2841" i="34"/>
  <c r="W2841" i="34"/>
  <c r="A2849" i="34"/>
  <c r="Z2849" i="34"/>
  <c r="W2849" i="34"/>
  <c r="Z2670" i="34"/>
  <c r="W2670" i="34"/>
  <c r="A2670" i="34"/>
  <c r="T717" i="60"/>
  <c r="R716" i="60" s="1"/>
  <c r="T525" i="60"/>
  <c r="R525" i="60" s="1"/>
  <c r="I170" i="55" a="1"/>
  <c r="I170" i="55" s="1"/>
  <c r="I407" i="55" a="1"/>
  <c r="I407" i="55" s="1"/>
  <c r="I96" i="55" a="1"/>
  <c r="I96" i="55" s="1"/>
  <c r="I75" i="55" a="1"/>
  <c r="I75" i="55" s="1"/>
  <c r="I87" i="55" a="1"/>
  <c r="I87" i="55" s="1"/>
  <c r="I76" i="55" a="1"/>
  <c r="I76" i="55" s="1"/>
  <c r="I355" i="55" a="1"/>
  <c r="I355" i="55" s="1"/>
  <c r="I194" i="55" a="1"/>
  <c r="I194" i="55" s="1"/>
  <c r="I353" i="55" a="1"/>
  <c r="I353" i="55" s="1"/>
  <c r="I198" i="55" a="1"/>
  <c r="I198" i="55" s="1"/>
  <c r="I360" i="55" a="1"/>
  <c r="I360" i="55" s="1"/>
  <c r="I223" i="55" a="1"/>
  <c r="I223" i="55" s="1"/>
  <c r="I262" i="55" a="1"/>
  <c r="I262" i="55" s="1"/>
  <c r="I268" i="55" a="1"/>
  <c r="I268" i="55" s="1"/>
  <c r="I364" i="55" a="1"/>
  <c r="I364" i="55" s="1"/>
  <c r="I383" i="55" a="1"/>
  <c r="I383" i="55" s="1"/>
  <c r="I142" i="55" a="1"/>
  <c r="I142" i="55" s="1"/>
  <c r="I174" i="55" a="1"/>
  <c r="I174" i="55" s="1"/>
  <c r="I281" i="55" a="1"/>
  <c r="I281" i="55" s="1"/>
  <c r="I288" i="55" a="1"/>
  <c r="I288" i="55" s="1"/>
  <c r="I175" i="55" a="1"/>
  <c r="I175" i="55" s="1"/>
  <c r="I381" i="55" a="1"/>
  <c r="I381" i="55" s="1"/>
  <c r="I90" i="55" a="1"/>
  <c r="I90" i="55" s="1"/>
  <c r="I398" i="55" a="1"/>
  <c r="I398" i="55" s="1"/>
  <c r="I137" i="55" a="1"/>
  <c r="I137" i="55" s="1"/>
  <c r="I335" i="55" a="1"/>
  <c r="I335" i="55" s="1"/>
  <c r="I182" i="55" a="1"/>
  <c r="I182" i="55" s="1"/>
  <c r="I363" i="55" a="1"/>
  <c r="I363" i="55" s="1"/>
  <c r="I387" i="55" a="1"/>
  <c r="I387" i="55" s="1"/>
  <c r="I38" i="55" a="1"/>
  <c r="I38" i="55" s="1"/>
  <c r="I350" i="55" a="1"/>
  <c r="I350" i="55" s="1"/>
  <c r="I402" i="55" a="1"/>
  <c r="I402" i="55" s="1"/>
  <c r="I325" i="55" a="1"/>
  <c r="I325" i="55" s="1"/>
  <c r="I379" i="55" a="1"/>
  <c r="I379" i="55" s="1"/>
  <c r="I160" i="55" a="1"/>
  <c r="I160" i="55" s="1"/>
  <c r="I342" i="55" a="1"/>
  <c r="I342" i="55" s="1"/>
  <c r="I66" i="55" a="1"/>
  <c r="I66" i="55" s="1"/>
  <c r="I39" i="55" a="1"/>
  <c r="I39" i="55" s="1"/>
  <c r="I408" i="55" a="1"/>
  <c r="I408" i="55" s="1"/>
  <c r="I366" i="55" a="1"/>
  <c r="I366" i="55" s="1"/>
  <c r="G410" i="55" a="1"/>
  <c r="G410" i="55" s="1"/>
  <c r="G244" i="55" a="1"/>
  <c r="G244" i="55" s="1"/>
  <c r="G280" i="55" a="1"/>
  <c r="G280" i="55" s="1"/>
  <c r="G332" i="55" a="1"/>
  <c r="G332" i="55" s="1"/>
  <c r="G48" i="55" a="1"/>
  <c r="G48" i="55" s="1"/>
  <c r="G232" i="55" a="1"/>
  <c r="G232" i="55" s="1"/>
  <c r="G212" i="55" a="1"/>
  <c r="G212" i="55" s="1"/>
  <c r="G162" i="55" a="1"/>
  <c r="G162" i="55" s="1"/>
  <c r="G222" i="55" a="1"/>
  <c r="G222" i="55" s="1"/>
  <c r="G357" i="55" a="1"/>
  <c r="G357" i="55" s="1"/>
  <c r="G109" i="55" a="1"/>
  <c r="G109" i="55" s="1"/>
  <c r="G304" i="55" a="1"/>
  <c r="G304" i="55" s="1"/>
  <c r="G231" i="55" a="1"/>
  <c r="G231" i="55" s="1"/>
  <c r="G270" i="55" a="1"/>
  <c r="G270" i="55" s="1"/>
  <c r="G401" i="55" a="1"/>
  <c r="G401" i="55" s="1"/>
  <c r="G285" i="55" a="1"/>
  <c r="G285" i="55" s="1"/>
  <c r="G134" i="55" a="1"/>
  <c r="G134" i="55" s="1"/>
  <c r="G336" i="55" a="1"/>
  <c r="G336" i="55" s="1"/>
  <c r="G384" i="55" a="1"/>
  <c r="G384" i="55" s="1"/>
  <c r="G56" i="55" a="1"/>
  <c r="G56" i="55" s="1"/>
  <c r="G258" i="55" a="1"/>
  <c r="G258" i="55" s="1"/>
  <c r="G337" i="55" a="1"/>
  <c r="G337" i="55" s="1"/>
  <c r="G292" i="55" a="1"/>
  <c r="G292" i="55" s="1"/>
  <c r="G263" i="55" a="1"/>
  <c r="G263" i="55" s="1"/>
  <c r="G124" i="55" a="1"/>
  <c r="G124" i="55" s="1"/>
  <c r="G53" i="55" a="1"/>
  <c r="G53" i="55" s="1"/>
  <c r="G279" i="55" a="1"/>
  <c r="G279" i="55" s="1"/>
  <c r="G239" i="55" a="1"/>
  <c r="G239" i="55" s="1"/>
  <c r="G52" i="55" a="1"/>
  <c r="G52" i="55" s="1"/>
  <c r="G305" i="55" a="1"/>
  <c r="G305" i="55" s="1"/>
  <c r="G37" i="55" a="1"/>
  <c r="G37" i="55" s="1"/>
  <c r="G188" i="55" a="1"/>
  <c r="G188" i="55" s="1"/>
  <c r="G173" i="55" a="1"/>
  <c r="G173" i="55" s="1"/>
  <c r="G153" i="55" a="1"/>
  <c r="G153" i="55" s="1"/>
  <c r="G171" i="55" a="1"/>
  <c r="G171" i="55" s="1"/>
  <c r="G103" i="55" a="1"/>
  <c r="G103" i="55" s="1"/>
  <c r="G326" i="55" a="1"/>
  <c r="G326" i="55" s="1"/>
  <c r="G400" i="55" a="1"/>
  <c r="G400" i="55" s="1"/>
  <c r="G272" i="55" a="1"/>
  <c r="G272" i="55" s="1"/>
  <c r="G393" i="55" a="1"/>
  <c r="G393" i="55" s="1"/>
  <c r="G199" i="55" a="1"/>
  <c r="G199" i="55" s="1"/>
  <c r="G60" i="55" a="1"/>
  <c r="G60" i="55" s="1"/>
  <c r="G225" i="55" a="1"/>
  <c r="G225" i="55" s="1"/>
  <c r="G278" i="55" a="1"/>
  <c r="G278" i="55" s="1"/>
  <c r="G237" i="55" a="1"/>
  <c r="G237" i="55" s="1"/>
  <c r="G83" i="55" a="1"/>
  <c r="G83" i="55" s="1"/>
  <c r="G302" i="55" a="1"/>
  <c r="G302" i="55" s="1"/>
  <c r="G299" i="55" a="1"/>
  <c r="G299" i="55" s="1"/>
  <c r="G238" i="55" a="1"/>
  <c r="G238" i="55" s="1"/>
  <c r="G55" i="55" a="1"/>
  <c r="G55" i="55" s="1"/>
  <c r="I410" i="55" a="1"/>
  <c r="I410" i="55" s="1"/>
  <c r="I244" i="55" a="1"/>
  <c r="I244" i="55" s="1"/>
  <c r="I280" i="55" a="1"/>
  <c r="I280" i="55" s="1"/>
  <c r="I332" i="55" a="1"/>
  <c r="I332" i="55" s="1"/>
  <c r="I48" i="55" a="1"/>
  <c r="I48" i="55" s="1"/>
  <c r="I285" i="55" a="1"/>
  <c r="I285" i="55" s="1"/>
  <c r="I134" i="55" a="1"/>
  <c r="I134" i="55" s="1"/>
  <c r="I336" i="55" a="1"/>
  <c r="I336" i="55" s="1"/>
  <c r="I384" i="55" a="1"/>
  <c r="I384" i="55" s="1"/>
  <c r="I56" i="55" a="1"/>
  <c r="I56" i="55" s="1"/>
  <c r="I258" i="55" a="1"/>
  <c r="I258" i="55" s="1"/>
  <c r="I337" i="55" a="1"/>
  <c r="I337" i="55" s="1"/>
  <c r="I292" i="55" a="1"/>
  <c r="I292" i="55" s="1"/>
  <c r="I263" i="55" a="1"/>
  <c r="I263" i="55" s="1"/>
  <c r="I124" i="55" a="1"/>
  <c r="I124" i="55" s="1"/>
  <c r="I53" i="55" a="1"/>
  <c r="I53" i="55" s="1"/>
  <c r="I279" i="55" a="1"/>
  <c r="I279" i="55" s="1"/>
  <c r="I239" i="55" a="1"/>
  <c r="I239" i="55" s="1"/>
  <c r="I52" i="55" a="1"/>
  <c r="I52" i="55" s="1"/>
  <c r="I305" i="55" a="1"/>
  <c r="I305" i="55" s="1"/>
  <c r="I37" i="55" a="1"/>
  <c r="I37" i="55" s="1"/>
  <c r="I188" i="55" a="1"/>
  <c r="I188" i="55" s="1"/>
  <c r="I173" i="55" a="1"/>
  <c r="I173" i="55" s="1"/>
  <c r="I153" i="55" a="1"/>
  <c r="I153" i="55" s="1"/>
  <c r="I171" i="55" a="1"/>
  <c r="I171" i="55" s="1"/>
  <c r="I103" i="55" a="1"/>
  <c r="I103" i="55" s="1"/>
  <c r="I326" i="55" a="1"/>
  <c r="I326" i="55" s="1"/>
  <c r="I400" i="55" a="1"/>
  <c r="I400" i="55" s="1"/>
  <c r="I272" i="55" a="1"/>
  <c r="I272" i="55" s="1"/>
  <c r="I393" i="55" a="1"/>
  <c r="I393" i="55" s="1"/>
  <c r="I199" i="55" a="1"/>
  <c r="I199" i="55" s="1"/>
  <c r="I60" i="55" a="1"/>
  <c r="I60" i="55" s="1"/>
  <c r="I225" i="55" a="1"/>
  <c r="I225" i="55" s="1"/>
  <c r="I278" i="55" a="1"/>
  <c r="I278" i="55" s="1"/>
  <c r="I237" i="55" a="1"/>
  <c r="I237" i="55" s="1"/>
  <c r="I83" i="55" a="1"/>
  <c r="I83" i="55" s="1"/>
  <c r="I302" i="55" a="1"/>
  <c r="I302" i="55" s="1"/>
  <c r="I299" i="55" a="1"/>
  <c r="I299" i="55" s="1"/>
  <c r="I238" i="55" a="1"/>
  <c r="I238" i="55" s="1"/>
  <c r="I55" i="55" a="1"/>
  <c r="I55" i="55" s="1"/>
  <c r="G64" i="55" a="1"/>
  <c r="G64" i="55" s="1"/>
  <c r="G170" i="55" a="1"/>
  <c r="G170" i="55" s="1"/>
  <c r="G407" i="55" a="1"/>
  <c r="G407" i="55" s="1"/>
  <c r="G96" i="55" a="1"/>
  <c r="G96" i="55" s="1"/>
  <c r="G75" i="55" a="1"/>
  <c r="G75" i="55" s="1"/>
  <c r="G87" i="55" a="1"/>
  <c r="G87" i="55" s="1"/>
  <c r="G76" i="55" a="1"/>
  <c r="G76" i="55" s="1"/>
  <c r="G355" i="55" a="1"/>
  <c r="G355" i="55" s="1"/>
  <c r="G194" i="55" a="1"/>
  <c r="G194" i="55" s="1"/>
  <c r="G353" i="55" a="1"/>
  <c r="G353" i="55" s="1"/>
  <c r="G198" i="55" a="1"/>
  <c r="G198" i="55" s="1"/>
  <c r="G360" i="55" a="1"/>
  <c r="G360" i="55" s="1"/>
  <c r="G223" i="55" a="1"/>
  <c r="G223" i="55" s="1"/>
  <c r="G262" i="55" a="1"/>
  <c r="G262" i="55" s="1"/>
  <c r="G268" i="55" a="1"/>
  <c r="G268" i="55" s="1"/>
  <c r="G364" i="55" a="1"/>
  <c r="G364" i="55" s="1"/>
  <c r="G383" i="55" a="1"/>
  <c r="G383" i="55" s="1"/>
  <c r="G142" i="55" a="1"/>
  <c r="G142" i="55" s="1"/>
  <c r="G174" i="55" a="1"/>
  <c r="G174" i="55" s="1"/>
  <c r="G281" i="55" a="1"/>
  <c r="G281" i="55" s="1"/>
  <c r="G288" i="55" a="1"/>
  <c r="G288" i="55" s="1"/>
  <c r="G175" i="55" a="1"/>
  <c r="G175" i="55" s="1"/>
  <c r="G381" i="55" a="1"/>
  <c r="G381" i="55" s="1"/>
  <c r="G90" i="55" a="1"/>
  <c r="G90" i="55" s="1"/>
  <c r="G398" i="55" a="1"/>
  <c r="G398" i="55" s="1"/>
  <c r="G137" i="55" a="1"/>
  <c r="G137" i="55" s="1"/>
  <c r="G335" i="55" a="1"/>
  <c r="G335" i="55" s="1"/>
  <c r="G182" i="55" a="1"/>
  <c r="G182" i="55" s="1"/>
  <c r="G363" i="55" a="1"/>
  <c r="G363" i="55" s="1"/>
  <c r="G387" i="55" a="1"/>
  <c r="G387" i="55" s="1"/>
  <c r="G38" i="55" a="1"/>
  <c r="G38" i="55" s="1"/>
  <c r="G350" i="55" a="1"/>
  <c r="G350" i="55" s="1"/>
  <c r="G402" i="55" a="1"/>
  <c r="G402" i="55" s="1"/>
  <c r="G325" i="55" a="1"/>
  <c r="G325" i="55" s="1"/>
  <c r="G379" i="55" a="1"/>
  <c r="G379" i="55" s="1"/>
  <c r="G160" i="55" a="1"/>
  <c r="G160" i="55" s="1"/>
  <c r="G342" i="55" a="1"/>
  <c r="G342" i="55" s="1"/>
  <c r="G66" i="55" a="1"/>
  <c r="G66" i="55" s="1"/>
  <c r="G39" i="55" a="1"/>
  <c r="G39" i="55" s="1"/>
  <c r="G408" i="55" a="1"/>
  <c r="G408" i="55" s="1"/>
  <c r="G366" i="55" a="1"/>
  <c r="G366" i="55" s="1"/>
  <c r="I64" i="55" a="1"/>
  <c r="I64" i="55" s="1"/>
  <c r="I100" i="55" a="1"/>
  <c r="I100" i="55" s="1"/>
  <c r="I341" i="55" a="1"/>
  <c r="I341" i="55" s="1"/>
  <c r="I217" i="55" a="1"/>
  <c r="I217" i="55" s="1"/>
  <c r="I323" i="55" a="1"/>
  <c r="I323" i="55" s="1"/>
  <c r="I359" i="55" a="1"/>
  <c r="I359" i="55" s="1"/>
  <c r="G100" i="55" a="1"/>
  <c r="G100" i="55" s="1"/>
  <c r="G359" i="55" a="1"/>
  <c r="G359" i="55" s="1"/>
  <c r="G178" i="55" a="1"/>
  <c r="G178" i="55" s="1"/>
  <c r="I220" i="55" a="1"/>
  <c r="I220" i="55" s="1"/>
  <c r="I109" i="55" a="1"/>
  <c r="I109" i="55" s="1"/>
  <c r="G287" i="55" a="1"/>
  <c r="G287" i="55" s="1"/>
  <c r="I116" i="55" a="1"/>
  <c r="I116" i="55" s="1"/>
  <c r="I401" i="55" a="1"/>
  <c r="I401" i="55" s="1"/>
  <c r="I101" i="55" a="1"/>
  <c r="I101" i="55" s="1"/>
  <c r="I204" i="55" a="1"/>
  <c r="I204" i="55" s="1"/>
  <c r="I113" i="55" a="1"/>
  <c r="I113" i="55" s="1"/>
  <c r="I136" i="55" a="1"/>
  <c r="I136" i="55" s="1"/>
  <c r="I79" i="55" a="1"/>
  <c r="I79" i="55" s="1"/>
  <c r="I91" i="55" a="1"/>
  <c r="I91" i="55" s="1"/>
  <c r="I163" i="55" a="1"/>
  <c r="I163" i="55" s="1"/>
  <c r="I264" i="55" a="1"/>
  <c r="I264" i="55" s="1"/>
  <c r="I362" i="55" a="1"/>
  <c r="I362" i="55" s="1"/>
  <c r="I157" i="55" a="1"/>
  <c r="I157" i="55" s="1"/>
  <c r="I374" i="55" a="1"/>
  <c r="I374" i="55" s="1"/>
  <c r="I58" i="55" a="1"/>
  <c r="I58" i="55" s="1"/>
  <c r="I131" i="55" a="1"/>
  <c r="I131" i="55" s="1"/>
  <c r="I193" i="55" a="1"/>
  <c r="I193" i="55" s="1"/>
  <c r="I84" i="55" a="1"/>
  <c r="I84" i="55" s="1"/>
  <c r="I389" i="55" a="1"/>
  <c r="I389" i="55" s="1"/>
  <c r="I297" i="55" a="1"/>
  <c r="I297" i="55" s="1"/>
  <c r="I201" i="55" a="1"/>
  <c r="I201" i="55" s="1"/>
  <c r="I122" i="55" a="1"/>
  <c r="I122" i="55" s="1"/>
  <c r="I293" i="55" a="1"/>
  <c r="I293" i="55" s="1"/>
  <c r="I324" i="55" a="1"/>
  <c r="I324" i="55" s="1"/>
  <c r="I259" i="55" a="1"/>
  <c r="I259" i="55" s="1"/>
  <c r="I191" i="55" a="1"/>
  <c r="I191" i="55" s="1"/>
  <c r="I333" i="55" a="1"/>
  <c r="I333" i="55" s="1"/>
  <c r="I319" i="55" a="1"/>
  <c r="I319" i="55" s="1"/>
  <c r="I330" i="55" a="1"/>
  <c r="I330" i="55" s="1"/>
  <c r="I409" i="55" a="1"/>
  <c r="I409" i="55" s="1"/>
  <c r="I269" i="55" a="1"/>
  <c r="I269" i="55" s="1"/>
  <c r="I186" i="55" a="1"/>
  <c r="I186" i="55" s="1"/>
  <c r="I150" i="55" a="1"/>
  <c r="I150" i="55" s="1"/>
  <c r="I57" i="55" a="1"/>
  <c r="I57" i="55" s="1"/>
  <c r="I216" i="55" a="1"/>
  <c r="I216" i="55" s="1"/>
  <c r="I343" i="55" a="1"/>
  <c r="I343" i="55" s="1"/>
  <c r="I266" i="55" a="1"/>
  <c r="I266" i="55" s="1"/>
  <c r="I119" i="55" a="1"/>
  <c r="I119" i="55" s="1"/>
  <c r="I320" i="55" a="1"/>
  <c r="I320" i="55" s="1"/>
  <c r="I105" i="55" a="1"/>
  <c r="I105" i="55" s="1"/>
  <c r="I110" i="55" a="1"/>
  <c r="I110" i="55" s="1"/>
  <c r="I128" i="55" a="1"/>
  <c r="I128" i="55" s="1"/>
  <c r="I207" i="55" a="1"/>
  <c r="I207" i="55" s="1"/>
  <c r="I202" i="55" a="1"/>
  <c r="I202" i="55" s="1"/>
  <c r="I235" i="55" a="1"/>
  <c r="I235" i="55" s="1"/>
  <c r="I385" i="55" a="1"/>
  <c r="I385" i="55" s="1"/>
  <c r="I111" i="55" a="1"/>
  <c r="I111" i="55" s="1"/>
  <c r="I377" i="55" a="1"/>
  <c r="I377" i="55" s="1"/>
  <c r="I219" i="55" a="1"/>
  <c r="I219" i="55" s="1"/>
  <c r="G230" i="55" a="1"/>
  <c r="G230" i="55" s="1"/>
  <c r="G197" i="55" a="1"/>
  <c r="G197" i="55" s="1"/>
  <c r="G404" i="55" a="1"/>
  <c r="G404" i="55" s="1"/>
  <c r="G378" i="55" a="1"/>
  <c r="G378" i="55" s="1"/>
  <c r="G341" i="55" a="1"/>
  <c r="G341" i="55" s="1"/>
  <c r="I232" i="55" a="1"/>
  <c r="I232" i="55" s="1"/>
  <c r="I162" i="55" a="1"/>
  <c r="I162" i="55" s="1"/>
  <c r="I178" i="55" a="1"/>
  <c r="I178" i="55" s="1"/>
  <c r="I357" i="55" a="1"/>
  <c r="I357" i="55" s="1"/>
  <c r="G73" i="55" a="1"/>
  <c r="G73" i="55" s="1"/>
  <c r="I287" i="55" a="1"/>
  <c r="I287" i="55" s="1"/>
  <c r="I270" i="55" a="1"/>
  <c r="I270" i="55" s="1"/>
  <c r="G50" i="55" a="1"/>
  <c r="G50" i="55" s="1"/>
  <c r="G229" i="55" a="1"/>
  <c r="G229" i="55" s="1"/>
  <c r="G156" i="55" a="1"/>
  <c r="G156" i="55" s="1"/>
  <c r="G340" i="55" a="1"/>
  <c r="G340" i="55" s="1"/>
  <c r="G251" i="55" a="1"/>
  <c r="G251" i="55" s="1"/>
  <c r="G86" i="55" a="1"/>
  <c r="G86" i="55" s="1"/>
  <c r="G169" i="55" a="1"/>
  <c r="G169" i="55" s="1"/>
  <c r="G139" i="55" a="1"/>
  <c r="G139" i="55" s="1"/>
  <c r="G133" i="55" a="1"/>
  <c r="G133" i="55" s="1"/>
  <c r="G316" i="55" a="1"/>
  <c r="G316" i="55" s="1"/>
  <c r="G211" i="55" a="1"/>
  <c r="G211" i="55" s="1"/>
  <c r="G44" i="55" a="1"/>
  <c r="G44" i="55" s="1"/>
  <c r="G217" i="55" a="1"/>
  <c r="G217" i="55" s="1"/>
  <c r="G323" i="55" a="1"/>
  <c r="G323" i="55" s="1"/>
  <c r="G315" i="55" a="1"/>
  <c r="G315" i="55" s="1"/>
  <c r="G114" i="55" a="1"/>
  <c r="G114" i="55" s="1"/>
  <c r="I73" i="55" a="1"/>
  <c r="I73" i="55" s="1"/>
  <c r="I304" i="55" a="1"/>
  <c r="I304" i="55" s="1"/>
  <c r="I231" i="55" a="1"/>
  <c r="I231" i="55" s="1"/>
  <c r="G49" i="55" a="1"/>
  <c r="G49" i="55" s="1"/>
  <c r="I50" i="55" a="1"/>
  <c r="I50" i="55" s="1"/>
  <c r="I229" i="55" a="1"/>
  <c r="I229" i="55" s="1"/>
  <c r="I156" i="55" a="1"/>
  <c r="I156" i="55" s="1"/>
  <c r="I340" i="55" a="1"/>
  <c r="I340" i="55" s="1"/>
  <c r="I251" i="55" a="1"/>
  <c r="I251" i="55" s="1"/>
  <c r="I86" i="55" a="1"/>
  <c r="I86" i="55" s="1"/>
  <c r="I169" i="55" a="1"/>
  <c r="I169" i="55" s="1"/>
  <c r="I139" i="55" a="1"/>
  <c r="I139" i="55" s="1"/>
  <c r="I133" i="55" a="1"/>
  <c r="I133" i="55" s="1"/>
  <c r="I316" i="55" a="1"/>
  <c r="I316" i="55" s="1"/>
  <c r="I211" i="55" a="1"/>
  <c r="I211" i="55" s="1"/>
  <c r="I230" i="55" a="1"/>
  <c r="I230" i="55" s="1"/>
  <c r="I197" i="55" a="1"/>
  <c r="I197" i="55" s="1"/>
  <c r="I44" i="55" a="1"/>
  <c r="I44" i="55" s="1"/>
  <c r="I404" i="55" a="1"/>
  <c r="I404" i="55" s="1"/>
  <c r="I378" i="55" a="1"/>
  <c r="I378" i="55" s="1"/>
  <c r="I371" i="55" a="1"/>
  <c r="I371" i="55" s="1"/>
  <c r="I42" i="55" a="1"/>
  <c r="I42" i="55" s="1"/>
  <c r="I67" i="55" a="1"/>
  <c r="I67" i="55" s="1"/>
  <c r="I94" i="55" a="1"/>
  <c r="I94" i="55" s="1"/>
  <c r="I213" i="55" a="1"/>
  <c r="I213" i="55" s="1"/>
  <c r="I168" i="55" a="1"/>
  <c r="I168" i="55" s="1"/>
  <c r="I265" i="55" a="1"/>
  <c r="I265" i="55" s="1"/>
  <c r="I322" i="55" a="1"/>
  <c r="I322" i="55" s="1"/>
  <c r="I249" i="55" a="1"/>
  <c r="I249" i="55" s="1"/>
  <c r="I356" i="55" a="1"/>
  <c r="I356" i="55" s="1"/>
  <c r="I295" i="55" a="1"/>
  <c r="I295" i="55" s="1"/>
  <c r="I368" i="55" a="1"/>
  <c r="I368" i="55" s="1"/>
  <c r="I81" i="55" a="1"/>
  <c r="I81" i="55" s="1"/>
  <c r="I140" i="55" a="1"/>
  <c r="I140" i="55" s="1"/>
  <c r="I327" i="55" a="1"/>
  <c r="I327" i="55" s="1"/>
  <c r="I252" i="55" a="1"/>
  <c r="I252" i="55" s="1"/>
  <c r="I365" i="55" a="1"/>
  <c r="I365" i="55" s="1"/>
  <c r="I215" i="55" a="1"/>
  <c r="I215" i="55" s="1"/>
  <c r="I130" i="55" a="1"/>
  <c r="I130" i="55" s="1"/>
  <c r="I184" i="55" a="1"/>
  <c r="I184" i="55" s="1"/>
  <c r="I127" i="55" a="1"/>
  <c r="I127" i="55" s="1"/>
  <c r="I93" i="55" a="1"/>
  <c r="I93" i="55" s="1"/>
  <c r="I331" i="55" a="1"/>
  <c r="I331" i="55" s="1"/>
  <c r="I351" i="55" a="1"/>
  <c r="I351" i="55" s="1"/>
  <c r="I89" i="55" a="1"/>
  <c r="I89" i="55" s="1"/>
  <c r="I346" i="55" a="1"/>
  <c r="I346" i="55" s="1"/>
  <c r="I370" i="55" a="1"/>
  <c r="I370" i="55" s="1"/>
  <c r="I82" i="55" a="1"/>
  <c r="I82" i="55" s="1"/>
  <c r="I92" i="55" a="1"/>
  <c r="I92" i="55" s="1"/>
  <c r="I212" i="55" a="1"/>
  <c r="I212" i="55" s="1"/>
  <c r="I315" i="55" a="1"/>
  <c r="I315" i="55" s="1"/>
  <c r="I222" i="55" a="1"/>
  <c r="I222" i="55" s="1"/>
  <c r="G220" i="55" a="1"/>
  <c r="G220" i="55" s="1"/>
  <c r="I114" i="55" a="1"/>
  <c r="I114" i="55" s="1"/>
  <c r="G116" i="55" a="1"/>
  <c r="G116" i="55" s="1"/>
  <c r="I49" i="55" a="1"/>
  <c r="I49" i="55" s="1"/>
  <c r="G101" i="55" a="1"/>
  <c r="G101" i="55" s="1"/>
  <c r="G204" i="55" a="1"/>
  <c r="G204" i="55" s="1"/>
  <c r="G113" i="55" a="1"/>
  <c r="G113" i="55" s="1"/>
  <c r="G136" i="55" a="1"/>
  <c r="G136" i="55" s="1"/>
  <c r="G79" i="55" a="1"/>
  <c r="G79" i="55" s="1"/>
  <c r="G91" i="55" a="1"/>
  <c r="G91" i="55" s="1"/>
  <c r="G163" i="55" a="1"/>
  <c r="G163" i="55" s="1"/>
  <c r="G264" i="55" a="1"/>
  <c r="G264" i="55" s="1"/>
  <c r="G362" i="55" a="1"/>
  <c r="G362" i="55" s="1"/>
  <c r="G157" i="55" a="1"/>
  <c r="G157" i="55" s="1"/>
  <c r="G374" i="55" a="1"/>
  <c r="G374" i="55" s="1"/>
  <c r="G58" i="55" a="1"/>
  <c r="G58" i="55" s="1"/>
  <c r="G131" i="55" a="1"/>
  <c r="G131" i="55" s="1"/>
  <c r="G193" i="55" a="1"/>
  <c r="G193" i="55" s="1"/>
  <c r="G84" i="55" a="1"/>
  <c r="G84" i="55" s="1"/>
  <c r="G389" i="55" a="1"/>
  <c r="G389" i="55" s="1"/>
  <c r="G297" i="55" a="1"/>
  <c r="G297" i="55" s="1"/>
  <c r="G201" i="55" a="1"/>
  <c r="G201" i="55" s="1"/>
  <c r="G122" i="55" a="1"/>
  <c r="G122" i="55" s="1"/>
  <c r="G293" i="55" a="1"/>
  <c r="G293" i="55" s="1"/>
  <c r="G324" i="55" a="1"/>
  <c r="G324" i="55" s="1"/>
  <c r="G259" i="55" a="1"/>
  <c r="G259" i="55" s="1"/>
  <c r="G191" i="55" a="1"/>
  <c r="G191" i="55" s="1"/>
  <c r="G333" i="55" a="1"/>
  <c r="G333" i="55" s="1"/>
  <c r="G319" i="55" a="1"/>
  <c r="G319" i="55" s="1"/>
  <c r="G330" i="55" a="1"/>
  <c r="G330" i="55" s="1"/>
  <c r="G409" i="55" a="1"/>
  <c r="G409" i="55" s="1"/>
  <c r="G269" i="55" a="1"/>
  <c r="G269" i="55" s="1"/>
  <c r="G186" i="55" a="1"/>
  <c r="G186" i="55" s="1"/>
  <c r="G150" i="55" a="1"/>
  <c r="G150" i="55" s="1"/>
  <c r="G57" i="55" a="1"/>
  <c r="G57" i="55" s="1"/>
  <c r="G216" i="55" a="1"/>
  <c r="G216" i="55" s="1"/>
  <c r="G343" i="55" a="1"/>
  <c r="G343" i="55" s="1"/>
  <c r="G266" i="55" a="1"/>
  <c r="G266" i="55" s="1"/>
  <c r="G119" i="55" a="1"/>
  <c r="G119" i="55" s="1"/>
  <c r="G320" i="55" a="1"/>
  <c r="G320" i="55" s="1"/>
  <c r="G105" i="55" a="1"/>
  <c r="G105" i="55" s="1"/>
  <c r="G110" i="55" a="1"/>
  <c r="G110" i="55" s="1"/>
  <c r="G128" i="55" a="1"/>
  <c r="G128" i="55" s="1"/>
  <c r="G207" i="55" a="1"/>
  <c r="G207" i="55" s="1"/>
  <c r="G202" i="55" a="1"/>
  <c r="G202" i="55" s="1"/>
  <c r="G235" i="55" a="1"/>
  <c r="G235" i="55" s="1"/>
  <c r="G385" i="55" a="1"/>
  <c r="G385" i="55" s="1"/>
  <c r="G111" i="55" a="1"/>
  <c r="G111" i="55" s="1"/>
  <c r="G377" i="55" a="1"/>
  <c r="G377" i="55" s="1"/>
  <c r="G371" i="55" a="1"/>
  <c r="G371" i="55" s="1"/>
  <c r="G356" i="55" a="1"/>
  <c r="G356" i="55" s="1"/>
  <c r="G368" i="55" a="1"/>
  <c r="G368" i="55" s="1"/>
  <c r="G365" i="55" a="1"/>
  <c r="G365" i="55" s="1"/>
  <c r="G127" i="55" a="1"/>
  <c r="G127" i="55" s="1"/>
  <c r="G93" i="55" a="1"/>
  <c r="G93" i="55" s="1"/>
  <c r="G346" i="55" a="1"/>
  <c r="G346" i="55" s="1"/>
  <c r="G92" i="55" a="1"/>
  <c r="G92" i="55" s="1"/>
  <c r="G253" i="55" a="1"/>
  <c r="G253" i="55" s="1"/>
  <c r="I253" i="55" a="1"/>
  <c r="I253" i="55" s="1"/>
  <c r="G42" i="55" a="1"/>
  <c r="G42" i="55" s="1"/>
  <c r="G94" i="55" a="1"/>
  <c r="G94" i="55" s="1"/>
  <c r="G265" i="55" a="1"/>
  <c r="G265" i="55" s="1"/>
  <c r="G140" i="55" a="1"/>
  <c r="G140" i="55" s="1"/>
  <c r="G331" i="55" a="1"/>
  <c r="G331" i="55" s="1"/>
  <c r="G219" i="55" a="1"/>
  <c r="G219" i="55" s="1"/>
  <c r="G67" i="55" a="1"/>
  <c r="G67" i="55" s="1"/>
  <c r="G213" i="55" a="1"/>
  <c r="G213" i="55" s="1"/>
  <c r="G322" i="55" a="1"/>
  <c r="G322" i="55" s="1"/>
  <c r="G327" i="55" a="1"/>
  <c r="G327" i="55" s="1"/>
  <c r="G130" i="55" a="1"/>
  <c r="G130" i="55" s="1"/>
  <c r="G351" i="55" a="1"/>
  <c r="G351" i="55" s="1"/>
  <c r="G370" i="55" a="1"/>
  <c r="G370" i="55" s="1"/>
  <c r="G168" i="55" a="1"/>
  <c r="G168" i="55" s="1"/>
  <c r="G249" i="55" a="1"/>
  <c r="G249" i="55" s="1"/>
  <c r="G295" i="55" a="1"/>
  <c r="G295" i="55" s="1"/>
  <c r="G81" i="55" a="1"/>
  <c r="G81" i="55" s="1"/>
  <c r="G252" i="55" a="1"/>
  <c r="G252" i="55" s="1"/>
  <c r="G215" i="55" a="1"/>
  <c r="G215" i="55" s="1"/>
  <c r="G184" i="55" a="1"/>
  <c r="G184" i="55" s="1"/>
  <c r="G89" i="55" a="1"/>
  <c r="G89" i="55" s="1"/>
  <c r="G82" i="55" a="1"/>
  <c r="G82" i="55" s="1"/>
  <c r="K182" i="55" l="1"/>
  <c r="K150" i="55"/>
  <c r="K193" i="55"/>
  <c r="K204" i="55"/>
  <c r="K379" i="55"/>
  <c r="K350" i="55"/>
  <c r="K90" i="55"/>
  <c r="K383" i="55"/>
  <c r="K142" i="55"/>
  <c r="K363" i="55"/>
  <c r="K343" i="55"/>
  <c r="K297" i="55"/>
  <c r="K324" i="55"/>
  <c r="K79" i="55"/>
  <c r="K66" i="55"/>
  <c r="K262" i="55"/>
  <c r="K170" i="55"/>
  <c r="K42" i="55"/>
  <c r="K111" i="55"/>
  <c r="K269" i="55"/>
  <c r="K333" i="55"/>
  <c r="K264" i="55"/>
  <c r="K385" i="55"/>
  <c r="K57" i="55"/>
  <c r="K409" i="55"/>
  <c r="K191" i="55"/>
  <c r="K84" i="55"/>
  <c r="K116" i="55"/>
  <c r="K370" i="55"/>
  <c r="K105" i="55"/>
  <c r="K130" i="55"/>
  <c r="K351" i="55"/>
  <c r="K213" i="55"/>
  <c r="K341" i="55"/>
  <c r="K327" i="55"/>
  <c r="K202" i="55"/>
  <c r="K207" i="55"/>
  <c r="K387" i="55"/>
  <c r="K223" i="55"/>
  <c r="K157" i="55"/>
  <c r="K266" i="55"/>
  <c r="K288" i="55"/>
  <c r="K160" i="55"/>
  <c r="K194" i="55"/>
  <c r="K365" i="55"/>
  <c r="K407" i="55"/>
  <c r="K39" i="55"/>
  <c r="K81" i="55"/>
  <c r="K402" i="55"/>
  <c r="K398" i="55"/>
  <c r="K355" i="55"/>
  <c r="K295" i="55"/>
  <c r="K184" i="55"/>
  <c r="K322" i="55"/>
  <c r="K217" i="55"/>
  <c r="K211" i="55"/>
  <c r="K89" i="55"/>
  <c r="K252" i="55"/>
  <c r="K168" i="55"/>
  <c r="K67" i="55"/>
  <c r="K359" i="55"/>
  <c r="K91" i="55"/>
  <c r="K113" i="55"/>
  <c r="K101" i="55"/>
  <c r="K220" i="55"/>
  <c r="K377" i="55"/>
  <c r="K110" i="55"/>
  <c r="K119" i="55"/>
  <c r="K186" i="55"/>
  <c r="K319" i="55"/>
  <c r="K259" i="55"/>
  <c r="K122" i="55"/>
  <c r="K201" i="55"/>
  <c r="K389" i="55"/>
  <c r="K58" i="55"/>
  <c r="K374" i="55"/>
  <c r="K366" i="55"/>
  <c r="K408" i="55"/>
  <c r="K342" i="55"/>
  <c r="K137" i="55"/>
  <c r="K175" i="55"/>
  <c r="K174" i="55"/>
  <c r="K268" i="55"/>
  <c r="K353" i="55"/>
  <c r="K87" i="55"/>
  <c r="K96" i="55"/>
  <c r="K346" i="55"/>
  <c r="K325" i="55"/>
  <c r="K38" i="55"/>
  <c r="K335" i="55"/>
  <c r="K381" i="55"/>
  <c r="K281" i="55"/>
  <c r="K364" i="55"/>
  <c r="K360" i="55"/>
  <c r="K198" i="55"/>
  <c r="K76" i="55"/>
  <c r="K75" i="55"/>
  <c r="K219" i="55"/>
  <c r="K265" i="55"/>
  <c r="K235" i="55"/>
  <c r="K128" i="55"/>
  <c r="K320" i="55"/>
  <c r="K216" i="55"/>
  <c r="K330" i="55"/>
  <c r="K293" i="55"/>
  <c r="K131" i="55"/>
  <c r="K362" i="55"/>
  <c r="K163" i="55"/>
  <c r="K136" i="55"/>
  <c r="K323" i="55"/>
  <c r="K82" i="55"/>
  <c r="K215" i="55"/>
  <c r="K249" i="55"/>
  <c r="K92" i="55"/>
  <c r="K356" i="55"/>
  <c r="K93" i="55"/>
  <c r="K140" i="55"/>
  <c r="K94" i="55"/>
  <c r="K331" i="55"/>
  <c r="K169" i="55"/>
  <c r="K340" i="55"/>
  <c r="K50" i="55"/>
  <c r="K230" i="55"/>
  <c r="K55" i="55"/>
  <c r="K400" i="55"/>
  <c r="K153" i="55"/>
  <c r="K53" i="55"/>
  <c r="K263" i="55"/>
  <c r="K56" i="55"/>
  <c r="K270" i="55"/>
  <c r="K357" i="55"/>
  <c r="K162" i="55"/>
  <c r="K48" i="55"/>
  <c r="K410" i="55"/>
  <c r="K49" i="55"/>
  <c r="K133" i="55"/>
  <c r="K86" i="55"/>
  <c r="K156" i="55"/>
  <c r="K378" i="55"/>
  <c r="K238" i="55"/>
  <c r="K302" i="55"/>
  <c r="K225" i="55"/>
  <c r="K393" i="55"/>
  <c r="K326" i="55"/>
  <c r="K173" i="55"/>
  <c r="K188" i="55"/>
  <c r="K52" i="55"/>
  <c r="K124" i="55"/>
  <c r="K292" i="55"/>
  <c r="K134" i="55"/>
  <c r="K231" i="55"/>
  <c r="K304" i="55"/>
  <c r="K212" i="55"/>
  <c r="K332" i="55"/>
  <c r="K253" i="55"/>
  <c r="K315" i="55"/>
  <c r="K44" i="55"/>
  <c r="K139" i="55"/>
  <c r="K251" i="55"/>
  <c r="K73" i="55"/>
  <c r="K404" i="55"/>
  <c r="K178" i="55"/>
  <c r="K100" i="55"/>
  <c r="K64" i="55"/>
  <c r="K299" i="55"/>
  <c r="K83" i="55"/>
  <c r="K237" i="55"/>
  <c r="K60" i="55"/>
  <c r="K103" i="55"/>
  <c r="K37" i="55"/>
  <c r="K239" i="55"/>
  <c r="K337" i="55"/>
  <c r="K384" i="55"/>
  <c r="K285" i="55"/>
  <c r="K222" i="55"/>
  <c r="K232" i="55"/>
  <c r="K280" i="55"/>
  <c r="K127" i="55"/>
  <c r="K368" i="55"/>
  <c r="K371" i="55"/>
  <c r="K114" i="55"/>
  <c r="K316" i="55"/>
  <c r="K229" i="55"/>
  <c r="K197" i="55"/>
  <c r="K287" i="55"/>
  <c r="K278" i="55"/>
  <c r="K199" i="55"/>
  <c r="K272" i="55"/>
  <c r="K171" i="55"/>
  <c r="K305" i="55"/>
  <c r="K279" i="55"/>
  <c r="K258" i="55"/>
  <c r="K336" i="55"/>
  <c r="K401" i="55"/>
  <c r="K109" i="55"/>
  <c r="K244" i="55"/>
  <c r="C2547" i="34"/>
  <c r="C2548" i="34"/>
  <c r="C2535" i="34"/>
  <c r="C2537" i="34"/>
  <c r="C2538" i="34"/>
  <c r="C2549" i="34"/>
  <c r="C2550" i="34"/>
  <c r="C2557" i="34"/>
  <c r="C2558" i="34"/>
  <c r="C2568" i="34"/>
  <c r="C2569" i="34"/>
  <c r="C2570" i="34"/>
  <c r="C2571" i="34"/>
  <c r="C2572" i="34"/>
  <c r="C2573" i="34"/>
  <c r="C2539" i="34"/>
  <c r="C2540" i="34"/>
  <c r="C2543" i="34"/>
  <c r="C2544" i="34"/>
  <c r="C2545" i="34"/>
  <c r="C2551" i="34"/>
  <c r="C2552" i="34"/>
  <c r="C2553" i="34"/>
  <c r="C2554" i="34"/>
  <c r="C2559" i="34"/>
  <c r="C2560" i="34"/>
  <c r="C2561" i="34"/>
  <c r="C2562" i="34"/>
  <c r="C2563" i="34"/>
  <c r="C2566" i="34"/>
  <c r="C2567" i="34"/>
  <c r="C2555" i="34"/>
  <c r="C2556" i="34"/>
  <c r="C2541" i="34"/>
  <c r="C2542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564" i="34"/>
  <c r="C2565" i="34"/>
  <c r="C2626" i="34"/>
  <c r="C2627" i="34"/>
  <c r="C2628" i="34"/>
  <c r="C2629" i="34"/>
  <c r="C2631" i="34"/>
  <c r="C2632" i="34"/>
  <c r="C2633" i="34"/>
  <c r="C2634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8" i="34"/>
  <c r="C2659" i="34"/>
  <c r="C2661" i="34"/>
  <c r="C2662" i="34"/>
  <c r="C2663" i="34"/>
  <c r="C2664" i="34"/>
  <c r="C2665" i="34"/>
  <c r="C2666" i="34"/>
  <c r="C2685" i="34"/>
  <c r="C2686" i="34"/>
  <c r="C2687" i="34"/>
  <c r="C2690" i="34"/>
  <c r="C2691" i="34"/>
  <c r="C2692" i="34"/>
  <c r="C2695" i="34"/>
  <c r="C2696" i="34"/>
  <c r="C2697" i="34"/>
  <c r="C2698" i="34"/>
  <c r="C2699" i="34"/>
  <c r="C2700" i="34"/>
  <c r="C2701" i="34"/>
  <c r="C2702" i="34"/>
  <c r="C2703" i="34"/>
  <c r="C2704" i="34"/>
  <c r="C2706" i="34"/>
  <c r="C2707" i="34"/>
  <c r="C2708" i="34"/>
  <c r="C2709" i="34"/>
  <c r="C2710" i="34"/>
  <c r="C2711" i="34"/>
  <c r="C2675" i="34"/>
  <c r="C2676" i="34"/>
  <c r="C2688" i="34"/>
  <c r="C2689" i="34"/>
  <c r="C2678" i="34"/>
  <c r="C2679" i="34"/>
  <c r="C2680" i="34"/>
  <c r="C2682" i="34"/>
  <c r="C2669" i="34"/>
  <c r="C2671" i="34"/>
  <c r="C2672" i="34"/>
  <c r="C2673" i="34"/>
  <c r="C2674" i="34"/>
  <c r="C2712" i="34"/>
  <c r="C2713" i="34"/>
  <c r="C2714" i="34"/>
  <c r="C2546" i="34"/>
  <c r="C2382" i="34" l="1"/>
  <c r="C2383" i="34"/>
  <c r="C2384" i="34"/>
  <c r="C2385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I7" i="12" l="1"/>
  <c r="I11" i="12"/>
  <c r="I21" i="12"/>
  <c r="I23" i="12"/>
  <c r="I10" i="12"/>
  <c r="I9" i="12"/>
  <c r="I6" i="12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318" i="34" l="1"/>
  <c r="C459" i="34"/>
  <c r="C522" i="34"/>
  <c r="C542" i="34"/>
  <c r="C153" i="34"/>
  <c r="C154" i="34"/>
  <c r="C155" i="34"/>
  <c r="C328" i="34"/>
  <c r="C329" i="34"/>
  <c r="C389" i="34"/>
  <c r="C390" i="34"/>
  <c r="C452" i="34"/>
  <c r="C453" i="34"/>
  <c r="C460" i="34"/>
  <c r="C523" i="34"/>
  <c r="C524" i="34"/>
  <c r="C525" i="34"/>
  <c r="C543" i="34"/>
  <c r="C78" i="34"/>
  <c r="C79" i="34"/>
  <c r="C80" i="34"/>
  <c r="C81" i="34"/>
  <c r="C84" i="34"/>
  <c r="C116" i="34"/>
  <c r="C124" i="34"/>
  <c r="C125" i="34"/>
  <c r="C149" i="34"/>
  <c r="C156" i="34"/>
  <c r="C176" i="34"/>
  <c r="C177" i="34"/>
  <c r="C178" i="34"/>
  <c r="C179" i="34"/>
  <c r="C211" i="34"/>
  <c r="C218" i="34"/>
  <c r="C244" i="34"/>
  <c r="C271" i="34"/>
  <c r="C286" i="34"/>
  <c r="C287" i="34"/>
  <c r="C297" i="34"/>
  <c r="C298" i="34"/>
  <c r="C299" i="34"/>
  <c r="C300" i="34"/>
  <c r="C301" i="34"/>
  <c r="C312" i="34"/>
  <c r="C313" i="34"/>
  <c r="C319" i="34"/>
  <c r="C357" i="34"/>
  <c r="C375" i="34"/>
  <c r="C416" i="34"/>
  <c r="C417" i="34"/>
  <c r="C418" i="34"/>
  <c r="C439" i="34"/>
  <c r="C454" i="34"/>
  <c r="C464" i="34"/>
  <c r="C476" i="34"/>
  <c r="C477" i="34"/>
  <c r="C507" i="34"/>
  <c r="C526" i="34"/>
  <c r="C536" i="34"/>
  <c r="C544" i="34"/>
  <c r="C545" i="34"/>
  <c r="C546" i="34"/>
  <c r="C565" i="34"/>
  <c r="C566" i="34"/>
  <c r="C587" i="34"/>
  <c r="C592" i="34"/>
  <c r="C29" i="34"/>
  <c r="C39" i="34"/>
  <c r="C40" i="34"/>
  <c r="C85" i="34"/>
  <c r="C117" i="34"/>
  <c r="C126" i="34"/>
  <c r="C140" i="34"/>
  <c r="C141" i="34"/>
  <c r="C157" i="34"/>
  <c r="C158" i="34"/>
  <c r="C182" i="34"/>
  <c r="C183" i="34"/>
  <c r="C212" i="34"/>
  <c r="C213" i="34"/>
  <c r="C214" i="34"/>
  <c r="C246" i="34"/>
  <c r="C247" i="34"/>
  <c r="C248" i="34"/>
  <c r="C272" i="34"/>
  <c r="C280" i="34"/>
  <c r="C288" i="34"/>
  <c r="C289" i="34"/>
  <c r="C302" i="34"/>
  <c r="C303" i="34"/>
  <c r="C304" i="34"/>
  <c r="C305" i="34"/>
  <c r="C306" i="34"/>
  <c r="C320" i="34"/>
  <c r="C321" i="34"/>
  <c r="C322" i="34"/>
  <c r="C323" i="34"/>
  <c r="C358" i="34"/>
  <c r="C419" i="34"/>
  <c r="C420" i="34"/>
  <c r="C440" i="34"/>
  <c r="C465" i="34"/>
  <c r="C466" i="34"/>
  <c r="C467" i="34"/>
  <c r="C468" i="34"/>
  <c r="C469" i="34"/>
  <c r="C485" i="34"/>
  <c r="C527" i="34"/>
  <c r="C528" i="34"/>
  <c r="C537" i="34"/>
  <c r="C547" i="34"/>
  <c r="C588" i="34"/>
  <c r="C589" i="34"/>
  <c r="C590" i="34"/>
  <c r="C591" i="34"/>
  <c r="C593" i="34"/>
  <c r="C594" i="34"/>
  <c r="C631" i="34"/>
  <c r="C654" i="34"/>
  <c r="C682" i="34"/>
  <c r="C693" i="34"/>
  <c r="C694" i="34"/>
  <c r="C715" i="34"/>
  <c r="C632" i="34"/>
  <c r="C633" i="34"/>
  <c r="C634" i="34"/>
  <c r="C635" i="34"/>
  <c r="C636" i="34"/>
  <c r="C655" i="34"/>
  <c r="C656" i="34"/>
  <c r="C657" i="34"/>
  <c r="C658" i="34"/>
  <c r="C659" i="34"/>
  <c r="C660" i="34"/>
  <c r="C661" i="34"/>
  <c r="C662" i="34"/>
  <c r="C663" i="34"/>
  <c r="C688" i="34"/>
  <c r="C689" i="34"/>
  <c r="C690" i="34"/>
  <c r="C731" i="34"/>
  <c r="C732" i="34"/>
  <c r="C736" i="34"/>
  <c r="C737" i="34"/>
  <c r="C739" i="34"/>
  <c r="C745" i="34"/>
  <c r="C757" i="34"/>
  <c r="C766" i="34"/>
  <c r="C716" i="34"/>
  <c r="C717" i="34"/>
  <c r="C718" i="34"/>
  <c r="C719" i="34"/>
  <c r="C720" i="34"/>
  <c r="C721" i="34"/>
  <c r="C746" i="34"/>
  <c r="C747" i="34"/>
  <c r="C769" i="34"/>
  <c r="C770" i="34"/>
  <c r="C771" i="34"/>
  <c r="C781" i="34"/>
  <c r="C788" i="34"/>
  <c r="C810" i="34"/>
  <c r="C856" i="34"/>
  <c r="C875" i="34"/>
  <c r="C876" i="34"/>
  <c r="C772" i="34"/>
  <c r="C773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37" i="34"/>
  <c r="C877" i="34"/>
  <c r="C878" i="34"/>
  <c r="C879" i="34"/>
  <c r="C880" i="34"/>
  <c r="C902" i="34"/>
  <c r="C907" i="34"/>
  <c r="C914" i="34"/>
  <c r="C915" i="34"/>
  <c r="C948" i="34"/>
  <c r="C961" i="34"/>
  <c r="C977" i="34"/>
  <c r="C978" i="34"/>
  <c r="C979" i="34"/>
  <c r="C881" i="34"/>
  <c r="C882" i="34"/>
  <c r="C910" i="34"/>
  <c r="C916" i="34"/>
  <c r="C949" i="34"/>
  <c r="C944" i="34"/>
  <c r="C883" i="34"/>
  <c r="C884" i="34"/>
  <c r="C908" i="34"/>
  <c r="C909" i="34"/>
  <c r="C950" i="34"/>
  <c r="C951" i="34"/>
  <c r="C952" i="34"/>
  <c r="C953" i="34"/>
  <c r="C962" i="34"/>
  <c r="C963" i="34"/>
  <c r="C964" i="34"/>
  <c r="C984" i="34"/>
  <c r="C1007" i="34"/>
  <c r="C1040" i="34"/>
  <c r="C1041" i="34"/>
  <c r="C1042" i="34"/>
  <c r="C1043" i="34"/>
  <c r="C985" i="34"/>
  <c r="C986" i="34"/>
  <c r="C1008" i="34"/>
  <c r="C1009" i="34"/>
  <c r="C1011" i="34"/>
  <c r="C1012" i="34"/>
  <c r="C1013" i="34"/>
  <c r="C1014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92" i="34"/>
  <c r="C1095" i="34"/>
  <c r="C1098" i="34"/>
  <c r="C1133" i="34"/>
  <c r="C1088" i="34"/>
  <c r="C1096" i="34"/>
  <c r="C1097" i="34"/>
  <c r="C1113" i="34"/>
  <c r="C1055" i="34"/>
  <c r="C1056" i="34"/>
  <c r="C1057" i="34"/>
  <c r="C1085" i="34"/>
  <c r="C1086" i="34"/>
  <c r="C1087" i="34"/>
  <c r="C1114" i="34"/>
  <c r="C1115" i="34"/>
  <c r="C1116" i="34"/>
  <c r="C1117" i="34"/>
  <c r="C1118" i="34"/>
  <c r="C1119" i="34"/>
  <c r="C1120" i="34"/>
  <c r="C1121" i="34"/>
  <c r="C1122" i="34"/>
  <c r="C1134" i="34"/>
  <c r="C1146" i="34"/>
  <c r="C1156" i="34"/>
  <c r="C1157" i="34"/>
  <c r="C1167" i="34"/>
  <c r="C1147" i="34"/>
  <c r="C1148" i="34"/>
  <c r="C1149" i="34"/>
  <c r="C1150" i="34"/>
  <c r="C1151" i="34"/>
  <c r="C1152" i="34"/>
  <c r="C1153" i="34"/>
  <c r="C1168" i="34"/>
  <c r="C324" i="34"/>
  <c r="C325" i="34"/>
  <c r="C326" i="34"/>
  <c r="C330" i="34"/>
  <c r="C331" i="34"/>
  <c r="C335" i="34"/>
  <c r="C336" i="34"/>
  <c r="C422" i="34"/>
  <c r="C441" i="34"/>
  <c r="C343" i="34"/>
  <c r="C344" i="34"/>
  <c r="C359" i="34"/>
  <c r="C360" i="34"/>
  <c r="C421" i="34"/>
  <c r="C442" i="34"/>
  <c r="C461" i="34"/>
  <c r="C462" i="34"/>
  <c r="C470" i="34"/>
  <c r="C471" i="34"/>
  <c r="C478" i="34"/>
  <c r="C479" i="34"/>
  <c r="C486" i="34"/>
  <c r="C487" i="34"/>
  <c r="C501" i="34"/>
  <c r="C502" i="34"/>
  <c r="C504" i="34"/>
  <c r="C505" i="34"/>
  <c r="C508" i="34"/>
  <c r="C509" i="34"/>
  <c r="C574" i="34"/>
  <c r="C575" i="34"/>
  <c r="C22" i="34"/>
  <c r="C23" i="34"/>
  <c r="C159" i="34"/>
  <c r="C160" i="34"/>
  <c r="C215" i="34"/>
  <c r="C216" i="34"/>
  <c r="C217" i="34"/>
  <c r="C249" i="34"/>
  <c r="C250" i="34"/>
  <c r="C251" i="34"/>
  <c r="C529" i="34"/>
  <c r="C538" i="34"/>
  <c r="C539" i="34"/>
  <c r="C595" i="34"/>
  <c r="C596" i="34"/>
  <c r="C597" i="34"/>
  <c r="C606" i="34"/>
  <c r="C598" i="34"/>
  <c r="C599" i="34"/>
  <c r="C600" i="34"/>
  <c r="C601" i="34"/>
  <c r="C609" i="34"/>
  <c r="C610" i="34"/>
  <c r="C611" i="34"/>
  <c r="C612" i="34"/>
  <c r="C613" i="34"/>
  <c r="C614" i="34"/>
  <c r="C618" i="34"/>
  <c r="C619" i="34"/>
  <c r="C620" i="34"/>
  <c r="C621" i="34"/>
  <c r="C691" i="34"/>
  <c r="C692" i="34"/>
  <c r="C703" i="34"/>
  <c r="C704" i="34"/>
  <c r="C705" i="34"/>
  <c r="C706" i="34"/>
  <c r="C758" i="34"/>
  <c r="C759" i="34"/>
  <c r="C767" i="34"/>
  <c r="C768" i="34"/>
  <c r="C774" i="34"/>
  <c r="C775" i="34"/>
  <c r="C801" i="34"/>
  <c r="C802" i="34"/>
  <c r="C811" i="34"/>
  <c r="C812" i="34"/>
  <c r="C813" i="34"/>
  <c r="C814" i="34"/>
  <c r="C857" i="34"/>
  <c r="C858" i="34"/>
  <c r="C903" i="34"/>
  <c r="C904" i="34"/>
  <c r="C911" i="34"/>
  <c r="C912" i="34"/>
  <c r="C954" i="34"/>
  <c r="C955" i="34"/>
  <c r="C987" i="34"/>
  <c r="C988" i="34"/>
  <c r="C989" i="34"/>
  <c r="C1015" i="34"/>
  <c r="C1016" i="34"/>
  <c r="C1017" i="34"/>
  <c r="C1018" i="34"/>
  <c r="C1019" i="34"/>
  <c r="C1058" i="34"/>
  <c r="C1059" i="34"/>
  <c r="C1060" i="34"/>
  <c r="C1061" i="34"/>
  <c r="C1062" i="34"/>
  <c r="C1063" i="34"/>
  <c r="C24" i="34"/>
  <c r="C25" i="34"/>
  <c r="C26" i="34"/>
  <c r="C27" i="34"/>
  <c r="C28" i="34"/>
  <c r="C30" i="34"/>
  <c r="C31" i="34"/>
  <c r="C32" i="34"/>
  <c r="C33" i="34"/>
  <c r="C34" i="34"/>
  <c r="C35" i="34"/>
  <c r="C36" i="34"/>
  <c r="C37" i="34"/>
  <c r="C38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5" i="34"/>
  <c r="C76" i="34"/>
  <c r="C82" i="34"/>
  <c r="C83" i="34"/>
  <c r="C86" i="34"/>
  <c r="C87" i="34"/>
  <c r="C88" i="34"/>
  <c r="C89" i="34"/>
  <c r="C90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8" i="34"/>
  <c r="C119" i="34"/>
  <c r="C120" i="34"/>
  <c r="C121" i="34"/>
  <c r="C122" i="34"/>
  <c r="C123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2" i="34"/>
  <c r="C143" i="34"/>
  <c r="C144" i="34"/>
  <c r="C145" i="34"/>
  <c r="C146" i="34"/>
  <c r="C147" i="34"/>
  <c r="C148" i="34"/>
  <c r="C150" i="34"/>
  <c r="C151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80" i="34"/>
  <c r="C181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73" i="34"/>
  <c r="C274" i="34"/>
  <c r="C275" i="34"/>
  <c r="C276" i="34"/>
  <c r="C277" i="34"/>
  <c r="C278" i="34"/>
  <c r="C281" i="34"/>
  <c r="C282" i="34"/>
  <c r="C283" i="34"/>
  <c r="C284" i="34"/>
  <c r="C285" i="34"/>
  <c r="C290" i="34"/>
  <c r="C291" i="34"/>
  <c r="C292" i="34"/>
  <c r="C293" i="34"/>
  <c r="C294" i="34"/>
  <c r="C295" i="34"/>
  <c r="C296" i="34"/>
  <c r="C314" i="34"/>
  <c r="C315" i="34"/>
  <c r="C316" i="34"/>
  <c r="C317" i="34"/>
  <c r="C333" i="34"/>
  <c r="C334" i="34"/>
  <c r="C338" i="34"/>
  <c r="C339" i="34"/>
  <c r="C340" i="34"/>
  <c r="C341" i="34"/>
  <c r="C342" i="34"/>
  <c r="C346" i="34"/>
  <c r="C347" i="34"/>
  <c r="C348" i="34"/>
  <c r="C349" i="34"/>
  <c r="C350" i="34"/>
  <c r="C351" i="34"/>
  <c r="C352" i="34"/>
  <c r="C353" i="34"/>
  <c r="C354" i="34"/>
  <c r="C355" i="34"/>
  <c r="C356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91" i="34"/>
  <c r="C392" i="34"/>
  <c r="C393" i="34"/>
  <c r="C394" i="34"/>
  <c r="C397" i="34"/>
  <c r="C398" i="34"/>
  <c r="C399" i="34"/>
  <c r="C400" i="34"/>
  <c r="C401" i="34"/>
  <c r="C402" i="34"/>
  <c r="C403" i="34"/>
  <c r="C404" i="34"/>
  <c r="C405" i="34"/>
  <c r="C409" i="34"/>
  <c r="C410" i="34"/>
  <c r="C411" i="34"/>
  <c r="C412" i="34"/>
  <c r="C395" i="34"/>
  <c r="C396" i="34"/>
  <c r="C413" i="34"/>
  <c r="C414" i="34"/>
  <c r="C415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44" i="34"/>
  <c r="C445" i="34"/>
  <c r="C446" i="34"/>
  <c r="C447" i="34"/>
  <c r="C449" i="34"/>
  <c r="C450" i="34"/>
  <c r="C451" i="34"/>
  <c r="C455" i="34"/>
  <c r="C456" i="34"/>
  <c r="C457" i="34"/>
  <c r="C458" i="34"/>
  <c r="C473" i="34"/>
  <c r="C474" i="34"/>
  <c r="C475" i="34"/>
  <c r="C481" i="34"/>
  <c r="C482" i="34"/>
  <c r="C483" i="34"/>
  <c r="C484" i="34"/>
  <c r="C489" i="34"/>
  <c r="C490" i="34"/>
  <c r="C491" i="34"/>
  <c r="C492" i="34"/>
  <c r="C493" i="34"/>
  <c r="C494" i="34"/>
  <c r="C495" i="34"/>
  <c r="C496" i="34"/>
  <c r="C497" i="34"/>
  <c r="C498" i="34"/>
  <c r="C499" i="34"/>
  <c r="C511" i="34"/>
  <c r="C512" i="34"/>
  <c r="C515" i="34"/>
  <c r="C516" i="34"/>
  <c r="C517" i="34"/>
  <c r="C518" i="34"/>
  <c r="C519" i="34"/>
  <c r="C520" i="34"/>
  <c r="C530" i="34"/>
  <c r="C531" i="34"/>
  <c r="C532" i="34"/>
  <c r="C533" i="34"/>
  <c r="C534" i="34"/>
  <c r="C535" i="34"/>
  <c r="C540" i="34"/>
  <c r="C541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7" i="34"/>
  <c r="C568" i="34"/>
  <c r="C569" i="34"/>
  <c r="C570" i="34"/>
  <c r="C571" i="34"/>
  <c r="C572" i="34"/>
  <c r="C573" i="34"/>
  <c r="C577" i="34"/>
  <c r="C578" i="34"/>
  <c r="C579" i="34"/>
  <c r="C580" i="34"/>
  <c r="C581" i="34"/>
  <c r="C582" i="34"/>
  <c r="C583" i="34"/>
  <c r="C584" i="34"/>
  <c r="C585" i="34"/>
  <c r="C586" i="34"/>
  <c r="C615" i="34"/>
  <c r="C616" i="34"/>
  <c r="C622" i="34"/>
  <c r="C623" i="34"/>
  <c r="C624" i="34"/>
  <c r="C625" i="34"/>
  <c r="C626" i="34"/>
  <c r="C627" i="34"/>
  <c r="C628" i="34"/>
  <c r="C629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3" i="34"/>
  <c r="C684" i="34"/>
  <c r="C685" i="34"/>
  <c r="C686" i="34"/>
  <c r="C687" i="34"/>
  <c r="C695" i="34"/>
  <c r="C696" i="34"/>
  <c r="C697" i="34"/>
  <c r="C698" i="34"/>
  <c r="C699" i="34"/>
  <c r="C700" i="34"/>
  <c r="C701" i="34"/>
  <c r="C707" i="34"/>
  <c r="C708" i="34"/>
  <c r="C709" i="34"/>
  <c r="C710" i="34"/>
  <c r="C722" i="34"/>
  <c r="C723" i="34"/>
  <c r="C724" i="34"/>
  <c r="C725" i="34"/>
  <c r="C726" i="34"/>
  <c r="C727" i="34"/>
  <c r="C728" i="34"/>
  <c r="C733" i="34"/>
  <c r="C734" i="34"/>
  <c r="C735" i="34"/>
  <c r="C740" i="34"/>
  <c r="C741" i="34"/>
  <c r="C742" i="34"/>
  <c r="C743" i="34"/>
  <c r="C744" i="34"/>
  <c r="C748" i="34"/>
  <c r="C749" i="34"/>
  <c r="C750" i="34"/>
  <c r="C751" i="34"/>
  <c r="C752" i="34"/>
  <c r="C753" i="34"/>
  <c r="C754" i="34"/>
  <c r="C755" i="34"/>
  <c r="C756" i="34"/>
  <c r="C760" i="34"/>
  <c r="C761" i="34"/>
  <c r="C762" i="34"/>
  <c r="C763" i="34"/>
  <c r="C764" i="34"/>
  <c r="C765" i="34"/>
  <c r="C776" i="34"/>
  <c r="C777" i="34"/>
  <c r="C782" i="34"/>
  <c r="C783" i="34"/>
  <c r="C784" i="34"/>
  <c r="C785" i="34"/>
  <c r="C786" i="34"/>
  <c r="C787" i="34"/>
  <c r="C803" i="34"/>
  <c r="C804" i="34"/>
  <c r="C805" i="34"/>
  <c r="C806" i="34"/>
  <c r="C807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5" i="34"/>
  <c r="C836" i="34"/>
  <c r="C833" i="34"/>
  <c r="C834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80" i="34"/>
  <c r="C981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64" i="34"/>
  <c r="C1065" i="34"/>
  <c r="C1066" i="34"/>
  <c r="C1067" i="34"/>
  <c r="C1068" i="34"/>
  <c r="C1069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9" i="34"/>
  <c r="C1090" i="34"/>
  <c r="C1091" i="34"/>
  <c r="C1093" i="34"/>
  <c r="C1094" i="34"/>
  <c r="C1099" i="34"/>
  <c r="C1100" i="34"/>
  <c r="C1101" i="34"/>
  <c r="C1102" i="34"/>
  <c r="C1103" i="34"/>
  <c r="C1104" i="34"/>
  <c r="C1105" i="34"/>
  <c r="C1106" i="34"/>
  <c r="C1107" i="34"/>
  <c r="C1123" i="34"/>
  <c r="C1124" i="34"/>
  <c r="C1125" i="34"/>
  <c r="C1126" i="34"/>
  <c r="C1127" i="34"/>
  <c r="C1128" i="34"/>
  <c r="C1129" i="34"/>
  <c r="C1135" i="34"/>
  <c r="C1136" i="34"/>
  <c r="C1137" i="34"/>
  <c r="C1138" i="34"/>
  <c r="C1139" i="34"/>
  <c r="C1140" i="34"/>
  <c r="C1141" i="34"/>
  <c r="C1142" i="34"/>
  <c r="C1143" i="34"/>
  <c r="C1144" i="34"/>
  <c r="C1154" i="34"/>
  <c r="C1155" i="34"/>
  <c r="C1158" i="34"/>
  <c r="C1159" i="34"/>
  <c r="C1160" i="34"/>
  <c r="C1161" i="34"/>
  <c r="C1162" i="34"/>
  <c r="C1163" i="34"/>
  <c r="C1164" i="34"/>
  <c r="C1165" i="34"/>
  <c r="C1166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8" i="34"/>
  <c r="C1209" i="34"/>
  <c r="C1210" i="34"/>
  <c r="C1352" i="34"/>
  <c r="C1353" i="34"/>
  <c r="C1354" i="34"/>
  <c r="C1355" i="34"/>
  <c r="C1378" i="34"/>
  <c r="C1379" i="34"/>
  <c r="C1380" i="34"/>
  <c r="C1395" i="34"/>
  <c r="C1396" i="34"/>
  <c r="C1397" i="34"/>
  <c r="C1398" i="34"/>
  <c r="C1299" i="34"/>
  <c r="C1300" i="34"/>
  <c r="C1237" i="34"/>
  <c r="C1238" i="34"/>
  <c r="C1240" i="34"/>
  <c r="C1241" i="34"/>
  <c r="C1242" i="34"/>
  <c r="C1243" i="34"/>
  <c r="C1244" i="34"/>
  <c r="C1245" i="34"/>
  <c r="C1251" i="34"/>
  <c r="C1252" i="34"/>
  <c r="C1253" i="34"/>
  <c r="C1254" i="34"/>
  <c r="C1255" i="34"/>
  <c r="C1263" i="34"/>
  <c r="C1264" i="34"/>
  <c r="C1265" i="34"/>
  <c r="C1266" i="34"/>
  <c r="C1267" i="34"/>
  <c r="C1268" i="34"/>
  <c r="C1269" i="34"/>
  <c r="C1270" i="34"/>
  <c r="C1271" i="34"/>
  <c r="C1356" i="34"/>
  <c r="C1357" i="34"/>
  <c r="C1361" i="34"/>
  <c r="C1362" i="34"/>
  <c r="C1363" i="34"/>
  <c r="C1382" i="34"/>
  <c r="C1383" i="34"/>
  <c r="C1384" i="34"/>
  <c r="C1385" i="34"/>
  <c r="C1386" i="34"/>
  <c r="C1387" i="34"/>
  <c r="C1388" i="34"/>
  <c r="C1413" i="34"/>
  <c r="C1414" i="34"/>
  <c r="C1415" i="34"/>
  <c r="C1416" i="34"/>
  <c r="C1424" i="34"/>
  <c r="C1425" i="34"/>
  <c r="C1444" i="34"/>
  <c r="C1445" i="34"/>
  <c r="C1964" i="34"/>
  <c r="C1965" i="34"/>
  <c r="C1966" i="34"/>
  <c r="C1967" i="34"/>
  <c r="C1968" i="34"/>
  <c r="C1969" i="34"/>
  <c r="C1970" i="34"/>
  <c r="C1489" i="34"/>
  <c r="C1490" i="34"/>
  <c r="C1491" i="34"/>
  <c r="C1497" i="34"/>
  <c r="C1498" i="34"/>
  <c r="C1499" i="34"/>
  <c r="C1500" i="34"/>
  <c r="C1501" i="34"/>
  <c r="C1502" i="34"/>
  <c r="C1503" i="34"/>
  <c r="C1504" i="34"/>
  <c r="C1505" i="34"/>
  <c r="C1506" i="34"/>
  <c r="C1521" i="34"/>
  <c r="C1522" i="34"/>
  <c r="C1534" i="34"/>
  <c r="C1535" i="34"/>
  <c r="C1536" i="34"/>
  <c r="C1537" i="34"/>
  <c r="C1538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95" i="34"/>
  <c r="C1596" i="34"/>
  <c r="C1597" i="34"/>
  <c r="C1605" i="34"/>
  <c r="C1606" i="34"/>
  <c r="C1607" i="34"/>
  <c r="C1611" i="34"/>
  <c r="C1612" i="34"/>
  <c r="C1613" i="34"/>
  <c r="C1614" i="34"/>
  <c r="C1615" i="34"/>
  <c r="C1616" i="34"/>
  <c r="C1617" i="34"/>
  <c r="C1618" i="34"/>
  <c r="C1622" i="34"/>
  <c r="C1623" i="34"/>
  <c r="C1624" i="34"/>
  <c r="C1625" i="34"/>
  <c r="C1626" i="34"/>
  <c r="C1627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60" i="34"/>
  <c r="C1661" i="34"/>
  <c r="C1662" i="34"/>
  <c r="C1663" i="34"/>
  <c r="C1672" i="34"/>
  <c r="C1673" i="34"/>
  <c r="C1674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95" i="34"/>
  <c r="C1696" i="34"/>
  <c r="C1697" i="34"/>
  <c r="C1698" i="34"/>
  <c r="C1699" i="34"/>
  <c r="C1700" i="34"/>
  <c r="C1701" i="34"/>
  <c r="C1702" i="34"/>
  <c r="C1703" i="34"/>
  <c r="C1706" i="34"/>
  <c r="C1707" i="34"/>
  <c r="C1708" i="34"/>
  <c r="C1709" i="34"/>
  <c r="C1710" i="34"/>
  <c r="C1711" i="34"/>
  <c r="C1723" i="34"/>
  <c r="C1724" i="34"/>
  <c r="C1725" i="34"/>
  <c r="C1726" i="34"/>
  <c r="C1727" i="34"/>
  <c r="C1728" i="34"/>
  <c r="C1729" i="34"/>
  <c r="C1730" i="34"/>
  <c r="C1747" i="34"/>
  <c r="C1748" i="34"/>
  <c r="C1749" i="34"/>
  <c r="C1750" i="34"/>
  <c r="C1754" i="34"/>
  <c r="C1755" i="34"/>
  <c r="C1756" i="34"/>
  <c r="C1757" i="34"/>
  <c r="C175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90" i="34"/>
  <c r="C1791" i="34"/>
  <c r="C1544" i="34"/>
  <c r="C1545" i="34"/>
  <c r="C1546" i="34"/>
  <c r="C1492" i="34"/>
  <c r="C1493" i="34"/>
  <c r="C1494" i="34"/>
  <c r="C1664" i="34"/>
  <c r="C1665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4" i="34"/>
  <c r="C2005" i="34"/>
  <c r="C2006" i="34"/>
  <c r="C2007" i="34"/>
  <c r="C2008" i="34"/>
  <c r="C2009" i="34"/>
  <c r="C2010" i="34"/>
  <c r="C2011" i="34"/>
  <c r="C2012" i="34"/>
  <c r="C2013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152" i="34"/>
  <c r="A3" i="54" l="1"/>
  <c r="A2" i="54"/>
  <c r="C22" i="54"/>
  <c r="B2" i="55" l="1"/>
  <c r="B1" i="55"/>
  <c r="A7" i="12"/>
  <c r="A6" i="12"/>
  <c r="A22" i="70"/>
  <c r="A8" i="70"/>
  <c r="A9" i="70"/>
  <c r="A2" i="12"/>
  <c r="A1" i="12"/>
  <c r="A2" i="70"/>
  <c r="A1" i="70"/>
  <c r="A563" i="60" l="1"/>
  <c r="A528" i="60"/>
  <c r="A276" i="60"/>
  <c r="E23" i="54" l="1"/>
  <c r="E16" i="61"/>
  <c r="C10" i="34"/>
  <c r="C11" i="34"/>
  <c r="C12" i="34"/>
  <c r="C13" i="34"/>
  <c r="C14" i="34"/>
  <c r="C16" i="34"/>
  <c r="C17" i="34"/>
  <c r="C18" i="34"/>
  <c r="C19" i="34"/>
  <c r="L2" i="64" l="1"/>
  <c r="J3" i="54"/>
  <c r="L3" i="39"/>
  <c r="L2" i="39"/>
  <c r="B2930" i="34" l="1"/>
  <c r="A2930" i="34" s="1"/>
  <c r="B2928" i="34"/>
  <c r="A2928" i="34" s="1"/>
  <c r="B2360" i="34"/>
  <c r="B2358" i="34"/>
  <c r="B2249" i="34"/>
  <c r="B2061" i="34"/>
  <c r="B2059" i="34"/>
  <c r="B1607" i="34"/>
  <c r="B873" i="34"/>
  <c r="Z2358" i="34" l="1"/>
  <c r="W2358" i="34"/>
  <c r="A2358" i="34"/>
  <c r="Z2059" i="34"/>
  <c r="W2059" i="34"/>
  <c r="A2059" i="34"/>
  <c r="Z2360" i="34"/>
  <c r="W2360" i="34"/>
  <c r="A2360" i="34"/>
  <c r="Z2061" i="34"/>
  <c r="W2061" i="34"/>
  <c r="A2061" i="34"/>
  <c r="Z2249" i="34"/>
  <c r="W2249" i="34"/>
  <c r="A2249" i="34"/>
  <c r="Z1607" i="34"/>
  <c r="W1607" i="34"/>
  <c r="A1607" i="34"/>
  <c r="Z873" i="34"/>
  <c r="W873" i="34"/>
  <c r="A873" i="34"/>
  <c r="B3271" i="34"/>
  <c r="A3271" i="34" s="1"/>
  <c r="B2488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36" i="34"/>
  <c r="B1135" i="34"/>
  <c r="B1129" i="34"/>
  <c r="B1128" i="34"/>
  <c r="B1127" i="34"/>
  <c r="B1126" i="34"/>
  <c r="B1125" i="34"/>
  <c r="B1124" i="34"/>
  <c r="B1123" i="34"/>
  <c r="B1039" i="34"/>
  <c r="B1038" i="34"/>
  <c r="B1037" i="34"/>
  <c r="B1036" i="34"/>
  <c r="B1035" i="34"/>
  <c r="B1034" i="34"/>
  <c r="B1033" i="34"/>
  <c r="B1032" i="34"/>
  <c r="B1031" i="34"/>
  <c r="B980" i="34"/>
  <c r="B976" i="34"/>
  <c r="B975" i="34"/>
  <c r="B974" i="34"/>
  <c r="B973" i="34"/>
  <c r="B972" i="34"/>
  <c r="B971" i="34"/>
  <c r="B970" i="34"/>
  <c r="B969" i="34"/>
  <c r="B2072" i="34"/>
  <c r="B2052" i="34"/>
  <c r="B2051" i="34"/>
  <c r="B1779" i="34"/>
  <c r="B1778" i="34"/>
  <c r="B1653" i="34"/>
  <c r="B1652" i="34"/>
  <c r="B1588" i="34"/>
  <c r="B1587" i="34"/>
  <c r="B1535" i="34"/>
  <c r="B1534" i="34"/>
  <c r="B1502" i="34"/>
  <c r="B1501" i="34"/>
  <c r="B1500" i="34"/>
  <c r="B1499" i="34"/>
  <c r="B1965" i="34"/>
  <c r="B1964" i="34"/>
  <c r="B1445" i="34"/>
  <c r="B1444" i="34"/>
  <c r="B1425" i="34"/>
  <c r="B1424" i="34"/>
  <c r="B1268" i="34"/>
  <c r="B1267" i="34"/>
  <c r="B1266" i="34"/>
  <c r="B1265" i="34"/>
  <c r="B1264" i="34"/>
  <c r="B1263" i="34"/>
  <c r="B1255" i="34"/>
  <c r="B1254" i="34"/>
  <c r="B1253" i="34"/>
  <c r="B1354" i="34"/>
  <c r="B1353" i="34"/>
  <c r="B1352" i="34"/>
  <c r="B1194" i="34"/>
  <c r="B1193" i="34"/>
  <c r="B1192" i="34"/>
  <c r="B2207" i="34"/>
  <c r="B2206" i="34"/>
  <c r="B2205" i="34"/>
  <c r="B2193" i="34"/>
  <c r="B2192" i="34"/>
  <c r="B2191" i="34"/>
  <c r="B2190" i="34"/>
  <c r="B2189" i="34"/>
  <c r="B2188" i="34"/>
  <c r="B2187" i="34"/>
  <c r="B2186" i="34"/>
  <c r="B2185" i="34"/>
  <c r="B2164" i="34"/>
  <c r="B2163" i="34"/>
  <c r="B2162" i="34"/>
  <c r="B2161" i="34"/>
  <c r="B2160" i="34"/>
  <c r="B2159" i="34"/>
  <c r="B2158" i="34"/>
  <c r="B2157" i="34"/>
  <c r="B2156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15" i="34"/>
  <c r="B2114" i="34"/>
  <c r="B2080" i="34"/>
  <c r="B2079" i="34"/>
  <c r="B2078" i="34"/>
  <c r="B2077" i="34"/>
  <c r="B2076" i="34"/>
  <c r="B2075" i="34"/>
  <c r="B2074" i="34"/>
  <c r="B2073" i="34"/>
  <c r="B1493" i="34"/>
  <c r="B1492" i="34"/>
  <c r="B1546" i="34"/>
  <c r="B1545" i="34"/>
  <c r="B1544" i="34"/>
  <c r="B1791" i="34"/>
  <c r="B1790" i="34"/>
  <c r="B1787" i="34"/>
  <c r="B1786" i="34"/>
  <c r="B1785" i="34"/>
  <c r="B1784" i="34"/>
  <c r="B1783" i="34"/>
  <c r="B1782" i="34"/>
  <c r="B1709" i="34"/>
  <c r="B1708" i="34"/>
  <c r="B1707" i="34"/>
  <c r="B1706" i="34"/>
  <c r="B1703" i="34"/>
  <c r="B1702" i="34"/>
  <c r="B1701" i="34"/>
  <c r="B1700" i="34"/>
  <c r="B1699" i="34"/>
  <c r="B1673" i="34"/>
  <c r="B1672" i="34"/>
  <c r="B1663" i="34"/>
  <c r="B1662" i="34"/>
  <c r="B1661" i="34"/>
  <c r="B1660" i="34"/>
  <c r="B1656" i="34"/>
  <c r="B1655" i="34"/>
  <c r="B1654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007" i="34"/>
  <c r="B2006" i="34"/>
  <c r="B2005" i="34"/>
  <c r="B2004" i="34"/>
  <c r="B1974" i="34"/>
  <c r="B1665" i="34"/>
  <c r="B1664" i="34"/>
  <c r="B1494" i="34"/>
  <c r="A71" i="70"/>
  <c r="B110" i="34"/>
  <c r="Z2005" i="34" l="1"/>
  <c r="W2005" i="34"/>
  <c r="A2005" i="34"/>
  <c r="Z2209" i="34"/>
  <c r="W2209" i="34"/>
  <c r="A2209" i="34"/>
  <c r="Z2213" i="34"/>
  <c r="W2213" i="34"/>
  <c r="A2213" i="34"/>
  <c r="Z2217" i="34"/>
  <c r="W2217" i="34"/>
  <c r="A2217" i="34"/>
  <c r="W2076" i="34"/>
  <c r="Z2076" i="34"/>
  <c r="A2076" i="34"/>
  <c r="W2080" i="34"/>
  <c r="Z2080" i="34"/>
  <c r="A2080" i="34"/>
  <c r="Z2128" i="34"/>
  <c r="W2128" i="34"/>
  <c r="A2128" i="34"/>
  <c r="Z2132" i="34"/>
  <c r="W2132" i="34"/>
  <c r="A2132" i="34"/>
  <c r="Z2136" i="34"/>
  <c r="W2136" i="34"/>
  <c r="A2136" i="34"/>
  <c r="Z2158" i="34"/>
  <c r="W2158" i="34"/>
  <c r="A2158" i="34"/>
  <c r="Z2162" i="34"/>
  <c r="W2162" i="34"/>
  <c r="A2162" i="34"/>
  <c r="Z2186" i="34"/>
  <c r="W2186" i="34"/>
  <c r="A2186" i="34"/>
  <c r="Z2190" i="34"/>
  <c r="W2190" i="34"/>
  <c r="A2190" i="34"/>
  <c r="Z2205" i="34"/>
  <c r="W2205" i="34"/>
  <c r="A2205" i="34"/>
  <c r="Z2051" i="34"/>
  <c r="W2051" i="34"/>
  <c r="A2051" i="34"/>
  <c r="W2006" i="34"/>
  <c r="Z2006" i="34"/>
  <c r="A2006" i="34"/>
  <c r="Z2210" i="34"/>
  <c r="W2210" i="34"/>
  <c r="A2210" i="34"/>
  <c r="Z2214" i="34"/>
  <c r="W2214" i="34"/>
  <c r="A2214" i="34"/>
  <c r="Z2218" i="34"/>
  <c r="W2218" i="34"/>
  <c r="A2218" i="34"/>
  <c r="Z2073" i="34"/>
  <c r="W2073" i="34"/>
  <c r="A2073" i="34"/>
  <c r="Z2077" i="34"/>
  <c r="W2077" i="34"/>
  <c r="A2077" i="34"/>
  <c r="Z2114" i="34"/>
  <c r="W2114" i="34"/>
  <c r="A2114" i="34"/>
  <c r="Z2129" i="34"/>
  <c r="W2129" i="34"/>
  <c r="A2129" i="34"/>
  <c r="Z2133" i="34"/>
  <c r="W2133" i="34"/>
  <c r="A2133" i="34"/>
  <c r="Z2137" i="34"/>
  <c r="W2137" i="34"/>
  <c r="A2137" i="34"/>
  <c r="Z2159" i="34"/>
  <c r="W2159" i="34"/>
  <c r="A2159" i="34"/>
  <c r="Z2163" i="34"/>
  <c r="W2163" i="34"/>
  <c r="A2163" i="34"/>
  <c r="Z2187" i="34"/>
  <c r="W2187" i="34"/>
  <c r="A2187" i="34"/>
  <c r="Z2191" i="34"/>
  <c r="W2191" i="34"/>
  <c r="A2191" i="34"/>
  <c r="Z2206" i="34"/>
  <c r="W2206" i="34"/>
  <c r="A2206" i="34"/>
  <c r="W2052" i="34"/>
  <c r="Z2052" i="34"/>
  <c r="A2052" i="34"/>
  <c r="Z2488" i="34"/>
  <c r="W2488" i="34"/>
  <c r="A2488" i="34"/>
  <c r="W1974" i="34"/>
  <c r="Z1974" i="34"/>
  <c r="A1974" i="34"/>
  <c r="Z2007" i="34"/>
  <c r="W2007" i="34"/>
  <c r="A2007" i="34"/>
  <c r="Z2211" i="34"/>
  <c r="W2211" i="34"/>
  <c r="A2211" i="34"/>
  <c r="Z2215" i="34"/>
  <c r="W2215" i="34"/>
  <c r="A2215" i="34"/>
  <c r="W2074" i="34"/>
  <c r="Z2074" i="34"/>
  <c r="A2074" i="34"/>
  <c r="W2078" i="34"/>
  <c r="Z2078" i="34"/>
  <c r="A2078" i="34"/>
  <c r="Z2115" i="34"/>
  <c r="W2115" i="34"/>
  <c r="A2115" i="34"/>
  <c r="Z2130" i="34"/>
  <c r="W2130" i="34"/>
  <c r="A2130" i="34"/>
  <c r="Z2134" i="34"/>
  <c r="W2134" i="34"/>
  <c r="A2134" i="34"/>
  <c r="Z2156" i="34"/>
  <c r="W2156" i="34"/>
  <c r="A2156" i="34"/>
  <c r="Z2160" i="34"/>
  <c r="W2160" i="34"/>
  <c r="A2160" i="34"/>
  <c r="Z2164" i="34"/>
  <c r="W2164" i="34"/>
  <c r="A2164" i="34"/>
  <c r="Z2188" i="34"/>
  <c r="W2188" i="34"/>
  <c r="A2188" i="34"/>
  <c r="Z2192" i="34"/>
  <c r="W2192" i="34"/>
  <c r="A2192" i="34"/>
  <c r="Z2207" i="34"/>
  <c r="W2207" i="34"/>
  <c r="A2207" i="34"/>
  <c r="W1964" i="34"/>
  <c r="Z1964" i="34"/>
  <c r="A1964" i="34"/>
  <c r="W2072" i="34"/>
  <c r="Z2072" i="34"/>
  <c r="A2072" i="34"/>
  <c r="W2004" i="34"/>
  <c r="Z2004" i="34"/>
  <c r="A2004" i="34"/>
  <c r="Z2208" i="34"/>
  <c r="W2208" i="34"/>
  <c r="A2208" i="34"/>
  <c r="Z2212" i="34"/>
  <c r="W2212" i="34"/>
  <c r="A2212" i="34"/>
  <c r="Z2216" i="34"/>
  <c r="W2216" i="34"/>
  <c r="A2216" i="34"/>
  <c r="Z2075" i="34"/>
  <c r="W2075" i="34"/>
  <c r="A2075" i="34"/>
  <c r="Z2079" i="34"/>
  <c r="W2079" i="34"/>
  <c r="A2079" i="34"/>
  <c r="Z2127" i="34"/>
  <c r="W2127" i="34"/>
  <c r="A2127" i="34"/>
  <c r="Z2131" i="34"/>
  <c r="W2131" i="34"/>
  <c r="A2131" i="34"/>
  <c r="Z2135" i="34"/>
  <c r="W2135" i="34"/>
  <c r="A2135" i="34"/>
  <c r="Z2157" i="34"/>
  <c r="W2157" i="34"/>
  <c r="A2157" i="34"/>
  <c r="Z2161" i="34"/>
  <c r="W2161" i="34"/>
  <c r="A2161" i="34"/>
  <c r="Z2185" i="34"/>
  <c r="W2185" i="34"/>
  <c r="A2185" i="34"/>
  <c r="Z2189" i="34"/>
  <c r="W2189" i="34"/>
  <c r="A2189" i="34"/>
  <c r="Z2193" i="34"/>
  <c r="W2193" i="34"/>
  <c r="A2193" i="34"/>
  <c r="Z1965" i="34"/>
  <c r="W1965" i="34"/>
  <c r="A1965" i="34"/>
  <c r="Z1660" i="34"/>
  <c r="W1660" i="34"/>
  <c r="A1660" i="34"/>
  <c r="Z1783" i="34"/>
  <c r="W1783" i="34"/>
  <c r="A1783" i="34"/>
  <c r="Z1194" i="34"/>
  <c r="W1194" i="34"/>
  <c r="A1194" i="34"/>
  <c r="W1445" i="34"/>
  <c r="Z1445" i="34"/>
  <c r="A1445" i="34"/>
  <c r="Z1653" i="34"/>
  <c r="W1653" i="34"/>
  <c r="A1653" i="34"/>
  <c r="Z1032" i="34"/>
  <c r="W1032" i="34"/>
  <c r="A1032" i="34"/>
  <c r="Z1136" i="34"/>
  <c r="W1136" i="34"/>
  <c r="A1136" i="34"/>
  <c r="Z1654" i="34"/>
  <c r="W1654" i="34"/>
  <c r="A1654" i="34"/>
  <c r="Z1661" i="34"/>
  <c r="W1661" i="34"/>
  <c r="A1661" i="34"/>
  <c r="Z1673" i="34"/>
  <c r="W1673" i="34"/>
  <c r="A1673" i="34"/>
  <c r="Z1702" i="34"/>
  <c r="W1702" i="34"/>
  <c r="A1702" i="34"/>
  <c r="Z1708" i="34"/>
  <c r="W1708" i="34"/>
  <c r="A1708" i="34"/>
  <c r="Z1784" i="34"/>
  <c r="W1784" i="34"/>
  <c r="A1784" i="34"/>
  <c r="Z1790" i="34"/>
  <c r="W1790" i="34"/>
  <c r="A1790" i="34"/>
  <c r="Z1546" i="34"/>
  <c r="W1546" i="34"/>
  <c r="A1546" i="34"/>
  <c r="Z1352" i="34"/>
  <c r="W1352" i="34"/>
  <c r="A1352" i="34"/>
  <c r="W1254" i="34"/>
  <c r="Z1254" i="34"/>
  <c r="A1254" i="34"/>
  <c r="W1265" i="34"/>
  <c r="Z1265" i="34"/>
  <c r="A1265" i="34"/>
  <c r="Z1424" i="34"/>
  <c r="W1424" i="34"/>
  <c r="A1424" i="34"/>
  <c r="Z1501" i="34"/>
  <c r="W1501" i="34"/>
  <c r="A1501" i="34"/>
  <c r="Z1587" i="34"/>
  <c r="W1587" i="34"/>
  <c r="A1587" i="34"/>
  <c r="Z1778" i="34"/>
  <c r="W1778" i="34"/>
  <c r="A1778" i="34"/>
  <c r="Z972" i="34"/>
  <c r="W972" i="34"/>
  <c r="A972" i="34"/>
  <c r="Z976" i="34"/>
  <c r="W976" i="34"/>
  <c r="A976" i="34"/>
  <c r="Z1033" i="34"/>
  <c r="W1033" i="34"/>
  <c r="A1033" i="34"/>
  <c r="Z1037" i="34"/>
  <c r="W1037" i="34"/>
  <c r="A1037" i="34"/>
  <c r="Z1124" i="34"/>
  <c r="W1124" i="34"/>
  <c r="A1124" i="34"/>
  <c r="Z1128" i="34"/>
  <c r="W1128" i="34"/>
  <c r="A1128" i="34"/>
  <c r="Z1177" i="34"/>
  <c r="W1177" i="34"/>
  <c r="A1177" i="34"/>
  <c r="Z1181" i="34"/>
  <c r="W1181" i="34"/>
  <c r="A1181" i="34"/>
  <c r="Z1185" i="34"/>
  <c r="W1185" i="34"/>
  <c r="A1185" i="34"/>
  <c r="Z1189" i="34"/>
  <c r="W1189" i="34"/>
  <c r="A1189" i="34"/>
  <c r="W110" i="34"/>
  <c r="Z110" i="34"/>
  <c r="A110" i="34"/>
  <c r="Z1701" i="34"/>
  <c r="W1701" i="34"/>
  <c r="A1701" i="34"/>
  <c r="Z1787" i="34"/>
  <c r="W1787" i="34"/>
  <c r="A1787" i="34"/>
  <c r="W1253" i="34"/>
  <c r="Z1253" i="34"/>
  <c r="A1253" i="34"/>
  <c r="W1268" i="34"/>
  <c r="Z1268" i="34"/>
  <c r="A1268" i="34"/>
  <c r="Z1535" i="34"/>
  <c r="W1535" i="34"/>
  <c r="A1535" i="34"/>
  <c r="Z975" i="34"/>
  <c r="W975" i="34"/>
  <c r="A975" i="34"/>
  <c r="Z1123" i="34"/>
  <c r="W1123" i="34"/>
  <c r="A1123" i="34"/>
  <c r="Z1180" i="34"/>
  <c r="W1180" i="34"/>
  <c r="A1180" i="34"/>
  <c r="Z1184" i="34"/>
  <c r="W1184" i="34"/>
  <c r="A1184" i="34"/>
  <c r="Z1188" i="34"/>
  <c r="W1188" i="34"/>
  <c r="A1188" i="34"/>
  <c r="Z1494" i="34"/>
  <c r="W1494" i="34"/>
  <c r="A1494" i="34"/>
  <c r="Z1655" i="34"/>
  <c r="W1655" i="34"/>
  <c r="A1655" i="34"/>
  <c r="Z1662" i="34"/>
  <c r="W1662" i="34"/>
  <c r="A1662" i="34"/>
  <c r="Z1699" i="34"/>
  <c r="W1699" i="34"/>
  <c r="A1699" i="34"/>
  <c r="Z1703" i="34"/>
  <c r="W1703" i="34"/>
  <c r="A1703" i="34"/>
  <c r="Z1709" i="34"/>
  <c r="W1709" i="34"/>
  <c r="A1709" i="34"/>
  <c r="Z1785" i="34"/>
  <c r="W1785" i="34"/>
  <c r="A1785" i="34"/>
  <c r="Z1791" i="34"/>
  <c r="W1791" i="34"/>
  <c r="A1791" i="34"/>
  <c r="Z1492" i="34"/>
  <c r="W1492" i="34"/>
  <c r="A1492" i="34"/>
  <c r="Z1192" i="34"/>
  <c r="W1192" i="34"/>
  <c r="A1192" i="34"/>
  <c r="W1353" i="34"/>
  <c r="Z1353" i="34"/>
  <c r="A1353" i="34"/>
  <c r="W1255" i="34"/>
  <c r="Z1255" i="34"/>
  <c r="A1255" i="34"/>
  <c r="W1266" i="34"/>
  <c r="Z1266" i="34"/>
  <c r="A1266" i="34"/>
  <c r="W1425" i="34"/>
  <c r="Z1425" i="34"/>
  <c r="A1425" i="34"/>
  <c r="Z1502" i="34"/>
  <c r="W1502" i="34"/>
  <c r="A1502" i="34"/>
  <c r="Z1588" i="34"/>
  <c r="W1588" i="34"/>
  <c r="A1588" i="34"/>
  <c r="Z1779" i="34"/>
  <c r="W1779" i="34"/>
  <c r="A1779" i="34"/>
  <c r="Z969" i="34"/>
  <c r="W969" i="34"/>
  <c r="A969" i="34"/>
  <c r="Z973" i="34"/>
  <c r="W973" i="34"/>
  <c r="A973" i="34"/>
  <c r="Z980" i="34"/>
  <c r="W980" i="34"/>
  <c r="A980" i="34"/>
  <c r="Z1034" i="34"/>
  <c r="W1034" i="34"/>
  <c r="A1034" i="34"/>
  <c r="Z1038" i="34"/>
  <c r="W1038" i="34"/>
  <c r="A1038" i="34"/>
  <c r="Z1125" i="34"/>
  <c r="W1125" i="34"/>
  <c r="A1125" i="34"/>
  <c r="Z1129" i="34"/>
  <c r="W1129" i="34"/>
  <c r="A1129" i="34"/>
  <c r="Z1178" i="34"/>
  <c r="W1178" i="34"/>
  <c r="A1178" i="34"/>
  <c r="Z1182" i="34"/>
  <c r="W1182" i="34"/>
  <c r="A1182" i="34"/>
  <c r="Z1186" i="34"/>
  <c r="W1186" i="34"/>
  <c r="A1186" i="34"/>
  <c r="Z1190" i="34"/>
  <c r="W1190" i="34"/>
  <c r="A1190" i="34"/>
  <c r="Z1665" i="34"/>
  <c r="W1665" i="34"/>
  <c r="A1665" i="34"/>
  <c r="Z1672" i="34"/>
  <c r="W1672" i="34"/>
  <c r="A1672" i="34"/>
  <c r="Z1707" i="34"/>
  <c r="W1707" i="34"/>
  <c r="A1707" i="34"/>
  <c r="Z1545" i="34"/>
  <c r="W1545" i="34"/>
  <c r="A1545" i="34"/>
  <c r="W1264" i="34"/>
  <c r="Z1264" i="34"/>
  <c r="A1264" i="34"/>
  <c r="Z1500" i="34"/>
  <c r="W1500" i="34"/>
  <c r="A1500" i="34"/>
  <c r="Z971" i="34"/>
  <c r="W971" i="34"/>
  <c r="A971" i="34"/>
  <c r="Z1036" i="34"/>
  <c r="W1036" i="34"/>
  <c r="A1036" i="34"/>
  <c r="Z1127" i="34"/>
  <c r="W1127" i="34"/>
  <c r="A1127" i="34"/>
  <c r="Z1664" i="34"/>
  <c r="W1664" i="34"/>
  <c r="A1664" i="34"/>
  <c r="Z1656" i="34"/>
  <c r="W1656" i="34"/>
  <c r="A1656" i="34"/>
  <c r="Z1663" i="34"/>
  <c r="W1663" i="34"/>
  <c r="A1663" i="34"/>
  <c r="Z1700" i="34"/>
  <c r="W1700" i="34"/>
  <c r="A1700" i="34"/>
  <c r="Z1706" i="34"/>
  <c r="W1706" i="34"/>
  <c r="A1706" i="34"/>
  <c r="Z1782" i="34"/>
  <c r="W1782" i="34"/>
  <c r="A1782" i="34"/>
  <c r="Z1786" i="34"/>
  <c r="W1786" i="34"/>
  <c r="A1786" i="34"/>
  <c r="Z1544" i="34"/>
  <c r="W1544" i="34"/>
  <c r="A1544" i="34"/>
  <c r="Z1493" i="34"/>
  <c r="W1493" i="34"/>
  <c r="A1493" i="34"/>
  <c r="Z1193" i="34"/>
  <c r="W1193" i="34"/>
  <c r="A1193" i="34"/>
  <c r="Z1354" i="34"/>
  <c r="W1354" i="34"/>
  <c r="A1354" i="34"/>
  <c r="W1263" i="34"/>
  <c r="Z1263" i="34"/>
  <c r="A1263" i="34"/>
  <c r="W1267" i="34"/>
  <c r="Z1267" i="34"/>
  <c r="A1267" i="34"/>
  <c r="Z1444" i="34"/>
  <c r="W1444" i="34"/>
  <c r="A1444" i="34"/>
  <c r="Z1499" i="34"/>
  <c r="W1499" i="34"/>
  <c r="A1499" i="34"/>
  <c r="Z1534" i="34"/>
  <c r="W1534" i="34"/>
  <c r="A1534" i="34"/>
  <c r="Z1652" i="34"/>
  <c r="W1652" i="34"/>
  <c r="A1652" i="34"/>
  <c r="Z970" i="34"/>
  <c r="W970" i="34"/>
  <c r="A970" i="34"/>
  <c r="Z974" i="34"/>
  <c r="W974" i="34"/>
  <c r="A974" i="34"/>
  <c r="Z1031" i="34"/>
  <c r="W1031" i="34"/>
  <c r="A1031" i="34"/>
  <c r="Z1035" i="34"/>
  <c r="W1035" i="34"/>
  <c r="A1035" i="34"/>
  <c r="Z1039" i="34"/>
  <c r="W1039" i="34"/>
  <c r="A1039" i="34"/>
  <c r="Z1126" i="34"/>
  <c r="W1126" i="34"/>
  <c r="A1126" i="34"/>
  <c r="Z1135" i="34"/>
  <c r="W1135" i="34"/>
  <c r="A1135" i="34"/>
  <c r="Z1179" i="34"/>
  <c r="W1179" i="34"/>
  <c r="A1179" i="34"/>
  <c r="Z1183" i="34"/>
  <c r="W1183" i="34"/>
  <c r="A1183" i="34"/>
  <c r="Z1187" i="34"/>
  <c r="W1187" i="34"/>
  <c r="A1187" i="34"/>
  <c r="Z1191" i="34"/>
  <c r="W1191" i="34"/>
  <c r="A1191" i="34"/>
  <c r="B1056" i="34"/>
  <c r="B1055" i="34"/>
  <c r="B1113" i="34"/>
  <c r="B1097" i="34"/>
  <c r="B1096" i="34"/>
  <c r="B1088" i="34"/>
  <c r="B1133" i="34"/>
  <c r="B1098" i="34"/>
  <c r="B1095" i="34"/>
  <c r="B1092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14" i="34"/>
  <c r="B1013" i="34"/>
  <c r="B1012" i="34"/>
  <c r="B1011" i="34"/>
  <c r="B1009" i="34"/>
  <c r="B1008" i="34"/>
  <c r="B986" i="34"/>
  <c r="B985" i="34"/>
  <c r="B1043" i="34"/>
  <c r="B1042" i="34"/>
  <c r="B1041" i="34"/>
  <c r="B1040" i="34"/>
  <c r="B1007" i="34"/>
  <c r="B984" i="34"/>
  <c r="B964" i="34"/>
  <c r="B963" i="34"/>
  <c r="B962" i="34"/>
  <c r="B953" i="34"/>
  <c r="B952" i="34"/>
  <c r="B951" i="34"/>
  <c r="B130" i="34"/>
  <c r="B129" i="34"/>
  <c r="B128" i="34"/>
  <c r="B813" i="34"/>
  <c r="B812" i="34"/>
  <c r="B811" i="34"/>
  <c r="B802" i="34"/>
  <c r="B801" i="34"/>
  <c r="B775" i="34"/>
  <c r="B774" i="34"/>
  <c r="B768" i="34"/>
  <c r="B767" i="34"/>
  <c r="B759" i="34"/>
  <c r="B758" i="34"/>
  <c r="B706" i="34"/>
  <c r="B705" i="34"/>
  <c r="B704" i="34"/>
  <c r="B703" i="34"/>
  <c r="B692" i="34"/>
  <c r="B691" i="34"/>
  <c r="B621" i="34"/>
  <c r="B620" i="34"/>
  <c r="B619" i="34"/>
  <c r="B618" i="34"/>
  <c r="B614" i="34"/>
  <c r="B613" i="34"/>
  <c r="B612" i="34"/>
  <c r="B611" i="34"/>
  <c r="B610" i="34"/>
  <c r="B609" i="34"/>
  <c r="B601" i="34"/>
  <c r="B600" i="34"/>
  <c r="B599" i="34"/>
  <c r="B598" i="34"/>
  <c r="B606" i="34"/>
  <c r="B597" i="34"/>
  <c r="B596" i="34"/>
  <c r="B595" i="34"/>
  <c r="B539" i="34"/>
  <c r="B530" i="34"/>
  <c r="B520" i="34"/>
  <c r="B519" i="34"/>
  <c r="B518" i="34"/>
  <c r="B517" i="34"/>
  <c r="B516" i="34"/>
  <c r="B515" i="34"/>
  <c r="B512" i="34"/>
  <c r="B511" i="34"/>
  <c r="B499" i="34"/>
  <c r="B498" i="34"/>
  <c r="B497" i="34"/>
  <c r="B496" i="34"/>
  <c r="B495" i="34"/>
  <c r="B494" i="34"/>
  <c r="B493" i="34"/>
  <c r="B492" i="34"/>
  <c r="B491" i="34"/>
  <c r="B490" i="34"/>
  <c r="B489" i="34"/>
  <c r="B484" i="34"/>
  <c r="B483" i="34"/>
  <c r="B482" i="34"/>
  <c r="B481" i="34"/>
  <c r="B475" i="34"/>
  <c r="B474" i="34"/>
  <c r="B473" i="34"/>
  <c r="B458" i="34"/>
  <c r="B115" i="34"/>
  <c r="B114" i="34"/>
  <c r="B113" i="34"/>
  <c r="B112" i="34"/>
  <c r="B111" i="34"/>
  <c r="B857" i="34"/>
  <c r="B1214" i="34"/>
  <c r="B1213" i="34"/>
  <c r="B1212" i="34"/>
  <c r="B1211" i="34"/>
  <c r="B814" i="34"/>
  <c r="B569" i="34"/>
  <c r="B568" i="34"/>
  <c r="B567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1" i="34"/>
  <c r="B540" i="34"/>
  <c r="B535" i="34"/>
  <c r="B534" i="34"/>
  <c r="B533" i="34"/>
  <c r="B532" i="34"/>
  <c r="B531" i="34"/>
  <c r="B888" i="34"/>
  <c r="B887" i="34"/>
  <c r="B583" i="34"/>
  <c r="B582" i="34"/>
  <c r="B581" i="34"/>
  <c r="B580" i="34"/>
  <c r="B579" i="34"/>
  <c r="B578" i="34"/>
  <c r="B577" i="34"/>
  <c r="B573" i="34"/>
  <c r="B572" i="34"/>
  <c r="B571" i="34"/>
  <c r="B570" i="34"/>
  <c r="Z583" i="34" l="1"/>
  <c r="W583" i="34"/>
  <c r="A583" i="34"/>
  <c r="Z573" i="34"/>
  <c r="W573" i="34"/>
  <c r="A573" i="34"/>
  <c r="Z533" i="34"/>
  <c r="W533" i="34"/>
  <c r="A533" i="34"/>
  <c r="Z541" i="34"/>
  <c r="W541" i="34"/>
  <c r="A541" i="34"/>
  <c r="Z551" i="34"/>
  <c r="W551" i="34"/>
  <c r="A551" i="34"/>
  <c r="Z555" i="34"/>
  <c r="W555" i="34"/>
  <c r="A555" i="34"/>
  <c r="Z559" i="34"/>
  <c r="W559" i="34"/>
  <c r="A559" i="34"/>
  <c r="Z563" i="34"/>
  <c r="W563" i="34"/>
  <c r="A563" i="34"/>
  <c r="Z569" i="34"/>
  <c r="W569" i="34"/>
  <c r="A569" i="34"/>
  <c r="Z1213" i="34"/>
  <c r="W1213" i="34"/>
  <c r="A1213" i="34"/>
  <c r="W112" i="34"/>
  <c r="Z112" i="34"/>
  <c r="A112" i="34"/>
  <c r="Z458" i="34"/>
  <c r="W458" i="34"/>
  <c r="A458" i="34"/>
  <c r="Z481" i="34"/>
  <c r="W481" i="34"/>
  <c r="A481" i="34"/>
  <c r="Z489" i="34"/>
  <c r="W489" i="34"/>
  <c r="A489" i="34"/>
  <c r="Z493" i="34"/>
  <c r="W493" i="34"/>
  <c r="A493" i="34"/>
  <c r="Z497" i="34"/>
  <c r="W497" i="34"/>
  <c r="A497" i="34"/>
  <c r="Z512" i="34"/>
  <c r="W512" i="34"/>
  <c r="A512" i="34"/>
  <c r="Z518" i="34"/>
  <c r="W518" i="34"/>
  <c r="A518" i="34"/>
  <c r="Z539" i="34"/>
  <c r="W539" i="34"/>
  <c r="A539" i="34"/>
  <c r="W606" i="34"/>
  <c r="Z606" i="34"/>
  <c r="A606" i="34"/>
  <c r="Z601" i="34"/>
  <c r="W601" i="34"/>
  <c r="A601" i="34"/>
  <c r="W612" i="34"/>
  <c r="Z612" i="34"/>
  <c r="A612" i="34"/>
  <c r="W619" i="34"/>
  <c r="Z619" i="34"/>
  <c r="A619" i="34"/>
  <c r="Z692" i="34"/>
  <c r="W692" i="34"/>
  <c r="A692" i="34"/>
  <c r="Z706" i="34"/>
  <c r="W706" i="34"/>
  <c r="A706" i="34"/>
  <c r="W768" i="34"/>
  <c r="Z768" i="34"/>
  <c r="A768" i="34"/>
  <c r="W802" i="34"/>
  <c r="Z802" i="34"/>
  <c r="A802" i="34"/>
  <c r="W128" i="34"/>
  <c r="Z128" i="34"/>
  <c r="A128" i="34"/>
  <c r="W952" i="34"/>
  <c r="Z952" i="34"/>
  <c r="A952" i="34"/>
  <c r="W964" i="34"/>
  <c r="Z964" i="34"/>
  <c r="A964" i="34"/>
  <c r="Z1041" i="34"/>
  <c r="W1041" i="34"/>
  <c r="A1041" i="34"/>
  <c r="Z986" i="34"/>
  <c r="W986" i="34"/>
  <c r="A986" i="34"/>
  <c r="Z1012" i="34"/>
  <c r="W1012" i="34"/>
  <c r="A1012" i="34"/>
  <c r="Z1045" i="34"/>
  <c r="W1045" i="34"/>
  <c r="A1045" i="34"/>
  <c r="Z1049" i="34"/>
  <c r="W1049" i="34"/>
  <c r="A1049" i="34"/>
  <c r="Z1053" i="34"/>
  <c r="W1053" i="34"/>
  <c r="A1053" i="34"/>
  <c r="Z1098" i="34"/>
  <c r="W1098" i="34"/>
  <c r="A1098" i="34"/>
  <c r="Z1097" i="34"/>
  <c r="W1097" i="34"/>
  <c r="A1097" i="34"/>
  <c r="Z572" i="34"/>
  <c r="W572" i="34"/>
  <c r="A572" i="34"/>
  <c r="Z540" i="34"/>
  <c r="W540" i="34"/>
  <c r="A540" i="34"/>
  <c r="Z887" i="34"/>
  <c r="W887" i="34"/>
  <c r="A887" i="34"/>
  <c r="Z570" i="34"/>
  <c r="W570" i="34"/>
  <c r="A570" i="34"/>
  <c r="Z577" i="34"/>
  <c r="W577" i="34"/>
  <c r="A577" i="34"/>
  <c r="Z581" i="34"/>
  <c r="W581" i="34"/>
  <c r="A581" i="34"/>
  <c r="Z888" i="34"/>
  <c r="W888" i="34"/>
  <c r="A888" i="34"/>
  <c r="Z534" i="34"/>
  <c r="W534" i="34"/>
  <c r="A534" i="34"/>
  <c r="Z548" i="34"/>
  <c r="W548" i="34"/>
  <c r="A548" i="34"/>
  <c r="Z552" i="34"/>
  <c r="W552" i="34"/>
  <c r="A552" i="34"/>
  <c r="Z556" i="34"/>
  <c r="W556" i="34"/>
  <c r="A556" i="34"/>
  <c r="Z560" i="34"/>
  <c r="W560" i="34"/>
  <c r="A560" i="34"/>
  <c r="Z564" i="34"/>
  <c r="W564" i="34"/>
  <c r="A564" i="34"/>
  <c r="Z814" i="34"/>
  <c r="W814" i="34"/>
  <c r="A814" i="34"/>
  <c r="Z1214" i="34"/>
  <c r="W1214" i="34"/>
  <c r="A1214" i="34"/>
  <c r="Z113" i="34"/>
  <c r="W113" i="34"/>
  <c r="A113" i="34"/>
  <c r="W473" i="34"/>
  <c r="Z473" i="34"/>
  <c r="A473" i="34"/>
  <c r="Z482" i="34"/>
  <c r="W482" i="34"/>
  <c r="A482" i="34"/>
  <c r="Z490" i="34"/>
  <c r="W490" i="34"/>
  <c r="A490" i="34"/>
  <c r="Z494" i="34"/>
  <c r="W494" i="34"/>
  <c r="A494" i="34"/>
  <c r="Z498" i="34"/>
  <c r="W498" i="34"/>
  <c r="A498" i="34"/>
  <c r="Z515" i="34"/>
  <c r="W515" i="34"/>
  <c r="A515" i="34"/>
  <c r="Z519" i="34"/>
  <c r="W519" i="34"/>
  <c r="A519" i="34"/>
  <c r="Z595" i="34"/>
  <c r="W595" i="34"/>
  <c r="A595" i="34"/>
  <c r="Z598" i="34"/>
  <c r="W598" i="34"/>
  <c r="A598" i="34"/>
  <c r="Z609" i="34"/>
  <c r="W609" i="34"/>
  <c r="A609" i="34"/>
  <c r="W613" i="34"/>
  <c r="Z613" i="34"/>
  <c r="A613" i="34"/>
  <c r="W620" i="34"/>
  <c r="Z620" i="34"/>
  <c r="A620" i="34"/>
  <c r="W703" i="34"/>
  <c r="Z703" i="34"/>
  <c r="A703" i="34"/>
  <c r="Z758" i="34"/>
  <c r="W758" i="34"/>
  <c r="A758" i="34"/>
  <c r="W774" i="34"/>
  <c r="Z774" i="34"/>
  <c r="A774" i="34"/>
  <c r="Z811" i="34"/>
  <c r="W811" i="34"/>
  <c r="A811" i="34"/>
  <c r="Z129" i="34"/>
  <c r="W129" i="34"/>
  <c r="A129" i="34"/>
  <c r="W953" i="34"/>
  <c r="Z953" i="34"/>
  <c r="A953" i="34"/>
  <c r="Z984" i="34"/>
  <c r="W984" i="34"/>
  <c r="A984" i="34"/>
  <c r="Z1042" i="34"/>
  <c r="W1042" i="34"/>
  <c r="A1042" i="34"/>
  <c r="Z1008" i="34"/>
  <c r="W1008" i="34"/>
  <c r="A1008" i="34"/>
  <c r="Z1013" i="34"/>
  <c r="W1013" i="34"/>
  <c r="A1013" i="34"/>
  <c r="Z1046" i="34"/>
  <c r="W1046" i="34"/>
  <c r="A1046" i="34"/>
  <c r="Z1050" i="34"/>
  <c r="W1050" i="34"/>
  <c r="A1050" i="34"/>
  <c r="Z1054" i="34"/>
  <c r="W1054" i="34"/>
  <c r="A1054" i="34"/>
  <c r="Z1133" i="34"/>
  <c r="W1133" i="34"/>
  <c r="A1133" i="34"/>
  <c r="Z1113" i="34"/>
  <c r="W1113" i="34"/>
  <c r="A1113" i="34"/>
  <c r="Z579" i="34"/>
  <c r="W579" i="34"/>
  <c r="A579" i="34"/>
  <c r="Z550" i="34"/>
  <c r="W550" i="34"/>
  <c r="A550" i="34"/>
  <c r="Z580" i="34"/>
  <c r="W580" i="34"/>
  <c r="A580" i="34"/>
  <c r="Z571" i="34"/>
  <c r="W571" i="34"/>
  <c r="A571" i="34"/>
  <c r="Z578" i="34"/>
  <c r="W578" i="34"/>
  <c r="A578" i="34"/>
  <c r="Z582" i="34"/>
  <c r="W582" i="34"/>
  <c r="A582" i="34"/>
  <c r="Z531" i="34"/>
  <c r="W531" i="34"/>
  <c r="A531" i="34"/>
  <c r="Z535" i="34"/>
  <c r="W535" i="34"/>
  <c r="A535" i="34"/>
  <c r="Z549" i="34"/>
  <c r="W549" i="34"/>
  <c r="A549" i="34"/>
  <c r="Z553" i="34"/>
  <c r="W553" i="34"/>
  <c r="A553" i="34"/>
  <c r="Z557" i="34"/>
  <c r="W557" i="34"/>
  <c r="A557" i="34"/>
  <c r="Z561" i="34"/>
  <c r="W561" i="34"/>
  <c r="A561" i="34"/>
  <c r="Z567" i="34"/>
  <c r="W567" i="34"/>
  <c r="A567" i="34"/>
  <c r="Z1211" i="34"/>
  <c r="W1211" i="34"/>
  <c r="A1211" i="34"/>
  <c r="Z857" i="34"/>
  <c r="W857" i="34"/>
  <c r="A857" i="34"/>
  <c r="W114" i="34"/>
  <c r="Z114" i="34"/>
  <c r="A114" i="34"/>
  <c r="Z474" i="34"/>
  <c r="W474" i="34"/>
  <c r="A474" i="34"/>
  <c r="Z483" i="34"/>
  <c r="W483" i="34"/>
  <c r="A483" i="34"/>
  <c r="Z491" i="34"/>
  <c r="W491" i="34"/>
  <c r="A491" i="34"/>
  <c r="Z495" i="34"/>
  <c r="W495" i="34"/>
  <c r="A495" i="34"/>
  <c r="Z499" i="34"/>
  <c r="W499" i="34"/>
  <c r="A499" i="34"/>
  <c r="Z516" i="34"/>
  <c r="W516" i="34"/>
  <c r="A516" i="34"/>
  <c r="Z520" i="34"/>
  <c r="W520" i="34"/>
  <c r="A520" i="34"/>
  <c r="Z596" i="34"/>
  <c r="W596" i="34"/>
  <c r="A596" i="34"/>
  <c r="Z599" i="34"/>
  <c r="W599" i="34"/>
  <c r="A599" i="34"/>
  <c r="W610" i="34"/>
  <c r="Z610" i="34"/>
  <c r="A610" i="34"/>
  <c r="W614" i="34"/>
  <c r="Z614" i="34"/>
  <c r="A614" i="34"/>
  <c r="W621" i="34"/>
  <c r="Z621" i="34"/>
  <c r="A621" i="34"/>
  <c r="Z704" i="34"/>
  <c r="W704" i="34"/>
  <c r="A704" i="34"/>
  <c r="W759" i="34"/>
  <c r="Z759" i="34"/>
  <c r="A759" i="34"/>
  <c r="W775" i="34"/>
  <c r="Z775" i="34"/>
  <c r="A775" i="34"/>
  <c r="Z812" i="34"/>
  <c r="W812" i="34"/>
  <c r="A812" i="34"/>
  <c r="W130" i="34"/>
  <c r="Z130" i="34"/>
  <c r="A130" i="34"/>
  <c r="W962" i="34"/>
  <c r="Z962" i="34"/>
  <c r="A962" i="34"/>
  <c r="Z1007" i="34"/>
  <c r="W1007" i="34"/>
  <c r="A1007" i="34"/>
  <c r="Z1043" i="34"/>
  <c r="W1043" i="34"/>
  <c r="A1043" i="34"/>
  <c r="Z1009" i="34"/>
  <c r="W1009" i="34"/>
  <c r="A1009" i="34"/>
  <c r="Z1014" i="34"/>
  <c r="W1014" i="34"/>
  <c r="A1014" i="34"/>
  <c r="Z1047" i="34"/>
  <c r="W1047" i="34"/>
  <c r="A1047" i="34"/>
  <c r="Z1051" i="34"/>
  <c r="W1051" i="34"/>
  <c r="A1051" i="34"/>
  <c r="Z1092" i="34"/>
  <c r="W1092" i="34"/>
  <c r="A1092" i="34"/>
  <c r="Z1088" i="34"/>
  <c r="W1088" i="34"/>
  <c r="A1088" i="34"/>
  <c r="Z1055" i="34"/>
  <c r="W1055" i="34"/>
  <c r="A1055" i="34"/>
  <c r="Z532" i="34"/>
  <c r="W532" i="34"/>
  <c r="A532" i="34"/>
  <c r="Z554" i="34"/>
  <c r="W554" i="34"/>
  <c r="A554" i="34"/>
  <c r="Z558" i="34"/>
  <c r="W558" i="34"/>
  <c r="A558" i="34"/>
  <c r="Z562" i="34"/>
  <c r="W562" i="34"/>
  <c r="A562" i="34"/>
  <c r="Z568" i="34"/>
  <c r="W568" i="34"/>
  <c r="A568" i="34"/>
  <c r="Z1212" i="34"/>
  <c r="W1212" i="34"/>
  <c r="A1212" i="34"/>
  <c r="Z111" i="34"/>
  <c r="W111" i="34"/>
  <c r="A111" i="34"/>
  <c r="Z115" i="34"/>
  <c r="W115" i="34"/>
  <c r="A115" i="34"/>
  <c r="Z475" i="34"/>
  <c r="W475" i="34"/>
  <c r="A475" i="34"/>
  <c r="Z484" i="34"/>
  <c r="W484" i="34"/>
  <c r="A484" i="34"/>
  <c r="Z492" i="34"/>
  <c r="W492" i="34"/>
  <c r="A492" i="34"/>
  <c r="Z496" i="34"/>
  <c r="W496" i="34"/>
  <c r="A496" i="34"/>
  <c r="Z511" i="34"/>
  <c r="W511" i="34"/>
  <c r="A511" i="34"/>
  <c r="Z517" i="34"/>
  <c r="W517" i="34"/>
  <c r="A517" i="34"/>
  <c r="Z530" i="34"/>
  <c r="W530" i="34"/>
  <c r="A530" i="34"/>
  <c r="Z597" i="34"/>
  <c r="W597" i="34"/>
  <c r="A597" i="34"/>
  <c r="Z600" i="34"/>
  <c r="W600" i="34"/>
  <c r="A600" i="34"/>
  <c r="W611" i="34"/>
  <c r="Z611" i="34"/>
  <c r="A611" i="34"/>
  <c r="W618" i="34"/>
  <c r="Z618" i="34"/>
  <c r="A618" i="34"/>
  <c r="W691" i="34"/>
  <c r="Z691" i="34"/>
  <c r="A691" i="34"/>
  <c r="W705" i="34"/>
  <c r="Z705" i="34"/>
  <c r="A705" i="34"/>
  <c r="W767" i="34"/>
  <c r="Z767" i="34"/>
  <c r="A767" i="34"/>
  <c r="W801" i="34"/>
  <c r="Z801" i="34"/>
  <c r="A801" i="34"/>
  <c r="Z813" i="34"/>
  <c r="W813" i="34"/>
  <c r="A813" i="34"/>
  <c r="W951" i="34"/>
  <c r="Z951" i="34"/>
  <c r="A951" i="34"/>
  <c r="W963" i="34"/>
  <c r="Z963" i="34"/>
  <c r="A963" i="34"/>
  <c r="Z1040" i="34"/>
  <c r="W1040" i="34"/>
  <c r="A1040" i="34"/>
  <c r="Z985" i="34"/>
  <c r="W985" i="34"/>
  <c r="A985" i="34"/>
  <c r="Z1011" i="34"/>
  <c r="W1011" i="34"/>
  <c r="A1011" i="34"/>
  <c r="Z1044" i="34"/>
  <c r="W1044" i="34"/>
  <c r="A1044" i="34"/>
  <c r="Z1048" i="34"/>
  <c r="W1048" i="34"/>
  <c r="A1048" i="34"/>
  <c r="Z1052" i="34"/>
  <c r="W1052" i="34"/>
  <c r="A1052" i="34"/>
  <c r="Z1095" i="34"/>
  <c r="W1095" i="34"/>
  <c r="A1095" i="34"/>
  <c r="Z1096" i="34"/>
  <c r="W1096" i="34"/>
  <c r="A1096" i="34"/>
  <c r="Z1056" i="34"/>
  <c r="W1056" i="34"/>
  <c r="A1056" i="34"/>
  <c r="B2063" i="34"/>
  <c r="B3239" i="34"/>
  <c r="A3239" i="34" s="1"/>
  <c r="Z2063" i="34" l="1"/>
  <c r="W2063" i="34"/>
  <c r="A2063" i="34"/>
  <c r="B3238" i="34"/>
  <c r="A3238" i="34" s="1"/>
  <c r="B3237" i="34"/>
  <c r="A3237" i="34" s="1"/>
  <c r="B80" i="34"/>
  <c r="W80" i="34" l="1"/>
  <c r="Z80" i="34"/>
  <c r="A80" i="34"/>
  <c r="B3317" i="34"/>
  <c r="A3317" i="34" s="1"/>
  <c r="B3318" i="34"/>
  <c r="A3318" i="34" s="1"/>
  <c r="B3319" i="34"/>
  <c r="A3319" i="34" s="1"/>
  <c r="B3320" i="34"/>
  <c r="A3320" i="34" s="1"/>
  <c r="B3321" i="34"/>
  <c r="A3321" i="34" s="1"/>
  <c r="B3322" i="34"/>
  <c r="A3322" i="34" s="1"/>
  <c r="B3323" i="34"/>
  <c r="A3323" i="34" s="1"/>
  <c r="B3324" i="34"/>
  <c r="A3324" i="34" s="1"/>
  <c r="B3325" i="34"/>
  <c r="A3325" i="34" s="1"/>
  <c r="B3326" i="34"/>
  <c r="A3326" i="34" s="1"/>
  <c r="B3328" i="34"/>
  <c r="A3328" i="34" s="1"/>
  <c r="B3329" i="34"/>
  <c r="A3329" i="34" s="1"/>
  <c r="B3330" i="34"/>
  <c r="A3330" i="34" s="1"/>
  <c r="B3331" i="34"/>
  <c r="A3331" i="34" s="1"/>
  <c r="B3332" i="34"/>
  <c r="A3332" i="34" s="1"/>
  <c r="B3333" i="34"/>
  <c r="A3333" i="34" s="1"/>
  <c r="B3334" i="34"/>
  <c r="A3334" i="34" s="1"/>
  <c r="B3336" i="34"/>
  <c r="A3336" i="34" s="1"/>
  <c r="B3337" i="34"/>
  <c r="A3337" i="34" s="1"/>
  <c r="B3338" i="34"/>
  <c r="A3338" i="34" s="1"/>
  <c r="B3339" i="34"/>
  <c r="A3339" i="34" s="1"/>
  <c r="B3013" i="34"/>
  <c r="A3013" i="34" s="1"/>
  <c r="B3014" i="34"/>
  <c r="A3014" i="34" s="1"/>
  <c r="B3015" i="34"/>
  <c r="A3015" i="34" s="1"/>
  <c r="B3016" i="34"/>
  <c r="A3016" i="34" s="1"/>
  <c r="B3017" i="34"/>
  <c r="A3017" i="34" s="1"/>
  <c r="B3027" i="34"/>
  <c r="A3027" i="34" s="1"/>
  <c r="B3028" i="34"/>
  <c r="A3028" i="34" s="1"/>
  <c r="B3029" i="34"/>
  <c r="A3029" i="34" s="1"/>
  <c r="B3030" i="34"/>
  <c r="A3030" i="34" s="1"/>
  <c r="B3031" i="34"/>
  <c r="A3031" i="34" s="1"/>
  <c r="B3032" i="34"/>
  <c r="A3032" i="34" s="1"/>
  <c r="B3033" i="34"/>
  <c r="A3033" i="34" s="1"/>
  <c r="B3035" i="34"/>
  <c r="A3035" i="34" s="1"/>
  <c r="B3036" i="34"/>
  <c r="A3036" i="34" s="1"/>
  <c r="B3037" i="34"/>
  <c r="A3037" i="34" s="1"/>
  <c r="B3038" i="34"/>
  <c r="A3038" i="34" s="1"/>
  <c r="B3039" i="34"/>
  <c r="A3039" i="34" s="1"/>
  <c r="B3040" i="34"/>
  <c r="A3040" i="34" s="1"/>
  <c r="B3042" i="34"/>
  <c r="A3042" i="34" s="1"/>
  <c r="B3044" i="34"/>
  <c r="A3044" i="34" s="1"/>
  <c r="B3045" i="34"/>
  <c r="A3045" i="34" s="1"/>
  <c r="B3046" i="34"/>
  <c r="A3046" i="34" s="1"/>
  <c r="B3047" i="34"/>
  <c r="A3047" i="34" s="1"/>
  <c r="B3048" i="34"/>
  <c r="A3048" i="34" s="1"/>
  <c r="B3049" i="34"/>
  <c r="A3049" i="34" s="1"/>
  <c r="B3050" i="34"/>
  <c r="A3050" i="34" s="1"/>
  <c r="B3051" i="34"/>
  <c r="A3051" i="34" s="1"/>
  <c r="B3052" i="34"/>
  <c r="A3052" i="34" s="1"/>
  <c r="B3053" i="34"/>
  <c r="A3053" i="34" s="1"/>
  <c r="B3059" i="34"/>
  <c r="A3059" i="34" s="1"/>
  <c r="B3060" i="34"/>
  <c r="A3060" i="34" s="1"/>
  <c r="B3061" i="34"/>
  <c r="A3061" i="34" s="1"/>
  <c r="B3062" i="34"/>
  <c r="A3062" i="34" s="1"/>
  <c r="B3100" i="34"/>
  <c r="A3100" i="34" s="1"/>
  <c r="B3101" i="34"/>
  <c r="A3101" i="34" s="1"/>
  <c r="B3102" i="34"/>
  <c r="A3102" i="34" s="1"/>
  <c r="B3103" i="34"/>
  <c r="A3103" i="34" s="1"/>
  <c r="B3104" i="34"/>
  <c r="A3104" i="34" s="1"/>
  <c r="B3105" i="34"/>
  <c r="A3105" i="34" s="1"/>
  <c r="B3106" i="34"/>
  <c r="A3106" i="34" s="1"/>
  <c r="B3107" i="34"/>
  <c r="A3107" i="34" s="1"/>
  <c r="B3108" i="34"/>
  <c r="A3108" i="34" s="1"/>
  <c r="B3109" i="34"/>
  <c r="A3109" i="34" s="1"/>
  <c r="B3110" i="34"/>
  <c r="A3110" i="34" s="1"/>
  <c r="B3111" i="34"/>
  <c r="A3111" i="34" s="1"/>
  <c r="B3204" i="34"/>
  <c r="A3204" i="34" s="1"/>
  <c r="B3205" i="34"/>
  <c r="A3205" i="34" s="1"/>
  <c r="B3206" i="34"/>
  <c r="A3206" i="34" s="1"/>
  <c r="B3207" i="34"/>
  <c r="A3207" i="34" s="1"/>
  <c r="B3208" i="34"/>
  <c r="A3208" i="34" s="1"/>
  <c r="B3209" i="34"/>
  <c r="A3209" i="34" s="1"/>
  <c r="B3210" i="34"/>
  <c r="A3210" i="34" s="1"/>
  <c r="B3211" i="34"/>
  <c r="A3211" i="34" s="1"/>
  <c r="B3240" i="34"/>
  <c r="A3240" i="34" s="1"/>
  <c r="B3241" i="34"/>
  <c r="A3241" i="34" s="1"/>
  <c r="B3242" i="34"/>
  <c r="A3242" i="34" s="1"/>
  <c r="B3243" i="34"/>
  <c r="A3243" i="34" s="1"/>
  <c r="B3244" i="34"/>
  <c r="A3244" i="34" s="1"/>
  <c r="B3245" i="34"/>
  <c r="A3245" i="34" s="1"/>
  <c r="B3246" i="34"/>
  <c r="A3246" i="34" s="1"/>
  <c r="B3247" i="34"/>
  <c r="A3247" i="34" s="1"/>
  <c r="B3248" i="34"/>
  <c r="A3248" i="34" s="1"/>
  <c r="B3249" i="34"/>
  <c r="A3249" i="34" s="1"/>
  <c r="B3250" i="34"/>
  <c r="A3250" i="34" s="1"/>
  <c r="B3251" i="34"/>
  <c r="A3251" i="34" s="1"/>
  <c r="B3252" i="34"/>
  <c r="A3252" i="34" s="1"/>
  <c r="B3253" i="34"/>
  <c r="A3253" i="34" s="1"/>
  <c r="B3254" i="34"/>
  <c r="A3254" i="34" s="1"/>
  <c r="B3255" i="34"/>
  <c r="A3255" i="34" s="1"/>
  <c r="B3256" i="34"/>
  <c r="A3256" i="34" s="1"/>
  <c r="B3257" i="34"/>
  <c r="A3257" i="34" s="1"/>
  <c r="B3258" i="34"/>
  <c r="A3258" i="34" s="1"/>
  <c r="B3259" i="34"/>
  <c r="A3259" i="34" s="1"/>
  <c r="B3260" i="34"/>
  <c r="A3260" i="34" s="1"/>
  <c r="B3261" i="34"/>
  <c r="A3261" i="34" s="1"/>
  <c r="B3262" i="34"/>
  <c r="A3262" i="34" s="1"/>
  <c r="B3263" i="34"/>
  <c r="A3263" i="34" s="1"/>
  <c r="B3264" i="34"/>
  <c r="A3264" i="34" s="1"/>
  <c r="B3265" i="34"/>
  <c r="A3265" i="34" s="1"/>
  <c r="B3266" i="34"/>
  <c r="A3266" i="34" s="1"/>
  <c r="B3267" i="34"/>
  <c r="A3267" i="34" s="1"/>
  <c r="B3268" i="34"/>
  <c r="A3268" i="34" s="1"/>
  <c r="B3063" i="34"/>
  <c r="A3063" i="34" s="1"/>
  <c r="B3022" i="34"/>
  <c r="A3022" i="34" s="1"/>
  <c r="B3112" i="34"/>
  <c r="A3112" i="34" s="1"/>
  <c r="B3113" i="34"/>
  <c r="A3113" i="34" s="1"/>
  <c r="B3114" i="34"/>
  <c r="A3114" i="34" s="1"/>
  <c r="B3115" i="34"/>
  <c r="A3115" i="34" s="1"/>
  <c r="B3116" i="34"/>
  <c r="A3116" i="34" s="1"/>
  <c r="B3117" i="34"/>
  <c r="A3117" i="34" s="1"/>
  <c r="B3118" i="34"/>
  <c r="A3118" i="34" s="1"/>
  <c r="B3119" i="34"/>
  <c r="A3119" i="34" s="1"/>
  <c r="B3120" i="34"/>
  <c r="A3120" i="34" s="1"/>
  <c r="B3202" i="34"/>
  <c r="A3202" i="34" s="1"/>
  <c r="B3201" i="34"/>
  <c r="A3201" i="34" s="1"/>
  <c r="B3200" i="34"/>
  <c r="A3200" i="34" s="1"/>
  <c r="B3199" i="34"/>
  <c r="A3199" i="34" s="1"/>
  <c r="B3198" i="34"/>
  <c r="A3198" i="34" s="1"/>
  <c r="B3197" i="34"/>
  <c r="A3197" i="34" s="1"/>
  <c r="B3196" i="34"/>
  <c r="A3196" i="34" s="1"/>
  <c r="B3195" i="34"/>
  <c r="A3195" i="34" s="1"/>
  <c r="B3194" i="34"/>
  <c r="A3194" i="34" s="1"/>
  <c r="B3193" i="34"/>
  <c r="A3193" i="34" s="1"/>
  <c r="B3192" i="34"/>
  <c r="A3192" i="34" s="1"/>
  <c r="B3191" i="34"/>
  <c r="A3191" i="34" s="1"/>
  <c r="B3190" i="34"/>
  <c r="A3190" i="34" s="1"/>
  <c r="B3183" i="34"/>
  <c r="A3183" i="34" s="1"/>
  <c r="B3182" i="34"/>
  <c r="A3182" i="34" s="1"/>
  <c r="B3181" i="34"/>
  <c r="A3181" i="34" s="1"/>
  <c r="B3180" i="34"/>
  <c r="A3180" i="34" s="1"/>
  <c r="B3099" i="34"/>
  <c r="A3099" i="34" s="1"/>
  <c r="B3098" i="34"/>
  <c r="A3098" i="34" s="1"/>
  <c r="B3097" i="34"/>
  <c r="A3097" i="34" s="1"/>
  <c r="B3096" i="34"/>
  <c r="A3096" i="34" s="1"/>
  <c r="B3095" i="34"/>
  <c r="A3095" i="34" s="1"/>
  <c r="B3094" i="34"/>
  <c r="A3094" i="34" s="1"/>
  <c r="B3093" i="34"/>
  <c r="A3093" i="34" s="1"/>
  <c r="B3092" i="34"/>
  <c r="A3092" i="34" s="1"/>
  <c r="B3091" i="34"/>
  <c r="A3091" i="34" s="1"/>
  <c r="B3090" i="34"/>
  <c r="A3090" i="34" s="1"/>
  <c r="B3089" i="34"/>
  <c r="A3089" i="34" s="1"/>
  <c r="B3088" i="34"/>
  <c r="A3088" i="34" s="1"/>
  <c r="B3087" i="34"/>
  <c r="A3087" i="34" s="1"/>
  <c r="B3086" i="34"/>
  <c r="A3086" i="34" s="1"/>
  <c r="B3085" i="34"/>
  <c r="A3085" i="34" s="1"/>
  <c r="B3084" i="34"/>
  <c r="A3084" i="34" s="1"/>
  <c r="B3083" i="34"/>
  <c r="A3083" i="34" s="1"/>
  <c r="B3082" i="34"/>
  <c r="A3082" i="34" s="1"/>
  <c r="B3081" i="34"/>
  <c r="A3081" i="34" s="1"/>
  <c r="B3080" i="34"/>
  <c r="A3080" i="34" s="1"/>
  <c r="B3079" i="34"/>
  <c r="A3079" i="34" s="1"/>
  <c r="B3078" i="34"/>
  <c r="A3078" i="34" s="1"/>
  <c r="B3077" i="34"/>
  <c r="A3077" i="34" s="1"/>
  <c r="B3076" i="34"/>
  <c r="A3076" i="34" s="1"/>
  <c r="B3075" i="34"/>
  <c r="A3075" i="34" s="1"/>
  <c r="B3074" i="34"/>
  <c r="A3074" i="34" s="1"/>
  <c r="B3073" i="34"/>
  <c r="A3073" i="34" s="1"/>
  <c r="B3072" i="34"/>
  <c r="A3072" i="34" s="1"/>
  <c r="B3071" i="34"/>
  <c r="A3071" i="34" s="1"/>
  <c r="B3070" i="34"/>
  <c r="A3070" i="34" s="1"/>
  <c r="B3069" i="34"/>
  <c r="A3069" i="34" s="1"/>
  <c r="B3068" i="34"/>
  <c r="A3068" i="34" s="1"/>
  <c r="B3067" i="34"/>
  <c r="A3067" i="34" s="1"/>
  <c r="B3066" i="34"/>
  <c r="A3066" i="34" s="1"/>
  <c r="B3065" i="34"/>
  <c r="A3065" i="34" s="1"/>
  <c r="B3021" i="34"/>
  <c r="A3021" i="34" s="1"/>
  <c r="B3020" i="34"/>
  <c r="A3020" i="34" s="1"/>
  <c r="B3058" i="34"/>
  <c r="A3058" i="34" s="1"/>
  <c r="B3057" i="34"/>
  <c r="A3057" i="34" s="1"/>
  <c r="B3393" i="34"/>
  <c r="B3392" i="34"/>
  <c r="B3391" i="34"/>
  <c r="B3236" i="34"/>
  <c r="A3236" i="34" s="1"/>
  <c r="B3056" i="34"/>
  <c r="A3056" i="34" s="1"/>
  <c r="B3055" i="34"/>
  <c r="A3055" i="34" s="1"/>
  <c r="B3054" i="34"/>
  <c r="A3054" i="34" s="1"/>
  <c r="B3026" i="34"/>
  <c r="A3026" i="34" s="1"/>
  <c r="B3025" i="34"/>
  <c r="A3025" i="34" s="1"/>
  <c r="B3024" i="34"/>
  <c r="A3024" i="34" s="1"/>
  <c r="B3019" i="34"/>
  <c r="A3019" i="34" s="1"/>
  <c r="B3018" i="34"/>
  <c r="A3018" i="34" s="1"/>
  <c r="B3043" i="34"/>
  <c r="A3043" i="34" s="1"/>
  <c r="B3041" i="34"/>
  <c r="A3041" i="34" s="1"/>
  <c r="B3034" i="34"/>
  <c r="A3034" i="34" s="1"/>
  <c r="B3012" i="34"/>
  <c r="A3012" i="34" s="1"/>
  <c r="B3010" i="34"/>
  <c r="A3010" i="34" s="1"/>
  <c r="B3011" i="34"/>
  <c r="A3011" i="34" s="1"/>
  <c r="B3311" i="34"/>
  <c r="A3311" i="34" s="1"/>
  <c r="B3310" i="34"/>
  <c r="A3310" i="34" s="1"/>
  <c r="B3309" i="34"/>
  <c r="A3309" i="34" s="1"/>
  <c r="B3308" i="34"/>
  <c r="A3308" i="34" s="1"/>
  <c r="B3307" i="34"/>
  <c r="A3307" i="34" s="1"/>
  <c r="B3306" i="34"/>
  <c r="A3306" i="34" s="1"/>
  <c r="B3305" i="34"/>
  <c r="A3305" i="34" s="1"/>
  <c r="B3304" i="34"/>
  <c r="A3304" i="34" s="1"/>
  <c r="B3303" i="34"/>
  <c r="A3303" i="34" s="1"/>
  <c r="B3302" i="34"/>
  <c r="A3302" i="34" s="1"/>
  <c r="B3301" i="34"/>
  <c r="A3301" i="34" s="1"/>
  <c r="B3300" i="34"/>
  <c r="A3300" i="34" s="1"/>
  <c r="B3299" i="34"/>
  <c r="A3299" i="34" s="1"/>
  <c r="B3298" i="34"/>
  <c r="A3298" i="34" s="1"/>
  <c r="B3297" i="34"/>
  <c r="A3297" i="34" s="1"/>
  <c r="B3296" i="34"/>
  <c r="A3296" i="34" s="1"/>
  <c r="B3295" i="34"/>
  <c r="A3295" i="34" s="1"/>
  <c r="B3294" i="34"/>
  <c r="A3294" i="34" s="1"/>
  <c r="B3293" i="34"/>
  <c r="A3293" i="34" s="1"/>
  <c r="B3292" i="34"/>
  <c r="A3292" i="34" s="1"/>
  <c r="B3291" i="34"/>
  <c r="A3291" i="34" s="1"/>
  <c r="B3290" i="34"/>
  <c r="A3290" i="34" s="1"/>
  <c r="B3289" i="34"/>
  <c r="A3289" i="34" s="1"/>
  <c r="B3288" i="34"/>
  <c r="A3288" i="34" s="1"/>
  <c r="B3287" i="34"/>
  <c r="A3287" i="34" s="1"/>
  <c r="B3286" i="34"/>
  <c r="A3286" i="34" s="1"/>
  <c r="B3285" i="34"/>
  <c r="A3285" i="34" s="1"/>
  <c r="B3284" i="34"/>
  <c r="A3284" i="34" s="1"/>
  <c r="B3283" i="34"/>
  <c r="A3283" i="34" s="1"/>
  <c r="B3282" i="34"/>
  <c r="A3282" i="34" s="1"/>
  <c r="B3281" i="34"/>
  <c r="A3281" i="34" s="1"/>
  <c r="B3280" i="34"/>
  <c r="A3280" i="34" s="1"/>
  <c r="B3279" i="34"/>
  <c r="A3279" i="34" s="1"/>
  <c r="B3278" i="34"/>
  <c r="A3278" i="34" s="1"/>
  <c r="B3277" i="34"/>
  <c r="A3277" i="34" s="1"/>
  <c r="B3276" i="34"/>
  <c r="A3276" i="34" s="1"/>
  <c r="B3275" i="34"/>
  <c r="A3275" i="34" s="1"/>
  <c r="B3274" i="34"/>
  <c r="A3274" i="34" s="1"/>
  <c r="B3273" i="34"/>
  <c r="A3273" i="34" s="1"/>
  <c r="B3272" i="34"/>
  <c r="A3272" i="34" s="1"/>
  <c r="B3270" i="34"/>
  <c r="A3270" i="34" s="1"/>
  <c r="B3269" i="34"/>
  <c r="A3269" i="34" s="1"/>
  <c r="B3203" i="34"/>
  <c r="A3203" i="34" s="1"/>
  <c r="B3327" i="34"/>
  <c r="A3327" i="34" s="1"/>
  <c r="B3316" i="34"/>
  <c r="A3316" i="34" s="1"/>
  <c r="B3315" i="34"/>
  <c r="A3315" i="34" s="1"/>
  <c r="B3314" i="34"/>
  <c r="A3314" i="34" s="1"/>
  <c r="B3313" i="34"/>
  <c r="A3313" i="34" s="1"/>
  <c r="B3312" i="34"/>
  <c r="A3312" i="34" s="1"/>
  <c r="B3223" i="34"/>
  <c r="A3223" i="34" s="1"/>
  <c r="B3222" i="34"/>
  <c r="A3222" i="34" s="1"/>
  <c r="B3221" i="34"/>
  <c r="A3221" i="34" s="1"/>
  <c r="B3220" i="34"/>
  <c r="A3220" i="34" s="1"/>
  <c r="B3219" i="34"/>
  <c r="A3219" i="34" s="1"/>
  <c r="B3218" i="34"/>
  <c r="A3218" i="34" s="1"/>
  <c r="B3217" i="34"/>
  <c r="A3217" i="34" s="1"/>
  <c r="B3216" i="34"/>
  <c r="A3216" i="34" s="1"/>
  <c r="B3215" i="34"/>
  <c r="A3215" i="34" s="1"/>
  <c r="B3214" i="34"/>
  <c r="A3214" i="34" s="1"/>
  <c r="B3213" i="34"/>
  <c r="A3213" i="34" s="1"/>
  <c r="B3212" i="34"/>
  <c r="A3212" i="34" s="1"/>
  <c r="B3186" i="34"/>
  <c r="A3186" i="34" s="1"/>
  <c r="B3185" i="34"/>
  <c r="A3185" i="34" s="1"/>
  <c r="B3184" i="34"/>
  <c r="A3184" i="34" s="1"/>
  <c r="B3145" i="34"/>
  <c r="A3145" i="34" s="1"/>
  <c r="B3144" i="34"/>
  <c r="A3144" i="34" s="1"/>
  <c r="B3143" i="34"/>
  <c r="A3143" i="34" s="1"/>
  <c r="B3142" i="34"/>
  <c r="A3142" i="34" s="1"/>
  <c r="B3141" i="34"/>
  <c r="A3141" i="34" s="1"/>
  <c r="B3140" i="34"/>
  <c r="A3140" i="34" s="1"/>
  <c r="B3139" i="34"/>
  <c r="A3139" i="34" s="1"/>
  <c r="B3138" i="34"/>
  <c r="A3138" i="34" s="1"/>
  <c r="B3137" i="34"/>
  <c r="A3137" i="34" s="1"/>
  <c r="B3136" i="34"/>
  <c r="A3136" i="34" s="1"/>
  <c r="B3135" i="34"/>
  <c r="A3135" i="34" s="1"/>
  <c r="B3134" i="34"/>
  <c r="A3134" i="34" s="1"/>
  <c r="B3133" i="34"/>
  <c r="A3133" i="34" s="1"/>
  <c r="B3132" i="34"/>
  <c r="A3132" i="34" s="1"/>
  <c r="B3131" i="34"/>
  <c r="A3131" i="34" s="1"/>
  <c r="B3130" i="34"/>
  <c r="A3130" i="34" s="1"/>
  <c r="B3129" i="34"/>
  <c r="A3129" i="34" s="1"/>
  <c r="B3128" i="34"/>
  <c r="A3128" i="34" s="1"/>
  <c r="B3127" i="34"/>
  <c r="A3127" i="34" s="1"/>
  <c r="B3126" i="34"/>
  <c r="A3126" i="34" s="1"/>
  <c r="B3125" i="34"/>
  <c r="A3125" i="34" s="1"/>
  <c r="B3124" i="34"/>
  <c r="A3124" i="34" s="1"/>
  <c r="B3123" i="34"/>
  <c r="A3123" i="34" s="1"/>
  <c r="B3122" i="34"/>
  <c r="A3122" i="34" s="1"/>
  <c r="B3121" i="34"/>
  <c r="A3121" i="34" s="1"/>
  <c r="B3350" i="34"/>
  <c r="B3235" i="34"/>
  <c r="A3235" i="34" s="1"/>
  <c r="B3234" i="34"/>
  <c r="A3234" i="34" s="1"/>
  <c r="B3233" i="34"/>
  <c r="A3233" i="34" s="1"/>
  <c r="B3232" i="34"/>
  <c r="A3232" i="34" s="1"/>
  <c r="B3231" i="34"/>
  <c r="A3231" i="34" s="1"/>
  <c r="B3230" i="34"/>
  <c r="A3230" i="34" s="1"/>
  <c r="B3229" i="34"/>
  <c r="A3229" i="34" s="1"/>
  <c r="B3228" i="34"/>
  <c r="A3228" i="34" s="1"/>
  <c r="B3227" i="34"/>
  <c r="A3227" i="34" s="1"/>
  <c r="B3226" i="34"/>
  <c r="A3226" i="34" s="1"/>
  <c r="B3225" i="34"/>
  <c r="A3225" i="34" s="1"/>
  <c r="B3224" i="34"/>
  <c r="A3224" i="34" s="1"/>
  <c r="B3189" i="34"/>
  <c r="A3189" i="34" s="1"/>
  <c r="B3188" i="34"/>
  <c r="A3188" i="34" s="1"/>
  <c r="B3187" i="34"/>
  <c r="A3187" i="34" s="1"/>
  <c r="B3179" i="34"/>
  <c r="A3179" i="34" s="1"/>
  <c r="B3178" i="34"/>
  <c r="A3178" i="34" s="1"/>
  <c r="B3177" i="34"/>
  <c r="A3177" i="34" s="1"/>
  <c r="B3176" i="34"/>
  <c r="A3176" i="34" s="1"/>
  <c r="B3175" i="34"/>
  <c r="A3175" i="34" s="1"/>
  <c r="B3174" i="34"/>
  <c r="A3174" i="34" s="1"/>
  <c r="B3173" i="34"/>
  <c r="A3173" i="34" s="1"/>
  <c r="B3172" i="34"/>
  <c r="A3172" i="34" s="1"/>
  <c r="B3171" i="34"/>
  <c r="A3171" i="34" s="1"/>
  <c r="B3170" i="34"/>
  <c r="A3170" i="34" s="1"/>
  <c r="B3169" i="34"/>
  <c r="A3169" i="34" s="1"/>
  <c r="B3168" i="34"/>
  <c r="A3168" i="34" s="1"/>
  <c r="B3167" i="34"/>
  <c r="A3167" i="34" s="1"/>
  <c r="B3166" i="34"/>
  <c r="A3166" i="34" s="1"/>
  <c r="B3165" i="34"/>
  <c r="A3165" i="34" s="1"/>
  <c r="B3164" i="34"/>
  <c r="A3164" i="34" s="1"/>
  <c r="B3163" i="34"/>
  <c r="A3163" i="34" s="1"/>
  <c r="B3162" i="34"/>
  <c r="A3162" i="34" s="1"/>
  <c r="B3161" i="34"/>
  <c r="A3161" i="34" s="1"/>
  <c r="B3160" i="34"/>
  <c r="A3160" i="34" s="1"/>
  <c r="B3159" i="34"/>
  <c r="A3159" i="34" s="1"/>
  <c r="B3158" i="34"/>
  <c r="A3158" i="34" s="1"/>
  <c r="B3157" i="34"/>
  <c r="A3157" i="34" s="1"/>
  <c r="B3156" i="34"/>
  <c r="A3156" i="34" s="1"/>
  <c r="B3155" i="34"/>
  <c r="A3155" i="34" s="1"/>
  <c r="B3154" i="34"/>
  <c r="A3154" i="34" s="1"/>
  <c r="B3153" i="34"/>
  <c r="A3153" i="34" s="1"/>
  <c r="B3152" i="34"/>
  <c r="A3152" i="34" s="1"/>
  <c r="B3151" i="34"/>
  <c r="A3151" i="34" s="1"/>
  <c r="B3150" i="34"/>
  <c r="A3150" i="34" s="1"/>
  <c r="B3149" i="34"/>
  <c r="A3149" i="34" s="1"/>
  <c r="B3148" i="34"/>
  <c r="A3148" i="34" s="1"/>
  <c r="B3147" i="34"/>
  <c r="A3147" i="34" s="1"/>
  <c r="B3146" i="34"/>
  <c r="A3146" i="34" s="1"/>
  <c r="B3023" i="34"/>
  <c r="A3023" i="34" s="1"/>
  <c r="B3064" i="34"/>
  <c r="A3064" i="34" s="1"/>
  <c r="B3349" i="34"/>
  <c r="A3349" i="34" s="1"/>
  <c r="B3348" i="34"/>
  <c r="A3348" i="34" s="1"/>
  <c r="B3347" i="34"/>
  <c r="A3347" i="34" s="1"/>
  <c r="B3346" i="34"/>
  <c r="A3346" i="34" s="1"/>
  <c r="B3345" i="34"/>
  <c r="A3345" i="34" s="1"/>
  <c r="B3344" i="34"/>
  <c r="A3344" i="34" s="1"/>
  <c r="B3343" i="34"/>
  <c r="A3343" i="34" s="1"/>
  <c r="B3342" i="34"/>
  <c r="A3342" i="34" s="1"/>
  <c r="B3341" i="34"/>
  <c r="A3341" i="34" s="1"/>
  <c r="B3340" i="34"/>
  <c r="A3340" i="34" s="1"/>
  <c r="B3335" i="34"/>
  <c r="A3335" i="34" s="1"/>
  <c r="B2550" i="34"/>
  <c r="B2557" i="34"/>
  <c r="B2558" i="34"/>
  <c r="B2568" i="34"/>
  <c r="B2569" i="34"/>
  <c r="B2570" i="34"/>
  <c r="B2571" i="34"/>
  <c r="B2572" i="34"/>
  <c r="B2573" i="34"/>
  <c r="B2539" i="34"/>
  <c r="B2540" i="34"/>
  <c r="B2543" i="34"/>
  <c r="B2544" i="34"/>
  <c r="B2545" i="34"/>
  <c r="B2551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744" i="34"/>
  <c r="B2745" i="34"/>
  <c r="B2746" i="34"/>
  <c r="B2750" i="34"/>
  <c r="B2751" i="34"/>
  <c r="B2752" i="34"/>
  <c r="B2757" i="34"/>
  <c r="B2758" i="34"/>
  <c r="B2759" i="34"/>
  <c r="B2760" i="34"/>
  <c r="B2761" i="34"/>
  <c r="B2762" i="34"/>
  <c r="B2790" i="34"/>
  <c r="B2791" i="34"/>
  <c r="B2792" i="34"/>
  <c r="B2794" i="34"/>
  <c r="B2795" i="34"/>
  <c r="B2767" i="34"/>
  <c r="B2768" i="34"/>
  <c r="B2769" i="34"/>
  <c r="B2774" i="34"/>
  <c r="B2775" i="34"/>
  <c r="B2776" i="34"/>
  <c r="B2779" i="34"/>
  <c r="B2780" i="34"/>
  <c r="B2781" i="34"/>
  <c r="B2860" i="34"/>
  <c r="A2860" i="34" s="1"/>
  <c r="B2861" i="34"/>
  <c r="A2861" i="34" s="1"/>
  <c r="B2862" i="34"/>
  <c r="A2862" i="34" s="1"/>
  <c r="B2863" i="34"/>
  <c r="A2863" i="34" s="1"/>
  <c r="B2864" i="34"/>
  <c r="A2864" i="34" s="1"/>
  <c r="B2865" i="34"/>
  <c r="A2865" i="34" s="1"/>
  <c r="B2866" i="34"/>
  <c r="A2866" i="34" s="1"/>
  <c r="B2867" i="34"/>
  <c r="A2867" i="34" s="1"/>
  <c r="B2868" i="34"/>
  <c r="A2868" i="34" s="1"/>
  <c r="B2869" i="34"/>
  <c r="A2869" i="34" s="1"/>
  <c r="B2870" i="34"/>
  <c r="A2870" i="34" s="1"/>
  <c r="B2871" i="34"/>
  <c r="A2871" i="34" s="1"/>
  <c r="B2872" i="34"/>
  <c r="A2872" i="34" s="1"/>
  <c r="B2873" i="34"/>
  <c r="A2873" i="34" s="1"/>
  <c r="B2874" i="34"/>
  <c r="A2874" i="34" s="1"/>
  <c r="B2875" i="34"/>
  <c r="A2875" i="34" s="1"/>
  <c r="B2876" i="34"/>
  <c r="A2876" i="34" s="1"/>
  <c r="B2877" i="34"/>
  <c r="A2877" i="34" s="1"/>
  <c r="B2878" i="34"/>
  <c r="A2878" i="34" s="1"/>
  <c r="B2879" i="34"/>
  <c r="A2879" i="34" s="1"/>
  <c r="B2880" i="34"/>
  <c r="A2880" i="34" s="1"/>
  <c r="B2881" i="34"/>
  <c r="A2881" i="34" s="1"/>
  <c r="B2882" i="34"/>
  <c r="A2882" i="34" s="1"/>
  <c r="B2883" i="34"/>
  <c r="A2883" i="34" s="1"/>
  <c r="B2884" i="34"/>
  <c r="A2884" i="34" s="1"/>
  <c r="B2885" i="34"/>
  <c r="A2885" i="34" s="1"/>
  <c r="B2886" i="34"/>
  <c r="A2886" i="34" s="1"/>
  <c r="B2887" i="34"/>
  <c r="A2887" i="34" s="1"/>
  <c r="B2888" i="34"/>
  <c r="A2888" i="34" s="1"/>
  <c r="B2889" i="34"/>
  <c r="A2889" i="34" s="1"/>
  <c r="B2497" i="34"/>
  <c r="B2943" i="34"/>
  <c r="A2943" i="34" s="1"/>
  <c r="B2944" i="34"/>
  <c r="A2944" i="34" s="1"/>
  <c r="B2945" i="34"/>
  <c r="A2945" i="34" s="1"/>
  <c r="B2946" i="34"/>
  <c r="A2946" i="34" s="1"/>
  <c r="B2947" i="34"/>
  <c r="A2947" i="34" s="1"/>
  <c r="B2948" i="34"/>
  <c r="A2948" i="34" s="1"/>
  <c r="B2949" i="34"/>
  <c r="A2949" i="34" s="1"/>
  <c r="B2999" i="34"/>
  <c r="A2999" i="34" s="1"/>
  <c r="B3000" i="34"/>
  <c r="A3000" i="34" s="1"/>
  <c r="B3001" i="34"/>
  <c r="A3001" i="34" s="1"/>
  <c r="B3002" i="34"/>
  <c r="A3002" i="34" s="1"/>
  <c r="B3003" i="34"/>
  <c r="A3003" i="34" s="1"/>
  <c r="B2552" i="34"/>
  <c r="B2553" i="34"/>
  <c r="B2554" i="34"/>
  <c r="B2559" i="34"/>
  <c r="B2560" i="34"/>
  <c r="B2561" i="34"/>
  <c r="B2562" i="34"/>
  <c r="B2563" i="34"/>
  <c r="B2566" i="34"/>
  <c r="B2567" i="34"/>
  <c r="B2555" i="34"/>
  <c r="B2556" i="34"/>
  <c r="B2531" i="34"/>
  <c r="B2532" i="34"/>
  <c r="B2533" i="34"/>
  <c r="B2534" i="34"/>
  <c r="B2618" i="34"/>
  <c r="B2619" i="34"/>
  <c r="B2621" i="34"/>
  <c r="B2622" i="34"/>
  <c r="B2623" i="34"/>
  <c r="B2624" i="34"/>
  <c r="B2625" i="34"/>
  <c r="B2564" i="34"/>
  <c r="B2565" i="34"/>
  <c r="B2626" i="34"/>
  <c r="B2627" i="34"/>
  <c r="B2628" i="34"/>
  <c r="B2629" i="34"/>
  <c r="B2631" i="34"/>
  <c r="B2632" i="34"/>
  <c r="B2633" i="34"/>
  <c r="B2634" i="34"/>
  <c r="B2827" i="34"/>
  <c r="B2828" i="34"/>
  <c r="B2839" i="34"/>
  <c r="B2840" i="34"/>
  <c r="B2822" i="34"/>
  <c r="B2823" i="34"/>
  <c r="B2820" i="34"/>
  <c r="B2821" i="34"/>
  <c r="B2818" i="34"/>
  <c r="B2819" i="34"/>
  <c r="B2809" i="34"/>
  <c r="B2810" i="34"/>
  <c r="B2829" i="34"/>
  <c r="B2830" i="34"/>
  <c r="B2843" i="34"/>
  <c r="B2844" i="34"/>
  <c r="B2815" i="34"/>
  <c r="B2817" i="34"/>
  <c r="B2675" i="34"/>
  <c r="B2676" i="34"/>
  <c r="B2688" i="34"/>
  <c r="B2689" i="34"/>
  <c r="B2678" i="34"/>
  <c r="B2679" i="34"/>
  <c r="B2680" i="34"/>
  <c r="B2682" i="34"/>
  <c r="B2890" i="34"/>
  <c r="A2890" i="34" s="1"/>
  <c r="B2891" i="34"/>
  <c r="A2891" i="34" s="1"/>
  <c r="B2892" i="34"/>
  <c r="A2892" i="34" s="1"/>
  <c r="B2893" i="34"/>
  <c r="A2893" i="34" s="1"/>
  <c r="B2894" i="34"/>
  <c r="A2894" i="34" s="1"/>
  <c r="B2895" i="34"/>
  <c r="A2895" i="34" s="1"/>
  <c r="B2896" i="34"/>
  <c r="A2896" i="34" s="1"/>
  <c r="B2897" i="34"/>
  <c r="A2897" i="34" s="1"/>
  <c r="B2898" i="34"/>
  <c r="A2898" i="34" s="1"/>
  <c r="B2899" i="34"/>
  <c r="A2899" i="34" s="1"/>
  <c r="B2900" i="34"/>
  <c r="A2900" i="34" s="1"/>
  <c r="B2549" i="34"/>
  <c r="B2793" i="34"/>
  <c r="B2620" i="34"/>
  <c r="Z2620" i="34" l="1"/>
  <c r="W2620" i="34"/>
  <c r="A2620" i="34"/>
  <c r="A2793" i="34"/>
  <c r="Z2793" i="34"/>
  <c r="W2793" i="34"/>
  <c r="W2549" i="34"/>
  <c r="Z2549" i="34"/>
  <c r="A2549" i="34"/>
  <c r="Z2682" i="34"/>
  <c r="W2682" i="34"/>
  <c r="A2682" i="34"/>
  <c r="W2689" i="34"/>
  <c r="Z2689" i="34"/>
  <c r="A2689" i="34"/>
  <c r="A2817" i="34"/>
  <c r="Z2817" i="34"/>
  <c r="W2817" i="34"/>
  <c r="Z2830" i="34"/>
  <c r="W2830" i="34"/>
  <c r="A2830" i="34"/>
  <c r="Z2819" i="34"/>
  <c r="A2819" i="34"/>
  <c r="W2819" i="34"/>
  <c r="Z2823" i="34"/>
  <c r="A2823" i="34"/>
  <c r="W2823" i="34"/>
  <c r="Z2828" i="34"/>
  <c r="W2828" i="34"/>
  <c r="A2828" i="34"/>
  <c r="Z2632" i="34"/>
  <c r="W2632" i="34"/>
  <c r="A2632" i="34"/>
  <c r="W2627" i="34"/>
  <c r="Z2627" i="34"/>
  <c r="A2627" i="34"/>
  <c r="W2625" i="34"/>
  <c r="Z2625" i="34"/>
  <c r="A2625" i="34"/>
  <c r="W2621" i="34"/>
  <c r="Z2621" i="34"/>
  <c r="A2621" i="34"/>
  <c r="W2533" i="34"/>
  <c r="Z2533" i="34"/>
  <c r="A2533" i="34"/>
  <c r="W2555" i="34"/>
  <c r="Z2555" i="34"/>
  <c r="A2555" i="34"/>
  <c r="Z2562" i="34"/>
  <c r="W2562" i="34"/>
  <c r="A2562" i="34"/>
  <c r="Z2554" i="34"/>
  <c r="W2554" i="34"/>
  <c r="A2554" i="34"/>
  <c r="Z2779" i="34"/>
  <c r="W2779" i="34"/>
  <c r="A2779" i="34"/>
  <c r="Z2769" i="34"/>
  <c r="A2769" i="34"/>
  <c r="W2769" i="34"/>
  <c r="Z2794" i="34"/>
  <c r="W2794" i="34"/>
  <c r="A2794" i="34"/>
  <c r="Z2762" i="34"/>
  <c r="W2762" i="34"/>
  <c r="A2762" i="34"/>
  <c r="Z2758" i="34"/>
  <c r="W2758" i="34"/>
  <c r="A2758" i="34"/>
  <c r="Z2750" i="34"/>
  <c r="W2750" i="34"/>
  <c r="A2750" i="34"/>
  <c r="W2617" i="34"/>
  <c r="Z2617" i="34"/>
  <c r="A2617" i="34"/>
  <c r="W2613" i="34"/>
  <c r="Z2613" i="34"/>
  <c r="A2613" i="34"/>
  <c r="W2609" i="34"/>
  <c r="Z2609" i="34"/>
  <c r="A2609" i="34"/>
  <c r="W2605" i="34"/>
  <c r="Z2605" i="34"/>
  <c r="A2605" i="34"/>
  <c r="W2601" i="34"/>
  <c r="Z2601" i="34"/>
  <c r="A2601" i="34"/>
  <c r="Z2544" i="34"/>
  <c r="W2544" i="34"/>
  <c r="A2544" i="34"/>
  <c r="W2573" i="34"/>
  <c r="Z2573" i="34"/>
  <c r="A2573" i="34"/>
  <c r="W2569" i="34"/>
  <c r="Z2569" i="34"/>
  <c r="A2569" i="34"/>
  <c r="Z2550" i="34"/>
  <c r="W2550" i="34"/>
  <c r="A2550" i="34"/>
  <c r="Z2680" i="34"/>
  <c r="W2680" i="34"/>
  <c r="A2680" i="34"/>
  <c r="Z2688" i="34"/>
  <c r="W2688" i="34"/>
  <c r="A2688" i="34"/>
  <c r="Z2815" i="34"/>
  <c r="A2815" i="34"/>
  <c r="W2815" i="34"/>
  <c r="A2829" i="34"/>
  <c r="Z2829" i="34"/>
  <c r="W2829" i="34"/>
  <c r="Z2818" i="34"/>
  <c r="W2818" i="34"/>
  <c r="A2818" i="34"/>
  <c r="Z2822" i="34"/>
  <c r="W2822" i="34"/>
  <c r="A2822" i="34"/>
  <c r="Z2827" i="34"/>
  <c r="A2827" i="34"/>
  <c r="W2827" i="34"/>
  <c r="W2631" i="34"/>
  <c r="Z2631" i="34"/>
  <c r="A2631" i="34"/>
  <c r="Z2626" i="34"/>
  <c r="W2626" i="34"/>
  <c r="A2626" i="34"/>
  <c r="Z2624" i="34"/>
  <c r="W2624" i="34"/>
  <c r="A2624" i="34"/>
  <c r="W2619" i="34"/>
  <c r="Z2619" i="34"/>
  <c r="A2619" i="34"/>
  <c r="Z2532" i="34"/>
  <c r="W2532" i="34"/>
  <c r="A2532" i="34"/>
  <c r="W2567" i="34"/>
  <c r="Z2567" i="34"/>
  <c r="A2567" i="34"/>
  <c r="W2561" i="34"/>
  <c r="Z2561" i="34"/>
  <c r="A2561" i="34"/>
  <c r="W2553" i="34"/>
  <c r="Z2553" i="34"/>
  <c r="A2553" i="34"/>
  <c r="Z2776" i="34"/>
  <c r="W2776" i="34"/>
  <c r="A2776" i="34"/>
  <c r="Z2768" i="34"/>
  <c r="W2768" i="34"/>
  <c r="A2768" i="34"/>
  <c r="Z2792" i="34"/>
  <c r="W2792" i="34"/>
  <c r="A2792" i="34"/>
  <c r="W2761" i="34"/>
  <c r="Z2761" i="34"/>
  <c r="A2761" i="34"/>
  <c r="W2757" i="34"/>
  <c r="Z2757" i="34"/>
  <c r="A2757" i="34"/>
  <c r="Z2746" i="34"/>
  <c r="W2746" i="34"/>
  <c r="A2746" i="34"/>
  <c r="Z2616" i="34"/>
  <c r="W2616" i="34"/>
  <c r="A2616" i="34"/>
  <c r="Z2612" i="34"/>
  <c r="W2612" i="34"/>
  <c r="A2612" i="34"/>
  <c r="Z2608" i="34"/>
  <c r="W2608" i="34"/>
  <c r="A2608" i="34"/>
  <c r="Z2604" i="34"/>
  <c r="W2604" i="34"/>
  <c r="A2604" i="34"/>
  <c r="Z2600" i="34"/>
  <c r="W2600" i="34"/>
  <c r="A2600" i="34"/>
  <c r="W2543" i="34"/>
  <c r="Z2543" i="34"/>
  <c r="A2543" i="34"/>
  <c r="Z2572" i="34"/>
  <c r="W2572" i="34"/>
  <c r="A2572" i="34"/>
  <c r="Z2568" i="34"/>
  <c r="W2568" i="34"/>
  <c r="A2568" i="34"/>
  <c r="W2679" i="34"/>
  <c r="Z2679" i="34"/>
  <c r="A2679" i="34"/>
  <c r="Z2676" i="34"/>
  <c r="W2676" i="34"/>
  <c r="A2676" i="34"/>
  <c r="Z2844" i="34"/>
  <c r="W2844" i="34"/>
  <c r="A2844" i="34"/>
  <c r="Z2810" i="34"/>
  <c r="W2810" i="34"/>
  <c r="A2810" i="34"/>
  <c r="A2821" i="34"/>
  <c r="Z2821" i="34"/>
  <c r="W2821" i="34"/>
  <c r="Z2840" i="34"/>
  <c r="W2840" i="34"/>
  <c r="A2840" i="34"/>
  <c r="Z2634" i="34"/>
  <c r="W2634" i="34"/>
  <c r="A2634" i="34"/>
  <c r="W2629" i="34"/>
  <c r="Z2629" i="34"/>
  <c r="A2629" i="34"/>
  <c r="W2565" i="34"/>
  <c r="Z2565" i="34"/>
  <c r="A2565" i="34"/>
  <c r="W2623" i="34"/>
  <c r="Z2623" i="34"/>
  <c r="A2623" i="34"/>
  <c r="Z2618" i="34"/>
  <c r="W2618" i="34"/>
  <c r="A2618" i="34"/>
  <c r="W2531" i="34"/>
  <c r="Z2531" i="34"/>
  <c r="A2531" i="34"/>
  <c r="Z2566" i="34"/>
  <c r="W2566" i="34"/>
  <c r="A2566" i="34"/>
  <c r="Z2560" i="34"/>
  <c r="W2560" i="34"/>
  <c r="A2560" i="34"/>
  <c r="Z2552" i="34"/>
  <c r="W2552" i="34"/>
  <c r="A2552" i="34"/>
  <c r="Z2781" i="34"/>
  <c r="A2781" i="34"/>
  <c r="W2781" i="34"/>
  <c r="Z2775" i="34"/>
  <c r="W2775" i="34"/>
  <c r="A2775" i="34"/>
  <c r="W2767" i="34"/>
  <c r="Z2767" i="34"/>
  <c r="A2767" i="34"/>
  <c r="Z2791" i="34"/>
  <c r="A2791" i="34"/>
  <c r="W2791" i="34"/>
  <c r="Z2760" i="34"/>
  <c r="W2760" i="34"/>
  <c r="A2760" i="34"/>
  <c r="Z2752" i="34"/>
  <c r="W2752" i="34"/>
  <c r="A2752" i="34"/>
  <c r="W2745" i="34"/>
  <c r="Z2745" i="34"/>
  <c r="A2745" i="34"/>
  <c r="W2615" i="34"/>
  <c r="Z2615" i="34"/>
  <c r="A2615" i="34"/>
  <c r="W2611" i="34"/>
  <c r="Z2611" i="34"/>
  <c r="A2611" i="34"/>
  <c r="W2607" i="34"/>
  <c r="Z2607" i="34"/>
  <c r="A2607" i="34"/>
  <c r="W2603" i="34"/>
  <c r="Z2603" i="34"/>
  <c r="A2603" i="34"/>
  <c r="W2551" i="34"/>
  <c r="Z2551" i="34"/>
  <c r="A2551" i="34"/>
  <c r="Z2540" i="34"/>
  <c r="W2540" i="34"/>
  <c r="A2540" i="34"/>
  <c r="W2571" i="34"/>
  <c r="Z2571" i="34"/>
  <c r="A2571" i="34"/>
  <c r="Z2558" i="34"/>
  <c r="W2558" i="34"/>
  <c r="A2558" i="34"/>
  <c r="Z2678" i="34"/>
  <c r="W2678" i="34"/>
  <c r="A2678" i="34"/>
  <c r="W2675" i="34"/>
  <c r="Z2675" i="34"/>
  <c r="A2675" i="34"/>
  <c r="Z2843" i="34"/>
  <c r="A2843" i="34"/>
  <c r="W2843" i="34"/>
  <c r="A2809" i="34"/>
  <c r="Z2809" i="34"/>
  <c r="W2809" i="34"/>
  <c r="Z2820" i="34"/>
  <c r="W2820" i="34"/>
  <c r="A2820" i="34"/>
  <c r="Z2839" i="34"/>
  <c r="A2839" i="34"/>
  <c r="W2839" i="34"/>
  <c r="W2633" i="34"/>
  <c r="Z2633" i="34"/>
  <c r="A2633" i="34"/>
  <c r="Z2628" i="34"/>
  <c r="W2628" i="34"/>
  <c r="A2628" i="34"/>
  <c r="Z2564" i="34"/>
  <c r="W2564" i="34"/>
  <c r="A2564" i="34"/>
  <c r="Z2622" i="34"/>
  <c r="W2622" i="34"/>
  <c r="A2622" i="34"/>
  <c r="Z2534" i="34"/>
  <c r="W2534" i="34"/>
  <c r="A2534" i="34"/>
  <c r="Z2556" i="34"/>
  <c r="W2556" i="34"/>
  <c r="A2556" i="34"/>
  <c r="W2563" i="34"/>
  <c r="Z2563" i="34"/>
  <c r="A2563" i="34"/>
  <c r="W2559" i="34"/>
  <c r="Z2559" i="34"/>
  <c r="A2559" i="34"/>
  <c r="W2497" i="34"/>
  <c r="Z2497" i="34"/>
  <c r="A2497" i="34"/>
  <c r="Z2780" i="34"/>
  <c r="W2780" i="34"/>
  <c r="A2780" i="34"/>
  <c r="Z2774" i="34"/>
  <c r="W2774" i="34"/>
  <c r="A2774" i="34"/>
  <c r="Z2795" i="34"/>
  <c r="A2795" i="34"/>
  <c r="W2795" i="34"/>
  <c r="Z2790" i="34"/>
  <c r="W2790" i="34"/>
  <c r="A2790" i="34"/>
  <c r="W2759" i="34"/>
  <c r="Z2759" i="34"/>
  <c r="A2759" i="34"/>
  <c r="W2751" i="34"/>
  <c r="Z2751" i="34"/>
  <c r="A2751" i="34"/>
  <c r="Z2744" i="34"/>
  <c r="W2744" i="34"/>
  <c r="A2744" i="34"/>
  <c r="Z2614" i="34"/>
  <c r="W2614" i="34"/>
  <c r="A2614" i="34"/>
  <c r="Z2610" i="34"/>
  <c r="W2610" i="34"/>
  <c r="A2610" i="34"/>
  <c r="Z2606" i="34"/>
  <c r="W2606" i="34"/>
  <c r="A2606" i="34"/>
  <c r="Z2602" i="34"/>
  <c r="W2602" i="34"/>
  <c r="A2602" i="34"/>
  <c r="W2545" i="34"/>
  <c r="Z2545" i="34"/>
  <c r="A2545" i="34"/>
  <c r="W2539" i="34"/>
  <c r="Z2539" i="34"/>
  <c r="A2539" i="34"/>
  <c r="Z2570" i="34"/>
  <c r="W2570" i="34"/>
  <c r="A2570" i="34"/>
  <c r="W2557" i="34"/>
  <c r="Z2557" i="34"/>
  <c r="A2557" i="34"/>
  <c r="A3391" i="34"/>
  <c r="A3350" i="34"/>
  <c r="A3392" i="34"/>
  <c r="A3393" i="34"/>
  <c r="B2444" i="34" l="1"/>
  <c r="B2443" i="34"/>
  <c r="B2442" i="34"/>
  <c r="B2421" i="34"/>
  <c r="B2446" i="34"/>
  <c r="B2445" i="34"/>
  <c r="B2447" i="34"/>
  <c r="B2416" i="34"/>
  <c r="B2415" i="34"/>
  <c r="B2414" i="34"/>
  <c r="B2413" i="34"/>
  <c r="B2418" i="34"/>
  <c r="B2417" i="34"/>
  <c r="B2419" i="34"/>
  <c r="B2379" i="34"/>
  <c r="B2378" i="34"/>
  <c r="B2377" i="34"/>
  <c r="B2411" i="34"/>
  <c r="B2380" i="34"/>
  <c r="B3389" i="34"/>
  <c r="B2978" i="34"/>
  <c r="A2978" i="34" s="1"/>
  <c r="B2479" i="34"/>
  <c r="Z2378" i="34" l="1"/>
  <c r="W2378" i="34"/>
  <c r="A2378" i="34"/>
  <c r="Z2418" i="34"/>
  <c r="W2418" i="34"/>
  <c r="A2418" i="34"/>
  <c r="Z2416" i="34"/>
  <c r="W2416" i="34"/>
  <c r="A2416" i="34"/>
  <c r="Z2421" i="34"/>
  <c r="W2421" i="34"/>
  <c r="A2421" i="34"/>
  <c r="Z2380" i="34"/>
  <c r="W2380" i="34"/>
  <c r="A2380" i="34"/>
  <c r="Z2379" i="34"/>
  <c r="W2379" i="34"/>
  <c r="A2379" i="34"/>
  <c r="Z2413" i="34"/>
  <c r="W2413" i="34"/>
  <c r="A2413" i="34"/>
  <c r="Z2447" i="34"/>
  <c r="W2447" i="34"/>
  <c r="A2447" i="34"/>
  <c r="Z2442" i="34"/>
  <c r="W2442" i="34"/>
  <c r="A2442" i="34"/>
  <c r="W2479" i="34"/>
  <c r="Z2479" i="34"/>
  <c r="A2479" i="34"/>
  <c r="Z2411" i="34"/>
  <c r="W2411" i="34"/>
  <c r="A2411" i="34"/>
  <c r="Z2419" i="34"/>
  <c r="W2419" i="34"/>
  <c r="A2419" i="34"/>
  <c r="Z2414" i="34"/>
  <c r="W2414" i="34"/>
  <c r="A2414" i="34"/>
  <c r="Z2445" i="34"/>
  <c r="W2445" i="34"/>
  <c r="A2445" i="34"/>
  <c r="Z2443" i="34"/>
  <c r="W2443" i="34"/>
  <c r="A2443" i="34"/>
  <c r="Z2377" i="34"/>
  <c r="W2377" i="34"/>
  <c r="A2377" i="34"/>
  <c r="Z2417" i="34"/>
  <c r="W2417" i="34"/>
  <c r="A2417" i="34"/>
  <c r="Z2415" i="34"/>
  <c r="W2415" i="34"/>
  <c r="A2415" i="34"/>
  <c r="Z2446" i="34"/>
  <c r="W2446" i="34"/>
  <c r="A2446" i="34"/>
  <c r="Z2444" i="34"/>
  <c r="W2444" i="34"/>
  <c r="A2444" i="34"/>
  <c r="A3389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03" i="34"/>
  <c r="B2202" i="34"/>
  <c r="B2201" i="34"/>
  <c r="B2200" i="34"/>
  <c r="B2184" i="34"/>
  <c r="B2183" i="34"/>
  <c r="B2182" i="34"/>
  <c r="B2181" i="34"/>
  <c r="B2180" i="34"/>
  <c r="B2179" i="34"/>
  <c r="B2178" i="34"/>
  <c r="B2177" i="34"/>
  <c r="B2155" i="34"/>
  <c r="B2154" i="34"/>
  <c r="B2153" i="34"/>
  <c r="B2152" i="34"/>
  <c r="B2151" i="34"/>
  <c r="B2150" i="34"/>
  <c r="B2149" i="34"/>
  <c r="B2148" i="34"/>
  <c r="B2147" i="34"/>
  <c r="B2124" i="34"/>
  <c r="B2096" i="34"/>
  <c r="B2095" i="34"/>
  <c r="B2094" i="34"/>
  <c r="B2093" i="34"/>
  <c r="B2092" i="34"/>
  <c r="B2091" i="34"/>
  <c r="B2090" i="34"/>
  <c r="B2089" i="34"/>
  <c r="B2054" i="34"/>
  <c r="B2023" i="34"/>
  <c r="B2022" i="34"/>
  <c r="B2021" i="34"/>
  <c r="B2020" i="34"/>
  <c r="B2019" i="34"/>
  <c r="B2018" i="34"/>
  <c r="B2017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781" i="34"/>
  <c r="B1754" i="34"/>
  <c r="B1750" i="34"/>
  <c r="B1749" i="34"/>
  <c r="B1748" i="34"/>
  <c r="B1747" i="34"/>
  <c r="B1730" i="34"/>
  <c r="B1729" i="34"/>
  <c r="B1698" i="34"/>
  <c r="B1697" i="34"/>
  <c r="B1696" i="34"/>
  <c r="B1695" i="34"/>
  <c r="B1688" i="34"/>
  <c r="B1687" i="34"/>
  <c r="B1686" i="34"/>
  <c r="B1685" i="34"/>
  <c r="B1684" i="34"/>
  <c r="B1596" i="34"/>
  <c r="B1537" i="34"/>
  <c r="B1522" i="34"/>
  <c r="B1521" i="34"/>
  <c r="B1506" i="34"/>
  <c r="B1497" i="34"/>
  <c r="B1491" i="34"/>
  <c r="B1490" i="34"/>
  <c r="B1489" i="34"/>
  <c r="B1970" i="34"/>
  <c r="B1416" i="34"/>
  <c r="B1415" i="34"/>
  <c r="B1414" i="34"/>
  <c r="B1413" i="34"/>
  <c r="B1388" i="34"/>
  <c r="B1387" i="34"/>
  <c r="B1386" i="34"/>
  <c r="B1385" i="34"/>
  <c r="B1252" i="34"/>
  <c r="B1251" i="34"/>
  <c r="B1245" i="34"/>
  <c r="B1244" i="34"/>
  <c r="B1243" i="34"/>
  <c r="B1242" i="34"/>
  <c r="B1241" i="34"/>
  <c r="B1173" i="34"/>
  <c r="B1172" i="34"/>
  <c r="B1171" i="34"/>
  <c r="B1170" i="34"/>
  <c r="B1169" i="34"/>
  <c r="B1166" i="34"/>
  <c r="B1165" i="34"/>
  <c r="B1164" i="34"/>
  <c r="B1093" i="34"/>
  <c r="B1091" i="34"/>
  <c r="B1090" i="34"/>
  <c r="B1089" i="34"/>
  <c r="B1083" i="34"/>
  <c r="B1082" i="34"/>
  <c r="B1081" i="34"/>
  <c r="B1080" i="34"/>
  <c r="B1029" i="34"/>
  <c r="B1028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298" i="34"/>
  <c r="B2261" i="34"/>
  <c r="B2382" i="34"/>
  <c r="B2381" i="34"/>
  <c r="B2307" i="34"/>
  <c r="B2306" i="34"/>
  <c r="B2305" i="34"/>
  <c r="B2304" i="34"/>
  <c r="B2303" i="34"/>
  <c r="B2302" i="34"/>
  <c r="B2301" i="34"/>
  <c r="B2300" i="34"/>
  <c r="B2330" i="34"/>
  <c r="B2329" i="34"/>
  <c r="B2328" i="34"/>
  <c r="B2327" i="34"/>
  <c r="B2326" i="34"/>
  <c r="B2325" i="34"/>
  <c r="B2324" i="34"/>
  <c r="B2323" i="34"/>
  <c r="B2322" i="34"/>
  <c r="B2321" i="34"/>
  <c r="B2297" i="34"/>
  <c r="B2296" i="34"/>
  <c r="B2295" i="34"/>
  <c r="B2294" i="34"/>
  <c r="B2293" i="34"/>
  <c r="B2292" i="34"/>
  <c r="B2291" i="34"/>
  <c r="B2290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89" i="34"/>
  <c r="B2288" i="34"/>
  <c r="B2260" i="34"/>
  <c r="B2259" i="34"/>
  <c r="B2271" i="34"/>
  <c r="B2270" i="34"/>
  <c r="B2269" i="34"/>
  <c r="B2255" i="34"/>
  <c r="B2254" i="34"/>
  <c r="B2469" i="34"/>
  <c r="B2468" i="34"/>
  <c r="B2467" i="34"/>
  <c r="B2450" i="34"/>
  <c r="B2449" i="34"/>
  <c r="B2448" i="34"/>
  <c r="B2420" i="34"/>
  <c r="B2412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483" i="34"/>
  <c r="B2482" i="34"/>
  <c r="B2481" i="34"/>
  <c r="B2477" i="34"/>
  <c r="B2476" i="34"/>
  <c r="B2475" i="34"/>
  <c r="B2474" i="34"/>
  <c r="B2365" i="34"/>
  <c r="B2364" i="34"/>
  <c r="B2363" i="34"/>
  <c r="B2362" i="34"/>
  <c r="B2361" i="34"/>
  <c r="B2359" i="34"/>
  <c r="B2357" i="34"/>
  <c r="B2356" i="34"/>
  <c r="B2355" i="34"/>
  <c r="B2287" i="34"/>
  <c r="B2267" i="34"/>
  <c r="B2266" i="34"/>
  <c r="B2265" i="34"/>
  <c r="B2264" i="34"/>
  <c r="B2263" i="34"/>
  <c r="B2258" i="34"/>
  <c r="B2257" i="34"/>
  <c r="B2256" i="34"/>
  <c r="B3390" i="34"/>
  <c r="B3388" i="34"/>
  <c r="B2979" i="34"/>
  <c r="A2979" i="34" s="1"/>
  <c r="B2977" i="34"/>
  <c r="A2977" i="34" s="1"/>
  <c r="B2480" i="34"/>
  <c r="B2478" i="34"/>
  <c r="B2251" i="34"/>
  <c r="B2250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38" i="34"/>
  <c r="B2537" i="34"/>
  <c r="B2535" i="34"/>
  <c r="B2773" i="34"/>
  <c r="B2548" i="34"/>
  <c r="B2547" i="34"/>
  <c r="B2546" i="34"/>
  <c r="B2530" i="34"/>
  <c r="B2529" i="34"/>
  <c r="B2528" i="34"/>
  <c r="B2527" i="34"/>
  <c r="B2526" i="34"/>
  <c r="B2525" i="34"/>
  <c r="B2524" i="34"/>
  <c r="B2523" i="34"/>
  <c r="B2522" i="34"/>
  <c r="B2521" i="34"/>
  <c r="B2991" i="34"/>
  <c r="A2991" i="34" s="1"/>
  <c r="B2990" i="34"/>
  <c r="A2990" i="34" s="1"/>
  <c r="B2989" i="34"/>
  <c r="A2989" i="34" s="1"/>
  <c r="B2988" i="34"/>
  <c r="A2988" i="34" s="1"/>
  <c r="B2987" i="34"/>
  <c r="A2987" i="34" s="1"/>
  <c r="B2986" i="34"/>
  <c r="A2986" i="34" s="1"/>
  <c r="B2985" i="34"/>
  <c r="A2985" i="34" s="1"/>
  <c r="B2984" i="34"/>
  <c r="A2984" i="34" s="1"/>
  <c r="B2983" i="34"/>
  <c r="A2983" i="34" s="1"/>
  <c r="B2982" i="34"/>
  <c r="A2982" i="34" s="1"/>
  <c r="B2981" i="34"/>
  <c r="A2981" i="34" s="1"/>
  <c r="B2980" i="34"/>
  <c r="A2980" i="34" s="1"/>
  <c r="B2976" i="34"/>
  <c r="A2976" i="34" s="1"/>
  <c r="B2975" i="34"/>
  <c r="A2975" i="34" s="1"/>
  <c r="B2974" i="34"/>
  <c r="A2974" i="34" s="1"/>
  <c r="B2973" i="34"/>
  <c r="A2973" i="34" s="1"/>
  <c r="B2972" i="34"/>
  <c r="A2972" i="34" s="1"/>
  <c r="B2971" i="34"/>
  <c r="A2971" i="34" s="1"/>
  <c r="B2965" i="34"/>
  <c r="A2965" i="34" s="1"/>
  <c r="B2964" i="34"/>
  <c r="A2964" i="34" s="1"/>
  <c r="B2963" i="34"/>
  <c r="A2963" i="34" s="1"/>
  <c r="B2962" i="34"/>
  <c r="A2962" i="34" s="1"/>
  <c r="B2961" i="34"/>
  <c r="A2961" i="34" s="1"/>
  <c r="B2960" i="34"/>
  <c r="A2960" i="34" s="1"/>
  <c r="B2959" i="34"/>
  <c r="A2959" i="34" s="1"/>
  <c r="B2958" i="34"/>
  <c r="A2958" i="34" s="1"/>
  <c r="B2957" i="34"/>
  <c r="A2957" i="34" s="1"/>
  <c r="B2934" i="34"/>
  <c r="A2934" i="34" s="1"/>
  <c r="B2933" i="34"/>
  <c r="A2933" i="34" s="1"/>
  <c r="B2932" i="34"/>
  <c r="A2932" i="34" s="1"/>
  <c r="B2931" i="34"/>
  <c r="A2931" i="34" s="1"/>
  <c r="B2929" i="34"/>
  <c r="A2929" i="34" s="1"/>
  <c r="B2927" i="34"/>
  <c r="A2927" i="34" s="1"/>
  <c r="B2926" i="34"/>
  <c r="A2926" i="34" s="1"/>
  <c r="B2925" i="34"/>
  <c r="A2925" i="34" s="1"/>
  <c r="B2686" i="34"/>
  <c r="B2638" i="34"/>
  <c r="B2637" i="34"/>
  <c r="B2636" i="34"/>
  <c r="B2520" i="34"/>
  <c r="B2519" i="34"/>
  <c r="B2500" i="34"/>
  <c r="B2499" i="34"/>
  <c r="B2485" i="34"/>
  <c r="B2473" i="34"/>
  <c r="B2472" i="34"/>
  <c r="B2466" i="34"/>
  <c r="B2465" i="34"/>
  <c r="B2464" i="34"/>
  <c r="B2463" i="34"/>
  <c r="B2462" i="34"/>
  <c r="B2461" i="34"/>
  <c r="B2460" i="34"/>
  <c r="B2459" i="34"/>
  <c r="B2441" i="34"/>
  <c r="B2440" i="34"/>
  <c r="B2439" i="34"/>
  <c r="B2438" i="34"/>
  <c r="B2437" i="34"/>
  <c r="B2436" i="34"/>
  <c r="B2435" i="34"/>
  <c r="B2434" i="34"/>
  <c r="B2433" i="34"/>
  <c r="B2432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299" i="34"/>
  <c r="B2262" i="34"/>
  <c r="B2471" i="34"/>
  <c r="B2470" i="34"/>
  <c r="B2458" i="34"/>
  <c r="B2457" i="34"/>
  <c r="B2456" i="34"/>
  <c r="B2455" i="34"/>
  <c r="B2454" i="34"/>
  <c r="B2453" i="34"/>
  <c r="B2452" i="34"/>
  <c r="B2451" i="34"/>
  <c r="B2431" i="34"/>
  <c r="B2430" i="34"/>
  <c r="B2429" i="34"/>
  <c r="B2428" i="34"/>
  <c r="B2427" i="34"/>
  <c r="B2426" i="34"/>
  <c r="B2425" i="34"/>
  <c r="B2424" i="34"/>
  <c r="B2423" i="34"/>
  <c r="B2422" i="34"/>
  <c r="B2396" i="34"/>
  <c r="B2395" i="34"/>
  <c r="B2394" i="34"/>
  <c r="B2685" i="34"/>
  <c r="B2666" i="34"/>
  <c r="B2665" i="34"/>
  <c r="B2664" i="34"/>
  <c r="B2663" i="34"/>
  <c r="B2662" i="34"/>
  <c r="B2661" i="34"/>
  <c r="B2659" i="34"/>
  <c r="B2658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580" i="34"/>
  <c r="B2579" i="34"/>
  <c r="B2578" i="34"/>
  <c r="B2577" i="34"/>
  <c r="B2576" i="34"/>
  <c r="B2575" i="34"/>
  <c r="B2574" i="34"/>
  <c r="B2542" i="34"/>
  <c r="B2541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496" i="34"/>
  <c r="B2495" i="34"/>
  <c r="B2494" i="34"/>
  <c r="B2493" i="34"/>
  <c r="B2492" i="34"/>
  <c r="B2491" i="34"/>
  <c r="B2490" i="34"/>
  <c r="B2998" i="34"/>
  <c r="A2998" i="34" s="1"/>
  <c r="B2997" i="34"/>
  <c r="A2997" i="34" s="1"/>
  <c r="B2996" i="34"/>
  <c r="A2996" i="34" s="1"/>
  <c r="B2995" i="34"/>
  <c r="A2995" i="34" s="1"/>
  <c r="B2994" i="34"/>
  <c r="A2994" i="34" s="1"/>
  <c r="B2993" i="34"/>
  <c r="A2993" i="34" s="1"/>
  <c r="B2992" i="34"/>
  <c r="A2992" i="34" s="1"/>
  <c r="B2942" i="34"/>
  <c r="A2942" i="34" s="1"/>
  <c r="B2941" i="34"/>
  <c r="A2941" i="34" s="1"/>
  <c r="B2940" i="34"/>
  <c r="A2940" i="34" s="1"/>
  <c r="B2939" i="34"/>
  <c r="A2939" i="34" s="1"/>
  <c r="B2938" i="34"/>
  <c r="A2938" i="34" s="1"/>
  <c r="B2937" i="34"/>
  <c r="A2937" i="34" s="1"/>
  <c r="B2936" i="34"/>
  <c r="A2936" i="34" s="1"/>
  <c r="B2935" i="34"/>
  <c r="A2935" i="34" s="1"/>
  <c r="B2487" i="34"/>
  <c r="B2486" i="34"/>
  <c r="B2859" i="34"/>
  <c r="B2858" i="34"/>
  <c r="B2857" i="34"/>
  <c r="B2856" i="34"/>
  <c r="B2855" i="34"/>
  <c r="B2854" i="34"/>
  <c r="B2853" i="34"/>
  <c r="B2852" i="34"/>
  <c r="B2851" i="34"/>
  <c r="B2850" i="34"/>
  <c r="B2756" i="34"/>
  <c r="B2755" i="34"/>
  <c r="B2754" i="34"/>
  <c r="B2753" i="34"/>
  <c r="B2804" i="34"/>
  <c r="B2803" i="34"/>
  <c r="B2846" i="34"/>
  <c r="B2845" i="34"/>
  <c r="B2714" i="34"/>
  <c r="B2713" i="34"/>
  <c r="B2712" i="34"/>
  <c r="B2778" i="34"/>
  <c r="B2777" i="34"/>
  <c r="B2772" i="34"/>
  <c r="B2771" i="34"/>
  <c r="B2770" i="34"/>
  <c r="B2797" i="34"/>
  <c r="B2796" i="34"/>
  <c r="B2787" i="34"/>
  <c r="B2786" i="34"/>
  <c r="B2717" i="34"/>
  <c r="B2716" i="34"/>
  <c r="B2715" i="34"/>
  <c r="B2711" i="34"/>
  <c r="B2710" i="34"/>
  <c r="B2709" i="34"/>
  <c r="B2708" i="34"/>
  <c r="B2707" i="34"/>
  <c r="B2706" i="34"/>
  <c r="B2704" i="34"/>
  <c r="B2703" i="34"/>
  <c r="B2702" i="34"/>
  <c r="B2701" i="34"/>
  <c r="B2700" i="34"/>
  <c r="B2699" i="34"/>
  <c r="B2698" i="34"/>
  <c r="B2697" i="34"/>
  <c r="B2696" i="34"/>
  <c r="B2695" i="34"/>
  <c r="B2692" i="34"/>
  <c r="B2691" i="34"/>
  <c r="B2690" i="34"/>
  <c r="B2687" i="34"/>
  <c r="B2599" i="34"/>
  <c r="B2598" i="34"/>
  <c r="B2597" i="34"/>
  <c r="B2596" i="34"/>
  <c r="B2595" i="34"/>
  <c r="B2594" i="34"/>
  <c r="B2593" i="34"/>
  <c r="Z2596" i="34" l="1"/>
  <c r="W2596" i="34"/>
  <c r="A2596" i="34"/>
  <c r="W2687" i="34"/>
  <c r="Z2687" i="34"/>
  <c r="A2687" i="34"/>
  <c r="W2695" i="34"/>
  <c r="Z2695" i="34"/>
  <c r="A2695" i="34"/>
  <c r="W2699" i="34"/>
  <c r="Z2699" i="34"/>
  <c r="A2699" i="34"/>
  <c r="W2703" i="34"/>
  <c r="Z2703" i="34"/>
  <c r="A2703" i="34"/>
  <c r="Z2708" i="34"/>
  <c r="W2708" i="34"/>
  <c r="A2708" i="34"/>
  <c r="W2715" i="34"/>
  <c r="Z2715" i="34"/>
  <c r="A2715" i="34"/>
  <c r="Z2787" i="34"/>
  <c r="A2787" i="34"/>
  <c r="W2787" i="34"/>
  <c r="Z2771" i="34"/>
  <c r="W2771" i="34"/>
  <c r="A2771" i="34"/>
  <c r="Z2712" i="34"/>
  <c r="W2712" i="34"/>
  <c r="A2712" i="34"/>
  <c r="Z2846" i="34"/>
  <c r="W2846" i="34"/>
  <c r="A2846" i="34"/>
  <c r="Z2754" i="34"/>
  <c r="W2754" i="34"/>
  <c r="A2754" i="34"/>
  <c r="Z2851" i="34"/>
  <c r="A2851" i="34"/>
  <c r="W2851" i="34"/>
  <c r="Z2855" i="34"/>
  <c r="A2855" i="34"/>
  <c r="W2855" i="34"/>
  <c r="Z2859" i="34"/>
  <c r="A2859" i="34"/>
  <c r="W2859" i="34"/>
  <c r="Z2492" i="34"/>
  <c r="W2492" i="34"/>
  <c r="A2492" i="34"/>
  <c r="Z2496" i="34"/>
  <c r="W2496" i="34"/>
  <c r="A2496" i="34"/>
  <c r="Z2504" i="34"/>
  <c r="W2504" i="34"/>
  <c r="A2504" i="34"/>
  <c r="Z2508" i="34"/>
  <c r="W2508" i="34"/>
  <c r="A2508" i="34"/>
  <c r="Z2512" i="34"/>
  <c r="W2512" i="34"/>
  <c r="A2512" i="34"/>
  <c r="Z2516" i="34"/>
  <c r="W2516" i="34"/>
  <c r="A2516" i="34"/>
  <c r="Z2542" i="34"/>
  <c r="W2542" i="34"/>
  <c r="A2542" i="34"/>
  <c r="W2577" i="34"/>
  <c r="Z2577" i="34"/>
  <c r="A2577" i="34"/>
  <c r="W2639" i="34"/>
  <c r="Z2639" i="34"/>
  <c r="A2639" i="34"/>
  <c r="W2643" i="34"/>
  <c r="Z2643" i="34"/>
  <c r="A2643" i="34"/>
  <c r="W2647" i="34"/>
  <c r="Z2647" i="34"/>
  <c r="A2647" i="34"/>
  <c r="W2651" i="34"/>
  <c r="Z2651" i="34"/>
  <c r="A2651" i="34"/>
  <c r="W2655" i="34"/>
  <c r="Z2655" i="34"/>
  <c r="A2655" i="34"/>
  <c r="W2661" i="34"/>
  <c r="Z2661" i="34"/>
  <c r="A2661" i="34"/>
  <c r="W2665" i="34"/>
  <c r="Z2665" i="34"/>
  <c r="A2665" i="34"/>
  <c r="Z2395" i="34"/>
  <c r="W2395" i="34"/>
  <c r="A2395" i="34"/>
  <c r="Z2424" i="34"/>
  <c r="W2424" i="34"/>
  <c r="A2424" i="34"/>
  <c r="Z2428" i="34"/>
  <c r="W2428" i="34"/>
  <c r="A2428" i="34"/>
  <c r="Z2451" i="34"/>
  <c r="W2451" i="34"/>
  <c r="A2451" i="34"/>
  <c r="W2455" i="34"/>
  <c r="Z2455" i="34"/>
  <c r="A2455" i="34"/>
  <c r="Z2470" i="34"/>
  <c r="W2470" i="34"/>
  <c r="A2470" i="34"/>
  <c r="Z2343" i="34"/>
  <c r="W2343" i="34"/>
  <c r="A2343" i="34"/>
  <c r="Z2347" i="34"/>
  <c r="W2347" i="34"/>
  <c r="A2347" i="34"/>
  <c r="Z2351" i="34"/>
  <c r="W2351" i="34"/>
  <c r="A2351" i="34"/>
  <c r="Z2397" i="34"/>
  <c r="W2397" i="34"/>
  <c r="A2397" i="34"/>
  <c r="Z2401" i="34"/>
  <c r="W2401" i="34"/>
  <c r="A2401" i="34"/>
  <c r="Z2405" i="34"/>
  <c r="W2405" i="34"/>
  <c r="A2405" i="34"/>
  <c r="Z2409" i="34"/>
  <c r="W2409" i="34"/>
  <c r="A2409" i="34"/>
  <c r="Z2434" i="34"/>
  <c r="W2434" i="34"/>
  <c r="A2434" i="34"/>
  <c r="Z2438" i="34"/>
  <c r="W2438" i="34"/>
  <c r="A2438" i="34"/>
  <c r="W2459" i="34"/>
  <c r="Z2459" i="34"/>
  <c r="A2459" i="34"/>
  <c r="W2463" i="34"/>
  <c r="Z2463" i="34"/>
  <c r="A2463" i="34"/>
  <c r="Z2472" i="34"/>
  <c r="W2472" i="34"/>
  <c r="A2472" i="34"/>
  <c r="Z2500" i="34"/>
  <c r="W2500" i="34"/>
  <c r="A2500" i="34"/>
  <c r="W2637" i="34"/>
  <c r="Z2637" i="34"/>
  <c r="A2637" i="34"/>
  <c r="W2523" i="34"/>
  <c r="Z2523" i="34"/>
  <c r="A2523" i="34"/>
  <c r="W2527" i="34"/>
  <c r="Z2527" i="34"/>
  <c r="A2527" i="34"/>
  <c r="Z2546" i="34"/>
  <c r="W2546" i="34"/>
  <c r="A2546" i="34"/>
  <c r="W2535" i="34"/>
  <c r="Z2535" i="34"/>
  <c r="A2535" i="34"/>
  <c r="Z2582" i="34"/>
  <c r="W2582" i="34"/>
  <c r="A2582" i="34"/>
  <c r="Z2586" i="34"/>
  <c r="W2586" i="34"/>
  <c r="A2586" i="34"/>
  <c r="Z2590" i="34"/>
  <c r="W2590" i="34"/>
  <c r="A2590" i="34"/>
  <c r="Z2251" i="34"/>
  <c r="W2251" i="34"/>
  <c r="A2251" i="34"/>
  <c r="Z2257" i="34"/>
  <c r="W2257" i="34"/>
  <c r="A2257" i="34"/>
  <c r="Z2265" i="34"/>
  <c r="W2265" i="34"/>
  <c r="A2265" i="34"/>
  <c r="Z2355" i="34"/>
  <c r="W2355" i="34"/>
  <c r="A2355" i="34"/>
  <c r="Z2361" i="34"/>
  <c r="W2361" i="34"/>
  <c r="A2361" i="34"/>
  <c r="Z2365" i="34"/>
  <c r="W2365" i="34"/>
  <c r="A2365" i="34"/>
  <c r="W2477" i="34"/>
  <c r="Z2477" i="34"/>
  <c r="A2477" i="34"/>
  <c r="Z2308" i="34"/>
  <c r="W2308" i="34"/>
  <c r="A2308" i="34"/>
  <c r="Z2312" i="34"/>
  <c r="W2312" i="34"/>
  <c r="A2312" i="34"/>
  <c r="Z2316" i="34"/>
  <c r="W2316" i="34"/>
  <c r="A2316" i="34"/>
  <c r="Z2320" i="34"/>
  <c r="W2320" i="34"/>
  <c r="A2320" i="34"/>
  <c r="Z2369" i="34"/>
  <c r="W2369" i="34"/>
  <c r="A2369" i="34"/>
  <c r="Z2373" i="34"/>
  <c r="W2373" i="34"/>
  <c r="A2373" i="34"/>
  <c r="Z2412" i="34"/>
  <c r="W2412" i="34"/>
  <c r="A2412" i="34"/>
  <c r="Z2450" i="34"/>
  <c r="W2450" i="34"/>
  <c r="A2450" i="34"/>
  <c r="Z2254" i="34"/>
  <c r="W2254" i="34"/>
  <c r="A2254" i="34"/>
  <c r="Z2271" i="34"/>
  <c r="W2271" i="34"/>
  <c r="A2271" i="34"/>
  <c r="Z2289" i="34"/>
  <c r="W2289" i="34"/>
  <c r="A2289" i="34"/>
  <c r="Z2275" i="34"/>
  <c r="W2275" i="34"/>
  <c r="A2275" i="34"/>
  <c r="Z2279" i="34"/>
  <c r="W2279" i="34"/>
  <c r="A2279" i="34"/>
  <c r="Z2283" i="34"/>
  <c r="W2283" i="34"/>
  <c r="A2283" i="34"/>
  <c r="Z2290" i="34"/>
  <c r="W2290" i="34"/>
  <c r="A2290" i="34"/>
  <c r="Z2294" i="34"/>
  <c r="W2294" i="34"/>
  <c r="A2294" i="34"/>
  <c r="Z2321" i="34"/>
  <c r="W2321" i="34"/>
  <c r="A2321" i="34"/>
  <c r="Z2325" i="34"/>
  <c r="W2325" i="34"/>
  <c r="A2325" i="34"/>
  <c r="Z2329" i="34"/>
  <c r="W2329" i="34"/>
  <c r="A2329" i="34"/>
  <c r="Z2302" i="34"/>
  <c r="W2302" i="34"/>
  <c r="A2302" i="34"/>
  <c r="Z2306" i="34"/>
  <c r="W2306" i="34"/>
  <c r="A2306" i="34"/>
  <c r="Z2261" i="34"/>
  <c r="W2261" i="34"/>
  <c r="A2261" i="34"/>
  <c r="Z2333" i="34"/>
  <c r="W2333" i="34"/>
  <c r="A2333" i="34"/>
  <c r="Z2337" i="34"/>
  <c r="W2337" i="34"/>
  <c r="A2337" i="34"/>
  <c r="Z2341" i="34"/>
  <c r="W2341" i="34"/>
  <c r="A2341" i="34"/>
  <c r="Z2385" i="34"/>
  <c r="W2385" i="34"/>
  <c r="A2385" i="34"/>
  <c r="Z2389" i="34"/>
  <c r="W2389" i="34"/>
  <c r="A2389" i="34"/>
  <c r="Z2393" i="34"/>
  <c r="W2393" i="34"/>
  <c r="A2393" i="34"/>
  <c r="W1992" i="34"/>
  <c r="Z1992" i="34"/>
  <c r="A1992" i="34"/>
  <c r="W1996" i="34"/>
  <c r="Z1996" i="34"/>
  <c r="A1996" i="34"/>
  <c r="W2000" i="34"/>
  <c r="Z2000" i="34"/>
  <c r="A2000" i="34"/>
  <c r="Z2019" i="34"/>
  <c r="W2019" i="34"/>
  <c r="A2019" i="34"/>
  <c r="Z2023" i="34"/>
  <c r="W2023" i="34"/>
  <c r="A2023" i="34"/>
  <c r="Z2091" i="34"/>
  <c r="W2091" i="34"/>
  <c r="A2091" i="34"/>
  <c r="Z2095" i="34"/>
  <c r="W2095" i="34"/>
  <c r="A2095" i="34"/>
  <c r="Z2148" i="34"/>
  <c r="W2148" i="34"/>
  <c r="A2148" i="34"/>
  <c r="Z2152" i="34"/>
  <c r="W2152" i="34"/>
  <c r="A2152" i="34"/>
  <c r="Z2177" i="34"/>
  <c r="W2177" i="34"/>
  <c r="A2177" i="34"/>
  <c r="Z2181" i="34"/>
  <c r="W2181" i="34"/>
  <c r="A2181" i="34"/>
  <c r="Z2200" i="34"/>
  <c r="W2200" i="34"/>
  <c r="A2200" i="34"/>
  <c r="Z2230" i="34"/>
  <c r="W2230" i="34"/>
  <c r="A2230" i="34"/>
  <c r="Z2234" i="34"/>
  <c r="W2234" i="34"/>
  <c r="A2234" i="34"/>
  <c r="Z2238" i="34"/>
  <c r="W2238" i="34"/>
  <c r="A2238" i="34"/>
  <c r="W2593" i="34"/>
  <c r="Z2593" i="34"/>
  <c r="A2593" i="34"/>
  <c r="W2597" i="34"/>
  <c r="Z2597" i="34"/>
  <c r="A2597" i="34"/>
  <c r="Z2690" i="34"/>
  <c r="W2690" i="34"/>
  <c r="A2690" i="34"/>
  <c r="Z2696" i="34"/>
  <c r="W2696" i="34"/>
  <c r="A2696" i="34"/>
  <c r="Z2700" i="34"/>
  <c r="W2700" i="34"/>
  <c r="A2700" i="34"/>
  <c r="Z2704" i="34"/>
  <c r="W2704" i="34"/>
  <c r="A2704" i="34"/>
  <c r="W2709" i="34"/>
  <c r="Z2709" i="34"/>
  <c r="A2709" i="34"/>
  <c r="Z2716" i="34"/>
  <c r="W2716" i="34"/>
  <c r="A2716" i="34"/>
  <c r="Z2796" i="34"/>
  <c r="W2796" i="34"/>
  <c r="A2796" i="34"/>
  <c r="Z2772" i="34"/>
  <c r="W2772" i="34"/>
  <c r="A2772" i="34"/>
  <c r="W2713" i="34"/>
  <c r="Z2713" i="34"/>
  <c r="A2713" i="34"/>
  <c r="Z2803" i="34"/>
  <c r="A2803" i="34"/>
  <c r="W2803" i="34"/>
  <c r="W2755" i="34"/>
  <c r="Z2755" i="34"/>
  <c r="A2755" i="34"/>
  <c r="Z2852" i="34"/>
  <c r="W2852" i="34"/>
  <c r="A2852" i="34"/>
  <c r="Z2856" i="34"/>
  <c r="A2856" i="34"/>
  <c r="W2856" i="34"/>
  <c r="Z2486" i="34"/>
  <c r="W2486" i="34"/>
  <c r="A2486" i="34"/>
  <c r="W2493" i="34"/>
  <c r="Z2493" i="34"/>
  <c r="A2493" i="34"/>
  <c r="W2501" i="34"/>
  <c r="Z2501" i="34"/>
  <c r="A2501" i="34"/>
  <c r="W2505" i="34"/>
  <c r="Z2505" i="34"/>
  <c r="A2505" i="34"/>
  <c r="W2509" i="34"/>
  <c r="Z2509" i="34"/>
  <c r="A2509" i="34"/>
  <c r="W2513" i="34"/>
  <c r="Z2513" i="34"/>
  <c r="A2513" i="34"/>
  <c r="W2517" i="34"/>
  <c r="Z2517" i="34"/>
  <c r="A2517" i="34"/>
  <c r="Z2574" i="34"/>
  <c r="W2574" i="34"/>
  <c r="A2574" i="34"/>
  <c r="Z2578" i="34"/>
  <c r="W2578" i="34"/>
  <c r="A2578" i="34"/>
  <c r="Z2640" i="34"/>
  <c r="W2640" i="34"/>
  <c r="A2640" i="34"/>
  <c r="Z2644" i="34"/>
  <c r="W2644" i="34"/>
  <c r="A2644" i="34"/>
  <c r="Z2648" i="34"/>
  <c r="W2648" i="34"/>
  <c r="A2648" i="34"/>
  <c r="Z2652" i="34"/>
  <c r="W2652" i="34"/>
  <c r="A2652" i="34"/>
  <c r="Z2656" i="34"/>
  <c r="W2656" i="34"/>
  <c r="A2656" i="34"/>
  <c r="Z2662" i="34"/>
  <c r="W2662" i="34"/>
  <c r="A2662" i="34"/>
  <c r="Z2666" i="34"/>
  <c r="W2666" i="34"/>
  <c r="A2666" i="34"/>
  <c r="Z2396" i="34"/>
  <c r="W2396" i="34"/>
  <c r="A2396" i="34"/>
  <c r="Z2425" i="34"/>
  <c r="W2425" i="34"/>
  <c r="A2425" i="34"/>
  <c r="Z2429" i="34"/>
  <c r="W2429" i="34"/>
  <c r="A2429" i="34"/>
  <c r="Z2452" i="34"/>
  <c r="W2452" i="34"/>
  <c r="A2452" i="34"/>
  <c r="Z2456" i="34"/>
  <c r="W2456" i="34"/>
  <c r="A2456" i="34"/>
  <c r="W2471" i="34"/>
  <c r="Z2471" i="34"/>
  <c r="A2471" i="34"/>
  <c r="Z2344" i="34"/>
  <c r="W2344" i="34"/>
  <c r="A2344" i="34"/>
  <c r="Z2348" i="34"/>
  <c r="W2348" i="34"/>
  <c r="A2348" i="34"/>
  <c r="Z2352" i="34"/>
  <c r="W2352" i="34"/>
  <c r="A2352" i="34"/>
  <c r="Z2398" i="34"/>
  <c r="W2398" i="34"/>
  <c r="A2398" i="34"/>
  <c r="Z2402" i="34"/>
  <c r="W2402" i="34"/>
  <c r="A2402" i="34"/>
  <c r="Z2406" i="34"/>
  <c r="W2406" i="34"/>
  <c r="A2406" i="34"/>
  <c r="Z2410" i="34"/>
  <c r="W2410" i="34"/>
  <c r="A2410" i="34"/>
  <c r="Z2435" i="34"/>
  <c r="W2435" i="34"/>
  <c r="A2435" i="34"/>
  <c r="Z2439" i="34"/>
  <c r="W2439" i="34"/>
  <c r="A2439" i="34"/>
  <c r="Z2460" i="34"/>
  <c r="W2460" i="34"/>
  <c r="A2460" i="34"/>
  <c r="Z2464" i="34"/>
  <c r="W2464" i="34"/>
  <c r="A2464" i="34"/>
  <c r="W2473" i="34"/>
  <c r="Z2473" i="34"/>
  <c r="A2473" i="34"/>
  <c r="W2519" i="34"/>
  <c r="Z2519" i="34"/>
  <c r="A2519" i="34"/>
  <c r="Z2638" i="34"/>
  <c r="W2638" i="34"/>
  <c r="A2638" i="34"/>
  <c r="Z2524" i="34"/>
  <c r="W2524" i="34"/>
  <c r="A2524" i="34"/>
  <c r="Z2528" i="34"/>
  <c r="W2528" i="34"/>
  <c r="A2528" i="34"/>
  <c r="W2547" i="34"/>
  <c r="Z2547" i="34"/>
  <c r="A2547" i="34"/>
  <c r="W2537" i="34"/>
  <c r="Z2537" i="34"/>
  <c r="A2537" i="34"/>
  <c r="W2583" i="34"/>
  <c r="Z2583" i="34"/>
  <c r="A2583" i="34"/>
  <c r="W2587" i="34"/>
  <c r="Z2587" i="34"/>
  <c r="A2587" i="34"/>
  <c r="W2591" i="34"/>
  <c r="Z2591" i="34"/>
  <c r="A2591" i="34"/>
  <c r="Z2478" i="34"/>
  <c r="W2478" i="34"/>
  <c r="A2478" i="34"/>
  <c r="Z2258" i="34"/>
  <c r="W2258" i="34"/>
  <c r="A2258" i="34"/>
  <c r="Z2266" i="34"/>
  <c r="W2266" i="34"/>
  <c r="A2266" i="34"/>
  <c r="Z2356" i="34"/>
  <c r="W2356" i="34"/>
  <c r="A2356" i="34"/>
  <c r="Z2362" i="34"/>
  <c r="W2362" i="34"/>
  <c r="A2362" i="34"/>
  <c r="Z2474" i="34"/>
  <c r="W2474" i="34"/>
  <c r="A2474" i="34"/>
  <c r="W2481" i="34"/>
  <c r="Z2481" i="34"/>
  <c r="A2481" i="34"/>
  <c r="Z2309" i="34"/>
  <c r="W2309" i="34"/>
  <c r="A2309" i="34"/>
  <c r="Z2313" i="34"/>
  <c r="W2313" i="34"/>
  <c r="A2313" i="34"/>
  <c r="Z2317" i="34"/>
  <c r="W2317" i="34"/>
  <c r="A2317" i="34"/>
  <c r="Z2366" i="34"/>
  <c r="W2366" i="34"/>
  <c r="A2366" i="34"/>
  <c r="Z2370" i="34"/>
  <c r="W2370" i="34"/>
  <c r="A2370" i="34"/>
  <c r="Z2374" i="34"/>
  <c r="W2374" i="34"/>
  <c r="A2374" i="34"/>
  <c r="Z2420" i="34"/>
  <c r="W2420" i="34"/>
  <c r="A2420" i="34"/>
  <c r="W2467" i="34"/>
  <c r="Z2467" i="34"/>
  <c r="A2467" i="34"/>
  <c r="Z2255" i="34"/>
  <c r="W2255" i="34"/>
  <c r="A2255" i="34"/>
  <c r="Z2259" i="34"/>
  <c r="W2259" i="34"/>
  <c r="A2259" i="34"/>
  <c r="Z2272" i="34"/>
  <c r="W2272" i="34"/>
  <c r="A2272" i="34"/>
  <c r="Z2276" i="34"/>
  <c r="W2276" i="34"/>
  <c r="A2276" i="34"/>
  <c r="Z2280" i="34"/>
  <c r="W2280" i="34"/>
  <c r="A2280" i="34"/>
  <c r="Z2284" i="34"/>
  <c r="W2284" i="34"/>
  <c r="A2284" i="34"/>
  <c r="Z2291" i="34"/>
  <c r="W2291" i="34"/>
  <c r="A2291" i="34"/>
  <c r="Z2295" i="34"/>
  <c r="W2295" i="34"/>
  <c r="A2295" i="34"/>
  <c r="Z2322" i="34"/>
  <c r="W2322" i="34"/>
  <c r="A2322" i="34"/>
  <c r="Z2326" i="34"/>
  <c r="W2326" i="34"/>
  <c r="A2326" i="34"/>
  <c r="Z2330" i="34"/>
  <c r="W2330" i="34"/>
  <c r="A2330" i="34"/>
  <c r="Z2303" i="34"/>
  <c r="W2303" i="34"/>
  <c r="A2303" i="34"/>
  <c r="Z2307" i="34"/>
  <c r="W2307" i="34"/>
  <c r="A2307" i="34"/>
  <c r="Z2298" i="34"/>
  <c r="W2298" i="34"/>
  <c r="A2298" i="34"/>
  <c r="Z2334" i="34"/>
  <c r="W2334" i="34"/>
  <c r="A2334" i="34"/>
  <c r="Z2338" i="34"/>
  <c r="W2338" i="34"/>
  <c r="A2338" i="34"/>
  <c r="Z2342" i="34"/>
  <c r="W2342" i="34"/>
  <c r="A2342" i="34"/>
  <c r="Z2386" i="34"/>
  <c r="W2386" i="34"/>
  <c r="A2386" i="34"/>
  <c r="Z2390" i="34"/>
  <c r="W2390" i="34"/>
  <c r="A2390" i="34"/>
  <c r="Z1989" i="34"/>
  <c r="W1989" i="34"/>
  <c r="A1989" i="34"/>
  <c r="Z1993" i="34"/>
  <c r="W1993" i="34"/>
  <c r="A1993" i="34"/>
  <c r="Z1997" i="34"/>
  <c r="W1997" i="34"/>
  <c r="A1997" i="34"/>
  <c r="Z2001" i="34"/>
  <c r="W2001" i="34"/>
  <c r="A2001" i="34"/>
  <c r="W2020" i="34"/>
  <c r="Z2020" i="34"/>
  <c r="A2020" i="34"/>
  <c r="W2054" i="34"/>
  <c r="Z2054" i="34"/>
  <c r="A2054" i="34"/>
  <c r="W2092" i="34"/>
  <c r="Z2092" i="34"/>
  <c r="A2092" i="34"/>
  <c r="W2096" i="34"/>
  <c r="Z2096" i="34"/>
  <c r="A2096" i="34"/>
  <c r="Z2149" i="34"/>
  <c r="W2149" i="34"/>
  <c r="A2149" i="34"/>
  <c r="Z2153" i="34"/>
  <c r="W2153" i="34"/>
  <c r="A2153" i="34"/>
  <c r="Z2178" i="34"/>
  <c r="W2178" i="34"/>
  <c r="A2178" i="34"/>
  <c r="Z2182" i="34"/>
  <c r="W2182" i="34"/>
  <c r="A2182" i="34"/>
  <c r="Z2201" i="34"/>
  <c r="W2201" i="34"/>
  <c r="A2201" i="34"/>
  <c r="Z2231" i="34"/>
  <c r="W2231" i="34"/>
  <c r="A2231" i="34"/>
  <c r="Z2235" i="34"/>
  <c r="W2235" i="34"/>
  <c r="A2235" i="34"/>
  <c r="Z2239" i="34"/>
  <c r="W2239" i="34"/>
  <c r="A2239" i="34"/>
  <c r="Z2594" i="34"/>
  <c r="W2594" i="34"/>
  <c r="A2594" i="34"/>
  <c r="Z2598" i="34"/>
  <c r="W2598" i="34"/>
  <c r="A2598" i="34"/>
  <c r="W2691" i="34"/>
  <c r="Z2691" i="34"/>
  <c r="A2691" i="34"/>
  <c r="W2697" i="34"/>
  <c r="Z2697" i="34"/>
  <c r="A2697" i="34"/>
  <c r="W2701" i="34"/>
  <c r="Z2701" i="34"/>
  <c r="A2701" i="34"/>
  <c r="Z2706" i="34"/>
  <c r="W2706" i="34"/>
  <c r="A2706" i="34"/>
  <c r="Z2710" i="34"/>
  <c r="W2710" i="34"/>
  <c r="A2710" i="34"/>
  <c r="W2717" i="34"/>
  <c r="Z2717" i="34"/>
  <c r="A2717" i="34"/>
  <c r="A2797" i="34"/>
  <c r="Z2797" i="34"/>
  <c r="W2797" i="34"/>
  <c r="Z2777" i="34"/>
  <c r="A2777" i="34"/>
  <c r="W2777" i="34"/>
  <c r="Z2714" i="34"/>
  <c r="W2714" i="34"/>
  <c r="A2714" i="34"/>
  <c r="Z2804" i="34"/>
  <c r="W2804" i="34"/>
  <c r="A2804" i="34"/>
  <c r="Z2756" i="34"/>
  <c r="W2756" i="34"/>
  <c r="A2756" i="34"/>
  <c r="A2853" i="34"/>
  <c r="Z2853" i="34"/>
  <c r="W2853" i="34"/>
  <c r="A2857" i="34"/>
  <c r="Z2857" i="34"/>
  <c r="W2857" i="34"/>
  <c r="W2487" i="34"/>
  <c r="Z2487" i="34"/>
  <c r="A2487" i="34"/>
  <c r="Z2490" i="34"/>
  <c r="W2490" i="34"/>
  <c r="A2490" i="34"/>
  <c r="Z2494" i="34"/>
  <c r="W2494" i="34"/>
  <c r="A2494" i="34"/>
  <c r="Z2502" i="34"/>
  <c r="W2502" i="34"/>
  <c r="A2502" i="34"/>
  <c r="Z2506" i="34"/>
  <c r="W2506" i="34"/>
  <c r="A2506" i="34"/>
  <c r="Z2510" i="34"/>
  <c r="W2510" i="34"/>
  <c r="A2510" i="34"/>
  <c r="Z2514" i="34"/>
  <c r="W2514" i="34"/>
  <c r="A2514" i="34"/>
  <c r="Z2518" i="34"/>
  <c r="W2518" i="34"/>
  <c r="A2518" i="34"/>
  <c r="W2575" i="34"/>
  <c r="Z2575" i="34"/>
  <c r="A2575" i="34"/>
  <c r="W2579" i="34"/>
  <c r="Z2579" i="34"/>
  <c r="A2579" i="34"/>
  <c r="W2641" i="34"/>
  <c r="Z2641" i="34"/>
  <c r="A2641" i="34"/>
  <c r="W2645" i="34"/>
  <c r="Z2645" i="34"/>
  <c r="A2645" i="34"/>
  <c r="W2649" i="34"/>
  <c r="Z2649" i="34"/>
  <c r="A2649" i="34"/>
  <c r="W2653" i="34"/>
  <c r="Z2653" i="34"/>
  <c r="A2653" i="34"/>
  <c r="Z2658" i="34"/>
  <c r="W2658" i="34"/>
  <c r="A2658" i="34"/>
  <c r="W2663" i="34"/>
  <c r="Z2663" i="34"/>
  <c r="A2663" i="34"/>
  <c r="W2685" i="34"/>
  <c r="Z2685" i="34"/>
  <c r="A2685" i="34"/>
  <c r="Z2422" i="34"/>
  <c r="W2422" i="34"/>
  <c r="A2422" i="34"/>
  <c r="Z2426" i="34"/>
  <c r="W2426" i="34"/>
  <c r="A2426" i="34"/>
  <c r="Z2430" i="34"/>
  <c r="W2430" i="34"/>
  <c r="A2430" i="34"/>
  <c r="W2453" i="34"/>
  <c r="Z2453" i="34"/>
  <c r="A2453" i="34"/>
  <c r="W2457" i="34"/>
  <c r="Z2457" i="34"/>
  <c r="A2457" i="34"/>
  <c r="Z2262" i="34"/>
  <c r="W2262" i="34"/>
  <c r="A2262" i="34"/>
  <c r="Z2345" i="34"/>
  <c r="W2345" i="34"/>
  <c r="A2345" i="34"/>
  <c r="Z2349" i="34"/>
  <c r="W2349" i="34"/>
  <c r="A2349" i="34"/>
  <c r="Z2353" i="34"/>
  <c r="W2353" i="34"/>
  <c r="A2353" i="34"/>
  <c r="Z2399" i="34"/>
  <c r="W2399" i="34"/>
  <c r="A2399" i="34"/>
  <c r="Z2403" i="34"/>
  <c r="W2403" i="34"/>
  <c r="A2403" i="34"/>
  <c r="Z2407" i="34"/>
  <c r="W2407" i="34"/>
  <c r="A2407" i="34"/>
  <c r="Z2432" i="34"/>
  <c r="W2432" i="34"/>
  <c r="A2432" i="34"/>
  <c r="Z2436" i="34"/>
  <c r="W2436" i="34"/>
  <c r="A2436" i="34"/>
  <c r="Z2440" i="34"/>
  <c r="W2440" i="34"/>
  <c r="A2440" i="34"/>
  <c r="W2461" i="34"/>
  <c r="Z2461" i="34"/>
  <c r="A2461" i="34"/>
  <c r="W2465" i="34"/>
  <c r="Z2465" i="34"/>
  <c r="A2465" i="34"/>
  <c r="W2485" i="34"/>
  <c r="Z2485" i="34"/>
  <c r="A2485" i="34"/>
  <c r="Z2520" i="34"/>
  <c r="W2520" i="34"/>
  <c r="A2520" i="34"/>
  <c r="Z2686" i="34"/>
  <c r="W2686" i="34"/>
  <c r="A2686" i="34"/>
  <c r="W2521" i="34"/>
  <c r="Z2521" i="34"/>
  <c r="A2521" i="34"/>
  <c r="W2525" i="34"/>
  <c r="Z2525" i="34"/>
  <c r="A2525" i="34"/>
  <c r="W2529" i="34"/>
  <c r="Z2529" i="34"/>
  <c r="A2529" i="34"/>
  <c r="Z2548" i="34"/>
  <c r="W2548" i="34"/>
  <c r="A2548" i="34"/>
  <c r="Z2538" i="34"/>
  <c r="W2538" i="34"/>
  <c r="A2538" i="34"/>
  <c r="Z2584" i="34"/>
  <c r="W2584" i="34"/>
  <c r="A2584" i="34"/>
  <c r="Z2588" i="34"/>
  <c r="W2588" i="34"/>
  <c r="A2588" i="34"/>
  <c r="Z2592" i="34"/>
  <c r="W2592" i="34"/>
  <c r="A2592" i="34"/>
  <c r="Z2480" i="34"/>
  <c r="W2480" i="34"/>
  <c r="A2480" i="34"/>
  <c r="Z2263" i="34"/>
  <c r="W2263" i="34"/>
  <c r="A2263" i="34"/>
  <c r="Z2267" i="34"/>
  <c r="W2267" i="34"/>
  <c r="A2267" i="34"/>
  <c r="Z2357" i="34"/>
  <c r="W2357" i="34"/>
  <c r="A2357" i="34"/>
  <c r="Z2363" i="34"/>
  <c r="W2363" i="34"/>
  <c r="A2363" i="34"/>
  <c r="W2475" i="34"/>
  <c r="Z2475" i="34"/>
  <c r="A2475" i="34"/>
  <c r="Z2482" i="34"/>
  <c r="W2482" i="34"/>
  <c r="A2482" i="34"/>
  <c r="Z2310" i="34"/>
  <c r="W2310" i="34"/>
  <c r="A2310" i="34"/>
  <c r="Z2314" i="34"/>
  <c r="W2314" i="34"/>
  <c r="A2314" i="34"/>
  <c r="Z2318" i="34"/>
  <c r="W2318" i="34"/>
  <c r="A2318" i="34"/>
  <c r="Z2367" i="34"/>
  <c r="W2367" i="34"/>
  <c r="A2367" i="34"/>
  <c r="Z2371" i="34"/>
  <c r="W2371" i="34"/>
  <c r="A2371" i="34"/>
  <c r="Z2375" i="34"/>
  <c r="W2375" i="34"/>
  <c r="A2375" i="34"/>
  <c r="Z2448" i="34"/>
  <c r="W2448" i="34"/>
  <c r="A2448" i="34"/>
  <c r="Z2468" i="34"/>
  <c r="W2468" i="34"/>
  <c r="A2468" i="34"/>
  <c r="Z2269" i="34"/>
  <c r="W2269" i="34"/>
  <c r="A2269" i="34"/>
  <c r="Z2260" i="34"/>
  <c r="W2260" i="34"/>
  <c r="A2260" i="34"/>
  <c r="Z2273" i="34"/>
  <c r="W2273" i="34"/>
  <c r="A2273" i="34"/>
  <c r="Z2277" i="34"/>
  <c r="W2277" i="34"/>
  <c r="A2277" i="34"/>
  <c r="Z2281" i="34"/>
  <c r="W2281" i="34"/>
  <c r="A2281" i="34"/>
  <c r="Z2285" i="34"/>
  <c r="W2285" i="34"/>
  <c r="A2285" i="34"/>
  <c r="Z2292" i="34"/>
  <c r="W2292" i="34"/>
  <c r="A2292" i="34"/>
  <c r="Z2296" i="34"/>
  <c r="W2296" i="34"/>
  <c r="A2296" i="34"/>
  <c r="Z2323" i="34"/>
  <c r="W2323" i="34"/>
  <c r="A2323" i="34"/>
  <c r="Z2327" i="34"/>
  <c r="W2327" i="34"/>
  <c r="A2327" i="34"/>
  <c r="Z2300" i="34"/>
  <c r="W2300" i="34"/>
  <c r="A2300" i="34"/>
  <c r="Z2304" i="34"/>
  <c r="W2304" i="34"/>
  <c r="A2304" i="34"/>
  <c r="Z2381" i="34"/>
  <c r="W2381" i="34"/>
  <c r="A2381" i="34"/>
  <c r="Z2331" i="34"/>
  <c r="W2331" i="34"/>
  <c r="A2331" i="34"/>
  <c r="Z2335" i="34"/>
  <c r="W2335" i="34"/>
  <c r="A2335" i="34"/>
  <c r="Z2339" i="34"/>
  <c r="W2339" i="34"/>
  <c r="A2339" i="34"/>
  <c r="Z2383" i="34"/>
  <c r="W2383" i="34"/>
  <c r="A2383" i="34"/>
  <c r="Z2387" i="34"/>
  <c r="W2387" i="34"/>
  <c r="A2387" i="34"/>
  <c r="Z2391" i="34"/>
  <c r="W2391" i="34"/>
  <c r="A2391" i="34"/>
  <c r="W1970" i="34"/>
  <c r="Z1970" i="34"/>
  <c r="A1970" i="34"/>
  <c r="W1990" i="34"/>
  <c r="Z1990" i="34"/>
  <c r="A1990" i="34"/>
  <c r="W1994" i="34"/>
  <c r="Z1994" i="34"/>
  <c r="A1994" i="34"/>
  <c r="W1998" i="34"/>
  <c r="Z1998" i="34"/>
  <c r="A1998" i="34"/>
  <c r="Z2017" i="34"/>
  <c r="W2017" i="34"/>
  <c r="A2017" i="34"/>
  <c r="Z2021" i="34"/>
  <c r="W2021" i="34"/>
  <c r="A2021" i="34"/>
  <c r="Z2089" i="34"/>
  <c r="W2089" i="34"/>
  <c r="A2089" i="34"/>
  <c r="Z2093" i="34"/>
  <c r="W2093" i="34"/>
  <c r="A2093" i="34"/>
  <c r="Z2124" i="34"/>
  <c r="W2124" i="34"/>
  <c r="A2124" i="34"/>
  <c r="Z2150" i="34"/>
  <c r="W2150" i="34"/>
  <c r="A2150" i="34"/>
  <c r="Z2154" i="34"/>
  <c r="W2154" i="34"/>
  <c r="A2154" i="34"/>
  <c r="Z2179" i="34"/>
  <c r="W2179" i="34"/>
  <c r="A2179" i="34"/>
  <c r="Z2183" i="34"/>
  <c r="W2183" i="34"/>
  <c r="A2183" i="34"/>
  <c r="Z2202" i="34"/>
  <c r="W2202" i="34"/>
  <c r="A2202" i="34"/>
  <c r="Z2232" i="34"/>
  <c r="W2232" i="34"/>
  <c r="A2232" i="34"/>
  <c r="Z2236" i="34"/>
  <c r="W2236" i="34"/>
  <c r="A2236" i="34"/>
  <c r="Z2240" i="34"/>
  <c r="W2240" i="34"/>
  <c r="A2240" i="34"/>
  <c r="W2595" i="34"/>
  <c r="Z2595" i="34"/>
  <c r="A2595" i="34"/>
  <c r="W2599" i="34"/>
  <c r="Z2599" i="34"/>
  <c r="A2599" i="34"/>
  <c r="Z2692" i="34"/>
  <c r="W2692" i="34"/>
  <c r="A2692" i="34"/>
  <c r="Z2698" i="34"/>
  <c r="W2698" i="34"/>
  <c r="A2698" i="34"/>
  <c r="Z2702" i="34"/>
  <c r="W2702" i="34"/>
  <c r="A2702" i="34"/>
  <c r="W2707" i="34"/>
  <c r="Z2707" i="34"/>
  <c r="A2707" i="34"/>
  <c r="W2711" i="34"/>
  <c r="Z2711" i="34"/>
  <c r="A2711" i="34"/>
  <c r="Z2786" i="34"/>
  <c r="W2786" i="34"/>
  <c r="A2786" i="34"/>
  <c r="Z2770" i="34"/>
  <c r="W2770" i="34"/>
  <c r="A2770" i="34"/>
  <c r="Z2778" i="34"/>
  <c r="W2778" i="34"/>
  <c r="A2778" i="34"/>
  <c r="A2845" i="34"/>
  <c r="Z2845" i="34"/>
  <c r="W2845" i="34"/>
  <c r="W2753" i="34"/>
  <c r="Z2753" i="34"/>
  <c r="A2753" i="34"/>
  <c r="Z2850" i="34"/>
  <c r="W2850" i="34"/>
  <c r="A2850" i="34"/>
  <c r="Z2854" i="34"/>
  <c r="W2854" i="34"/>
  <c r="A2854" i="34"/>
  <c r="Z2858" i="34"/>
  <c r="W2858" i="34"/>
  <c r="A2858" i="34"/>
  <c r="W2491" i="34"/>
  <c r="Z2491" i="34"/>
  <c r="A2491" i="34"/>
  <c r="W2495" i="34"/>
  <c r="Z2495" i="34"/>
  <c r="A2495" i="34"/>
  <c r="W2503" i="34"/>
  <c r="Z2503" i="34"/>
  <c r="A2503" i="34"/>
  <c r="W2507" i="34"/>
  <c r="Z2507" i="34"/>
  <c r="A2507" i="34"/>
  <c r="W2511" i="34"/>
  <c r="Z2511" i="34"/>
  <c r="A2511" i="34"/>
  <c r="W2515" i="34"/>
  <c r="Z2515" i="34"/>
  <c r="A2515" i="34"/>
  <c r="W2541" i="34"/>
  <c r="Z2541" i="34"/>
  <c r="A2541" i="34"/>
  <c r="Z2576" i="34"/>
  <c r="W2576" i="34"/>
  <c r="A2576" i="34"/>
  <c r="Z2580" i="34"/>
  <c r="W2580" i="34"/>
  <c r="A2580" i="34"/>
  <c r="Z2642" i="34"/>
  <c r="W2642" i="34"/>
  <c r="A2642" i="34"/>
  <c r="Z2646" i="34"/>
  <c r="W2646" i="34"/>
  <c r="A2646" i="34"/>
  <c r="Z2650" i="34"/>
  <c r="W2650" i="34"/>
  <c r="A2650" i="34"/>
  <c r="Z2654" i="34"/>
  <c r="W2654" i="34"/>
  <c r="A2654" i="34"/>
  <c r="W2659" i="34"/>
  <c r="Z2659" i="34"/>
  <c r="A2659" i="34"/>
  <c r="Z2664" i="34"/>
  <c r="W2664" i="34"/>
  <c r="A2664" i="34"/>
  <c r="Z2394" i="34"/>
  <c r="W2394" i="34"/>
  <c r="A2394" i="34"/>
  <c r="Z2423" i="34"/>
  <c r="W2423" i="34"/>
  <c r="A2423" i="34"/>
  <c r="Z2427" i="34"/>
  <c r="W2427" i="34"/>
  <c r="A2427" i="34"/>
  <c r="Z2431" i="34"/>
  <c r="W2431" i="34"/>
  <c r="A2431" i="34"/>
  <c r="Z2454" i="34"/>
  <c r="W2454" i="34"/>
  <c r="A2454" i="34"/>
  <c r="Z2458" i="34"/>
  <c r="W2458" i="34"/>
  <c r="A2458" i="34"/>
  <c r="Z2299" i="34"/>
  <c r="W2299" i="34"/>
  <c r="A2299" i="34"/>
  <c r="Z2346" i="34"/>
  <c r="W2346" i="34"/>
  <c r="A2346" i="34"/>
  <c r="Z2350" i="34"/>
  <c r="W2350" i="34"/>
  <c r="A2350" i="34"/>
  <c r="Z2354" i="34"/>
  <c r="W2354" i="34"/>
  <c r="A2354" i="34"/>
  <c r="Z2400" i="34"/>
  <c r="W2400" i="34"/>
  <c r="A2400" i="34"/>
  <c r="Z2404" i="34"/>
  <c r="W2404" i="34"/>
  <c r="A2404" i="34"/>
  <c r="Z2408" i="34"/>
  <c r="W2408" i="34"/>
  <c r="A2408" i="34"/>
  <c r="Z2433" i="34"/>
  <c r="W2433" i="34"/>
  <c r="A2433" i="34"/>
  <c r="Z2437" i="34"/>
  <c r="W2437" i="34"/>
  <c r="A2437" i="34"/>
  <c r="Z2441" i="34"/>
  <c r="W2441" i="34"/>
  <c r="A2441" i="34"/>
  <c r="Z2462" i="34"/>
  <c r="W2462" i="34"/>
  <c r="A2462" i="34"/>
  <c r="Z2466" i="34"/>
  <c r="W2466" i="34"/>
  <c r="A2466" i="34"/>
  <c r="W2499" i="34"/>
  <c r="Z2499" i="34"/>
  <c r="A2499" i="34"/>
  <c r="Z2636" i="34"/>
  <c r="W2636" i="34"/>
  <c r="A2636" i="34"/>
  <c r="Z2522" i="34"/>
  <c r="W2522" i="34"/>
  <c r="A2522" i="34"/>
  <c r="Z2526" i="34"/>
  <c r="W2526" i="34"/>
  <c r="A2526" i="34"/>
  <c r="Z2530" i="34"/>
  <c r="W2530" i="34"/>
  <c r="A2530" i="34"/>
  <c r="Z2773" i="34"/>
  <c r="A2773" i="34"/>
  <c r="W2773" i="34"/>
  <c r="W2581" i="34"/>
  <c r="Z2581" i="34"/>
  <c r="A2581" i="34"/>
  <c r="W2585" i="34"/>
  <c r="Z2585" i="34"/>
  <c r="A2585" i="34"/>
  <c r="W2589" i="34"/>
  <c r="Z2589" i="34"/>
  <c r="A2589" i="34"/>
  <c r="Z2250" i="34"/>
  <c r="W2250" i="34"/>
  <c r="A2250" i="34"/>
  <c r="Z2256" i="34"/>
  <c r="W2256" i="34"/>
  <c r="A2256" i="34"/>
  <c r="Z2264" i="34"/>
  <c r="W2264" i="34"/>
  <c r="A2264" i="34"/>
  <c r="Z2287" i="34"/>
  <c r="W2287" i="34"/>
  <c r="A2287" i="34"/>
  <c r="Z2359" i="34"/>
  <c r="W2359" i="34"/>
  <c r="A2359" i="34"/>
  <c r="Z2364" i="34"/>
  <c r="W2364" i="34"/>
  <c r="A2364" i="34"/>
  <c r="Z2476" i="34"/>
  <c r="W2476" i="34"/>
  <c r="A2476" i="34"/>
  <c r="W2483" i="34"/>
  <c r="Z2483" i="34"/>
  <c r="A2483" i="34"/>
  <c r="Z2311" i="34"/>
  <c r="W2311" i="34"/>
  <c r="A2311" i="34"/>
  <c r="Z2315" i="34"/>
  <c r="W2315" i="34"/>
  <c r="A2315" i="34"/>
  <c r="Z2319" i="34"/>
  <c r="W2319" i="34"/>
  <c r="A2319" i="34"/>
  <c r="Z2368" i="34"/>
  <c r="W2368" i="34"/>
  <c r="A2368" i="34"/>
  <c r="Z2372" i="34"/>
  <c r="W2372" i="34"/>
  <c r="A2372" i="34"/>
  <c r="Z2376" i="34"/>
  <c r="W2376" i="34"/>
  <c r="A2376" i="34"/>
  <c r="Z2449" i="34"/>
  <c r="W2449" i="34"/>
  <c r="A2449" i="34"/>
  <c r="W2469" i="34"/>
  <c r="Z2469" i="34"/>
  <c r="A2469" i="34"/>
  <c r="Z2270" i="34"/>
  <c r="W2270" i="34"/>
  <c r="A2270" i="34"/>
  <c r="Z2288" i="34"/>
  <c r="W2288" i="34"/>
  <c r="A2288" i="34"/>
  <c r="Z2274" i="34"/>
  <c r="W2274" i="34"/>
  <c r="A2274" i="34"/>
  <c r="Z2278" i="34"/>
  <c r="W2278" i="34"/>
  <c r="A2278" i="34"/>
  <c r="Z2282" i="34"/>
  <c r="W2282" i="34"/>
  <c r="A2282" i="34"/>
  <c r="Z2286" i="34"/>
  <c r="W2286" i="34"/>
  <c r="A2286" i="34"/>
  <c r="Z2293" i="34"/>
  <c r="W2293" i="34"/>
  <c r="A2293" i="34"/>
  <c r="Z2297" i="34"/>
  <c r="W2297" i="34"/>
  <c r="A2297" i="34"/>
  <c r="Z2324" i="34"/>
  <c r="W2324" i="34"/>
  <c r="A2324" i="34"/>
  <c r="Z2328" i="34"/>
  <c r="W2328" i="34"/>
  <c r="A2328" i="34"/>
  <c r="Z2301" i="34"/>
  <c r="W2301" i="34"/>
  <c r="A2301" i="34"/>
  <c r="Z2305" i="34"/>
  <c r="W2305" i="34"/>
  <c r="A2305" i="34"/>
  <c r="Z2382" i="34"/>
  <c r="W2382" i="34"/>
  <c r="A2382" i="34"/>
  <c r="Z2332" i="34"/>
  <c r="W2332" i="34"/>
  <c r="A2332" i="34"/>
  <c r="Z2336" i="34"/>
  <c r="W2336" i="34"/>
  <c r="A2336" i="34"/>
  <c r="Z2340" i="34"/>
  <c r="W2340" i="34"/>
  <c r="A2340" i="34"/>
  <c r="Z2384" i="34"/>
  <c r="W2384" i="34"/>
  <c r="A2384" i="34"/>
  <c r="Z2388" i="34"/>
  <c r="W2388" i="34"/>
  <c r="A2388" i="34"/>
  <c r="Z2392" i="34"/>
  <c r="W2392" i="34"/>
  <c r="A2392" i="34"/>
  <c r="Z1991" i="34"/>
  <c r="W1991" i="34"/>
  <c r="A1991" i="34"/>
  <c r="Z1995" i="34"/>
  <c r="W1995" i="34"/>
  <c r="A1995" i="34"/>
  <c r="Z1999" i="34"/>
  <c r="W1999" i="34"/>
  <c r="A1999" i="34"/>
  <c r="W2018" i="34"/>
  <c r="Z2018" i="34"/>
  <c r="A2018" i="34"/>
  <c r="W2022" i="34"/>
  <c r="Z2022" i="34"/>
  <c r="A2022" i="34"/>
  <c r="W2090" i="34"/>
  <c r="Z2090" i="34"/>
  <c r="A2090" i="34"/>
  <c r="W2094" i="34"/>
  <c r="Z2094" i="34"/>
  <c r="A2094" i="34"/>
  <c r="Z2147" i="34"/>
  <c r="W2147" i="34"/>
  <c r="A2147" i="34"/>
  <c r="Z2151" i="34"/>
  <c r="W2151" i="34"/>
  <c r="A2151" i="34"/>
  <c r="Z2155" i="34"/>
  <c r="W2155" i="34"/>
  <c r="A2155" i="34"/>
  <c r="Z2180" i="34"/>
  <c r="W2180" i="34"/>
  <c r="A2180" i="34"/>
  <c r="Z2184" i="34"/>
  <c r="W2184" i="34"/>
  <c r="A2184" i="34"/>
  <c r="Z2203" i="34"/>
  <c r="W2203" i="34"/>
  <c r="A2203" i="34"/>
  <c r="Z2233" i="34"/>
  <c r="W2233" i="34"/>
  <c r="A2233" i="34"/>
  <c r="Z2237" i="34"/>
  <c r="W2237" i="34"/>
  <c r="A2237" i="34"/>
  <c r="Z1081" i="34"/>
  <c r="W1081" i="34"/>
  <c r="A1081" i="34"/>
  <c r="Z1090" i="34"/>
  <c r="W1090" i="34"/>
  <c r="A1090" i="34"/>
  <c r="Z1165" i="34"/>
  <c r="W1165" i="34"/>
  <c r="A1165" i="34"/>
  <c r="Z1171" i="34"/>
  <c r="W1171" i="34"/>
  <c r="A1171" i="34"/>
  <c r="W1242" i="34"/>
  <c r="Z1242" i="34"/>
  <c r="A1242" i="34"/>
  <c r="W1251" i="34"/>
  <c r="Z1251" i="34"/>
  <c r="A1251" i="34"/>
  <c r="W1387" i="34"/>
  <c r="Z1387" i="34"/>
  <c r="A1387" i="34"/>
  <c r="W1415" i="34"/>
  <c r="Z1415" i="34"/>
  <c r="A1415" i="34"/>
  <c r="Z1490" i="34"/>
  <c r="W1490" i="34"/>
  <c r="A1490" i="34"/>
  <c r="Z1521" i="34"/>
  <c r="W1521" i="34"/>
  <c r="A1521" i="34"/>
  <c r="Z1684" i="34"/>
  <c r="W1684" i="34"/>
  <c r="A1684" i="34"/>
  <c r="Z1688" i="34"/>
  <c r="W1688" i="34"/>
  <c r="A1688" i="34"/>
  <c r="Z1698" i="34"/>
  <c r="W1698" i="34"/>
  <c r="A1698" i="34"/>
  <c r="W1748" i="34"/>
  <c r="Z1748" i="34"/>
  <c r="A1748" i="34"/>
  <c r="Z1781" i="34"/>
  <c r="W1781" i="34"/>
  <c r="A1781" i="34"/>
  <c r="Z1028" i="34"/>
  <c r="W1028" i="34"/>
  <c r="A1028" i="34"/>
  <c r="Z1082" i="34"/>
  <c r="W1082" i="34"/>
  <c r="A1082" i="34"/>
  <c r="Z1091" i="34"/>
  <c r="W1091" i="34"/>
  <c r="A1091" i="34"/>
  <c r="Z1166" i="34"/>
  <c r="W1166" i="34"/>
  <c r="A1166" i="34"/>
  <c r="Z1172" i="34"/>
  <c r="W1172" i="34"/>
  <c r="A1172" i="34"/>
  <c r="W1243" i="34"/>
  <c r="Z1243" i="34"/>
  <c r="A1243" i="34"/>
  <c r="W1252" i="34"/>
  <c r="Z1252" i="34"/>
  <c r="A1252" i="34"/>
  <c r="Z1388" i="34"/>
  <c r="W1388" i="34"/>
  <c r="A1388" i="34"/>
  <c r="Z1416" i="34"/>
  <c r="W1416" i="34"/>
  <c r="A1416" i="34"/>
  <c r="Z1491" i="34"/>
  <c r="W1491" i="34"/>
  <c r="A1491" i="34"/>
  <c r="Z1522" i="34"/>
  <c r="W1522" i="34"/>
  <c r="A1522" i="34"/>
  <c r="Z1685" i="34"/>
  <c r="W1685" i="34"/>
  <c r="A1685" i="34"/>
  <c r="Z1695" i="34"/>
  <c r="W1695" i="34"/>
  <c r="A1695" i="34"/>
  <c r="W1729" i="34"/>
  <c r="Z1729" i="34"/>
  <c r="A1729" i="34"/>
  <c r="W1749" i="34"/>
  <c r="Z1749" i="34"/>
  <c r="A1749" i="34"/>
  <c r="Z1029" i="34"/>
  <c r="W1029" i="34"/>
  <c r="A1029" i="34"/>
  <c r="Z1083" i="34"/>
  <c r="W1083" i="34"/>
  <c r="A1083" i="34"/>
  <c r="Z1093" i="34"/>
  <c r="W1093" i="34"/>
  <c r="A1093" i="34"/>
  <c r="Z1169" i="34"/>
  <c r="W1169" i="34"/>
  <c r="A1169" i="34"/>
  <c r="Z1173" i="34"/>
  <c r="W1173" i="34"/>
  <c r="A1173" i="34"/>
  <c r="W1244" i="34"/>
  <c r="Z1244" i="34"/>
  <c r="A1244" i="34"/>
  <c r="W1385" i="34"/>
  <c r="Z1385" i="34"/>
  <c r="A1385" i="34"/>
  <c r="W1413" i="34"/>
  <c r="Z1413" i="34"/>
  <c r="A1413" i="34"/>
  <c r="Z1497" i="34"/>
  <c r="W1497" i="34"/>
  <c r="A1497" i="34"/>
  <c r="Z1537" i="34"/>
  <c r="W1537" i="34"/>
  <c r="A1537" i="34"/>
  <c r="Z1686" i="34"/>
  <c r="W1686" i="34"/>
  <c r="A1686" i="34"/>
  <c r="Z1696" i="34"/>
  <c r="W1696" i="34"/>
  <c r="A1696" i="34"/>
  <c r="Z1730" i="34"/>
  <c r="W1730" i="34"/>
  <c r="A1730" i="34"/>
  <c r="W1750" i="34"/>
  <c r="Z1750" i="34"/>
  <c r="A1750" i="34"/>
  <c r="Z1080" i="34"/>
  <c r="W1080" i="34"/>
  <c r="A1080" i="34"/>
  <c r="Z1089" i="34"/>
  <c r="W1089" i="34"/>
  <c r="A1089" i="34"/>
  <c r="Z1164" i="34"/>
  <c r="W1164" i="34"/>
  <c r="A1164" i="34"/>
  <c r="Z1170" i="34"/>
  <c r="W1170" i="34"/>
  <c r="A1170" i="34"/>
  <c r="W1241" i="34"/>
  <c r="Z1241" i="34"/>
  <c r="A1241" i="34"/>
  <c r="W1245" i="34"/>
  <c r="Z1245" i="34"/>
  <c r="A1245" i="34"/>
  <c r="Z1386" i="34"/>
  <c r="W1386" i="34"/>
  <c r="A1386" i="34"/>
  <c r="Z1414" i="34"/>
  <c r="W1414" i="34"/>
  <c r="A1414" i="34"/>
  <c r="Z1489" i="34"/>
  <c r="W1489" i="34"/>
  <c r="A1489" i="34"/>
  <c r="Z1506" i="34"/>
  <c r="W1506" i="34"/>
  <c r="A1506" i="34"/>
  <c r="Z1596" i="34"/>
  <c r="W1596" i="34"/>
  <c r="A1596" i="34"/>
  <c r="Z1687" i="34"/>
  <c r="W1687" i="34"/>
  <c r="A1687" i="34"/>
  <c r="Z1697" i="34"/>
  <c r="W1697" i="34"/>
  <c r="A1697" i="34"/>
  <c r="W1747" i="34"/>
  <c r="Z1747" i="34"/>
  <c r="A1747" i="34"/>
  <c r="W1754" i="34"/>
  <c r="Z1754" i="34"/>
  <c r="A1754" i="34"/>
  <c r="A3388" i="34"/>
  <c r="A3390" i="34"/>
  <c r="B889" i="34" l="1"/>
  <c r="B743" i="34"/>
  <c r="B742" i="34"/>
  <c r="B741" i="34"/>
  <c r="B740" i="34"/>
  <c r="B735" i="34"/>
  <c r="B734" i="34"/>
  <c r="B733" i="34"/>
  <c r="B728" i="34"/>
  <c r="B727" i="34"/>
  <c r="B726" i="34"/>
  <c r="B725" i="34"/>
  <c r="B724" i="34"/>
  <c r="B723" i="34"/>
  <c r="B722" i="34"/>
  <c r="B710" i="34"/>
  <c r="B709" i="34"/>
  <c r="B708" i="34"/>
  <c r="B707" i="34"/>
  <c r="B701" i="34"/>
  <c r="B700" i="34"/>
  <c r="B699" i="34"/>
  <c r="B698" i="34"/>
  <c r="B697" i="34"/>
  <c r="B696" i="34"/>
  <c r="B695" i="34"/>
  <c r="B687" i="34"/>
  <c r="B686" i="34"/>
  <c r="B685" i="34"/>
  <c r="B684" i="34"/>
  <c r="B683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29" i="34"/>
  <c r="B628" i="34"/>
  <c r="B627" i="34"/>
  <c r="B626" i="34"/>
  <c r="B625" i="34"/>
  <c r="B624" i="34"/>
  <c r="B623" i="34"/>
  <c r="B622" i="34"/>
  <c r="B616" i="34"/>
  <c r="B615" i="34"/>
  <c r="B586" i="34"/>
  <c r="B585" i="34"/>
  <c r="B584" i="34"/>
  <c r="B132" i="34"/>
  <c r="B131" i="34"/>
  <c r="B120" i="34"/>
  <c r="B119" i="34"/>
  <c r="B118" i="34"/>
  <c r="B43" i="34"/>
  <c r="B42" i="34"/>
  <c r="B41" i="34"/>
  <c r="B38" i="34"/>
  <c r="B37" i="34"/>
  <c r="B36" i="34"/>
  <c r="B35" i="34"/>
  <c r="B34" i="34"/>
  <c r="B33" i="34"/>
  <c r="B32" i="34"/>
  <c r="B31" i="34"/>
  <c r="B30" i="34"/>
  <c r="B28" i="34"/>
  <c r="B27" i="34"/>
  <c r="B26" i="34"/>
  <c r="B25" i="34"/>
  <c r="B24" i="34"/>
  <c r="B1220" i="34"/>
  <c r="B1219" i="34"/>
  <c r="B1218" i="34"/>
  <c r="B1217" i="34"/>
  <c r="B1063" i="34"/>
  <c r="B1062" i="34"/>
  <c r="B1061" i="34"/>
  <c r="B1060" i="34"/>
  <c r="B1059" i="34"/>
  <c r="B1058" i="34"/>
  <c r="B1019" i="34"/>
  <c r="B1018" i="34"/>
  <c r="B1017" i="34"/>
  <c r="B1016" i="34"/>
  <c r="B1015" i="34"/>
  <c r="B989" i="34"/>
  <c r="B988" i="34"/>
  <c r="B987" i="34"/>
  <c r="B1216" i="34"/>
  <c r="B1215" i="34"/>
  <c r="B955" i="34"/>
  <c r="B954" i="34"/>
  <c r="B912" i="34"/>
  <c r="B911" i="34"/>
  <c r="B904" i="34"/>
  <c r="B903" i="34"/>
  <c r="B858" i="34"/>
  <c r="B441" i="34"/>
  <c r="B422" i="34"/>
  <c r="B336" i="34"/>
  <c r="B335" i="34"/>
  <c r="B331" i="34"/>
  <c r="B330" i="34"/>
  <c r="B326" i="34"/>
  <c r="B325" i="34"/>
  <c r="B324" i="34"/>
  <c r="B1168" i="34"/>
  <c r="B1153" i="34"/>
  <c r="B1152" i="34"/>
  <c r="B1151" i="34"/>
  <c r="B1150" i="34"/>
  <c r="B1149" i="34"/>
  <c r="B1148" i="34"/>
  <c r="B1147" i="34"/>
  <c r="B1167" i="34"/>
  <c r="B1157" i="34"/>
  <c r="B1156" i="34"/>
  <c r="B1146" i="34"/>
  <c r="B1134" i="34"/>
  <c r="B1122" i="34"/>
  <c r="B1121" i="34"/>
  <c r="B1120" i="34"/>
  <c r="B1119" i="34"/>
  <c r="B1118" i="34"/>
  <c r="B1117" i="34"/>
  <c r="B1116" i="34"/>
  <c r="B1115" i="34"/>
  <c r="B1114" i="34"/>
  <c r="B1087" i="34"/>
  <c r="B1086" i="34"/>
  <c r="B1085" i="34"/>
  <c r="B1057" i="34"/>
  <c r="B900" i="34"/>
  <c r="B917" i="34"/>
  <c r="B918" i="34"/>
  <c r="B919" i="34"/>
  <c r="B920" i="34"/>
  <c r="B921" i="34"/>
  <c r="B922" i="34"/>
  <c r="B923" i="34"/>
  <c r="B924" i="34"/>
  <c r="B925" i="34"/>
  <c r="B926" i="34"/>
  <c r="B927" i="34"/>
  <c r="B928" i="34"/>
  <c r="B936" i="34"/>
  <c r="B937" i="34"/>
  <c r="B938" i="34"/>
  <c r="B939" i="34"/>
  <c r="B940" i="34"/>
  <c r="B941" i="34"/>
  <c r="B942" i="34"/>
  <c r="B943" i="34"/>
  <c r="B981" i="34"/>
  <c r="B990" i="34"/>
  <c r="B991" i="34"/>
  <c r="B992" i="34"/>
  <c r="B993" i="34"/>
  <c r="B994" i="34"/>
  <c r="B995" i="34"/>
  <c r="B996" i="34"/>
  <c r="B997" i="34"/>
  <c r="B998" i="34"/>
  <c r="B1064" i="34"/>
  <c r="B1065" i="34"/>
  <c r="B1066" i="34"/>
  <c r="B1067" i="34"/>
  <c r="B1068" i="34"/>
  <c r="B1069" i="34"/>
  <c r="B1100" i="34"/>
  <c r="B1101" i="34"/>
  <c r="B1102" i="34"/>
  <c r="B1103" i="34"/>
  <c r="B1104" i="34"/>
  <c r="B1105" i="34"/>
  <c r="B1106" i="34"/>
  <c r="B1107" i="34"/>
  <c r="B1137" i="34"/>
  <c r="B1138" i="34"/>
  <c r="B1139" i="34"/>
  <c r="B1140" i="34"/>
  <c r="B1141" i="34"/>
  <c r="B1142" i="34"/>
  <c r="B1143" i="34"/>
  <c r="B1144" i="34"/>
  <c r="B1355" i="34"/>
  <c r="B1378" i="34"/>
  <c r="B1379" i="34"/>
  <c r="B1380" i="34"/>
  <c r="B1395" i="34"/>
  <c r="B1269" i="34"/>
  <c r="B1270" i="34"/>
  <c r="B1271" i="34"/>
  <c r="B1966" i="34"/>
  <c r="B1557" i="34"/>
  <c r="B1563" i="34"/>
  <c r="B1564" i="34"/>
  <c r="B1565" i="34"/>
  <c r="B1566" i="34"/>
  <c r="B1567" i="34"/>
  <c r="B1568" i="34"/>
  <c r="B1569" i="34"/>
  <c r="B1574" i="34"/>
  <c r="B1575" i="34"/>
  <c r="B1578" i="34"/>
  <c r="B1579" i="34"/>
  <c r="B1580" i="34"/>
  <c r="B1581" i="34"/>
  <c r="B1582" i="34"/>
  <c r="B1583" i="34"/>
  <c r="B1584" i="34"/>
  <c r="B1585" i="34"/>
  <c r="B1612" i="34"/>
  <c r="B1613" i="34"/>
  <c r="B1614" i="34"/>
  <c r="B1615" i="34"/>
  <c r="B1616" i="34"/>
  <c r="B1617" i="34"/>
  <c r="B1618" i="34"/>
  <c r="B1622" i="34"/>
  <c r="B1623" i="34"/>
  <c r="B1624" i="34"/>
  <c r="B1625" i="34"/>
  <c r="B1626" i="34"/>
  <c r="B1627" i="34"/>
  <c r="B1646" i="34"/>
  <c r="B1647" i="34"/>
  <c r="B1769" i="34"/>
  <c r="B1770" i="34"/>
  <c r="B1771" i="34"/>
  <c r="B1772" i="34"/>
  <c r="B1773" i="34"/>
  <c r="B1774" i="34"/>
  <c r="B1775" i="34"/>
  <c r="B2027" i="34"/>
  <c r="B2028" i="34"/>
  <c r="B2029" i="34"/>
  <c r="B2030" i="34"/>
  <c r="B2031" i="34"/>
  <c r="B2032" i="34"/>
  <c r="B2033" i="34"/>
  <c r="B2034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64" i="34"/>
  <c r="B2065" i="34"/>
  <c r="B2066" i="34"/>
  <c r="B2067" i="34"/>
  <c r="B2068" i="34"/>
  <c r="B2069" i="34"/>
  <c r="B2070" i="34"/>
  <c r="B2071" i="34"/>
  <c r="B2101" i="34"/>
  <c r="B2102" i="34"/>
  <c r="B2103" i="34"/>
  <c r="B2104" i="34"/>
  <c r="B2105" i="34"/>
  <c r="B2106" i="34"/>
  <c r="B2107" i="34"/>
  <c r="B2108" i="34"/>
  <c r="B2116" i="34"/>
  <c r="B2117" i="34"/>
  <c r="B2118" i="34"/>
  <c r="B2119" i="34"/>
  <c r="B2120" i="34"/>
  <c r="B2121" i="34"/>
  <c r="B2122" i="34"/>
  <c r="B2165" i="34"/>
  <c r="B2166" i="34"/>
  <c r="B2167" i="34"/>
  <c r="B899" i="34"/>
  <c r="B1073" i="34"/>
  <c r="B1072" i="34"/>
  <c r="B1021" i="34"/>
  <c r="B1020" i="34"/>
  <c r="B1003" i="34"/>
  <c r="B1002" i="34"/>
  <c r="B1001" i="34"/>
  <c r="B1000" i="34"/>
  <c r="B999" i="34"/>
  <c r="B2168" i="34"/>
  <c r="B1210" i="34"/>
  <c r="B1209" i="34"/>
  <c r="B1208" i="34"/>
  <c r="B1204" i="34"/>
  <c r="B1203" i="34"/>
  <c r="B1202" i="34"/>
  <c r="B1201" i="34"/>
  <c r="B1200" i="34"/>
  <c r="B1199" i="34"/>
  <c r="B1198" i="34"/>
  <c r="B1197" i="34"/>
  <c r="B1196" i="34"/>
  <c r="B1163" i="34"/>
  <c r="B1162" i="34"/>
  <c r="B1161" i="34"/>
  <c r="B1160" i="34"/>
  <c r="B1159" i="34"/>
  <c r="B1158" i="34"/>
  <c r="B1155" i="34"/>
  <c r="B1154" i="34"/>
  <c r="B1079" i="34"/>
  <c r="B1078" i="34"/>
  <c r="B1077" i="34"/>
  <c r="B1076" i="34"/>
  <c r="B1075" i="34"/>
  <c r="B1074" i="34"/>
  <c r="B1505" i="34"/>
  <c r="B1504" i="34"/>
  <c r="B1503" i="34"/>
  <c r="B1969" i="34"/>
  <c r="B1968" i="34"/>
  <c r="B1967" i="34"/>
  <c r="B1384" i="34"/>
  <c r="B1383" i="34"/>
  <c r="B1382" i="34"/>
  <c r="B1363" i="34"/>
  <c r="B1362" i="34"/>
  <c r="B1361" i="34"/>
  <c r="B1357" i="34"/>
  <c r="B1356" i="34"/>
  <c r="B1240" i="34"/>
  <c r="B1238" i="34"/>
  <c r="B1237" i="34"/>
  <c r="B1300" i="34"/>
  <c r="B1299" i="34"/>
  <c r="B1398" i="34"/>
  <c r="B1397" i="34"/>
  <c r="B1396" i="34"/>
  <c r="B1981" i="34"/>
  <c r="B1980" i="34"/>
  <c r="B1979" i="34"/>
  <c r="B1978" i="34"/>
  <c r="B1977" i="34"/>
  <c r="B1976" i="34"/>
  <c r="B1975" i="34"/>
  <c r="B1780" i="34"/>
  <c r="B1728" i="34"/>
  <c r="B1727" i="34"/>
  <c r="B1726" i="34"/>
  <c r="B1725" i="34"/>
  <c r="B1724" i="34"/>
  <c r="B1723" i="34"/>
  <c r="B1711" i="34"/>
  <c r="B1710" i="34"/>
  <c r="B1683" i="34"/>
  <c r="B1682" i="34"/>
  <c r="B1681" i="34"/>
  <c r="B1680" i="34"/>
  <c r="B1679" i="34"/>
  <c r="B1678" i="34"/>
  <c r="B1677" i="34"/>
  <c r="B1676" i="34"/>
  <c r="B1674" i="34"/>
  <c r="B1595" i="34"/>
  <c r="B1536" i="34"/>
  <c r="B2139" i="34"/>
  <c r="B2138" i="34"/>
  <c r="B2123" i="34"/>
  <c r="B2088" i="34"/>
  <c r="B2087" i="34"/>
  <c r="B2086" i="34"/>
  <c r="B2085" i="34"/>
  <c r="B2084" i="34"/>
  <c r="B2083" i="34"/>
  <c r="B2082" i="34"/>
  <c r="B2081" i="34"/>
  <c r="B2053" i="34"/>
  <c r="B2016" i="34"/>
  <c r="B2013" i="34"/>
  <c r="B2012" i="34"/>
  <c r="B2011" i="34"/>
  <c r="B2010" i="34"/>
  <c r="B2009" i="34"/>
  <c r="B2008" i="34"/>
  <c r="B1988" i="34"/>
  <c r="B1987" i="34"/>
  <c r="B1986" i="34"/>
  <c r="B1985" i="34"/>
  <c r="B1984" i="34"/>
  <c r="B1983" i="34"/>
  <c r="B1982" i="34"/>
  <c r="B2222" i="34"/>
  <c r="B2221" i="34"/>
  <c r="B2220" i="34"/>
  <c r="B2219" i="34"/>
  <c r="B2199" i="34"/>
  <c r="B2198" i="34"/>
  <c r="B2197" i="34"/>
  <c r="B2196" i="34"/>
  <c r="B2195" i="34"/>
  <c r="B2194" i="34"/>
  <c r="B2176" i="34"/>
  <c r="B2175" i="34"/>
  <c r="B2174" i="34"/>
  <c r="B2173" i="34"/>
  <c r="B2172" i="34"/>
  <c r="B2171" i="34"/>
  <c r="B2170" i="34"/>
  <c r="B2169" i="34"/>
  <c r="B2146" i="34"/>
  <c r="B2145" i="34"/>
  <c r="B2144" i="34"/>
  <c r="B2143" i="34"/>
  <c r="B2142" i="34"/>
  <c r="B2141" i="34"/>
  <c r="B2140" i="34"/>
  <c r="B2669" i="34"/>
  <c r="B2741" i="34"/>
  <c r="B2740" i="34"/>
  <c r="B2739" i="34"/>
  <c r="B2738" i="34"/>
  <c r="B2721" i="34"/>
  <c r="B2720" i="34"/>
  <c r="B2719" i="34"/>
  <c r="B2718" i="34"/>
  <c r="B1027" i="34"/>
  <c r="B1026" i="34"/>
  <c r="B1025" i="34"/>
  <c r="B1024" i="34"/>
  <c r="B1023" i="34"/>
  <c r="B1022" i="34"/>
  <c r="B895" i="34"/>
  <c r="B894" i="34"/>
  <c r="B1195" i="34"/>
  <c r="B893" i="34"/>
  <c r="B2229" i="34"/>
  <c r="B2228" i="34"/>
  <c r="B2227" i="34"/>
  <c r="B2226" i="34"/>
  <c r="B2225" i="34"/>
  <c r="B2224" i="34"/>
  <c r="B2223" i="34"/>
  <c r="B2923" i="34"/>
  <c r="A2923" i="34" s="1"/>
  <c r="B2922" i="34"/>
  <c r="A2922" i="34" s="1"/>
  <c r="B2921" i="34"/>
  <c r="A2921" i="34" s="1"/>
  <c r="B2920" i="34"/>
  <c r="A2920" i="34" s="1"/>
  <c r="B2919" i="34"/>
  <c r="A2919" i="34" s="1"/>
  <c r="B2918" i="34"/>
  <c r="A2918" i="34" s="1"/>
  <c r="B2489" i="34"/>
  <c r="B2785" i="34"/>
  <c r="B2784" i="34"/>
  <c r="B2814" i="34"/>
  <c r="B2813" i="34"/>
  <c r="B2789" i="34"/>
  <c r="B2788" i="34"/>
  <c r="B2836" i="34"/>
  <c r="B2835" i="34"/>
  <c r="B2834" i="34"/>
  <c r="B2799" i="34"/>
  <c r="B2798" i="34"/>
  <c r="B2838" i="34"/>
  <c r="B2837" i="34"/>
  <c r="B2833" i="34"/>
  <c r="B2832" i="34"/>
  <c r="B2831" i="34"/>
  <c r="B2674" i="34"/>
  <c r="B2673" i="34"/>
  <c r="B2672" i="34"/>
  <c r="B2671" i="34"/>
  <c r="B2950" i="34"/>
  <c r="A2950" i="34" s="1"/>
  <c r="B2498" i="34"/>
  <c r="B2917" i="34"/>
  <c r="A2917" i="34" s="1"/>
  <c r="B2916" i="34"/>
  <c r="A2916" i="34" s="1"/>
  <c r="B2915" i="34"/>
  <c r="A2915" i="34" s="1"/>
  <c r="B2914" i="34"/>
  <c r="A2914" i="34" s="1"/>
  <c r="B2913" i="34"/>
  <c r="A2913" i="34" s="1"/>
  <c r="B2912" i="34"/>
  <c r="A2912" i="34" s="1"/>
  <c r="B2911" i="34"/>
  <c r="A2911" i="34" s="1"/>
  <c r="B2910" i="34"/>
  <c r="A2910" i="34" s="1"/>
  <c r="B2909" i="34"/>
  <c r="A2909" i="34" s="1"/>
  <c r="B2908" i="34"/>
  <c r="A2908" i="34" s="1"/>
  <c r="B2907" i="34"/>
  <c r="A2907" i="34" s="1"/>
  <c r="B2906" i="34"/>
  <c r="A2906" i="34" s="1"/>
  <c r="B2905" i="34"/>
  <c r="A2905" i="34" s="1"/>
  <c r="B2904" i="34"/>
  <c r="A2904" i="34" s="1"/>
  <c r="B2903" i="34"/>
  <c r="A2903" i="34" s="1"/>
  <c r="B2902" i="34"/>
  <c r="A2902" i="34" s="1"/>
  <c r="B2901" i="34"/>
  <c r="A2901" i="34" s="1"/>
  <c r="B2970" i="34"/>
  <c r="A2970" i="34" s="1"/>
  <c r="B2969" i="34"/>
  <c r="A2969" i="34" s="1"/>
  <c r="B2968" i="34"/>
  <c r="A2968" i="34" s="1"/>
  <c r="B2967" i="34"/>
  <c r="A2967" i="34" s="1"/>
  <c r="B2966" i="34"/>
  <c r="A2966" i="34" s="1"/>
  <c r="B2924" i="34"/>
  <c r="A2924" i="34" s="1"/>
  <c r="B3365" i="34"/>
  <c r="B3364" i="34"/>
  <c r="B3363" i="34"/>
  <c r="B3362" i="34"/>
  <c r="B3361" i="34"/>
  <c r="B3360" i="34"/>
  <c r="B3359" i="34"/>
  <c r="B3358" i="34"/>
  <c r="B3357" i="34"/>
  <c r="B3356" i="34"/>
  <c r="B3355" i="34"/>
  <c r="B3354" i="34"/>
  <c r="B3353" i="34"/>
  <c r="B3352" i="34"/>
  <c r="B3351" i="34"/>
  <c r="B3009" i="34"/>
  <c r="A3009" i="34" s="1"/>
  <c r="B3008" i="34"/>
  <c r="A3008" i="34" s="1"/>
  <c r="B3007" i="34"/>
  <c r="A3007" i="34" s="1"/>
  <c r="B3006" i="34"/>
  <c r="A3006" i="34" s="1"/>
  <c r="B3005" i="34"/>
  <c r="A3005" i="34" s="1"/>
  <c r="B3004" i="34"/>
  <c r="A3004" i="34" s="1"/>
  <c r="B2956" i="34"/>
  <c r="A2956" i="34" s="1"/>
  <c r="B2955" i="34"/>
  <c r="A2955" i="34" s="1"/>
  <c r="B2954" i="34"/>
  <c r="A2954" i="34" s="1"/>
  <c r="B2953" i="34"/>
  <c r="A2953" i="34" s="1"/>
  <c r="B2952" i="34"/>
  <c r="A2952" i="34" s="1"/>
  <c r="B2951" i="34"/>
  <c r="A2951" i="34" s="1"/>
  <c r="B2253" i="34"/>
  <c r="B2268" i="34"/>
  <c r="B2484" i="34"/>
  <c r="B2252" i="34"/>
  <c r="B3387" i="34"/>
  <c r="B3386" i="34"/>
  <c r="B3385" i="34"/>
  <c r="B3384" i="34"/>
  <c r="B3383" i="34"/>
  <c r="B3382" i="34"/>
  <c r="B3381" i="34"/>
  <c r="B3380" i="34"/>
  <c r="B3379" i="34"/>
  <c r="B3378" i="34"/>
  <c r="B3377" i="34"/>
  <c r="B3376" i="34"/>
  <c r="B3375" i="34"/>
  <c r="B3374" i="34"/>
  <c r="B3373" i="34"/>
  <c r="B3372" i="34"/>
  <c r="B3371" i="34"/>
  <c r="B3370" i="34"/>
  <c r="B3369" i="34"/>
  <c r="B3368" i="34"/>
  <c r="B3367" i="34"/>
  <c r="B3366" i="34"/>
  <c r="Z2253" i="34" l="1"/>
  <c r="W2253" i="34"/>
  <c r="A2253" i="34"/>
  <c r="Z2674" i="34"/>
  <c r="W2674" i="34"/>
  <c r="A2674" i="34"/>
  <c r="A2837" i="34"/>
  <c r="Z2837" i="34"/>
  <c r="W2837" i="34"/>
  <c r="Z2834" i="34"/>
  <c r="W2834" i="34"/>
  <c r="A2834" i="34"/>
  <c r="A2789" i="34"/>
  <c r="Z2789" i="34"/>
  <c r="W2789" i="34"/>
  <c r="A2785" i="34"/>
  <c r="Z2785" i="34"/>
  <c r="W2785" i="34"/>
  <c r="Z2223" i="34"/>
  <c r="W2223" i="34"/>
  <c r="A2223" i="34"/>
  <c r="Z2227" i="34"/>
  <c r="W2227" i="34"/>
  <c r="A2227" i="34"/>
  <c r="W2721" i="34"/>
  <c r="Z2721" i="34"/>
  <c r="A2721" i="34"/>
  <c r="W2741" i="34"/>
  <c r="Z2741" i="34"/>
  <c r="A2741" i="34"/>
  <c r="Z2142" i="34"/>
  <c r="W2142" i="34"/>
  <c r="A2142" i="34"/>
  <c r="Z2146" i="34"/>
  <c r="W2146" i="34"/>
  <c r="A2146" i="34"/>
  <c r="Z2172" i="34"/>
  <c r="W2172" i="34"/>
  <c r="A2172" i="34"/>
  <c r="Z2176" i="34"/>
  <c r="W2176" i="34"/>
  <c r="A2176" i="34"/>
  <c r="Z2197" i="34"/>
  <c r="W2197" i="34"/>
  <c r="A2197" i="34"/>
  <c r="Z2220" i="34"/>
  <c r="W2220" i="34"/>
  <c r="A2220" i="34"/>
  <c r="Z1983" i="34"/>
  <c r="W1983" i="34"/>
  <c r="A1983" i="34"/>
  <c r="Z1987" i="34"/>
  <c r="W1987" i="34"/>
  <c r="A1987" i="34"/>
  <c r="W2010" i="34"/>
  <c r="Z2010" i="34"/>
  <c r="A2010" i="34"/>
  <c r="W2016" i="34"/>
  <c r="Z2016" i="34"/>
  <c r="A2016" i="34"/>
  <c r="Z2083" i="34"/>
  <c r="W2083" i="34"/>
  <c r="A2083" i="34"/>
  <c r="Z2087" i="34"/>
  <c r="W2087" i="34"/>
  <c r="A2087" i="34"/>
  <c r="Z2139" i="34"/>
  <c r="W2139" i="34"/>
  <c r="A2139" i="34"/>
  <c r="W1978" i="34"/>
  <c r="Z1978" i="34"/>
  <c r="A1978" i="34"/>
  <c r="Z1967" i="34"/>
  <c r="W1967" i="34"/>
  <c r="A1967" i="34"/>
  <c r="Z2168" i="34"/>
  <c r="W2168" i="34"/>
  <c r="A2168" i="34"/>
  <c r="Z2166" i="34"/>
  <c r="W2166" i="34"/>
  <c r="A2166" i="34"/>
  <c r="Z2120" i="34"/>
  <c r="W2120" i="34"/>
  <c r="A2120" i="34"/>
  <c r="Z2116" i="34"/>
  <c r="W2116" i="34"/>
  <c r="A2116" i="34"/>
  <c r="Z2105" i="34"/>
  <c r="W2105" i="34"/>
  <c r="A2105" i="34"/>
  <c r="Z2101" i="34"/>
  <c r="W2101" i="34"/>
  <c r="A2101" i="34"/>
  <c r="W2068" i="34"/>
  <c r="Z2068" i="34"/>
  <c r="A2068" i="34"/>
  <c r="W2064" i="34"/>
  <c r="Z2064" i="34"/>
  <c r="A2064" i="34"/>
  <c r="Z2043" i="34"/>
  <c r="W2043" i="34"/>
  <c r="A2043" i="34"/>
  <c r="Z2039" i="34"/>
  <c r="W2039" i="34"/>
  <c r="A2039" i="34"/>
  <c r="W2034" i="34"/>
  <c r="Z2034" i="34"/>
  <c r="A2034" i="34"/>
  <c r="W2030" i="34"/>
  <c r="Z2030" i="34"/>
  <c r="A2030" i="34"/>
  <c r="W1966" i="34"/>
  <c r="Z1966" i="34"/>
  <c r="A1966" i="34"/>
  <c r="Z2252" i="34"/>
  <c r="W2252" i="34"/>
  <c r="A2252" i="34"/>
  <c r="W2671" i="34"/>
  <c r="Z2671" i="34"/>
  <c r="A2671" i="34"/>
  <c r="Z2831" i="34"/>
  <c r="A2831" i="34"/>
  <c r="W2831" i="34"/>
  <c r="Z2838" i="34"/>
  <c r="W2838" i="34"/>
  <c r="A2838" i="34"/>
  <c r="Z2835" i="34"/>
  <c r="A2835" i="34"/>
  <c r="W2835" i="34"/>
  <c r="A2813" i="34"/>
  <c r="Z2813" i="34"/>
  <c r="W2813" i="34"/>
  <c r="W2489" i="34"/>
  <c r="Z2489" i="34"/>
  <c r="A2489" i="34"/>
  <c r="Z2224" i="34"/>
  <c r="W2224" i="34"/>
  <c r="A2224" i="34"/>
  <c r="Z2228" i="34"/>
  <c r="W2228" i="34"/>
  <c r="A2228" i="34"/>
  <c r="Z2718" i="34"/>
  <c r="W2718" i="34"/>
  <c r="A2718" i="34"/>
  <c r="Z2738" i="34"/>
  <c r="W2738" i="34"/>
  <c r="A2738" i="34"/>
  <c r="W2669" i="34"/>
  <c r="Z2669" i="34"/>
  <c r="A2669" i="34"/>
  <c r="Z2143" i="34"/>
  <c r="W2143" i="34"/>
  <c r="A2143" i="34"/>
  <c r="Z2169" i="34"/>
  <c r="W2169" i="34"/>
  <c r="A2169" i="34"/>
  <c r="Z2173" i="34"/>
  <c r="W2173" i="34"/>
  <c r="A2173" i="34"/>
  <c r="Z2194" i="34"/>
  <c r="W2194" i="34"/>
  <c r="A2194" i="34"/>
  <c r="Z2198" i="34"/>
  <c r="W2198" i="34"/>
  <c r="A2198" i="34"/>
  <c r="Z2221" i="34"/>
  <c r="W2221" i="34"/>
  <c r="A2221" i="34"/>
  <c r="W1984" i="34"/>
  <c r="Z1984" i="34"/>
  <c r="A1984" i="34"/>
  <c r="W1988" i="34"/>
  <c r="Z1988" i="34"/>
  <c r="A1988" i="34"/>
  <c r="Z2011" i="34"/>
  <c r="W2011" i="34"/>
  <c r="A2011" i="34"/>
  <c r="Z2053" i="34"/>
  <c r="W2053" i="34"/>
  <c r="A2053" i="34"/>
  <c r="W2084" i="34"/>
  <c r="Z2084" i="34"/>
  <c r="A2084" i="34"/>
  <c r="W2088" i="34"/>
  <c r="Z2088" i="34"/>
  <c r="A2088" i="34"/>
  <c r="Z1975" i="34"/>
  <c r="W1975" i="34"/>
  <c r="A1975" i="34"/>
  <c r="Z1979" i="34"/>
  <c r="W1979" i="34"/>
  <c r="A1979" i="34"/>
  <c r="W1968" i="34"/>
  <c r="Z1968" i="34"/>
  <c r="A1968" i="34"/>
  <c r="Z2165" i="34"/>
  <c r="W2165" i="34"/>
  <c r="A2165" i="34"/>
  <c r="Z2119" i="34"/>
  <c r="W2119" i="34"/>
  <c r="A2119" i="34"/>
  <c r="W2108" i="34"/>
  <c r="Z2108" i="34"/>
  <c r="A2108" i="34"/>
  <c r="W2104" i="34"/>
  <c r="Z2104" i="34"/>
  <c r="A2104" i="34"/>
  <c r="Z2071" i="34"/>
  <c r="W2071" i="34"/>
  <c r="A2071" i="34"/>
  <c r="Z2067" i="34"/>
  <c r="W2067" i="34"/>
  <c r="A2067" i="34"/>
  <c r="W2046" i="34"/>
  <c r="Z2046" i="34"/>
  <c r="A2046" i="34"/>
  <c r="W2042" i="34"/>
  <c r="Z2042" i="34"/>
  <c r="A2042" i="34"/>
  <c r="W2038" i="34"/>
  <c r="Z2038" i="34"/>
  <c r="A2038" i="34"/>
  <c r="Z2033" i="34"/>
  <c r="W2033" i="34"/>
  <c r="A2033" i="34"/>
  <c r="Z2029" i="34"/>
  <c r="W2029" i="34"/>
  <c r="A2029" i="34"/>
  <c r="Z2484" i="34"/>
  <c r="W2484" i="34"/>
  <c r="A2484" i="34"/>
  <c r="Z2672" i="34"/>
  <c r="W2672" i="34"/>
  <c r="A2672" i="34"/>
  <c r="Z2832" i="34"/>
  <c r="W2832" i="34"/>
  <c r="A2832" i="34"/>
  <c r="Z2798" i="34"/>
  <c r="W2798" i="34"/>
  <c r="A2798" i="34"/>
  <c r="Z2836" i="34"/>
  <c r="W2836" i="34"/>
  <c r="A2836" i="34"/>
  <c r="Z2814" i="34"/>
  <c r="W2814" i="34"/>
  <c r="A2814" i="34"/>
  <c r="Z2225" i="34"/>
  <c r="W2225" i="34"/>
  <c r="A2225" i="34"/>
  <c r="Z2229" i="34"/>
  <c r="W2229" i="34"/>
  <c r="A2229" i="34"/>
  <c r="W2719" i="34"/>
  <c r="Z2719" i="34"/>
  <c r="A2719" i="34"/>
  <c r="W2739" i="34"/>
  <c r="Z2739" i="34"/>
  <c r="A2739" i="34"/>
  <c r="Z2140" i="34"/>
  <c r="W2140" i="34"/>
  <c r="A2140" i="34"/>
  <c r="Z2144" i="34"/>
  <c r="W2144" i="34"/>
  <c r="A2144" i="34"/>
  <c r="Z2170" i="34"/>
  <c r="W2170" i="34"/>
  <c r="A2170" i="34"/>
  <c r="Z2174" i="34"/>
  <c r="W2174" i="34"/>
  <c r="A2174" i="34"/>
  <c r="Z2195" i="34"/>
  <c r="W2195" i="34"/>
  <c r="A2195" i="34"/>
  <c r="Z2199" i="34"/>
  <c r="W2199" i="34"/>
  <c r="A2199" i="34"/>
  <c r="Z2222" i="34"/>
  <c r="W2222" i="34"/>
  <c r="A2222" i="34"/>
  <c r="Z1985" i="34"/>
  <c r="W1985" i="34"/>
  <c r="A1985" i="34"/>
  <c r="W2008" i="34"/>
  <c r="Z2008" i="34"/>
  <c r="A2008" i="34"/>
  <c r="W2012" i="34"/>
  <c r="Z2012" i="34"/>
  <c r="A2012" i="34"/>
  <c r="Z2081" i="34"/>
  <c r="W2081" i="34"/>
  <c r="A2081" i="34"/>
  <c r="Z2085" i="34"/>
  <c r="W2085" i="34"/>
  <c r="A2085" i="34"/>
  <c r="Z2123" i="34"/>
  <c r="W2123" i="34"/>
  <c r="A2123" i="34"/>
  <c r="W1976" i="34"/>
  <c r="Z1976" i="34"/>
  <c r="A1976" i="34"/>
  <c r="W1980" i="34"/>
  <c r="Z1980" i="34"/>
  <c r="A1980" i="34"/>
  <c r="Z1969" i="34"/>
  <c r="W1969" i="34"/>
  <c r="A1969" i="34"/>
  <c r="Z2122" i="34"/>
  <c r="W2122" i="34"/>
  <c r="A2122" i="34"/>
  <c r="Z2118" i="34"/>
  <c r="W2118" i="34"/>
  <c r="A2118" i="34"/>
  <c r="Z2107" i="34"/>
  <c r="W2107" i="34"/>
  <c r="A2107" i="34"/>
  <c r="Z2103" i="34"/>
  <c r="W2103" i="34"/>
  <c r="A2103" i="34"/>
  <c r="W2070" i="34"/>
  <c r="Z2070" i="34"/>
  <c r="A2070" i="34"/>
  <c r="W2066" i="34"/>
  <c r="Z2066" i="34"/>
  <c r="A2066" i="34"/>
  <c r="Z2045" i="34"/>
  <c r="W2045" i="34"/>
  <c r="A2045" i="34"/>
  <c r="Z2041" i="34"/>
  <c r="W2041" i="34"/>
  <c r="A2041" i="34"/>
  <c r="Z2037" i="34"/>
  <c r="W2037" i="34"/>
  <c r="A2037" i="34"/>
  <c r="W2032" i="34"/>
  <c r="Z2032" i="34"/>
  <c r="A2032" i="34"/>
  <c r="W2028" i="34"/>
  <c r="Z2028" i="34"/>
  <c r="A2028" i="34"/>
  <c r="Z2268" i="34"/>
  <c r="W2268" i="34"/>
  <c r="A2268" i="34"/>
  <c r="Z2498" i="34"/>
  <c r="W2498" i="34"/>
  <c r="A2498" i="34"/>
  <c r="W2673" i="34"/>
  <c r="Z2673" i="34"/>
  <c r="A2673" i="34"/>
  <c r="A2833" i="34"/>
  <c r="Z2833" i="34"/>
  <c r="W2833" i="34"/>
  <c r="Z2799" i="34"/>
  <c r="A2799" i="34"/>
  <c r="W2799" i="34"/>
  <c r="Z2788" i="34"/>
  <c r="W2788" i="34"/>
  <c r="A2788" i="34"/>
  <c r="Z2784" i="34"/>
  <c r="W2784" i="34"/>
  <c r="A2784" i="34"/>
  <c r="Z2226" i="34"/>
  <c r="W2226" i="34"/>
  <c r="A2226" i="34"/>
  <c r="Z2720" i="34"/>
  <c r="W2720" i="34"/>
  <c r="A2720" i="34"/>
  <c r="Z2740" i="34"/>
  <c r="W2740" i="34"/>
  <c r="A2740" i="34"/>
  <c r="Z2141" i="34"/>
  <c r="W2141" i="34"/>
  <c r="A2141" i="34"/>
  <c r="Z2145" i="34"/>
  <c r="W2145" i="34"/>
  <c r="A2145" i="34"/>
  <c r="Z2171" i="34"/>
  <c r="W2171" i="34"/>
  <c r="A2171" i="34"/>
  <c r="Z2175" i="34"/>
  <c r="W2175" i="34"/>
  <c r="A2175" i="34"/>
  <c r="Z2196" i="34"/>
  <c r="W2196" i="34"/>
  <c r="A2196" i="34"/>
  <c r="Z2219" i="34"/>
  <c r="W2219" i="34"/>
  <c r="A2219" i="34"/>
  <c r="W1982" i="34"/>
  <c r="Z1982" i="34"/>
  <c r="A1982" i="34"/>
  <c r="W1986" i="34"/>
  <c r="Z1986" i="34"/>
  <c r="A1986" i="34"/>
  <c r="Z2009" i="34"/>
  <c r="W2009" i="34"/>
  <c r="A2009" i="34"/>
  <c r="Z2013" i="34"/>
  <c r="W2013" i="34"/>
  <c r="A2013" i="34"/>
  <c r="W2082" i="34"/>
  <c r="Z2082" i="34"/>
  <c r="A2082" i="34"/>
  <c r="W2086" i="34"/>
  <c r="Z2086" i="34"/>
  <c r="A2086" i="34"/>
  <c r="Z2138" i="34"/>
  <c r="W2138" i="34"/>
  <c r="A2138" i="34"/>
  <c r="Z1977" i="34"/>
  <c r="W1977" i="34"/>
  <c r="A1977" i="34"/>
  <c r="Z1981" i="34"/>
  <c r="W1981" i="34"/>
  <c r="A1981" i="34"/>
  <c r="Z2167" i="34"/>
  <c r="W2167" i="34"/>
  <c r="A2167" i="34"/>
  <c r="Z2121" i="34"/>
  <c r="W2121" i="34"/>
  <c r="A2121" i="34"/>
  <c r="Z2117" i="34"/>
  <c r="W2117" i="34"/>
  <c r="A2117" i="34"/>
  <c r="W2106" i="34"/>
  <c r="Z2106" i="34"/>
  <c r="A2106" i="34"/>
  <c r="W2102" i="34"/>
  <c r="Z2102" i="34"/>
  <c r="A2102" i="34"/>
  <c r="Z2069" i="34"/>
  <c r="W2069" i="34"/>
  <c r="A2069" i="34"/>
  <c r="Z2065" i="34"/>
  <c r="W2065" i="34"/>
  <c r="A2065" i="34"/>
  <c r="W2044" i="34"/>
  <c r="Z2044" i="34"/>
  <c r="A2044" i="34"/>
  <c r="W2040" i="34"/>
  <c r="Z2040" i="34"/>
  <c r="A2040" i="34"/>
  <c r="W2036" i="34"/>
  <c r="Z2036" i="34"/>
  <c r="A2036" i="34"/>
  <c r="Z2031" i="34"/>
  <c r="W2031" i="34"/>
  <c r="A2031" i="34"/>
  <c r="Z2027" i="34"/>
  <c r="W2027" i="34"/>
  <c r="A2027" i="34"/>
  <c r="Z1195" i="34"/>
  <c r="W1195" i="34"/>
  <c r="A1195" i="34"/>
  <c r="Z1023" i="34"/>
  <c r="W1023" i="34"/>
  <c r="A1023" i="34"/>
  <c r="Z1027" i="34"/>
  <c r="W1027" i="34"/>
  <c r="A1027" i="34"/>
  <c r="Z1676" i="34"/>
  <c r="W1676" i="34"/>
  <c r="A1676" i="34"/>
  <c r="Z1680" i="34"/>
  <c r="W1680" i="34"/>
  <c r="A1680" i="34"/>
  <c r="Z1710" i="34"/>
  <c r="W1710" i="34"/>
  <c r="A1710" i="34"/>
  <c r="W1725" i="34"/>
  <c r="Z1725" i="34"/>
  <c r="A1725" i="34"/>
  <c r="Z1780" i="34"/>
  <c r="W1780" i="34"/>
  <c r="A1780" i="34"/>
  <c r="Z1396" i="34"/>
  <c r="W1396" i="34"/>
  <c r="A1396" i="34"/>
  <c r="Z1300" i="34"/>
  <c r="W1300" i="34"/>
  <c r="A1300" i="34"/>
  <c r="Z1356" i="34"/>
  <c r="W1356" i="34"/>
  <c r="A1356" i="34"/>
  <c r="W1363" i="34"/>
  <c r="Z1363" i="34"/>
  <c r="A1363" i="34"/>
  <c r="Z1504" i="34"/>
  <c r="W1504" i="34"/>
  <c r="A1504" i="34"/>
  <c r="Z1076" i="34"/>
  <c r="W1076" i="34"/>
  <c r="A1076" i="34"/>
  <c r="Z1154" i="34"/>
  <c r="W1154" i="34"/>
  <c r="A1154" i="34"/>
  <c r="Z1160" i="34"/>
  <c r="W1160" i="34"/>
  <c r="A1160" i="34"/>
  <c r="Z1196" i="34"/>
  <c r="W1196" i="34"/>
  <c r="A1196" i="34"/>
  <c r="Z1200" i="34"/>
  <c r="W1200" i="34"/>
  <c r="A1200" i="34"/>
  <c r="Z1204" i="34"/>
  <c r="W1204" i="34"/>
  <c r="A1204" i="34"/>
  <c r="Z1002" i="34"/>
  <c r="W1002" i="34"/>
  <c r="A1002" i="34"/>
  <c r="Z1072" i="34"/>
  <c r="W1072" i="34"/>
  <c r="A1072" i="34"/>
  <c r="W1775" i="34"/>
  <c r="Z1775" i="34"/>
  <c r="A1775" i="34"/>
  <c r="W1771" i="34"/>
  <c r="Z1771" i="34"/>
  <c r="A1771" i="34"/>
  <c r="Z1646" i="34"/>
  <c r="W1646" i="34"/>
  <c r="A1646" i="34"/>
  <c r="Z1624" i="34"/>
  <c r="W1624" i="34"/>
  <c r="A1624" i="34"/>
  <c r="Z1617" i="34"/>
  <c r="W1617" i="34"/>
  <c r="A1617" i="34"/>
  <c r="Z1613" i="34"/>
  <c r="W1613" i="34"/>
  <c r="A1613" i="34"/>
  <c r="Z1583" i="34"/>
  <c r="W1583" i="34"/>
  <c r="A1583" i="34"/>
  <c r="Z1579" i="34"/>
  <c r="W1579" i="34"/>
  <c r="A1579" i="34"/>
  <c r="Z1569" i="34"/>
  <c r="W1569" i="34"/>
  <c r="A1569" i="34"/>
  <c r="Z1565" i="34"/>
  <c r="W1565" i="34"/>
  <c r="A1565" i="34"/>
  <c r="W1395" i="34"/>
  <c r="Z1395" i="34"/>
  <c r="A1395" i="34"/>
  <c r="W1355" i="34"/>
  <c r="Z1355" i="34"/>
  <c r="A1355" i="34"/>
  <c r="Z1141" i="34"/>
  <c r="W1141" i="34"/>
  <c r="A1141" i="34"/>
  <c r="Z1137" i="34"/>
  <c r="W1137" i="34"/>
  <c r="A1137" i="34"/>
  <c r="Z1104" i="34"/>
  <c r="W1104" i="34"/>
  <c r="A1104" i="34"/>
  <c r="Z1100" i="34"/>
  <c r="W1100" i="34"/>
  <c r="A1100" i="34"/>
  <c r="Z1066" i="34"/>
  <c r="W1066" i="34"/>
  <c r="A1066" i="34"/>
  <c r="Z997" i="34"/>
  <c r="W997" i="34"/>
  <c r="A997" i="34"/>
  <c r="Z993" i="34"/>
  <c r="W993" i="34"/>
  <c r="A993" i="34"/>
  <c r="Z981" i="34"/>
  <c r="W981" i="34"/>
  <c r="A981" i="34"/>
  <c r="W940" i="34"/>
  <c r="Z940" i="34"/>
  <c r="A940" i="34"/>
  <c r="W936" i="34"/>
  <c r="Z936" i="34"/>
  <c r="A936" i="34"/>
  <c r="Z925" i="34"/>
  <c r="W925" i="34"/>
  <c r="A925" i="34"/>
  <c r="Z921" i="34"/>
  <c r="W921" i="34"/>
  <c r="A921" i="34"/>
  <c r="Z917" i="34"/>
  <c r="W917" i="34"/>
  <c r="A917" i="34"/>
  <c r="Z1086" i="34"/>
  <c r="W1086" i="34"/>
  <c r="A1086" i="34"/>
  <c r="Z1116" i="34"/>
  <c r="W1116" i="34"/>
  <c r="A1116" i="34"/>
  <c r="Z1120" i="34"/>
  <c r="W1120" i="34"/>
  <c r="A1120" i="34"/>
  <c r="Z1146" i="34"/>
  <c r="W1146" i="34"/>
  <c r="A1146" i="34"/>
  <c r="Z1147" i="34"/>
  <c r="W1147" i="34"/>
  <c r="A1147" i="34"/>
  <c r="Z1151" i="34"/>
  <c r="W1151" i="34"/>
  <c r="A1151" i="34"/>
  <c r="W324" i="34"/>
  <c r="Z324" i="34"/>
  <c r="A324" i="34"/>
  <c r="Z331" i="34"/>
  <c r="W331" i="34"/>
  <c r="A331" i="34"/>
  <c r="W441" i="34"/>
  <c r="Z441" i="34"/>
  <c r="A441" i="34"/>
  <c r="Z911" i="34"/>
  <c r="W911" i="34"/>
  <c r="A911" i="34"/>
  <c r="Z1215" i="34"/>
  <c r="W1215" i="34"/>
  <c r="A1215" i="34"/>
  <c r="Z989" i="34"/>
  <c r="W989" i="34"/>
  <c r="A989" i="34"/>
  <c r="Z1018" i="34"/>
  <c r="W1018" i="34"/>
  <c r="A1018" i="34"/>
  <c r="Z1060" i="34"/>
  <c r="W1060" i="34"/>
  <c r="A1060" i="34"/>
  <c r="Z1217" i="34"/>
  <c r="W1217" i="34"/>
  <c r="A1217" i="34"/>
  <c r="W24" i="34"/>
  <c r="Z24" i="34"/>
  <c r="A24" i="34"/>
  <c r="W28" i="34"/>
  <c r="Z28" i="34"/>
  <c r="A28" i="34"/>
  <c r="Z33" i="34"/>
  <c r="W33" i="34"/>
  <c r="A33" i="34"/>
  <c r="Z37" i="34"/>
  <c r="W37" i="34"/>
  <c r="A37" i="34"/>
  <c r="Z43" i="34"/>
  <c r="W43" i="34"/>
  <c r="A43" i="34"/>
  <c r="Z131" i="34"/>
  <c r="W131" i="34"/>
  <c r="A131" i="34"/>
  <c r="Z586" i="34"/>
  <c r="W586" i="34"/>
  <c r="A586" i="34"/>
  <c r="W623" i="34"/>
  <c r="Z623" i="34"/>
  <c r="A623" i="34"/>
  <c r="W627" i="34"/>
  <c r="Z627" i="34"/>
  <c r="A627" i="34"/>
  <c r="W638" i="34"/>
  <c r="Z638" i="34"/>
  <c r="A638" i="34"/>
  <c r="W642" i="34"/>
  <c r="Z642" i="34"/>
  <c r="A642" i="34"/>
  <c r="Z646" i="34"/>
  <c r="W646" i="34"/>
  <c r="A646" i="34"/>
  <c r="Z650" i="34"/>
  <c r="W650" i="34"/>
  <c r="A650" i="34"/>
  <c r="Z664" i="34"/>
  <c r="W664" i="34"/>
  <c r="A664" i="34"/>
  <c r="Z668" i="34"/>
  <c r="W668" i="34"/>
  <c r="A668" i="34"/>
  <c r="Z672" i="34"/>
  <c r="W672" i="34"/>
  <c r="A672" i="34"/>
  <c r="Z676" i="34"/>
  <c r="W676" i="34"/>
  <c r="A676" i="34"/>
  <c r="Z680" i="34"/>
  <c r="W680" i="34"/>
  <c r="A680" i="34"/>
  <c r="Z686" i="34"/>
  <c r="W686" i="34"/>
  <c r="A686" i="34"/>
  <c r="W697" i="34"/>
  <c r="Z697" i="34"/>
  <c r="A697" i="34"/>
  <c r="W701" i="34"/>
  <c r="Z701" i="34"/>
  <c r="A701" i="34"/>
  <c r="Z710" i="34"/>
  <c r="W710" i="34"/>
  <c r="A710" i="34"/>
  <c r="W725" i="34"/>
  <c r="Z725" i="34"/>
  <c r="A725" i="34"/>
  <c r="W733" i="34"/>
  <c r="Z733" i="34"/>
  <c r="A733" i="34"/>
  <c r="W741" i="34"/>
  <c r="Z741" i="34"/>
  <c r="A741" i="34"/>
  <c r="Z894" i="34"/>
  <c r="W894" i="34"/>
  <c r="A894" i="34"/>
  <c r="Z1024" i="34"/>
  <c r="W1024" i="34"/>
  <c r="A1024" i="34"/>
  <c r="Z1536" i="34"/>
  <c r="W1536" i="34"/>
  <c r="A1536" i="34"/>
  <c r="Z1677" i="34"/>
  <c r="W1677" i="34"/>
  <c r="A1677" i="34"/>
  <c r="Z1681" i="34"/>
  <c r="W1681" i="34"/>
  <c r="A1681" i="34"/>
  <c r="Z1711" i="34"/>
  <c r="W1711" i="34"/>
  <c r="A1711" i="34"/>
  <c r="Z1726" i="34"/>
  <c r="W1726" i="34"/>
  <c r="A1726" i="34"/>
  <c r="W1397" i="34"/>
  <c r="Z1397" i="34"/>
  <c r="A1397" i="34"/>
  <c r="W1237" i="34"/>
  <c r="Z1237" i="34"/>
  <c r="A1237" i="34"/>
  <c r="W1357" i="34"/>
  <c r="Z1357" i="34"/>
  <c r="A1357" i="34"/>
  <c r="Z1382" i="34"/>
  <c r="W1382" i="34"/>
  <c r="A1382" i="34"/>
  <c r="Z1505" i="34"/>
  <c r="W1505" i="34"/>
  <c r="A1505" i="34"/>
  <c r="Z1077" i="34"/>
  <c r="W1077" i="34"/>
  <c r="A1077" i="34"/>
  <c r="Z1155" i="34"/>
  <c r="W1155" i="34"/>
  <c r="A1155" i="34"/>
  <c r="Z1161" i="34"/>
  <c r="W1161" i="34"/>
  <c r="A1161" i="34"/>
  <c r="Z1197" i="34"/>
  <c r="W1197" i="34"/>
  <c r="A1197" i="34"/>
  <c r="Z1201" i="34"/>
  <c r="W1201" i="34"/>
  <c r="A1201" i="34"/>
  <c r="Z1208" i="34"/>
  <c r="W1208" i="34"/>
  <c r="A1208" i="34"/>
  <c r="Z999" i="34"/>
  <c r="W999" i="34"/>
  <c r="A999" i="34"/>
  <c r="Z1003" i="34"/>
  <c r="W1003" i="34"/>
  <c r="A1003" i="34"/>
  <c r="Z1073" i="34"/>
  <c r="W1073" i="34"/>
  <c r="A1073" i="34"/>
  <c r="W1774" i="34"/>
  <c r="Z1774" i="34"/>
  <c r="A1774" i="34"/>
  <c r="W1770" i="34"/>
  <c r="Z1770" i="34"/>
  <c r="A1770" i="34"/>
  <c r="Z1627" i="34"/>
  <c r="W1627" i="34"/>
  <c r="A1627" i="34"/>
  <c r="Z1623" i="34"/>
  <c r="W1623" i="34"/>
  <c r="A1623" i="34"/>
  <c r="Z1616" i="34"/>
  <c r="W1616" i="34"/>
  <c r="A1616" i="34"/>
  <c r="Z1612" i="34"/>
  <c r="W1612" i="34"/>
  <c r="A1612" i="34"/>
  <c r="Z1582" i="34"/>
  <c r="W1582" i="34"/>
  <c r="A1582" i="34"/>
  <c r="Z1578" i="34"/>
  <c r="W1578" i="34"/>
  <c r="A1578" i="34"/>
  <c r="Z1568" i="34"/>
  <c r="W1568" i="34"/>
  <c r="A1568" i="34"/>
  <c r="Z1564" i="34"/>
  <c r="W1564" i="34"/>
  <c r="A1564" i="34"/>
  <c r="W1271" i="34"/>
  <c r="Z1271" i="34"/>
  <c r="A1271" i="34"/>
  <c r="Z1380" i="34"/>
  <c r="W1380" i="34"/>
  <c r="A1380" i="34"/>
  <c r="Z1144" i="34"/>
  <c r="W1144" i="34"/>
  <c r="A1144" i="34"/>
  <c r="Z1140" i="34"/>
  <c r="W1140" i="34"/>
  <c r="A1140" i="34"/>
  <c r="Z1107" i="34"/>
  <c r="W1107" i="34"/>
  <c r="A1107" i="34"/>
  <c r="Z1103" i="34"/>
  <c r="W1103" i="34"/>
  <c r="A1103" i="34"/>
  <c r="Z1069" i="34"/>
  <c r="W1069" i="34"/>
  <c r="A1069" i="34"/>
  <c r="Z1065" i="34"/>
  <c r="W1065" i="34"/>
  <c r="A1065" i="34"/>
  <c r="Z996" i="34"/>
  <c r="W996" i="34"/>
  <c r="A996" i="34"/>
  <c r="Z992" i="34"/>
  <c r="W992" i="34"/>
  <c r="A992" i="34"/>
  <c r="Z943" i="34"/>
  <c r="W943" i="34"/>
  <c r="A943" i="34"/>
  <c r="Z939" i="34"/>
  <c r="W939" i="34"/>
  <c r="A939" i="34"/>
  <c r="Z928" i="34"/>
  <c r="W928" i="34"/>
  <c r="A928" i="34"/>
  <c r="Z924" i="34"/>
  <c r="W924" i="34"/>
  <c r="A924" i="34"/>
  <c r="Z920" i="34"/>
  <c r="W920" i="34"/>
  <c r="A920" i="34"/>
  <c r="Z900" i="34"/>
  <c r="W900" i="34"/>
  <c r="A900" i="34"/>
  <c r="Z1087" i="34"/>
  <c r="W1087" i="34"/>
  <c r="A1087" i="34"/>
  <c r="Z1117" i="34"/>
  <c r="W1117" i="34"/>
  <c r="A1117" i="34"/>
  <c r="Z1121" i="34"/>
  <c r="W1121" i="34"/>
  <c r="A1121" i="34"/>
  <c r="Z1156" i="34"/>
  <c r="W1156" i="34"/>
  <c r="A1156" i="34"/>
  <c r="Z1148" i="34"/>
  <c r="W1148" i="34"/>
  <c r="A1148" i="34"/>
  <c r="Z1152" i="34"/>
  <c r="W1152" i="34"/>
  <c r="A1152" i="34"/>
  <c r="Z325" i="34"/>
  <c r="W325" i="34"/>
  <c r="A325" i="34"/>
  <c r="Z335" i="34"/>
  <c r="W335" i="34"/>
  <c r="A335" i="34"/>
  <c r="Z858" i="34"/>
  <c r="W858" i="34"/>
  <c r="A858" i="34"/>
  <c r="Z912" i="34"/>
  <c r="W912" i="34"/>
  <c r="A912" i="34"/>
  <c r="Z1216" i="34"/>
  <c r="W1216" i="34"/>
  <c r="A1216" i="34"/>
  <c r="Z1015" i="34"/>
  <c r="W1015" i="34"/>
  <c r="A1015" i="34"/>
  <c r="Z1019" i="34"/>
  <c r="W1019" i="34"/>
  <c r="A1019" i="34"/>
  <c r="Z1061" i="34"/>
  <c r="W1061" i="34"/>
  <c r="A1061" i="34"/>
  <c r="Z1218" i="34"/>
  <c r="W1218" i="34"/>
  <c r="A1218" i="34"/>
  <c r="Z25" i="34"/>
  <c r="W25" i="34"/>
  <c r="A25" i="34"/>
  <c r="W30" i="34"/>
  <c r="Z30" i="34"/>
  <c r="A30" i="34"/>
  <c r="W34" i="34"/>
  <c r="Z34" i="34"/>
  <c r="A34" i="34"/>
  <c r="W38" i="34"/>
  <c r="Z38" i="34"/>
  <c r="A38" i="34"/>
  <c r="W118" i="34"/>
  <c r="Z118" i="34"/>
  <c r="A118" i="34"/>
  <c r="W132" i="34"/>
  <c r="Z132" i="34"/>
  <c r="A132" i="34"/>
  <c r="W615" i="34"/>
  <c r="Z615" i="34"/>
  <c r="A615" i="34"/>
  <c r="W624" i="34"/>
  <c r="Z624" i="34"/>
  <c r="A624" i="34"/>
  <c r="W628" i="34"/>
  <c r="Z628" i="34"/>
  <c r="A628" i="34"/>
  <c r="Z639" i="34"/>
  <c r="W639" i="34"/>
  <c r="A639" i="34"/>
  <c r="Z643" i="34"/>
  <c r="W643" i="34"/>
  <c r="A643" i="34"/>
  <c r="W647" i="34"/>
  <c r="Z647" i="34"/>
  <c r="A647" i="34"/>
  <c r="W651" i="34"/>
  <c r="Z651" i="34"/>
  <c r="A651" i="34"/>
  <c r="W665" i="34"/>
  <c r="Z665" i="34"/>
  <c r="A665" i="34"/>
  <c r="W669" i="34"/>
  <c r="Z669" i="34"/>
  <c r="A669" i="34"/>
  <c r="W673" i="34"/>
  <c r="Z673" i="34"/>
  <c r="A673" i="34"/>
  <c r="W677" i="34"/>
  <c r="Z677" i="34"/>
  <c r="A677" i="34"/>
  <c r="W683" i="34"/>
  <c r="Z683" i="34"/>
  <c r="A683" i="34"/>
  <c r="W687" i="34"/>
  <c r="Z687" i="34"/>
  <c r="A687" i="34"/>
  <c r="Z698" i="34"/>
  <c r="W698" i="34"/>
  <c r="A698" i="34"/>
  <c r="W707" i="34"/>
  <c r="Z707" i="34"/>
  <c r="A707" i="34"/>
  <c r="Z722" i="34"/>
  <c r="W722" i="34"/>
  <c r="A722" i="34"/>
  <c r="Z726" i="34"/>
  <c r="W726" i="34"/>
  <c r="A726" i="34"/>
  <c r="Z734" i="34"/>
  <c r="W734" i="34"/>
  <c r="A734" i="34"/>
  <c r="Z742" i="34"/>
  <c r="W742" i="34"/>
  <c r="A742" i="34"/>
  <c r="Z895" i="34"/>
  <c r="W895" i="34"/>
  <c r="A895" i="34"/>
  <c r="Z1025" i="34"/>
  <c r="W1025" i="34"/>
  <c r="A1025" i="34"/>
  <c r="Z1595" i="34"/>
  <c r="W1595" i="34"/>
  <c r="A1595" i="34"/>
  <c r="Z1678" i="34"/>
  <c r="W1678" i="34"/>
  <c r="A1678" i="34"/>
  <c r="Z1682" i="34"/>
  <c r="W1682" i="34"/>
  <c r="A1682" i="34"/>
  <c r="Z1723" i="34"/>
  <c r="W1723" i="34"/>
  <c r="A1723" i="34"/>
  <c r="W1727" i="34"/>
  <c r="Z1727" i="34"/>
  <c r="A1727" i="34"/>
  <c r="Z1398" i="34"/>
  <c r="W1398" i="34"/>
  <c r="A1398" i="34"/>
  <c r="W1238" i="34"/>
  <c r="Z1238" i="34"/>
  <c r="A1238" i="34"/>
  <c r="W1361" i="34"/>
  <c r="Z1361" i="34"/>
  <c r="A1361" i="34"/>
  <c r="W1383" i="34"/>
  <c r="Z1383" i="34"/>
  <c r="A1383" i="34"/>
  <c r="Z1074" i="34"/>
  <c r="W1074" i="34"/>
  <c r="A1074" i="34"/>
  <c r="Z1078" i="34"/>
  <c r="W1078" i="34"/>
  <c r="A1078" i="34"/>
  <c r="Z1158" i="34"/>
  <c r="W1158" i="34"/>
  <c r="A1158" i="34"/>
  <c r="Z1162" i="34"/>
  <c r="W1162" i="34"/>
  <c r="A1162" i="34"/>
  <c r="Z1198" i="34"/>
  <c r="W1198" i="34"/>
  <c r="A1198" i="34"/>
  <c r="Z1202" i="34"/>
  <c r="W1202" i="34"/>
  <c r="A1202" i="34"/>
  <c r="Z1209" i="34"/>
  <c r="W1209" i="34"/>
  <c r="A1209" i="34"/>
  <c r="Z1000" i="34"/>
  <c r="W1000" i="34"/>
  <c r="A1000" i="34"/>
  <c r="Z1020" i="34"/>
  <c r="W1020" i="34"/>
  <c r="A1020" i="34"/>
  <c r="Z899" i="34"/>
  <c r="W899" i="34"/>
  <c r="A899" i="34"/>
  <c r="W1773" i="34"/>
  <c r="Z1773" i="34"/>
  <c r="A1773" i="34"/>
  <c r="W1769" i="34"/>
  <c r="Z1769" i="34"/>
  <c r="A1769" i="34"/>
  <c r="Z1626" i="34"/>
  <c r="W1626" i="34"/>
  <c r="A1626" i="34"/>
  <c r="Z1622" i="34"/>
  <c r="W1622" i="34"/>
  <c r="A1622" i="34"/>
  <c r="Z1615" i="34"/>
  <c r="W1615" i="34"/>
  <c r="A1615" i="34"/>
  <c r="Z1585" i="34"/>
  <c r="W1585" i="34"/>
  <c r="A1585" i="34"/>
  <c r="Z1581" i="34"/>
  <c r="W1581" i="34"/>
  <c r="A1581" i="34"/>
  <c r="Z1575" i="34"/>
  <c r="W1575" i="34"/>
  <c r="A1575" i="34"/>
  <c r="Z1567" i="34"/>
  <c r="W1567" i="34"/>
  <c r="A1567" i="34"/>
  <c r="Z1563" i="34"/>
  <c r="W1563" i="34"/>
  <c r="A1563" i="34"/>
  <c r="W1270" i="34"/>
  <c r="Z1270" i="34"/>
  <c r="A1270" i="34"/>
  <c r="W1379" i="34"/>
  <c r="Z1379" i="34"/>
  <c r="A1379" i="34"/>
  <c r="Z1143" i="34"/>
  <c r="W1143" i="34"/>
  <c r="A1143" i="34"/>
  <c r="Z1139" i="34"/>
  <c r="W1139" i="34"/>
  <c r="A1139" i="34"/>
  <c r="Z1106" i="34"/>
  <c r="W1106" i="34"/>
  <c r="A1106" i="34"/>
  <c r="Z1102" i="34"/>
  <c r="W1102" i="34"/>
  <c r="A1102" i="34"/>
  <c r="Z1068" i="34"/>
  <c r="W1068" i="34"/>
  <c r="A1068" i="34"/>
  <c r="Z1064" i="34"/>
  <c r="W1064" i="34"/>
  <c r="A1064" i="34"/>
  <c r="Z995" i="34"/>
  <c r="W995" i="34"/>
  <c r="A995" i="34"/>
  <c r="Z991" i="34"/>
  <c r="W991" i="34"/>
  <c r="A991" i="34"/>
  <c r="W942" i="34"/>
  <c r="Z942" i="34"/>
  <c r="A942" i="34"/>
  <c r="W938" i="34"/>
  <c r="Z938" i="34"/>
  <c r="A938" i="34"/>
  <c r="Z927" i="34"/>
  <c r="W927" i="34"/>
  <c r="A927" i="34"/>
  <c r="Z923" i="34"/>
  <c r="W923" i="34"/>
  <c r="A923" i="34"/>
  <c r="Z919" i="34"/>
  <c r="W919" i="34"/>
  <c r="A919" i="34"/>
  <c r="Z1057" i="34"/>
  <c r="W1057" i="34"/>
  <c r="A1057" i="34"/>
  <c r="Z1114" i="34"/>
  <c r="W1114" i="34"/>
  <c r="A1114" i="34"/>
  <c r="Z1118" i="34"/>
  <c r="W1118" i="34"/>
  <c r="A1118" i="34"/>
  <c r="Z1122" i="34"/>
  <c r="W1122" i="34"/>
  <c r="A1122" i="34"/>
  <c r="Z1157" i="34"/>
  <c r="W1157" i="34"/>
  <c r="A1157" i="34"/>
  <c r="Z1149" i="34"/>
  <c r="W1149" i="34"/>
  <c r="A1149" i="34"/>
  <c r="Z1153" i="34"/>
  <c r="W1153" i="34"/>
  <c r="A1153" i="34"/>
  <c r="W326" i="34"/>
  <c r="Z326" i="34"/>
  <c r="A326" i="34"/>
  <c r="Z336" i="34"/>
  <c r="W336" i="34"/>
  <c r="A336" i="34"/>
  <c r="Z903" i="34"/>
  <c r="W903" i="34"/>
  <c r="A903" i="34"/>
  <c r="W954" i="34"/>
  <c r="Z954" i="34"/>
  <c r="A954" i="34"/>
  <c r="Z987" i="34"/>
  <c r="W987" i="34"/>
  <c r="A987" i="34"/>
  <c r="Z1016" i="34"/>
  <c r="W1016" i="34"/>
  <c r="A1016" i="34"/>
  <c r="Z1058" i="34"/>
  <c r="W1058" i="34"/>
  <c r="A1058" i="34"/>
  <c r="Z1062" i="34"/>
  <c r="W1062" i="34"/>
  <c r="A1062" i="34"/>
  <c r="Z1219" i="34"/>
  <c r="W1219" i="34"/>
  <c r="A1219" i="34"/>
  <c r="W26" i="34"/>
  <c r="Z26" i="34"/>
  <c r="A26" i="34"/>
  <c r="Z31" i="34"/>
  <c r="W31" i="34"/>
  <c r="A31" i="34"/>
  <c r="Z35" i="34"/>
  <c r="W35" i="34"/>
  <c r="A35" i="34"/>
  <c r="Z41" i="34"/>
  <c r="W41" i="34"/>
  <c r="A41" i="34"/>
  <c r="Z119" i="34"/>
  <c r="W119" i="34"/>
  <c r="A119" i="34"/>
  <c r="Z584" i="34"/>
  <c r="W584" i="34"/>
  <c r="A584" i="34"/>
  <c r="W616" i="34"/>
  <c r="Z616" i="34"/>
  <c r="A616" i="34"/>
  <c r="W625" i="34"/>
  <c r="Z625" i="34"/>
  <c r="A625" i="34"/>
  <c r="W629" i="34"/>
  <c r="Z629" i="34"/>
  <c r="A629" i="34"/>
  <c r="W640" i="34"/>
  <c r="Z640" i="34"/>
  <c r="A640" i="34"/>
  <c r="W644" i="34"/>
  <c r="Z644" i="34"/>
  <c r="A644" i="34"/>
  <c r="Z648" i="34"/>
  <c r="W648" i="34"/>
  <c r="A648" i="34"/>
  <c r="Z652" i="34"/>
  <c r="W652" i="34"/>
  <c r="A652" i="34"/>
  <c r="Z666" i="34"/>
  <c r="W666" i="34"/>
  <c r="A666" i="34"/>
  <c r="Z670" i="34"/>
  <c r="W670" i="34"/>
  <c r="A670" i="34"/>
  <c r="Z674" i="34"/>
  <c r="W674" i="34"/>
  <c r="A674" i="34"/>
  <c r="Z678" i="34"/>
  <c r="W678" i="34"/>
  <c r="A678" i="34"/>
  <c r="Z684" i="34"/>
  <c r="W684" i="34"/>
  <c r="A684" i="34"/>
  <c r="W695" i="34"/>
  <c r="Z695" i="34"/>
  <c r="A695" i="34"/>
  <c r="W699" i="34"/>
  <c r="Z699" i="34"/>
  <c r="A699" i="34"/>
  <c r="Z708" i="34"/>
  <c r="W708" i="34"/>
  <c r="A708" i="34"/>
  <c r="W723" i="34"/>
  <c r="Z723" i="34"/>
  <c r="A723" i="34"/>
  <c r="W727" i="34"/>
  <c r="Z727" i="34"/>
  <c r="A727" i="34"/>
  <c r="W735" i="34"/>
  <c r="Z735" i="34"/>
  <c r="A735" i="34"/>
  <c r="W743" i="34"/>
  <c r="Z743" i="34"/>
  <c r="A743" i="34"/>
  <c r="Z893" i="34"/>
  <c r="W893" i="34"/>
  <c r="A893" i="34"/>
  <c r="Z1022" i="34"/>
  <c r="W1022" i="34"/>
  <c r="A1022" i="34"/>
  <c r="Z1026" i="34"/>
  <c r="W1026" i="34"/>
  <c r="A1026" i="34"/>
  <c r="Z1674" i="34"/>
  <c r="W1674" i="34"/>
  <c r="A1674" i="34"/>
  <c r="Z1679" i="34"/>
  <c r="W1679" i="34"/>
  <c r="A1679" i="34"/>
  <c r="Z1683" i="34"/>
  <c r="W1683" i="34"/>
  <c r="A1683" i="34"/>
  <c r="Z1724" i="34"/>
  <c r="W1724" i="34"/>
  <c r="A1724" i="34"/>
  <c r="Z1728" i="34"/>
  <c r="W1728" i="34"/>
  <c r="A1728" i="34"/>
  <c r="W1299" i="34"/>
  <c r="Z1299" i="34"/>
  <c r="A1299" i="34"/>
  <c r="W1240" i="34"/>
  <c r="Z1240" i="34"/>
  <c r="A1240" i="34"/>
  <c r="Z1362" i="34"/>
  <c r="W1362" i="34"/>
  <c r="A1362" i="34"/>
  <c r="Z1384" i="34"/>
  <c r="W1384" i="34"/>
  <c r="A1384" i="34"/>
  <c r="Z1503" i="34"/>
  <c r="W1503" i="34"/>
  <c r="A1503" i="34"/>
  <c r="Z1075" i="34"/>
  <c r="W1075" i="34"/>
  <c r="A1075" i="34"/>
  <c r="Z1079" i="34"/>
  <c r="W1079" i="34"/>
  <c r="A1079" i="34"/>
  <c r="Z1159" i="34"/>
  <c r="W1159" i="34"/>
  <c r="A1159" i="34"/>
  <c r="Z1163" i="34"/>
  <c r="W1163" i="34"/>
  <c r="A1163" i="34"/>
  <c r="Z1199" i="34"/>
  <c r="W1199" i="34"/>
  <c r="A1199" i="34"/>
  <c r="Z1203" i="34"/>
  <c r="W1203" i="34"/>
  <c r="A1203" i="34"/>
  <c r="Z1210" i="34"/>
  <c r="W1210" i="34"/>
  <c r="A1210" i="34"/>
  <c r="Z1001" i="34"/>
  <c r="W1001" i="34"/>
  <c r="A1001" i="34"/>
  <c r="Z1021" i="34"/>
  <c r="W1021" i="34"/>
  <c r="A1021" i="34"/>
  <c r="W1772" i="34"/>
  <c r="Z1772" i="34"/>
  <c r="A1772" i="34"/>
  <c r="Z1647" i="34"/>
  <c r="W1647" i="34"/>
  <c r="A1647" i="34"/>
  <c r="Z1625" i="34"/>
  <c r="W1625" i="34"/>
  <c r="A1625" i="34"/>
  <c r="Z1618" i="34"/>
  <c r="W1618" i="34"/>
  <c r="A1618" i="34"/>
  <c r="Z1614" i="34"/>
  <c r="W1614" i="34"/>
  <c r="A1614" i="34"/>
  <c r="Z1584" i="34"/>
  <c r="W1584" i="34"/>
  <c r="A1584" i="34"/>
  <c r="Z1580" i="34"/>
  <c r="W1580" i="34"/>
  <c r="A1580" i="34"/>
  <c r="Z1574" i="34"/>
  <c r="W1574" i="34"/>
  <c r="A1574" i="34"/>
  <c r="Z1566" i="34"/>
  <c r="W1566" i="34"/>
  <c r="A1566" i="34"/>
  <c r="Z1557" i="34"/>
  <c r="W1557" i="34"/>
  <c r="A1557" i="34"/>
  <c r="W1269" i="34"/>
  <c r="Z1269" i="34"/>
  <c r="A1269" i="34"/>
  <c r="Z1378" i="34"/>
  <c r="W1378" i="34"/>
  <c r="A1378" i="34"/>
  <c r="Z1142" i="34"/>
  <c r="W1142" i="34"/>
  <c r="A1142" i="34"/>
  <c r="Z1138" i="34"/>
  <c r="W1138" i="34"/>
  <c r="A1138" i="34"/>
  <c r="Z1105" i="34"/>
  <c r="W1105" i="34"/>
  <c r="A1105" i="34"/>
  <c r="Z1101" i="34"/>
  <c r="W1101" i="34"/>
  <c r="A1101" i="34"/>
  <c r="Z1067" i="34"/>
  <c r="W1067" i="34"/>
  <c r="A1067" i="34"/>
  <c r="Z998" i="34"/>
  <c r="W998" i="34"/>
  <c r="A998" i="34"/>
  <c r="Z994" i="34"/>
  <c r="W994" i="34"/>
  <c r="A994" i="34"/>
  <c r="Z990" i="34"/>
  <c r="W990" i="34"/>
  <c r="A990" i="34"/>
  <c r="Z941" i="34"/>
  <c r="W941" i="34"/>
  <c r="A941" i="34"/>
  <c r="Z937" i="34"/>
  <c r="W937" i="34"/>
  <c r="A937" i="34"/>
  <c r="Z926" i="34"/>
  <c r="W926" i="34"/>
  <c r="A926" i="34"/>
  <c r="Z922" i="34"/>
  <c r="W922" i="34"/>
  <c r="A922" i="34"/>
  <c r="Z918" i="34"/>
  <c r="W918" i="34"/>
  <c r="A918" i="34"/>
  <c r="Z1085" i="34"/>
  <c r="W1085" i="34"/>
  <c r="A1085" i="34"/>
  <c r="Z1115" i="34"/>
  <c r="W1115" i="34"/>
  <c r="A1115" i="34"/>
  <c r="Z1119" i="34"/>
  <c r="W1119" i="34"/>
  <c r="A1119" i="34"/>
  <c r="Z1134" i="34"/>
  <c r="W1134" i="34"/>
  <c r="A1134" i="34"/>
  <c r="Z1167" i="34"/>
  <c r="W1167" i="34"/>
  <c r="A1167" i="34"/>
  <c r="Z1150" i="34"/>
  <c r="W1150" i="34"/>
  <c r="A1150" i="34"/>
  <c r="Z1168" i="34"/>
  <c r="W1168" i="34"/>
  <c r="A1168" i="34"/>
  <c r="Z330" i="34"/>
  <c r="W330" i="34"/>
  <c r="A330" i="34"/>
  <c r="Z422" i="34"/>
  <c r="W422" i="34"/>
  <c r="A422" i="34"/>
  <c r="Z904" i="34"/>
  <c r="W904" i="34"/>
  <c r="A904" i="34"/>
  <c r="W955" i="34"/>
  <c r="Z955" i="34"/>
  <c r="A955" i="34"/>
  <c r="Z988" i="34"/>
  <c r="W988" i="34"/>
  <c r="A988" i="34"/>
  <c r="Z1017" i="34"/>
  <c r="W1017" i="34"/>
  <c r="A1017" i="34"/>
  <c r="Z1059" i="34"/>
  <c r="W1059" i="34"/>
  <c r="A1059" i="34"/>
  <c r="Z1063" i="34"/>
  <c r="W1063" i="34"/>
  <c r="A1063" i="34"/>
  <c r="Z1220" i="34"/>
  <c r="W1220" i="34"/>
  <c r="A1220" i="34"/>
  <c r="Z27" i="34"/>
  <c r="W27" i="34"/>
  <c r="A27" i="34"/>
  <c r="W32" i="34"/>
  <c r="Z32" i="34"/>
  <c r="A32" i="34"/>
  <c r="W36" i="34"/>
  <c r="Z36" i="34"/>
  <c r="A36" i="34"/>
  <c r="W42" i="34"/>
  <c r="Z42" i="34"/>
  <c r="A42" i="34"/>
  <c r="W120" i="34"/>
  <c r="Z120" i="34"/>
  <c r="A120" i="34"/>
  <c r="Z585" i="34"/>
  <c r="W585" i="34"/>
  <c r="A585" i="34"/>
  <c r="W622" i="34"/>
  <c r="Z622" i="34"/>
  <c r="A622" i="34"/>
  <c r="W626" i="34"/>
  <c r="Z626" i="34"/>
  <c r="A626" i="34"/>
  <c r="Z637" i="34"/>
  <c r="W637" i="34"/>
  <c r="A637" i="34"/>
  <c r="Z641" i="34"/>
  <c r="W641" i="34"/>
  <c r="A641" i="34"/>
  <c r="W645" i="34"/>
  <c r="Z645" i="34"/>
  <c r="A645" i="34"/>
  <c r="W649" i="34"/>
  <c r="Z649" i="34"/>
  <c r="A649" i="34"/>
  <c r="W653" i="34"/>
  <c r="Z653" i="34"/>
  <c r="A653" i="34"/>
  <c r="W667" i="34"/>
  <c r="Z667" i="34"/>
  <c r="A667" i="34"/>
  <c r="W671" i="34"/>
  <c r="Z671" i="34"/>
  <c r="A671" i="34"/>
  <c r="W675" i="34"/>
  <c r="Z675" i="34"/>
  <c r="A675" i="34"/>
  <c r="W679" i="34"/>
  <c r="Z679" i="34"/>
  <c r="A679" i="34"/>
  <c r="W685" i="34"/>
  <c r="Z685" i="34"/>
  <c r="A685" i="34"/>
  <c r="Z696" i="34"/>
  <c r="W696" i="34"/>
  <c r="A696" i="34"/>
  <c r="Z700" i="34"/>
  <c r="W700" i="34"/>
  <c r="A700" i="34"/>
  <c r="W709" i="34"/>
  <c r="Z709" i="34"/>
  <c r="A709" i="34"/>
  <c r="Z724" i="34"/>
  <c r="W724" i="34"/>
  <c r="A724" i="34"/>
  <c r="Z728" i="34"/>
  <c r="W728" i="34"/>
  <c r="A728" i="34"/>
  <c r="Z740" i="34"/>
  <c r="W740" i="34"/>
  <c r="A740" i="34"/>
  <c r="Z889" i="34"/>
  <c r="W889" i="34"/>
  <c r="A889" i="34"/>
  <c r="A3367" i="34"/>
  <c r="A3371" i="34"/>
  <c r="A3375" i="34"/>
  <c r="A3379" i="34"/>
  <c r="A3383" i="34"/>
  <c r="A3387" i="34"/>
  <c r="A3354" i="34"/>
  <c r="A3358" i="34"/>
  <c r="A3362" i="34"/>
  <c r="A3368" i="34"/>
  <c r="A3372" i="34"/>
  <c r="A3376" i="34"/>
  <c r="A3380" i="34"/>
  <c r="A3384" i="34"/>
  <c r="A3351" i="34"/>
  <c r="A3355" i="34"/>
  <c r="A3359" i="34"/>
  <c r="A3363" i="34"/>
  <c r="A3369" i="34"/>
  <c r="A3373" i="34"/>
  <c r="A3377" i="34"/>
  <c r="A3381" i="34"/>
  <c r="A3385" i="34"/>
  <c r="A3352" i="34"/>
  <c r="A3356" i="34"/>
  <c r="A3360" i="34"/>
  <c r="A3364" i="34"/>
  <c r="A3366" i="34"/>
  <c r="A3370" i="34"/>
  <c r="A3374" i="34"/>
  <c r="A3378" i="34"/>
  <c r="A3382" i="34"/>
  <c r="A3386" i="34"/>
  <c r="A3353" i="34"/>
  <c r="A3357" i="34"/>
  <c r="A3361" i="34"/>
  <c r="A3365" i="34"/>
  <c r="B886" i="34" l="1"/>
  <c r="B457" i="34"/>
  <c r="B127" i="34"/>
  <c r="B109" i="34"/>
  <c r="Z109" i="34" l="1"/>
  <c r="W109" i="34"/>
  <c r="A109" i="34"/>
  <c r="Z127" i="34"/>
  <c r="W127" i="34"/>
  <c r="A127" i="34"/>
  <c r="W457" i="34"/>
  <c r="Z457" i="34"/>
  <c r="A457" i="34"/>
  <c r="Z886" i="34"/>
  <c r="W886" i="34"/>
  <c r="A886" i="34"/>
  <c r="E33" i="55"/>
  <c r="B782" i="34" l="1"/>
  <c r="B762" i="34"/>
  <c r="B753" i="34"/>
  <c r="B69" i="34"/>
  <c r="B64" i="34"/>
  <c r="B52" i="34"/>
  <c r="Z69" i="34" l="1"/>
  <c r="W69" i="34"/>
  <c r="A69" i="34"/>
  <c r="W753" i="34"/>
  <c r="Z753" i="34"/>
  <c r="A753" i="34"/>
  <c r="W52" i="34"/>
  <c r="Z52" i="34"/>
  <c r="A52" i="34"/>
  <c r="W762" i="34"/>
  <c r="Z762" i="34"/>
  <c r="A762" i="34"/>
  <c r="W64" i="34"/>
  <c r="Z64" i="34"/>
  <c r="A64" i="34"/>
  <c r="W782" i="34"/>
  <c r="Z782" i="34"/>
  <c r="A782" i="34"/>
  <c r="B23" i="34"/>
  <c r="B425" i="34"/>
  <c r="B403" i="34"/>
  <c r="W425" i="34" l="1"/>
  <c r="Z425" i="34"/>
  <c r="A425" i="34"/>
  <c r="W403" i="34"/>
  <c r="Z403" i="34"/>
  <c r="A403" i="34"/>
  <c r="Z23" i="34"/>
  <c r="W23" i="34"/>
  <c r="A23" i="34"/>
  <c r="B197" i="34"/>
  <c r="B169" i="34"/>
  <c r="B299" i="34"/>
  <c r="B286" i="34"/>
  <c r="B322" i="34"/>
  <c r="B657" i="34"/>
  <c r="B205" i="34"/>
  <c r="B373" i="34"/>
  <c r="Z299" i="34" l="1"/>
  <c r="W299" i="34"/>
  <c r="A299" i="34"/>
  <c r="W205" i="34"/>
  <c r="Z205" i="34"/>
  <c r="A205" i="34"/>
  <c r="W169" i="34"/>
  <c r="Z169" i="34"/>
  <c r="A169" i="34"/>
  <c r="W373" i="34"/>
  <c r="Z373" i="34"/>
  <c r="A373" i="34"/>
  <c r="W657" i="34"/>
  <c r="Z657" i="34"/>
  <c r="A657" i="34"/>
  <c r="W322" i="34"/>
  <c r="Z322" i="34"/>
  <c r="A322" i="34"/>
  <c r="W197" i="34"/>
  <c r="Z197" i="34"/>
  <c r="A197" i="34"/>
  <c r="Z286" i="34"/>
  <c r="W286" i="34"/>
  <c r="A286" i="34"/>
  <c r="B247" i="34"/>
  <c r="B213" i="34"/>
  <c r="W213" i="34" l="1"/>
  <c r="Z213" i="34"/>
  <c r="A213" i="34"/>
  <c r="Z247" i="34"/>
  <c r="W247" i="34"/>
  <c r="A247" i="34"/>
  <c r="B731" i="34"/>
  <c r="B690" i="34"/>
  <c r="B689" i="34"/>
  <c r="B688" i="34"/>
  <c r="B663" i="34"/>
  <c r="B662" i="34"/>
  <c r="B636" i="34"/>
  <c r="B635" i="34"/>
  <c r="B634" i="34"/>
  <c r="B633" i="34"/>
  <c r="B693" i="34"/>
  <c r="B682" i="34"/>
  <c r="B654" i="34"/>
  <c r="B631" i="34"/>
  <c r="B594" i="34"/>
  <c r="B593" i="34"/>
  <c r="B591" i="34"/>
  <c r="B590" i="34"/>
  <c r="B589" i="34"/>
  <c r="B321" i="34"/>
  <c r="B320" i="34"/>
  <c r="B306" i="34"/>
  <c r="B305" i="34"/>
  <c r="B304" i="34"/>
  <c r="B303" i="34"/>
  <c r="B302" i="34"/>
  <c r="B289" i="34"/>
  <c r="B272" i="34"/>
  <c r="B248" i="34"/>
  <c r="B246" i="34"/>
  <c r="B214" i="34"/>
  <c r="B212" i="34"/>
  <c r="B183" i="34"/>
  <c r="B182" i="34"/>
  <c r="B402" i="34"/>
  <c r="B401" i="34"/>
  <c r="B400" i="34"/>
  <c r="B372" i="34"/>
  <c r="B371" i="34"/>
  <c r="B370" i="34"/>
  <c r="B369" i="34"/>
  <c r="B368" i="34"/>
  <c r="B367" i="34"/>
  <c r="B366" i="34"/>
  <c r="B365" i="34"/>
  <c r="B350" i="34"/>
  <c r="B349" i="34"/>
  <c r="B348" i="34"/>
  <c r="B347" i="34"/>
  <c r="B346" i="34"/>
  <c r="B342" i="34"/>
  <c r="B341" i="34"/>
  <c r="B340" i="34"/>
  <c r="B339" i="34"/>
  <c r="B333" i="34"/>
  <c r="B317" i="34"/>
  <c r="B316" i="34"/>
  <c r="B315" i="34"/>
  <c r="B314" i="34"/>
  <c r="B296" i="34"/>
  <c r="B295" i="34"/>
  <c r="B294" i="34"/>
  <c r="B293" i="34"/>
  <c r="B275" i="34"/>
  <c r="B274" i="34"/>
  <c r="B273" i="34"/>
  <c r="B267" i="34"/>
  <c r="B266" i="34"/>
  <c r="B265" i="34"/>
  <c r="B264" i="34"/>
  <c r="B263" i="34"/>
  <c r="B237" i="34"/>
  <c r="B236" i="34"/>
  <c r="B235" i="34"/>
  <c r="B234" i="34"/>
  <c r="B233" i="34"/>
  <c r="B232" i="34"/>
  <c r="B231" i="34"/>
  <c r="B230" i="34"/>
  <c r="B229" i="34"/>
  <c r="B194" i="34"/>
  <c r="B193" i="34"/>
  <c r="B192" i="34"/>
  <c r="B191" i="34"/>
  <c r="B190" i="34"/>
  <c r="B189" i="34"/>
  <c r="B188" i="34"/>
  <c r="B187" i="34"/>
  <c r="B147" i="34"/>
  <c r="B146" i="34"/>
  <c r="B145" i="34"/>
  <c r="B144" i="34"/>
  <c r="B143" i="34"/>
  <c r="B142" i="34"/>
  <c r="B139" i="34"/>
  <c r="B138" i="34"/>
  <c r="B137" i="34"/>
  <c r="B105" i="34"/>
  <c r="B104" i="34"/>
  <c r="B103" i="34"/>
  <c r="B102" i="34"/>
  <c r="B101" i="34"/>
  <c r="B100" i="34"/>
  <c r="B99" i="34"/>
  <c r="B98" i="34"/>
  <c r="B97" i="34"/>
  <c r="B462" i="34"/>
  <c r="B461" i="34"/>
  <c r="B442" i="34"/>
  <c r="B421" i="34"/>
  <c r="B360" i="34"/>
  <c r="B359" i="34"/>
  <c r="B344" i="34"/>
  <c r="B343" i="34"/>
  <c r="B979" i="34"/>
  <c r="B978" i="34"/>
  <c r="B977" i="34"/>
  <c r="B961" i="34"/>
  <c r="B948" i="34"/>
  <c r="B915" i="34"/>
  <c r="B914" i="34"/>
  <c r="B907" i="34"/>
  <c r="B902" i="34"/>
  <c r="B791" i="34"/>
  <c r="B790" i="34"/>
  <c r="B789" i="34"/>
  <c r="B773" i="34"/>
  <c r="B772" i="34"/>
  <c r="B876" i="34"/>
  <c r="B875" i="34"/>
  <c r="B856" i="34"/>
  <c r="B810" i="34"/>
  <c r="B770" i="34"/>
  <c r="B769" i="34"/>
  <c r="B747" i="34"/>
  <c r="B746" i="34"/>
  <c r="B721" i="34"/>
  <c r="B720" i="34"/>
  <c r="B719" i="34"/>
  <c r="B718" i="34"/>
  <c r="B717" i="34"/>
  <c r="B737" i="34"/>
  <c r="B736" i="34"/>
  <c r="B732" i="34"/>
  <c r="B807" i="34"/>
  <c r="B806" i="34"/>
  <c r="B805" i="34"/>
  <c r="B804" i="34"/>
  <c r="B803" i="34"/>
  <c r="B787" i="34"/>
  <c r="B786" i="34"/>
  <c r="B785" i="34"/>
  <c r="B784" i="34"/>
  <c r="B783" i="34"/>
  <c r="B49" i="34"/>
  <c r="B48" i="34"/>
  <c r="B47" i="34"/>
  <c r="B46" i="34"/>
  <c r="B45" i="34"/>
  <c r="B44" i="34"/>
  <c r="B538" i="34"/>
  <c r="B529" i="34"/>
  <c r="B251" i="34"/>
  <c r="B250" i="34"/>
  <c r="B249" i="34"/>
  <c r="B217" i="34"/>
  <c r="B216" i="34"/>
  <c r="B215" i="34"/>
  <c r="B160" i="34"/>
  <c r="B159" i="34"/>
  <c r="B574" i="34"/>
  <c r="B509" i="34"/>
  <c r="B508" i="34"/>
  <c r="B505" i="34"/>
  <c r="B504" i="34"/>
  <c r="B502" i="34"/>
  <c r="B501" i="34"/>
  <c r="B487" i="34"/>
  <c r="B486" i="34"/>
  <c r="B479" i="34"/>
  <c r="B478" i="34"/>
  <c r="B471" i="34"/>
  <c r="B470" i="34"/>
  <c r="B430" i="34"/>
  <c r="B429" i="34"/>
  <c r="B428" i="34"/>
  <c r="B427" i="34"/>
  <c r="B426" i="34"/>
  <c r="B777" i="34"/>
  <c r="B776" i="34"/>
  <c r="B765" i="34"/>
  <c r="B764" i="34"/>
  <c r="B763" i="34"/>
  <c r="B761" i="34"/>
  <c r="B760" i="34"/>
  <c r="B756" i="34"/>
  <c r="B755" i="34"/>
  <c r="B754" i="34"/>
  <c r="B752" i="34"/>
  <c r="B751" i="34"/>
  <c r="B750" i="34"/>
  <c r="B749" i="34"/>
  <c r="B748" i="34"/>
  <c r="B744" i="34"/>
  <c r="B134" i="34"/>
  <c r="B133" i="34"/>
  <c r="B123" i="34"/>
  <c r="B122" i="34"/>
  <c r="B121" i="34"/>
  <c r="B96" i="34"/>
  <c r="B95" i="34"/>
  <c r="B94" i="34"/>
  <c r="B93" i="34"/>
  <c r="B92" i="34"/>
  <c r="B90" i="34"/>
  <c r="B89" i="34"/>
  <c r="B88" i="34"/>
  <c r="B87" i="34"/>
  <c r="B86" i="34"/>
  <c r="B83" i="34"/>
  <c r="B82" i="34"/>
  <c r="B76" i="34"/>
  <c r="B75" i="34"/>
  <c r="B73" i="34"/>
  <c r="B72" i="34"/>
  <c r="B71" i="34"/>
  <c r="B70" i="34"/>
  <c r="B68" i="34"/>
  <c r="B67" i="34"/>
  <c r="B66" i="34"/>
  <c r="B65" i="34"/>
  <c r="B63" i="34"/>
  <c r="B62" i="34"/>
  <c r="B61" i="34"/>
  <c r="B60" i="34"/>
  <c r="B59" i="34"/>
  <c r="B58" i="34"/>
  <c r="B57" i="34"/>
  <c r="B56" i="34"/>
  <c r="B55" i="34"/>
  <c r="B54" i="34"/>
  <c r="B53" i="34"/>
  <c r="B51" i="34"/>
  <c r="B50" i="34"/>
  <c r="B22" i="34"/>
  <c r="B575" i="34"/>
  <c r="B424" i="34"/>
  <c r="B404" i="34"/>
  <c r="B2062" i="34"/>
  <c r="B2060" i="34"/>
  <c r="B2058" i="34"/>
  <c r="B2057" i="34"/>
  <c r="B2056" i="34"/>
  <c r="B2055" i="34"/>
  <c r="B2049" i="34"/>
  <c r="B2048" i="34"/>
  <c r="B2047" i="34"/>
  <c r="B2035" i="34"/>
  <c r="B1776" i="34"/>
  <c r="B1758" i="34"/>
  <c r="B1757" i="34"/>
  <c r="B1756" i="34"/>
  <c r="B1755" i="34"/>
  <c r="B1649" i="34"/>
  <c r="B1648" i="34"/>
  <c r="B1650" i="34"/>
  <c r="B1611" i="34"/>
  <c r="B1606" i="34"/>
  <c r="B1605" i="34"/>
  <c r="B1597" i="34"/>
  <c r="B1577" i="34"/>
  <c r="B1576" i="34"/>
  <c r="B1562" i="34"/>
  <c r="B1561" i="34"/>
  <c r="B1560" i="34"/>
  <c r="B1559" i="34"/>
  <c r="B1558" i="34"/>
  <c r="B1554" i="34"/>
  <c r="B1553" i="34"/>
  <c r="B1498" i="34"/>
  <c r="B1174" i="34"/>
  <c r="B1176" i="34"/>
  <c r="B1175" i="34"/>
  <c r="B1099" i="34"/>
  <c r="B1094" i="34"/>
  <c r="B1030" i="34"/>
  <c r="B968" i="34"/>
  <c r="B967" i="34"/>
  <c r="B966" i="34"/>
  <c r="B965" i="34"/>
  <c r="B935" i="34"/>
  <c r="B934" i="34"/>
  <c r="B933" i="34"/>
  <c r="B932" i="34"/>
  <c r="B931" i="34"/>
  <c r="B930" i="34"/>
  <c r="B929" i="34"/>
  <c r="B897" i="34"/>
  <c r="B896" i="34"/>
  <c r="B2241" i="34"/>
  <c r="B2246" i="34"/>
  <c r="B2245" i="34"/>
  <c r="B2024" i="34"/>
  <c r="B2026" i="34"/>
  <c r="B2025" i="34"/>
  <c r="B1538" i="34"/>
  <c r="B1556" i="34"/>
  <c r="B1555" i="34"/>
  <c r="B892" i="34"/>
  <c r="B891" i="34"/>
  <c r="B890" i="34"/>
  <c r="B868" i="34"/>
  <c r="B867" i="34"/>
  <c r="B866" i="34"/>
  <c r="B865" i="34"/>
  <c r="B864" i="34"/>
  <c r="B863" i="34"/>
  <c r="B862" i="34"/>
  <c r="B861" i="34"/>
  <c r="B860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4" i="34"/>
  <c r="B833" i="34"/>
  <c r="B836" i="34"/>
  <c r="B835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1651" i="34"/>
  <c r="B1586" i="34"/>
  <c r="B2244" i="34"/>
  <c r="B2243" i="34"/>
  <c r="B2248" i="34"/>
  <c r="B2247" i="34"/>
  <c r="B2242" i="34"/>
  <c r="B2125" i="34"/>
  <c r="B2110" i="34"/>
  <c r="B2109" i="34"/>
  <c r="B2112" i="34"/>
  <c r="B2111" i="34"/>
  <c r="B2100" i="34"/>
  <c r="B2099" i="34"/>
  <c r="B2098" i="34"/>
  <c r="B2097" i="34"/>
  <c r="Z2099" i="34" l="1"/>
  <c r="W2099" i="34"/>
  <c r="A2099" i="34"/>
  <c r="Z2109" i="34"/>
  <c r="W2109" i="34"/>
  <c r="A2109" i="34"/>
  <c r="Z2247" i="34"/>
  <c r="W2247" i="34"/>
  <c r="A2247" i="34"/>
  <c r="Z2245" i="34"/>
  <c r="W2245" i="34"/>
  <c r="A2245" i="34"/>
  <c r="Z2035" i="34"/>
  <c r="W2035" i="34"/>
  <c r="A2035" i="34"/>
  <c r="Z2055" i="34"/>
  <c r="W2055" i="34"/>
  <c r="A2055" i="34"/>
  <c r="W2060" i="34"/>
  <c r="Z2060" i="34"/>
  <c r="A2060" i="34"/>
  <c r="W2100" i="34"/>
  <c r="Z2100" i="34"/>
  <c r="A2100" i="34"/>
  <c r="W2110" i="34"/>
  <c r="Z2110" i="34"/>
  <c r="A2110" i="34"/>
  <c r="Z2248" i="34"/>
  <c r="W2248" i="34"/>
  <c r="A2248" i="34"/>
  <c r="Z2025" i="34"/>
  <c r="W2025" i="34"/>
  <c r="A2025" i="34"/>
  <c r="Z2246" i="34"/>
  <c r="W2246" i="34"/>
  <c r="A2246" i="34"/>
  <c r="Z2047" i="34"/>
  <c r="W2047" i="34"/>
  <c r="A2047" i="34"/>
  <c r="W2056" i="34"/>
  <c r="Z2056" i="34"/>
  <c r="A2056" i="34"/>
  <c r="W2062" i="34"/>
  <c r="Z2062" i="34"/>
  <c r="A2062" i="34"/>
  <c r="Z2097" i="34"/>
  <c r="W2097" i="34"/>
  <c r="A2097" i="34"/>
  <c r="Z2111" i="34"/>
  <c r="W2111" i="34"/>
  <c r="A2111" i="34"/>
  <c r="Z2125" i="34"/>
  <c r="W2125" i="34"/>
  <c r="A2125" i="34"/>
  <c r="Z2243" i="34"/>
  <c r="W2243" i="34"/>
  <c r="A2243" i="34"/>
  <c r="W2026" i="34"/>
  <c r="Z2026" i="34"/>
  <c r="A2026" i="34"/>
  <c r="Z2241" i="34"/>
  <c r="W2241" i="34"/>
  <c r="A2241" i="34"/>
  <c r="W2048" i="34"/>
  <c r="Z2048" i="34"/>
  <c r="A2048" i="34"/>
  <c r="Z2057" i="34"/>
  <c r="W2057" i="34"/>
  <c r="A2057" i="34"/>
  <c r="W2098" i="34"/>
  <c r="Z2098" i="34"/>
  <c r="A2098" i="34"/>
  <c r="Z2112" i="34"/>
  <c r="W2112" i="34"/>
  <c r="A2112" i="34"/>
  <c r="Z2242" i="34"/>
  <c r="W2242" i="34"/>
  <c r="A2242" i="34"/>
  <c r="Z2244" i="34"/>
  <c r="W2244" i="34"/>
  <c r="A2244" i="34"/>
  <c r="W2024" i="34"/>
  <c r="Z2024" i="34"/>
  <c r="A2024" i="34"/>
  <c r="Z2049" i="34"/>
  <c r="W2049" i="34"/>
  <c r="A2049" i="34"/>
  <c r="W2058" i="34"/>
  <c r="Z2058" i="34"/>
  <c r="A2058" i="34"/>
  <c r="W100" i="34"/>
  <c r="Z100" i="34"/>
  <c r="A100" i="34"/>
  <c r="Z139" i="34"/>
  <c r="W139" i="34"/>
  <c r="A139" i="34"/>
  <c r="Z145" i="34"/>
  <c r="W145" i="34"/>
  <c r="A145" i="34"/>
  <c r="Z192" i="34"/>
  <c r="W192" i="34"/>
  <c r="A192" i="34"/>
  <c r="Z263" i="34"/>
  <c r="W263" i="34"/>
  <c r="A263" i="34"/>
  <c r="Z1586" i="34"/>
  <c r="W1586" i="34"/>
  <c r="A1586" i="34"/>
  <c r="Z825" i="34"/>
  <c r="W825" i="34"/>
  <c r="A825" i="34"/>
  <c r="Z838" i="34"/>
  <c r="W838" i="34"/>
  <c r="A838" i="34"/>
  <c r="Z1538" i="34"/>
  <c r="W1538" i="34"/>
  <c r="A1538" i="34"/>
  <c r="Z897" i="34"/>
  <c r="W897" i="34"/>
  <c r="A897" i="34"/>
  <c r="Z932" i="34"/>
  <c r="W932" i="34"/>
  <c r="A932" i="34"/>
  <c r="Z965" i="34"/>
  <c r="W965" i="34"/>
  <c r="A965" i="34"/>
  <c r="Z1030" i="34"/>
  <c r="W1030" i="34"/>
  <c r="A1030" i="34"/>
  <c r="Z1176" i="34"/>
  <c r="W1176" i="34"/>
  <c r="A1176" i="34"/>
  <c r="Z1554" i="34"/>
  <c r="W1554" i="34"/>
  <c r="A1554" i="34"/>
  <c r="Z1561" i="34"/>
  <c r="W1561" i="34"/>
  <c r="A1561" i="34"/>
  <c r="Z1597" i="34"/>
  <c r="W1597" i="34"/>
  <c r="A1597" i="34"/>
  <c r="Z1650" i="34"/>
  <c r="W1650" i="34"/>
  <c r="A1650" i="34"/>
  <c r="W1756" i="34"/>
  <c r="Z1756" i="34"/>
  <c r="A1756" i="34"/>
  <c r="Z575" i="34"/>
  <c r="W575" i="34"/>
  <c r="A575" i="34"/>
  <c r="Z53" i="34"/>
  <c r="W53" i="34"/>
  <c r="A53" i="34"/>
  <c r="W57" i="34"/>
  <c r="Z57" i="34"/>
  <c r="A57" i="34"/>
  <c r="W61" i="34"/>
  <c r="Z61" i="34"/>
  <c r="A61" i="34"/>
  <c r="W66" i="34"/>
  <c r="Z66" i="34"/>
  <c r="A66" i="34"/>
  <c r="Z71" i="34"/>
  <c r="W71" i="34"/>
  <c r="A71" i="34"/>
  <c r="W76" i="34"/>
  <c r="Z76" i="34"/>
  <c r="A76" i="34"/>
  <c r="Z87" i="34"/>
  <c r="W87" i="34"/>
  <c r="A87" i="34"/>
  <c r="W92" i="34"/>
  <c r="Z92" i="34"/>
  <c r="A92" i="34"/>
  <c r="W96" i="34"/>
  <c r="Z96" i="34"/>
  <c r="A96" i="34"/>
  <c r="Z133" i="34"/>
  <c r="W133" i="34"/>
  <c r="A133" i="34"/>
  <c r="W749" i="34"/>
  <c r="Z749" i="34"/>
  <c r="A749" i="34"/>
  <c r="Z754" i="34"/>
  <c r="W754" i="34"/>
  <c r="A754" i="34"/>
  <c r="W761" i="34"/>
  <c r="Z761" i="34"/>
  <c r="A761" i="34"/>
  <c r="W776" i="34"/>
  <c r="Z776" i="34"/>
  <c r="A776" i="34"/>
  <c r="Z428" i="34"/>
  <c r="W428" i="34"/>
  <c r="A428" i="34"/>
  <c r="W471" i="34"/>
  <c r="Z471" i="34"/>
  <c r="A471" i="34"/>
  <c r="Z487" i="34"/>
  <c r="W487" i="34"/>
  <c r="A487" i="34"/>
  <c r="Z505" i="34"/>
  <c r="W505" i="34"/>
  <c r="A505" i="34"/>
  <c r="Z159" i="34"/>
  <c r="W159" i="34"/>
  <c r="A159" i="34"/>
  <c r="W217" i="34"/>
  <c r="Z217" i="34"/>
  <c r="A217" i="34"/>
  <c r="Z529" i="34"/>
  <c r="W529" i="34"/>
  <c r="A529" i="34"/>
  <c r="W46" i="34"/>
  <c r="Z46" i="34"/>
  <c r="A46" i="34"/>
  <c r="W783" i="34"/>
  <c r="Z783" i="34"/>
  <c r="A783" i="34"/>
  <c r="W787" i="34"/>
  <c r="Z787" i="34"/>
  <c r="A787" i="34"/>
  <c r="Z806" i="34"/>
  <c r="W806" i="34"/>
  <c r="A806" i="34"/>
  <c r="W737" i="34"/>
  <c r="Z737" i="34"/>
  <c r="A737" i="34"/>
  <c r="Z720" i="34"/>
  <c r="W720" i="34"/>
  <c r="A720" i="34"/>
  <c r="W769" i="34"/>
  <c r="Z769" i="34"/>
  <c r="A769" i="34"/>
  <c r="Z875" i="34"/>
  <c r="W875" i="34"/>
  <c r="A875" i="34"/>
  <c r="W789" i="34"/>
  <c r="Z789" i="34"/>
  <c r="A789" i="34"/>
  <c r="Z907" i="34"/>
  <c r="W907" i="34"/>
  <c r="A907" i="34"/>
  <c r="W961" i="34"/>
  <c r="Z961" i="34"/>
  <c r="A961" i="34"/>
  <c r="Z343" i="34"/>
  <c r="W343" i="34"/>
  <c r="A343" i="34"/>
  <c r="W421" i="34"/>
  <c r="Z421" i="34"/>
  <c r="A421" i="34"/>
  <c r="W97" i="34"/>
  <c r="Z97" i="34"/>
  <c r="A97" i="34"/>
  <c r="W101" i="34"/>
  <c r="Z101" i="34"/>
  <c r="A101" i="34"/>
  <c r="Z105" i="34"/>
  <c r="W105" i="34"/>
  <c r="A105" i="34"/>
  <c r="W142" i="34"/>
  <c r="Z142" i="34"/>
  <c r="A142" i="34"/>
  <c r="W146" i="34"/>
  <c r="Z146" i="34"/>
  <c r="A146" i="34"/>
  <c r="Z189" i="34"/>
  <c r="W189" i="34"/>
  <c r="A189" i="34"/>
  <c r="Z193" i="34"/>
  <c r="W193" i="34"/>
  <c r="A193" i="34"/>
  <c r="W231" i="34"/>
  <c r="Z231" i="34"/>
  <c r="A231" i="34"/>
  <c r="W235" i="34"/>
  <c r="Z235" i="34"/>
  <c r="A235" i="34"/>
  <c r="Z264" i="34"/>
  <c r="W264" i="34"/>
  <c r="A264" i="34"/>
  <c r="Z273" i="34"/>
  <c r="W273" i="34"/>
  <c r="A273" i="34"/>
  <c r="Z294" i="34"/>
  <c r="W294" i="34"/>
  <c r="A294" i="34"/>
  <c r="W315" i="34"/>
  <c r="Z315" i="34"/>
  <c r="A315" i="34"/>
  <c r="Z339" i="34"/>
  <c r="W339" i="34"/>
  <c r="A339" i="34"/>
  <c r="Z346" i="34"/>
  <c r="W346" i="34"/>
  <c r="A346" i="34"/>
  <c r="Z350" i="34"/>
  <c r="W350" i="34"/>
  <c r="A350" i="34"/>
  <c r="W368" i="34"/>
  <c r="Z368" i="34"/>
  <c r="A368" i="34"/>
  <c r="W372" i="34"/>
  <c r="Z372" i="34"/>
  <c r="A372" i="34"/>
  <c r="W182" i="34"/>
  <c r="Z182" i="34"/>
  <c r="A182" i="34"/>
  <c r="Z246" i="34"/>
  <c r="W246" i="34"/>
  <c r="A246" i="34"/>
  <c r="W302" i="34"/>
  <c r="Z302" i="34"/>
  <c r="A302" i="34"/>
  <c r="W306" i="34"/>
  <c r="Z306" i="34"/>
  <c r="A306" i="34"/>
  <c r="Z590" i="34"/>
  <c r="W590" i="34"/>
  <c r="A590" i="34"/>
  <c r="W631" i="34"/>
  <c r="Z631" i="34"/>
  <c r="A631" i="34"/>
  <c r="W633" i="34"/>
  <c r="Z633" i="34"/>
  <c r="A633" i="34"/>
  <c r="Z662" i="34"/>
  <c r="W662" i="34"/>
  <c r="A662" i="34"/>
  <c r="Z690" i="34"/>
  <c r="W690" i="34"/>
  <c r="A690" i="34"/>
  <c r="Z820" i="34"/>
  <c r="W820" i="34"/>
  <c r="A820" i="34"/>
  <c r="Z832" i="34"/>
  <c r="W832" i="34"/>
  <c r="A832" i="34"/>
  <c r="Z841" i="34"/>
  <c r="W841" i="34"/>
  <c r="A841" i="34"/>
  <c r="Z853" i="34"/>
  <c r="W853" i="34"/>
  <c r="A853" i="34"/>
  <c r="Z890" i="34"/>
  <c r="W890" i="34"/>
  <c r="A890" i="34"/>
  <c r="Z896" i="34"/>
  <c r="W896" i="34"/>
  <c r="A896" i="34"/>
  <c r="Z968" i="34"/>
  <c r="W968" i="34"/>
  <c r="A968" i="34"/>
  <c r="Z1175" i="34"/>
  <c r="W1175" i="34"/>
  <c r="A1175" i="34"/>
  <c r="Z1577" i="34"/>
  <c r="W1577" i="34"/>
  <c r="A1577" i="34"/>
  <c r="Z1776" i="34"/>
  <c r="W1776" i="34"/>
  <c r="A1776" i="34"/>
  <c r="Z51" i="34"/>
  <c r="W51" i="34"/>
  <c r="A51" i="34"/>
  <c r="Z65" i="34"/>
  <c r="W65" i="34"/>
  <c r="A65" i="34"/>
  <c r="W86" i="34"/>
  <c r="Z86" i="34"/>
  <c r="A86" i="34"/>
  <c r="W427" i="34"/>
  <c r="Z427" i="34"/>
  <c r="A427" i="34"/>
  <c r="Z891" i="34"/>
  <c r="W891" i="34"/>
  <c r="A891" i="34"/>
  <c r="Z1651" i="34"/>
  <c r="W1651" i="34"/>
  <c r="A1651" i="34"/>
  <c r="Z818" i="34"/>
  <c r="W818" i="34"/>
  <c r="A818" i="34"/>
  <c r="Z822" i="34"/>
  <c r="W822" i="34"/>
  <c r="A822" i="34"/>
  <c r="Z826" i="34"/>
  <c r="W826" i="34"/>
  <c r="A826" i="34"/>
  <c r="Z830" i="34"/>
  <c r="W830" i="34"/>
  <c r="A830" i="34"/>
  <c r="Z836" i="34"/>
  <c r="W836" i="34"/>
  <c r="A836" i="34"/>
  <c r="Z839" i="34"/>
  <c r="W839" i="34"/>
  <c r="A839" i="34"/>
  <c r="Z843" i="34"/>
  <c r="W843" i="34"/>
  <c r="A843" i="34"/>
  <c r="Z847" i="34"/>
  <c r="W847" i="34"/>
  <c r="A847" i="34"/>
  <c r="Z851" i="34"/>
  <c r="W851" i="34"/>
  <c r="A851" i="34"/>
  <c r="Z855" i="34"/>
  <c r="W855" i="34"/>
  <c r="A855" i="34"/>
  <c r="Z863" i="34"/>
  <c r="W863" i="34"/>
  <c r="A863" i="34"/>
  <c r="Z867" i="34"/>
  <c r="W867" i="34"/>
  <c r="A867" i="34"/>
  <c r="Z892" i="34"/>
  <c r="W892" i="34"/>
  <c r="A892" i="34"/>
  <c r="Z929" i="34"/>
  <c r="W929" i="34"/>
  <c r="A929" i="34"/>
  <c r="Z933" i="34"/>
  <c r="W933" i="34"/>
  <c r="A933" i="34"/>
  <c r="W966" i="34"/>
  <c r="Z966" i="34"/>
  <c r="A966" i="34"/>
  <c r="Z1094" i="34"/>
  <c r="W1094" i="34"/>
  <c r="A1094" i="34"/>
  <c r="Z1174" i="34"/>
  <c r="W1174" i="34"/>
  <c r="A1174" i="34"/>
  <c r="Z1558" i="34"/>
  <c r="W1558" i="34"/>
  <c r="A1558" i="34"/>
  <c r="Z1562" i="34"/>
  <c r="W1562" i="34"/>
  <c r="A1562" i="34"/>
  <c r="Z1605" i="34"/>
  <c r="W1605" i="34"/>
  <c r="A1605" i="34"/>
  <c r="Z1648" i="34"/>
  <c r="W1648" i="34"/>
  <c r="A1648" i="34"/>
  <c r="W1757" i="34"/>
  <c r="Z1757" i="34"/>
  <c r="A1757" i="34"/>
  <c r="W22" i="34"/>
  <c r="Z22" i="34"/>
  <c r="A22" i="34"/>
  <c r="W54" i="34"/>
  <c r="Z54" i="34"/>
  <c r="A54" i="34"/>
  <c r="W58" i="34"/>
  <c r="Z58" i="34"/>
  <c r="A58" i="34"/>
  <c r="W62" i="34"/>
  <c r="Z62" i="34"/>
  <c r="A62" i="34"/>
  <c r="Z67" i="34"/>
  <c r="W67" i="34"/>
  <c r="A67" i="34"/>
  <c r="W72" i="34"/>
  <c r="Z72" i="34"/>
  <c r="A72" i="34"/>
  <c r="W82" i="34"/>
  <c r="Z82" i="34"/>
  <c r="A82" i="34"/>
  <c r="W88" i="34"/>
  <c r="Z88" i="34"/>
  <c r="A88" i="34"/>
  <c r="Z93" i="34"/>
  <c r="W93" i="34"/>
  <c r="A93" i="34"/>
  <c r="Z121" i="34"/>
  <c r="W121" i="34"/>
  <c r="A121" i="34"/>
  <c r="W134" i="34"/>
  <c r="Z134" i="34"/>
  <c r="A134" i="34"/>
  <c r="Z750" i="34"/>
  <c r="W750" i="34"/>
  <c r="A750" i="34"/>
  <c r="W755" i="34"/>
  <c r="Z755" i="34"/>
  <c r="A755" i="34"/>
  <c r="W763" i="34"/>
  <c r="Z763" i="34"/>
  <c r="A763" i="34"/>
  <c r="W777" i="34"/>
  <c r="Z777" i="34"/>
  <c r="A777" i="34"/>
  <c r="W429" i="34"/>
  <c r="Z429" i="34"/>
  <c r="A429" i="34"/>
  <c r="Z478" i="34"/>
  <c r="W478" i="34"/>
  <c r="A478" i="34"/>
  <c r="Z501" i="34"/>
  <c r="W501" i="34"/>
  <c r="A501" i="34"/>
  <c r="Z508" i="34"/>
  <c r="W508" i="34"/>
  <c r="A508" i="34"/>
  <c r="W160" i="34"/>
  <c r="Z160" i="34"/>
  <c r="A160" i="34"/>
  <c r="Z249" i="34"/>
  <c r="W249" i="34"/>
  <c r="A249" i="34"/>
  <c r="Z538" i="34"/>
  <c r="W538" i="34"/>
  <c r="A538" i="34"/>
  <c r="Z47" i="34"/>
  <c r="W47" i="34"/>
  <c r="A47" i="34"/>
  <c r="W784" i="34"/>
  <c r="Z784" i="34"/>
  <c r="A784" i="34"/>
  <c r="W803" i="34"/>
  <c r="Z803" i="34"/>
  <c r="A803" i="34"/>
  <c r="Z807" i="34"/>
  <c r="W807" i="34"/>
  <c r="A807" i="34"/>
  <c r="W717" i="34"/>
  <c r="Z717" i="34"/>
  <c r="A717" i="34"/>
  <c r="W721" i="34"/>
  <c r="Z721" i="34"/>
  <c r="A721" i="34"/>
  <c r="W770" i="34"/>
  <c r="Z770" i="34"/>
  <c r="A770" i="34"/>
  <c r="Z876" i="34"/>
  <c r="W876" i="34"/>
  <c r="A876" i="34"/>
  <c r="W790" i="34"/>
  <c r="Z790" i="34"/>
  <c r="A790" i="34"/>
  <c r="Z914" i="34"/>
  <c r="W914" i="34"/>
  <c r="A914" i="34"/>
  <c r="Z977" i="34"/>
  <c r="W977" i="34"/>
  <c r="A977" i="34"/>
  <c r="Z344" i="34"/>
  <c r="W344" i="34"/>
  <c r="A344" i="34"/>
  <c r="Z442" i="34"/>
  <c r="W442" i="34"/>
  <c r="A442" i="34"/>
  <c r="W98" i="34"/>
  <c r="Z98" i="34"/>
  <c r="A98" i="34"/>
  <c r="W102" i="34"/>
  <c r="Z102" i="34"/>
  <c r="A102" i="34"/>
  <c r="Z137" i="34"/>
  <c r="W137" i="34"/>
  <c r="A137" i="34"/>
  <c r="Z143" i="34"/>
  <c r="W143" i="34"/>
  <c r="A143" i="34"/>
  <c r="Z147" i="34"/>
  <c r="W147" i="34"/>
  <c r="A147" i="34"/>
  <c r="Z190" i="34"/>
  <c r="W190" i="34"/>
  <c r="A190" i="34"/>
  <c r="Z194" i="34"/>
  <c r="W194" i="34"/>
  <c r="A194" i="34"/>
  <c r="Z232" i="34"/>
  <c r="W232" i="34"/>
  <c r="A232" i="34"/>
  <c r="Z236" i="34"/>
  <c r="W236" i="34"/>
  <c r="A236" i="34"/>
  <c r="Z265" i="34"/>
  <c r="W265" i="34"/>
  <c r="A265" i="34"/>
  <c r="Z274" i="34"/>
  <c r="W274" i="34"/>
  <c r="A274" i="34"/>
  <c r="Z295" i="34"/>
  <c r="W295" i="34"/>
  <c r="A295" i="34"/>
  <c r="W316" i="34"/>
  <c r="Z316" i="34"/>
  <c r="A316" i="34"/>
  <c r="Z340" i="34"/>
  <c r="W340" i="34"/>
  <c r="A340" i="34"/>
  <c r="Z347" i="34"/>
  <c r="W347" i="34"/>
  <c r="A347" i="34"/>
  <c r="W365" i="34"/>
  <c r="Z365" i="34"/>
  <c r="A365" i="34"/>
  <c r="W369" i="34"/>
  <c r="Z369" i="34"/>
  <c r="A369" i="34"/>
  <c r="Z400" i="34"/>
  <c r="W400" i="34"/>
  <c r="A400" i="34"/>
  <c r="Z183" i="34"/>
  <c r="W183" i="34"/>
  <c r="A183" i="34"/>
  <c r="Z248" i="34"/>
  <c r="W248" i="34"/>
  <c r="A248" i="34"/>
  <c r="W303" i="34"/>
  <c r="Z303" i="34"/>
  <c r="A303" i="34"/>
  <c r="W320" i="34"/>
  <c r="Z320" i="34"/>
  <c r="A320" i="34"/>
  <c r="Z591" i="34"/>
  <c r="W591" i="34"/>
  <c r="A591" i="34"/>
  <c r="Z654" i="34"/>
  <c r="W654" i="34"/>
  <c r="A654" i="34"/>
  <c r="W634" i="34"/>
  <c r="Z634" i="34"/>
  <c r="A634" i="34"/>
  <c r="W663" i="34"/>
  <c r="Z663" i="34"/>
  <c r="A663" i="34"/>
  <c r="W731" i="34"/>
  <c r="Z731" i="34"/>
  <c r="A731" i="34"/>
  <c r="Z816" i="34"/>
  <c r="W816" i="34"/>
  <c r="A816" i="34"/>
  <c r="Z824" i="34"/>
  <c r="W824" i="34"/>
  <c r="A824" i="34"/>
  <c r="Z834" i="34"/>
  <c r="W834" i="34"/>
  <c r="A834" i="34"/>
  <c r="Z849" i="34"/>
  <c r="W849" i="34"/>
  <c r="A849" i="34"/>
  <c r="Z861" i="34"/>
  <c r="W861" i="34"/>
  <c r="A861" i="34"/>
  <c r="Z1556" i="34"/>
  <c r="W1556" i="34"/>
  <c r="A1556" i="34"/>
  <c r="Z935" i="34"/>
  <c r="W935" i="34"/>
  <c r="A935" i="34"/>
  <c r="Z1553" i="34"/>
  <c r="W1553" i="34"/>
  <c r="A1553" i="34"/>
  <c r="Z1611" i="34"/>
  <c r="W1611" i="34"/>
  <c r="A1611" i="34"/>
  <c r="Z424" i="34"/>
  <c r="W424" i="34"/>
  <c r="A424" i="34"/>
  <c r="W56" i="34"/>
  <c r="Z56" i="34"/>
  <c r="A56" i="34"/>
  <c r="W70" i="34"/>
  <c r="Z70" i="34"/>
  <c r="A70" i="34"/>
  <c r="W90" i="34"/>
  <c r="Z90" i="34"/>
  <c r="A90" i="34"/>
  <c r="Z123" i="34"/>
  <c r="W123" i="34"/>
  <c r="A123" i="34"/>
  <c r="Z752" i="34"/>
  <c r="W752" i="34"/>
  <c r="A752" i="34"/>
  <c r="W765" i="34"/>
  <c r="Z765" i="34"/>
  <c r="A765" i="34"/>
  <c r="Z470" i="34"/>
  <c r="W470" i="34"/>
  <c r="A470" i="34"/>
  <c r="Z504" i="34"/>
  <c r="W504" i="34"/>
  <c r="A504" i="34"/>
  <c r="Z574" i="34"/>
  <c r="W574" i="34"/>
  <c r="A574" i="34"/>
  <c r="Z216" i="34"/>
  <c r="W216" i="34"/>
  <c r="A216" i="34"/>
  <c r="Z251" i="34"/>
  <c r="W251" i="34"/>
  <c r="A251" i="34"/>
  <c r="Z45" i="34"/>
  <c r="W45" i="34"/>
  <c r="A45" i="34"/>
  <c r="Z49" i="34"/>
  <c r="W49" i="34"/>
  <c r="A49" i="34"/>
  <c r="Z805" i="34"/>
  <c r="W805" i="34"/>
  <c r="A805" i="34"/>
  <c r="Z736" i="34"/>
  <c r="W736" i="34"/>
  <c r="A736" i="34"/>
  <c r="W719" i="34"/>
  <c r="Z719" i="34"/>
  <c r="A719" i="34"/>
  <c r="W747" i="34"/>
  <c r="Z747" i="34"/>
  <c r="A747" i="34"/>
  <c r="Z856" i="34"/>
  <c r="W856" i="34"/>
  <c r="A856" i="34"/>
  <c r="W773" i="34"/>
  <c r="Z773" i="34"/>
  <c r="A773" i="34"/>
  <c r="Z902" i="34"/>
  <c r="W902" i="34"/>
  <c r="A902" i="34"/>
  <c r="W948" i="34"/>
  <c r="Z948" i="34"/>
  <c r="A948" i="34"/>
  <c r="Z979" i="34"/>
  <c r="W979" i="34"/>
  <c r="A979" i="34"/>
  <c r="Z360" i="34"/>
  <c r="W360" i="34"/>
  <c r="A360" i="34"/>
  <c r="Z462" i="34"/>
  <c r="W462" i="34"/>
  <c r="A462" i="34"/>
  <c r="W104" i="34"/>
  <c r="Z104" i="34"/>
  <c r="A104" i="34"/>
  <c r="Z188" i="34"/>
  <c r="W188" i="34"/>
  <c r="A188" i="34"/>
  <c r="Z230" i="34"/>
  <c r="W230" i="34"/>
  <c r="A230" i="34"/>
  <c r="Z234" i="34"/>
  <c r="W234" i="34"/>
  <c r="A234" i="34"/>
  <c r="Z267" i="34"/>
  <c r="W267" i="34"/>
  <c r="A267" i="34"/>
  <c r="Z817" i="34"/>
  <c r="W817" i="34"/>
  <c r="A817" i="34"/>
  <c r="Z821" i="34"/>
  <c r="W821" i="34"/>
  <c r="A821" i="34"/>
  <c r="Z829" i="34"/>
  <c r="W829" i="34"/>
  <c r="A829" i="34"/>
  <c r="Z835" i="34"/>
  <c r="W835" i="34"/>
  <c r="A835" i="34"/>
  <c r="Z842" i="34"/>
  <c r="W842" i="34"/>
  <c r="A842" i="34"/>
  <c r="Z846" i="34"/>
  <c r="W846" i="34"/>
  <c r="A846" i="34"/>
  <c r="Z850" i="34"/>
  <c r="W850" i="34"/>
  <c r="A850" i="34"/>
  <c r="Z854" i="34"/>
  <c r="W854" i="34"/>
  <c r="A854" i="34"/>
  <c r="Z862" i="34"/>
  <c r="W862" i="34"/>
  <c r="A862" i="34"/>
  <c r="Z866" i="34"/>
  <c r="W866" i="34"/>
  <c r="A866" i="34"/>
  <c r="Z815" i="34"/>
  <c r="W815" i="34"/>
  <c r="A815" i="34"/>
  <c r="Z819" i="34"/>
  <c r="W819" i="34"/>
  <c r="A819" i="34"/>
  <c r="Z823" i="34"/>
  <c r="W823" i="34"/>
  <c r="A823" i="34"/>
  <c r="Z827" i="34"/>
  <c r="W827" i="34"/>
  <c r="A827" i="34"/>
  <c r="Z831" i="34"/>
  <c r="W831" i="34"/>
  <c r="A831" i="34"/>
  <c r="Z833" i="34"/>
  <c r="W833" i="34"/>
  <c r="A833" i="34"/>
  <c r="Z840" i="34"/>
  <c r="W840" i="34"/>
  <c r="A840" i="34"/>
  <c r="Z844" i="34"/>
  <c r="W844" i="34"/>
  <c r="A844" i="34"/>
  <c r="Z848" i="34"/>
  <c r="W848" i="34"/>
  <c r="A848" i="34"/>
  <c r="Z852" i="34"/>
  <c r="W852" i="34"/>
  <c r="A852" i="34"/>
  <c r="Z860" i="34"/>
  <c r="W860" i="34"/>
  <c r="A860" i="34"/>
  <c r="Z864" i="34"/>
  <c r="W864" i="34"/>
  <c r="A864" i="34"/>
  <c r="Z868" i="34"/>
  <c r="W868" i="34"/>
  <c r="A868" i="34"/>
  <c r="Z1555" i="34"/>
  <c r="W1555" i="34"/>
  <c r="A1555" i="34"/>
  <c r="Z930" i="34"/>
  <c r="W930" i="34"/>
  <c r="A930" i="34"/>
  <c r="W934" i="34"/>
  <c r="Z934" i="34"/>
  <c r="A934" i="34"/>
  <c r="Z967" i="34"/>
  <c r="W967" i="34"/>
  <c r="A967" i="34"/>
  <c r="Z1099" i="34"/>
  <c r="W1099" i="34"/>
  <c r="A1099" i="34"/>
  <c r="Z1498" i="34"/>
  <c r="W1498" i="34"/>
  <c r="A1498" i="34"/>
  <c r="Z1559" i="34"/>
  <c r="W1559" i="34"/>
  <c r="A1559" i="34"/>
  <c r="Z1576" i="34"/>
  <c r="W1576" i="34"/>
  <c r="A1576" i="34"/>
  <c r="Z1606" i="34"/>
  <c r="W1606" i="34"/>
  <c r="A1606" i="34"/>
  <c r="Z1649" i="34"/>
  <c r="W1649" i="34"/>
  <c r="A1649" i="34"/>
  <c r="W1758" i="34"/>
  <c r="Z1758" i="34"/>
  <c r="A1758" i="34"/>
  <c r="Z404" i="34"/>
  <c r="W404" i="34"/>
  <c r="A404" i="34"/>
  <c r="W50" i="34"/>
  <c r="Z50" i="34"/>
  <c r="A50" i="34"/>
  <c r="W55" i="34"/>
  <c r="Z55" i="34"/>
  <c r="A55" i="34"/>
  <c r="W59" i="34"/>
  <c r="Z59" i="34"/>
  <c r="A59" i="34"/>
  <c r="Z63" i="34"/>
  <c r="W63" i="34"/>
  <c r="A63" i="34"/>
  <c r="W68" i="34"/>
  <c r="Z68" i="34"/>
  <c r="A68" i="34"/>
  <c r="Z73" i="34"/>
  <c r="W73" i="34"/>
  <c r="A73" i="34"/>
  <c r="Z83" i="34"/>
  <c r="W83" i="34"/>
  <c r="A83" i="34"/>
  <c r="Z89" i="34"/>
  <c r="W89" i="34"/>
  <c r="A89" i="34"/>
  <c r="W94" i="34"/>
  <c r="Z94" i="34"/>
  <c r="A94" i="34"/>
  <c r="W122" i="34"/>
  <c r="Z122" i="34"/>
  <c r="A122" i="34"/>
  <c r="Z744" i="34"/>
  <c r="W744" i="34"/>
  <c r="A744" i="34"/>
  <c r="W751" i="34"/>
  <c r="Z751" i="34"/>
  <c r="A751" i="34"/>
  <c r="Z756" i="34"/>
  <c r="W756" i="34"/>
  <c r="A756" i="34"/>
  <c r="W764" i="34"/>
  <c r="Z764" i="34"/>
  <c r="A764" i="34"/>
  <c r="Z426" i="34"/>
  <c r="W426" i="34"/>
  <c r="A426" i="34"/>
  <c r="Z430" i="34"/>
  <c r="W430" i="34"/>
  <c r="A430" i="34"/>
  <c r="Z479" i="34"/>
  <c r="W479" i="34"/>
  <c r="A479" i="34"/>
  <c r="Z502" i="34"/>
  <c r="W502" i="34"/>
  <c r="A502" i="34"/>
  <c r="Z509" i="34"/>
  <c r="W509" i="34"/>
  <c r="A509" i="34"/>
  <c r="W215" i="34"/>
  <c r="Z215" i="34"/>
  <c r="A215" i="34"/>
  <c r="Z250" i="34"/>
  <c r="W250" i="34"/>
  <c r="A250" i="34"/>
  <c r="W44" i="34"/>
  <c r="Z44" i="34"/>
  <c r="A44" i="34"/>
  <c r="W48" i="34"/>
  <c r="Z48" i="34"/>
  <c r="A48" i="34"/>
  <c r="W785" i="34"/>
  <c r="Z785" i="34"/>
  <c r="A785" i="34"/>
  <c r="Z804" i="34"/>
  <c r="W804" i="34"/>
  <c r="A804" i="34"/>
  <c r="Z732" i="34"/>
  <c r="W732" i="34"/>
  <c r="A732" i="34"/>
  <c r="Z718" i="34"/>
  <c r="W718" i="34"/>
  <c r="A718" i="34"/>
  <c r="Z746" i="34"/>
  <c r="W746" i="34"/>
  <c r="A746" i="34"/>
  <c r="Z810" i="34"/>
  <c r="W810" i="34"/>
  <c r="A810" i="34"/>
  <c r="W772" i="34"/>
  <c r="Z772" i="34"/>
  <c r="A772" i="34"/>
  <c r="W791" i="34"/>
  <c r="Z791" i="34"/>
  <c r="A791" i="34"/>
  <c r="Z915" i="34"/>
  <c r="W915" i="34"/>
  <c r="A915" i="34"/>
  <c r="Z978" i="34"/>
  <c r="W978" i="34"/>
  <c r="A978" i="34"/>
  <c r="Z359" i="34"/>
  <c r="W359" i="34"/>
  <c r="A359" i="34"/>
  <c r="W461" i="34"/>
  <c r="Z461" i="34"/>
  <c r="A461" i="34"/>
  <c r="W99" i="34"/>
  <c r="Z99" i="34"/>
  <c r="A99" i="34"/>
  <c r="Z103" i="34"/>
  <c r="W103" i="34"/>
  <c r="A103" i="34"/>
  <c r="W138" i="34"/>
  <c r="Z138" i="34"/>
  <c r="A138" i="34"/>
  <c r="W144" i="34"/>
  <c r="Z144" i="34"/>
  <c r="A144" i="34"/>
  <c r="Z187" i="34"/>
  <c r="W187" i="34"/>
  <c r="A187" i="34"/>
  <c r="Z191" i="34"/>
  <c r="W191" i="34"/>
  <c r="A191" i="34"/>
  <c r="W229" i="34"/>
  <c r="Z229" i="34"/>
  <c r="A229" i="34"/>
  <c r="W233" i="34"/>
  <c r="Z233" i="34"/>
  <c r="A233" i="34"/>
  <c r="W237" i="34"/>
  <c r="Z237" i="34"/>
  <c r="A237" i="34"/>
  <c r="Z266" i="34"/>
  <c r="W266" i="34"/>
  <c r="A266" i="34"/>
  <c r="Z275" i="34"/>
  <c r="W275" i="34"/>
  <c r="A275" i="34"/>
  <c r="Z296" i="34"/>
  <c r="W296" i="34"/>
  <c r="A296" i="34"/>
  <c r="W317" i="34"/>
  <c r="Z317" i="34"/>
  <c r="A317" i="34"/>
  <c r="Z341" i="34"/>
  <c r="W341" i="34"/>
  <c r="A341" i="34"/>
  <c r="Z348" i="34"/>
  <c r="W348" i="34"/>
  <c r="A348" i="34"/>
  <c r="Z366" i="34"/>
  <c r="W366" i="34"/>
  <c r="A366" i="34"/>
  <c r="W370" i="34"/>
  <c r="Z370" i="34"/>
  <c r="A370" i="34"/>
  <c r="W401" i="34"/>
  <c r="Z401" i="34"/>
  <c r="A401" i="34"/>
  <c r="Z212" i="34"/>
  <c r="W212" i="34"/>
  <c r="A212" i="34"/>
  <c r="Z272" i="34"/>
  <c r="W272" i="34"/>
  <c r="A272" i="34"/>
  <c r="W304" i="34"/>
  <c r="Z304" i="34"/>
  <c r="A304" i="34"/>
  <c r="Z321" i="34"/>
  <c r="W321" i="34"/>
  <c r="A321" i="34"/>
  <c r="Z593" i="34"/>
  <c r="W593" i="34"/>
  <c r="A593" i="34"/>
  <c r="Z682" i="34"/>
  <c r="W682" i="34"/>
  <c r="A682" i="34"/>
  <c r="W635" i="34"/>
  <c r="Z635" i="34"/>
  <c r="A635" i="34"/>
  <c r="Z688" i="34"/>
  <c r="W688" i="34"/>
  <c r="A688" i="34"/>
  <c r="Z828" i="34"/>
  <c r="W828" i="34"/>
  <c r="A828" i="34"/>
  <c r="Z845" i="34"/>
  <c r="W845" i="34"/>
  <c r="A845" i="34"/>
  <c r="Z865" i="34"/>
  <c r="W865" i="34"/>
  <c r="A865" i="34"/>
  <c r="Z931" i="34"/>
  <c r="W931" i="34"/>
  <c r="A931" i="34"/>
  <c r="Z1560" i="34"/>
  <c r="W1560" i="34"/>
  <c r="A1560" i="34"/>
  <c r="W1755" i="34"/>
  <c r="Z1755" i="34"/>
  <c r="A1755" i="34"/>
  <c r="W60" i="34"/>
  <c r="Z60" i="34"/>
  <c r="A60" i="34"/>
  <c r="Z75" i="34"/>
  <c r="W75" i="34"/>
  <c r="A75" i="34"/>
  <c r="W95" i="34"/>
  <c r="Z95" i="34"/>
  <c r="A95" i="34"/>
  <c r="Z748" i="34"/>
  <c r="W748" i="34"/>
  <c r="A748" i="34"/>
  <c r="W760" i="34"/>
  <c r="Z760" i="34"/>
  <c r="A760" i="34"/>
  <c r="Z486" i="34"/>
  <c r="W486" i="34"/>
  <c r="A486" i="34"/>
  <c r="W786" i="34"/>
  <c r="Z786" i="34"/>
  <c r="A786" i="34"/>
  <c r="Z293" i="34"/>
  <c r="W293" i="34"/>
  <c r="A293" i="34"/>
  <c r="W314" i="34"/>
  <c r="Z314" i="34"/>
  <c r="A314" i="34"/>
  <c r="Z333" i="34"/>
  <c r="W333" i="34"/>
  <c r="A333" i="34"/>
  <c r="Z342" i="34"/>
  <c r="W342" i="34"/>
  <c r="A342" i="34"/>
  <c r="Z349" i="34"/>
  <c r="W349" i="34"/>
  <c r="A349" i="34"/>
  <c r="W367" i="34"/>
  <c r="Z367" i="34"/>
  <c r="A367" i="34"/>
  <c r="W371" i="34"/>
  <c r="Z371" i="34"/>
  <c r="A371" i="34"/>
  <c r="Z402" i="34"/>
  <c r="W402" i="34"/>
  <c r="A402" i="34"/>
  <c r="Z214" i="34"/>
  <c r="W214" i="34"/>
  <c r="A214" i="34"/>
  <c r="Z289" i="34"/>
  <c r="W289" i="34"/>
  <c r="A289" i="34"/>
  <c r="W305" i="34"/>
  <c r="Z305" i="34"/>
  <c r="A305" i="34"/>
  <c r="Z589" i="34"/>
  <c r="W589" i="34"/>
  <c r="A589" i="34"/>
  <c r="Z594" i="34"/>
  <c r="W594" i="34"/>
  <c r="A594" i="34"/>
  <c r="W693" i="34"/>
  <c r="Z693" i="34"/>
  <c r="A693" i="34"/>
  <c r="W636" i="34"/>
  <c r="Z636" i="34"/>
  <c r="A636" i="34"/>
  <c r="W689" i="34"/>
  <c r="Z689" i="34"/>
  <c r="A689" i="34"/>
  <c r="B244" i="34"/>
  <c r="B271" i="34"/>
  <c r="B565" i="34"/>
  <c r="B885" i="34"/>
  <c r="B108" i="34"/>
  <c r="Z565" i="34" l="1"/>
  <c r="W565" i="34"/>
  <c r="A565" i="34"/>
  <c r="Z271" i="34"/>
  <c r="W271" i="34"/>
  <c r="A271" i="34"/>
  <c r="Z885" i="34"/>
  <c r="W885" i="34"/>
  <c r="A885" i="34"/>
  <c r="W108" i="34"/>
  <c r="Z108" i="34"/>
  <c r="A108" i="34"/>
  <c r="W244" i="34"/>
  <c r="Z244" i="34"/>
  <c r="A244" i="34"/>
  <c r="B1777" i="34"/>
  <c r="B2126" i="34"/>
  <c r="B2113" i="34"/>
  <c r="B2050" i="34"/>
  <c r="B898" i="34"/>
  <c r="B2204" i="34"/>
  <c r="W2050" i="34" l="1"/>
  <c r="Z2050" i="34"/>
  <c r="A2050" i="34"/>
  <c r="Z2113" i="34"/>
  <c r="W2113" i="34"/>
  <c r="A2113" i="34"/>
  <c r="Z2204" i="34"/>
  <c r="W2204" i="34"/>
  <c r="A2204" i="34"/>
  <c r="Z2126" i="34"/>
  <c r="W2126" i="34"/>
  <c r="A2126" i="34"/>
  <c r="Z898" i="34"/>
  <c r="W898" i="34"/>
  <c r="A898" i="34"/>
  <c r="Z1777" i="34"/>
  <c r="W1777" i="34"/>
  <c r="A1777" i="34"/>
  <c r="I18" i="54"/>
  <c r="B459" i="34"/>
  <c r="W459" i="34" l="1"/>
  <c r="Z459" i="34"/>
  <c r="A459" i="34"/>
  <c r="N10" i="34"/>
  <c r="N11" i="34"/>
  <c r="B869" i="34" l="1"/>
  <c r="B874" i="34"/>
  <c r="B106" i="34"/>
  <c r="B107" i="34"/>
  <c r="Z107" i="34" l="1"/>
  <c r="W107" i="34"/>
  <c r="A107" i="34"/>
  <c r="W106" i="34"/>
  <c r="Z106" i="34"/>
  <c r="A106" i="34"/>
  <c r="Z874" i="34"/>
  <c r="W874" i="34"/>
  <c r="A874" i="34"/>
  <c r="Z869" i="34"/>
  <c r="W869" i="34"/>
  <c r="A869" i="34"/>
  <c r="B140" i="34"/>
  <c r="B126" i="34"/>
  <c r="W126" i="34" l="1"/>
  <c r="Z126" i="34"/>
  <c r="A126" i="34"/>
  <c r="W140" i="34"/>
  <c r="Z140" i="34"/>
  <c r="A140" i="34"/>
  <c r="B757" i="34"/>
  <c r="B141" i="34"/>
  <c r="B14" i="55"/>
  <c r="A14" i="55" s="1"/>
  <c r="D5" i="61"/>
  <c r="R7" i="60"/>
  <c r="R27" i="60" s="1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C12" i="61"/>
  <c r="H12" i="61"/>
  <c r="F12" i="61"/>
  <c r="D12" i="61"/>
  <c r="E12" i="61"/>
  <c r="G12" i="61"/>
  <c r="I12" i="61"/>
  <c r="Z141" i="34" l="1"/>
  <c r="W141" i="34"/>
  <c r="A141" i="34"/>
  <c r="W757" i="34"/>
  <c r="Z757" i="34"/>
  <c r="A757" i="34"/>
  <c r="R34" i="60"/>
  <c r="R40" i="60" s="1"/>
  <c r="R43" i="60" l="1"/>
  <c r="K6" i="60" s="1"/>
  <c r="T6" i="60" s="1"/>
  <c r="K52" i="60"/>
  <c r="T52" i="60" s="1"/>
  <c r="K15" i="60"/>
  <c r="T15" i="60" s="1"/>
  <c r="K10" i="60" l="1"/>
  <c r="T10" i="60" s="1"/>
  <c r="K53" i="60"/>
  <c r="T53" i="60" s="1"/>
  <c r="K50" i="60"/>
  <c r="T50" i="60" s="1"/>
  <c r="K28" i="60"/>
  <c r="T28" i="60" s="1"/>
  <c r="K25" i="60"/>
  <c r="T25" i="60" s="1"/>
  <c r="K35" i="60"/>
  <c r="T35" i="60" s="1"/>
  <c r="K34" i="60"/>
  <c r="T34" i="60" s="1"/>
  <c r="K54" i="60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0" i="34" l="1"/>
  <c r="T10" i="34"/>
  <c r="U10" i="34"/>
  <c r="Y10" i="34"/>
  <c r="S11" i="34"/>
  <c r="T11" i="34"/>
  <c r="U11" i="34"/>
  <c r="Y11" i="34"/>
  <c r="B156" i="34" l="1"/>
  <c r="B149" i="34"/>
  <c r="Z149" i="34" l="1"/>
  <c r="W149" i="34"/>
  <c r="A149" i="34"/>
  <c r="W156" i="34"/>
  <c r="Z156" i="34"/>
  <c r="A156" i="34"/>
  <c r="B32" i="55"/>
  <c r="A32" i="55" s="1"/>
  <c r="A33" i="55"/>
  <c r="I26" i="55" l="1" a="1"/>
  <c r="I26" i="55" s="1"/>
  <c r="G25" i="55" a="1"/>
  <c r="G25" i="55" s="1"/>
  <c r="I25" i="55" a="1"/>
  <c r="I25" i="55" s="1"/>
  <c r="I19" i="55" a="1"/>
  <c r="I19" i="55" s="1"/>
  <c r="G26" i="55" a="1"/>
  <c r="G26" i="55" s="1"/>
  <c r="K26" i="55" s="1"/>
  <c r="G19" i="55" a="1"/>
  <c r="G19" i="55" s="1"/>
  <c r="I273" i="55" a="1"/>
  <c r="I273" i="55" s="1"/>
  <c r="I376" i="55" a="1"/>
  <c r="I376" i="55" s="1"/>
  <c r="I143" i="55" a="1"/>
  <c r="I143" i="55" s="1"/>
  <c r="I78" i="55" a="1"/>
  <c r="I78" i="55" s="1"/>
  <c r="I318" i="55" a="1"/>
  <c r="I318" i="55" s="1"/>
  <c r="I313" i="55" a="1"/>
  <c r="I313" i="55" s="1"/>
  <c r="I158" i="55" a="1"/>
  <c r="I158" i="55" s="1"/>
  <c r="I165" i="55" a="1"/>
  <c r="I165" i="55" s="1"/>
  <c r="I147" i="55" a="1"/>
  <c r="I147" i="55" s="1"/>
  <c r="I152" i="55" a="1"/>
  <c r="I152" i="55" s="1"/>
  <c r="I283" i="55" a="1"/>
  <c r="I283" i="55" s="1"/>
  <c r="I289" i="55" a="1"/>
  <c r="I289" i="55" s="1"/>
  <c r="G347" i="55" a="1"/>
  <c r="G347" i="55" s="1"/>
  <c r="G51" i="55" a="1"/>
  <c r="G51" i="55" s="1"/>
  <c r="G159" i="55" a="1"/>
  <c r="G159" i="55" s="1"/>
  <c r="G45" i="55" a="1"/>
  <c r="G45" i="55" s="1"/>
  <c r="G88" i="55" a="1"/>
  <c r="G88" i="55" s="1"/>
  <c r="G308" i="55" a="1"/>
  <c r="G308" i="55" s="1"/>
  <c r="G228" i="55" a="1"/>
  <c r="G228" i="55" s="1"/>
  <c r="G348" i="55" a="1"/>
  <c r="G348" i="55" s="1"/>
  <c r="G242" i="55" a="1"/>
  <c r="G242" i="55" s="1"/>
  <c r="G203" i="55" a="1"/>
  <c r="G203" i="55" s="1"/>
  <c r="G63" i="55" a="1"/>
  <c r="G63" i="55" s="1"/>
  <c r="G298" i="55" a="1"/>
  <c r="G298" i="55" s="1"/>
  <c r="G286" i="55" a="1"/>
  <c r="G286" i="55" s="1"/>
  <c r="G166" i="55" a="1"/>
  <c r="G166" i="55" s="1"/>
  <c r="G317" i="55" a="1"/>
  <c r="G317" i="55" s="1"/>
  <c r="G372" i="55" a="1"/>
  <c r="G372" i="55" s="1"/>
  <c r="I317" i="55" a="1"/>
  <c r="I317" i="55" s="1"/>
  <c r="I372" i="55" a="1"/>
  <c r="I372" i="55" s="1"/>
  <c r="I397" i="55" a="1"/>
  <c r="I397" i="55" s="1"/>
  <c r="I69" i="55" a="1"/>
  <c r="I69" i="55" s="1"/>
  <c r="I347" i="55" a="1"/>
  <c r="I347" i="55" s="1"/>
  <c r="I51" i="55" a="1"/>
  <c r="I51" i="55" s="1"/>
  <c r="I159" i="55" a="1"/>
  <c r="I159" i="55" s="1"/>
  <c r="I45" i="55" a="1"/>
  <c r="I45" i="55" s="1"/>
  <c r="I88" i="55" a="1"/>
  <c r="I88" i="55" s="1"/>
  <c r="I308" i="55" a="1"/>
  <c r="I308" i="55" s="1"/>
  <c r="I228" i="55" a="1"/>
  <c r="I228" i="55" s="1"/>
  <c r="I348" i="55" a="1"/>
  <c r="I348" i="55" s="1"/>
  <c r="I242" i="55" a="1"/>
  <c r="I242" i="55" s="1"/>
  <c r="I203" i="55" a="1"/>
  <c r="I203" i="55" s="1"/>
  <c r="I63" i="55" a="1"/>
  <c r="I63" i="55" s="1"/>
  <c r="I298" i="55" a="1"/>
  <c r="I298" i="55" s="1"/>
  <c r="I286" i="55" a="1"/>
  <c r="I286" i="55" s="1"/>
  <c r="I166" i="55" a="1"/>
  <c r="I166" i="55" s="1"/>
  <c r="G273" i="55" a="1"/>
  <c r="G273" i="55" s="1"/>
  <c r="G376" i="55" a="1"/>
  <c r="G376" i="55" s="1"/>
  <c r="G143" i="55" a="1"/>
  <c r="G143" i="55" s="1"/>
  <c r="K143" i="55" s="1"/>
  <c r="G78" i="55" a="1"/>
  <c r="G78" i="55" s="1"/>
  <c r="G318" i="55" a="1"/>
  <c r="G318" i="55" s="1"/>
  <c r="G313" i="55" a="1"/>
  <c r="G313" i="55" s="1"/>
  <c r="G158" i="55" a="1"/>
  <c r="G158" i="55" s="1"/>
  <c r="G165" i="55" a="1"/>
  <c r="G165" i="55" s="1"/>
  <c r="G147" i="55" a="1"/>
  <c r="G147" i="55" s="1"/>
  <c r="G152" i="55" a="1"/>
  <c r="G152" i="55" s="1"/>
  <c r="G283" i="55" a="1"/>
  <c r="G283" i="55" s="1"/>
  <c r="G289" i="55" a="1"/>
  <c r="G289" i="55" s="1"/>
  <c r="G132" i="55" a="1"/>
  <c r="G132" i="55" s="1"/>
  <c r="G226" i="55" a="1"/>
  <c r="G226" i="55" s="1"/>
  <c r="G394" i="55" a="1"/>
  <c r="G394" i="55" s="1"/>
  <c r="G123" i="55" a="1"/>
  <c r="G123" i="55" s="1"/>
  <c r="I312" i="55" a="1"/>
  <c r="I312" i="55" s="1"/>
  <c r="I80" i="55" a="1"/>
  <c r="I80" i="55" s="1"/>
  <c r="I118" i="55" a="1"/>
  <c r="I118" i="55" s="1"/>
  <c r="I276" i="55" a="1"/>
  <c r="I276" i="55" s="1"/>
  <c r="G405" i="55" a="1"/>
  <c r="G405" i="55" s="1"/>
  <c r="G206" i="55" a="1"/>
  <c r="G206" i="55" s="1"/>
  <c r="G399" i="55" a="1"/>
  <c r="G399" i="55" s="1"/>
  <c r="G260" i="55" a="1"/>
  <c r="G260" i="55" s="1"/>
  <c r="G373" i="55" a="1"/>
  <c r="G373" i="55" s="1"/>
  <c r="G95" i="55" a="1"/>
  <c r="G95" i="55" s="1"/>
  <c r="G106" i="55" a="1"/>
  <c r="G106" i="55" s="1"/>
  <c r="G117" i="55" a="1"/>
  <c r="G117" i="55" s="1"/>
  <c r="G36" i="55" a="1"/>
  <c r="G36" i="55" s="1"/>
  <c r="G397" i="55" a="1"/>
  <c r="G397" i="55" s="1"/>
  <c r="G69" i="55" a="1"/>
  <c r="G69" i="55" s="1"/>
  <c r="G276" i="55" a="1"/>
  <c r="G276" i="55" s="1"/>
  <c r="G344" i="55" a="1"/>
  <c r="G344" i="55" s="1"/>
  <c r="I227" i="55" a="1"/>
  <c r="I227" i="55" s="1"/>
  <c r="I234" i="55" a="1"/>
  <c r="I234" i="55" s="1"/>
  <c r="I380" i="55" a="1"/>
  <c r="I380" i="55" s="1"/>
  <c r="I345" i="55" a="1"/>
  <c r="I345" i="55" s="1"/>
  <c r="I256" i="55" a="1"/>
  <c r="I256" i="55" s="1"/>
  <c r="I396" i="55" a="1"/>
  <c r="I396" i="55" s="1"/>
  <c r="I72" i="55" a="1"/>
  <c r="I72" i="55" s="1"/>
  <c r="I46" i="55" a="1"/>
  <c r="I46" i="55" s="1"/>
  <c r="I107" i="55" a="1"/>
  <c r="I107" i="55" s="1"/>
  <c r="I267" i="55" a="1"/>
  <c r="I267" i="55" s="1"/>
  <c r="I358" i="55" a="1"/>
  <c r="I358" i="55" s="1"/>
  <c r="I155" i="55" a="1"/>
  <c r="I155" i="55" s="1"/>
  <c r="I255" i="55" a="1"/>
  <c r="I255" i="55" s="1"/>
  <c r="I344" i="55" a="1"/>
  <c r="I344" i="55" s="1"/>
  <c r="G227" i="55" a="1"/>
  <c r="G227" i="55" s="1"/>
  <c r="G234" i="55" a="1"/>
  <c r="G234" i="55" s="1"/>
  <c r="G380" i="55" a="1"/>
  <c r="G380" i="55" s="1"/>
  <c r="G345" i="55" a="1"/>
  <c r="G345" i="55" s="1"/>
  <c r="G256" i="55" a="1"/>
  <c r="G256" i="55" s="1"/>
  <c r="G396" i="55" a="1"/>
  <c r="G396" i="55" s="1"/>
  <c r="G72" i="55" a="1"/>
  <c r="G72" i="55" s="1"/>
  <c r="G46" i="55" a="1"/>
  <c r="G46" i="55" s="1"/>
  <c r="G107" i="55" a="1"/>
  <c r="G107" i="55" s="1"/>
  <c r="G267" i="55" a="1"/>
  <c r="G267" i="55" s="1"/>
  <c r="G358" i="55" a="1"/>
  <c r="G358" i="55" s="1"/>
  <c r="G155" i="55" a="1"/>
  <c r="G155" i="55" s="1"/>
  <c r="G255" i="55" a="1"/>
  <c r="G255" i="55" s="1"/>
  <c r="I132" i="55" a="1"/>
  <c r="I132" i="55" s="1"/>
  <c r="I226" i="55" a="1"/>
  <c r="I226" i="55" s="1"/>
  <c r="I394" i="55" a="1"/>
  <c r="I394" i="55" s="1"/>
  <c r="I123" i="55" a="1"/>
  <c r="I123" i="55" s="1"/>
  <c r="G312" i="55" a="1"/>
  <c r="G312" i="55" s="1"/>
  <c r="G80" i="55" a="1"/>
  <c r="G80" i="55" s="1"/>
  <c r="G118" i="55" a="1"/>
  <c r="G118" i="55" s="1"/>
  <c r="I405" i="55" a="1"/>
  <c r="I405" i="55" s="1"/>
  <c r="I206" i="55" a="1"/>
  <c r="I206" i="55" s="1"/>
  <c r="I399" i="55" a="1"/>
  <c r="I399" i="55" s="1"/>
  <c r="I260" i="55" a="1"/>
  <c r="I260" i="55" s="1"/>
  <c r="I373" i="55" a="1"/>
  <c r="I373" i="55" s="1"/>
  <c r="I95" i="55" a="1"/>
  <c r="I95" i="55" s="1"/>
  <c r="I106" i="55" a="1"/>
  <c r="I106" i="55" s="1"/>
  <c r="I117" i="55" a="1"/>
  <c r="I117" i="55" s="1"/>
  <c r="I36" i="55" a="1"/>
  <c r="I36" i="55" s="1"/>
  <c r="G62" i="55" a="1"/>
  <c r="G62" i="55" s="1"/>
  <c r="G154" i="55" a="1"/>
  <c r="G154" i="55" s="1"/>
  <c r="I214" i="55" a="1"/>
  <c r="I214" i="55" s="1"/>
  <c r="I208" i="55" a="1"/>
  <c r="I208" i="55" s="1"/>
  <c r="I176" i="55" a="1"/>
  <c r="I176" i="55" s="1"/>
  <c r="I144" i="55" a="1"/>
  <c r="I144" i="55" s="1"/>
  <c r="G161" i="55" a="1"/>
  <c r="G161" i="55" s="1"/>
  <c r="G68" i="55" a="1"/>
  <c r="G68" i="55" s="1"/>
  <c r="G274" i="55" a="1"/>
  <c r="G274" i="55" s="1"/>
  <c r="G125" i="55" a="1"/>
  <c r="G125" i="55" s="1"/>
  <c r="I183" i="55" a="1"/>
  <c r="I183" i="55" s="1"/>
  <c r="G250" i="55" a="1"/>
  <c r="G250" i="55" s="1"/>
  <c r="I382" i="55" a="1"/>
  <c r="I382" i="55" s="1"/>
  <c r="I306" i="55" a="1"/>
  <c r="I306" i="55" s="1"/>
  <c r="I62" i="55" a="1"/>
  <c r="I62" i="55" s="1"/>
  <c r="G172" i="55" a="1"/>
  <c r="G172" i="55" s="1"/>
  <c r="G403" i="55" a="1"/>
  <c r="G403" i="55" s="1"/>
  <c r="G247" i="55" a="1"/>
  <c r="G247" i="55" s="1"/>
  <c r="I395" i="55" a="1"/>
  <c r="I395" i="55" s="1"/>
  <c r="I339" i="55" a="1"/>
  <c r="I339" i="55" s="1"/>
  <c r="G192" i="55" a="1"/>
  <c r="G192" i="55" s="1"/>
  <c r="G361" i="55" a="1"/>
  <c r="G361" i="55" s="1"/>
  <c r="G241" i="55" a="1"/>
  <c r="G241" i="55" s="1"/>
  <c r="G144" i="55" a="1"/>
  <c r="G144" i="55" s="1"/>
  <c r="I161" i="55" a="1"/>
  <c r="I161" i="55" s="1"/>
  <c r="I68" i="55" a="1"/>
  <c r="I68" i="55" s="1"/>
  <c r="I274" i="55" a="1"/>
  <c r="I274" i="55" s="1"/>
  <c r="I224" i="55" a="1"/>
  <c r="I224" i="55" s="1"/>
  <c r="I145" i="55" a="1"/>
  <c r="I145" i="55" s="1"/>
  <c r="G129" i="55" a="1"/>
  <c r="G129" i="55" s="1"/>
  <c r="G98" i="55" a="1"/>
  <c r="G98" i="55" s="1"/>
  <c r="I205" i="55" a="1"/>
  <c r="I205" i="55" s="1"/>
  <c r="G395" i="55" a="1"/>
  <c r="G395" i="55" s="1"/>
  <c r="G339" i="55" a="1"/>
  <c r="G339" i="55" s="1"/>
  <c r="I254" i="55" a="1"/>
  <c r="I254" i="55" s="1"/>
  <c r="I125" i="55" a="1"/>
  <c r="I125" i="55" s="1"/>
  <c r="G183" i="55" a="1"/>
  <c r="G183" i="55" s="1"/>
  <c r="I98" i="55" a="1"/>
  <c r="I98" i="55" s="1"/>
  <c r="I236" i="55" a="1"/>
  <c r="I236" i="55" s="1"/>
  <c r="I115" i="55" a="1"/>
  <c r="I115" i="55" s="1"/>
  <c r="I390" i="55" a="1"/>
  <c r="I390" i="55" s="1"/>
  <c r="G146" i="55" a="1"/>
  <c r="G146" i="55" s="1"/>
  <c r="G309" i="55" a="1"/>
  <c r="G309" i="55" s="1"/>
  <c r="G224" i="55" a="1"/>
  <c r="G224" i="55" s="1"/>
  <c r="G145" i="55" a="1"/>
  <c r="G145" i="55" s="1"/>
  <c r="I129" i="55" a="1"/>
  <c r="I129" i="55" s="1"/>
  <c r="I121" i="55" a="1"/>
  <c r="I121" i="55" s="1"/>
  <c r="G71" i="55" a="1"/>
  <c r="G71" i="55" s="1"/>
  <c r="G151" i="55" a="1"/>
  <c r="G151" i="55" s="1"/>
  <c r="I248" i="55" a="1"/>
  <c r="I248" i="55" s="1"/>
  <c r="I65" i="55" a="1"/>
  <c r="I65" i="55" s="1"/>
  <c r="I349" i="55" a="1"/>
  <c r="I349" i="55" s="1"/>
  <c r="I190" i="55" a="1"/>
  <c r="I190" i="55" s="1"/>
  <c r="I277" i="55" a="1"/>
  <c r="I277" i="55" s="1"/>
  <c r="G236" i="55" a="1"/>
  <c r="G236" i="55" s="1"/>
  <c r="G115" i="55" a="1"/>
  <c r="G115" i="55" s="1"/>
  <c r="G390" i="55" a="1"/>
  <c r="G390" i="55" s="1"/>
  <c r="I192" i="55" a="1"/>
  <c r="I192" i="55" s="1"/>
  <c r="I361" i="55" a="1"/>
  <c r="I361" i="55" s="1"/>
  <c r="G248" i="55" a="1"/>
  <c r="G248" i="55" s="1"/>
  <c r="I247" i="55" a="1"/>
  <c r="I247" i="55" s="1"/>
  <c r="G205" i="55" a="1"/>
  <c r="G205" i="55" s="1"/>
  <c r="I187" i="55" a="1"/>
  <c r="I187" i="55" s="1"/>
  <c r="I406" i="55" a="1"/>
  <c r="I406" i="55" s="1"/>
  <c r="I307" i="55" a="1"/>
  <c r="I307" i="55" s="1"/>
  <c r="G382" i="55" a="1"/>
  <c r="G382" i="55" s="1"/>
  <c r="G301" i="55" a="1"/>
  <c r="G301" i="55" s="1"/>
  <c r="G121" i="55" a="1"/>
  <c r="G121" i="55" s="1"/>
  <c r="I71" i="55" a="1"/>
  <c r="I71" i="55" s="1"/>
  <c r="I151" i="55" a="1"/>
  <c r="I151" i="55" s="1"/>
  <c r="I154" i="55" a="1"/>
  <c r="I154" i="55" s="1"/>
  <c r="G214" i="55" a="1"/>
  <c r="G214" i="55" s="1"/>
  <c r="G208" i="55" a="1"/>
  <c r="G208" i="55" s="1"/>
  <c r="G176" i="55" a="1"/>
  <c r="G176" i="55" s="1"/>
  <c r="G306" i="55" a="1"/>
  <c r="G306" i="55" s="1"/>
  <c r="I303" i="55" a="1"/>
  <c r="I303" i="55" s="1"/>
  <c r="I301" i="55" a="1"/>
  <c r="I301" i="55" s="1"/>
  <c r="I172" i="55" a="1"/>
  <c r="I172" i="55" s="1"/>
  <c r="I403" i="55" a="1"/>
  <c r="I403" i="55" s="1"/>
  <c r="G187" i="55" a="1"/>
  <c r="G187" i="55" s="1"/>
  <c r="G406" i="55" a="1"/>
  <c r="G406" i="55" s="1"/>
  <c r="G307" i="55" a="1"/>
  <c r="G307" i="55" s="1"/>
  <c r="G65" i="55" a="1"/>
  <c r="G65" i="55" s="1"/>
  <c r="I146" i="55" a="1"/>
  <c r="I146" i="55" s="1"/>
  <c r="I309" i="55" a="1"/>
  <c r="I309" i="55" s="1"/>
  <c r="I241" i="55" a="1"/>
  <c r="I241" i="55" s="1"/>
  <c r="G303" i="55" a="1"/>
  <c r="G303" i="55" s="1"/>
  <c r="G349" i="55" a="1"/>
  <c r="G349" i="55" s="1"/>
  <c r="G190" i="55" a="1"/>
  <c r="G190" i="55" s="1"/>
  <c r="G277" i="55" a="1"/>
  <c r="G277" i="55" s="1"/>
  <c r="I250" i="55" a="1"/>
  <c r="I250" i="55" s="1"/>
  <c r="G254" i="55" a="1"/>
  <c r="G254" i="55" s="1"/>
  <c r="A3" i="15"/>
  <c r="A2" i="15"/>
  <c r="N8" i="73"/>
  <c r="M8" i="73"/>
  <c r="A2" i="73"/>
  <c r="A1" i="73"/>
  <c r="Z15" i="34" l="1"/>
  <c r="Z2928" i="34"/>
  <c r="Z2930" i="34"/>
  <c r="Z3271" i="34"/>
  <c r="Z3239" i="34"/>
  <c r="Z3238" i="34"/>
  <c r="Z3237" i="34"/>
  <c r="Z2895" i="34"/>
  <c r="Z2887" i="34"/>
  <c r="Z2879" i="34"/>
  <c r="Z2871" i="34"/>
  <c r="Z2863" i="34"/>
  <c r="Z3340" i="34"/>
  <c r="Z3348" i="34"/>
  <c r="Z3146" i="34"/>
  <c r="Z3154" i="34"/>
  <c r="Z3162" i="34"/>
  <c r="Z3170" i="34"/>
  <c r="Z3178" i="34"/>
  <c r="Z3214" i="34"/>
  <c r="Z3222" i="34"/>
  <c r="Z3068" i="34"/>
  <c r="Z3076" i="34"/>
  <c r="Z3084" i="34"/>
  <c r="Z3092" i="34"/>
  <c r="Z3180" i="34"/>
  <c r="Z3190" i="34"/>
  <c r="Z3198" i="34"/>
  <c r="Z3264" i="34"/>
  <c r="Z3256" i="34"/>
  <c r="Z3248" i="34"/>
  <c r="Z3240" i="34"/>
  <c r="Z3204" i="34"/>
  <c r="Z3104" i="34"/>
  <c r="Z3050" i="34"/>
  <c r="Z3036" i="34"/>
  <c r="Z3014" i="34"/>
  <c r="Z3328" i="34"/>
  <c r="Z2946" i="34"/>
  <c r="Z3228" i="34"/>
  <c r="Z3128" i="34"/>
  <c r="Z3136" i="34"/>
  <c r="Z3144" i="34"/>
  <c r="Z3186" i="34"/>
  <c r="Z3274" i="34"/>
  <c r="Z3282" i="34"/>
  <c r="Z3290" i="34"/>
  <c r="Z3298" i="34"/>
  <c r="Z3306" i="34"/>
  <c r="Z3026" i="34"/>
  <c r="Z3236" i="34"/>
  <c r="Z2899" i="34"/>
  <c r="Z2943" i="34"/>
  <c r="Z3189" i="34"/>
  <c r="Z3227" i="34"/>
  <c r="Z3235" i="34"/>
  <c r="Z3127" i="34"/>
  <c r="Z3135" i="34"/>
  <c r="Z3143" i="34"/>
  <c r="Z3185" i="34"/>
  <c r="Z3203" i="34"/>
  <c r="Z3273" i="34"/>
  <c r="Z3281" i="34"/>
  <c r="Z3289" i="34"/>
  <c r="Z3297" i="34"/>
  <c r="Z3305" i="34"/>
  <c r="Z3043" i="34"/>
  <c r="Z3025" i="34"/>
  <c r="Z3113" i="34"/>
  <c r="Z3031" i="34"/>
  <c r="Z3337" i="34"/>
  <c r="Z3323" i="34"/>
  <c r="Z2894" i="34"/>
  <c r="Z3003" i="34"/>
  <c r="Z2886" i="34"/>
  <c r="Z2878" i="34"/>
  <c r="Z2870" i="34"/>
  <c r="Z2862" i="34"/>
  <c r="Z3345" i="34"/>
  <c r="Z3151" i="34"/>
  <c r="Z3159" i="34"/>
  <c r="Z3167" i="34"/>
  <c r="Z3175" i="34"/>
  <c r="Z3219" i="34"/>
  <c r="Z3315" i="34"/>
  <c r="Z3269" i="34"/>
  <c r="Z3065" i="34"/>
  <c r="Z3073" i="34"/>
  <c r="Z3081" i="34"/>
  <c r="Z3089" i="34"/>
  <c r="Z3097" i="34"/>
  <c r="Z2891" i="34"/>
  <c r="Z3000" i="34"/>
  <c r="Z2883" i="34"/>
  <c r="Z2875" i="34"/>
  <c r="Z2867" i="34"/>
  <c r="Z3344" i="34"/>
  <c r="Z3150" i="34"/>
  <c r="Z3158" i="34"/>
  <c r="Z3166" i="34"/>
  <c r="Z3174" i="34"/>
  <c r="Z3218" i="34"/>
  <c r="Z3314" i="34"/>
  <c r="Z3010" i="34"/>
  <c r="Z3056" i="34"/>
  <c r="Z3393" i="34"/>
  <c r="Z3072" i="34"/>
  <c r="Z3080" i="34"/>
  <c r="Z3088" i="34"/>
  <c r="Z3096" i="34"/>
  <c r="Z3194" i="34"/>
  <c r="Z3202" i="34"/>
  <c r="Z3268" i="34"/>
  <c r="Z3260" i="34"/>
  <c r="Z3252" i="34"/>
  <c r="Z3244" i="34"/>
  <c r="Z3208" i="34"/>
  <c r="Z3108" i="34"/>
  <c r="Z3100" i="34"/>
  <c r="Z3046" i="34"/>
  <c r="Z3040" i="34"/>
  <c r="Z3332" i="34"/>
  <c r="Z3224" i="34"/>
  <c r="Z3232" i="34"/>
  <c r="Z3350" i="34"/>
  <c r="Z3124" i="34"/>
  <c r="Z3132" i="34"/>
  <c r="Z3140" i="34"/>
  <c r="Z3278" i="34"/>
  <c r="Z3286" i="34"/>
  <c r="Z3294" i="34"/>
  <c r="Z3302" i="34"/>
  <c r="Z3310" i="34"/>
  <c r="Z3012" i="34"/>
  <c r="Z3018" i="34"/>
  <c r="Z2947" i="34"/>
  <c r="Z3231" i="34"/>
  <c r="Z3123" i="34"/>
  <c r="Z3131" i="34"/>
  <c r="Z3139" i="34"/>
  <c r="Z3277" i="34"/>
  <c r="Z3285" i="34"/>
  <c r="Z3293" i="34"/>
  <c r="Z3301" i="34"/>
  <c r="Z3309" i="34"/>
  <c r="Z3021" i="34"/>
  <c r="Z3117" i="34"/>
  <c r="Z3059" i="34"/>
  <c r="Z3027" i="34"/>
  <c r="Z3319" i="34"/>
  <c r="Z2898" i="34"/>
  <c r="Z2890" i="34"/>
  <c r="Z2999" i="34"/>
  <c r="Z2882" i="34"/>
  <c r="Z2874" i="34"/>
  <c r="Z2866" i="34"/>
  <c r="Z3341" i="34"/>
  <c r="Z3349" i="34"/>
  <c r="Z3147" i="34"/>
  <c r="Z3155" i="34"/>
  <c r="Z3163" i="34"/>
  <c r="Z3171" i="34"/>
  <c r="Z3179" i="34"/>
  <c r="Z3215" i="34"/>
  <c r="Z3223" i="34"/>
  <c r="Z3057" i="34"/>
  <c r="Z3069" i="34"/>
  <c r="Z3077" i="34"/>
  <c r="Z3085" i="34"/>
  <c r="Z3093" i="34"/>
  <c r="Z3181" i="34"/>
  <c r="Z3191" i="34"/>
  <c r="Z3116" i="34"/>
  <c r="Z3326" i="34"/>
  <c r="Z3318" i="34"/>
  <c r="Z2897" i="34"/>
  <c r="Z2889" i="34"/>
  <c r="Z2881" i="34"/>
  <c r="Z2873" i="34"/>
  <c r="Z2865" i="34"/>
  <c r="Z3346" i="34"/>
  <c r="Z3064" i="34"/>
  <c r="Z3152" i="34"/>
  <c r="Z3160" i="34"/>
  <c r="Z3168" i="34"/>
  <c r="Z3176" i="34"/>
  <c r="Z3212" i="34"/>
  <c r="Z3220" i="34"/>
  <c r="Z3316" i="34"/>
  <c r="Z3270" i="34"/>
  <c r="Z3066" i="34"/>
  <c r="Z3074" i="34"/>
  <c r="Z3082" i="34"/>
  <c r="Z3090" i="34"/>
  <c r="Z3098" i="34"/>
  <c r="Z3196" i="34"/>
  <c r="Z3266" i="34"/>
  <c r="Z3258" i="34"/>
  <c r="Z3250" i="34"/>
  <c r="Z3242" i="34"/>
  <c r="Z3206" i="34"/>
  <c r="Z3106" i="34"/>
  <c r="Z3052" i="34"/>
  <c r="Z3044" i="34"/>
  <c r="Z3038" i="34"/>
  <c r="Z3016" i="34"/>
  <c r="Z3330" i="34"/>
  <c r="Z2948" i="34"/>
  <c r="Z3188" i="34"/>
  <c r="Z3226" i="34"/>
  <c r="Z3234" i="34"/>
  <c r="Z3126" i="34"/>
  <c r="Z3134" i="34"/>
  <c r="Z3142" i="34"/>
  <c r="Z3184" i="34"/>
  <c r="Z3195" i="34"/>
  <c r="Z3263" i="34"/>
  <c r="Z3255" i="34"/>
  <c r="Z3247" i="34"/>
  <c r="Z3211" i="34"/>
  <c r="Z3111" i="34"/>
  <c r="Z3103" i="34"/>
  <c r="Z3049" i="34"/>
  <c r="Z3035" i="34"/>
  <c r="Z3013" i="34"/>
  <c r="Z2945" i="34"/>
  <c r="Z3187" i="34"/>
  <c r="Z3225" i="34"/>
  <c r="Z3233" i="34"/>
  <c r="Z3125" i="34"/>
  <c r="Z3133" i="34"/>
  <c r="Z3141" i="34"/>
  <c r="Z3279" i="34"/>
  <c r="Z3287" i="34"/>
  <c r="Z3295" i="34"/>
  <c r="Z3303" i="34"/>
  <c r="Z3311" i="34"/>
  <c r="Z3019" i="34"/>
  <c r="Z3115" i="34"/>
  <c r="Z3033" i="34"/>
  <c r="Z3339" i="34"/>
  <c r="Z3325" i="34"/>
  <c r="Z3317" i="34"/>
  <c r="Z2896" i="34"/>
  <c r="Z2888" i="34"/>
  <c r="Z2880" i="34"/>
  <c r="Z2872" i="34"/>
  <c r="Z2864" i="34"/>
  <c r="Z3343" i="34"/>
  <c r="Z3023" i="34"/>
  <c r="Z3149" i="34"/>
  <c r="Z3157" i="34"/>
  <c r="Z3165" i="34"/>
  <c r="Z3173" i="34"/>
  <c r="Z3120" i="34"/>
  <c r="Z3112" i="34"/>
  <c r="Z3062" i="34"/>
  <c r="Z3030" i="34"/>
  <c r="Z3336" i="34"/>
  <c r="Z3322" i="34"/>
  <c r="Z2893" i="34"/>
  <c r="Z3002" i="34"/>
  <c r="Z2885" i="34"/>
  <c r="Z2877" i="34"/>
  <c r="Z2869" i="34"/>
  <c r="Z2861" i="34"/>
  <c r="Z3342" i="34"/>
  <c r="Z3148" i="34"/>
  <c r="Z3156" i="34"/>
  <c r="Z3164" i="34"/>
  <c r="Z3172" i="34"/>
  <c r="Z3216" i="34"/>
  <c r="Z3312" i="34"/>
  <c r="Z3034" i="34"/>
  <c r="Z3054" i="34"/>
  <c r="Z3391" i="34"/>
  <c r="Z3058" i="34"/>
  <c r="Z3070" i="34"/>
  <c r="Z3078" i="34"/>
  <c r="Z3086" i="34"/>
  <c r="Z3094" i="34"/>
  <c r="Z3182" i="34"/>
  <c r="Z3192" i="34"/>
  <c r="Z3200" i="34"/>
  <c r="Z3022" i="34"/>
  <c r="Z3262" i="34"/>
  <c r="Z3254" i="34"/>
  <c r="Z3246" i="34"/>
  <c r="Z3210" i="34"/>
  <c r="Z3110" i="34"/>
  <c r="Z3102" i="34"/>
  <c r="Z3048" i="34"/>
  <c r="Z3334" i="34"/>
  <c r="Z2900" i="34"/>
  <c r="Z2944" i="34"/>
  <c r="Z3230" i="34"/>
  <c r="Z3122" i="34"/>
  <c r="Z3130" i="34"/>
  <c r="Z3138" i="34"/>
  <c r="Z3199" i="34"/>
  <c r="Z3267" i="34"/>
  <c r="Z3259" i="34"/>
  <c r="Z3251" i="34"/>
  <c r="Z3243" i="34"/>
  <c r="Z3207" i="34"/>
  <c r="Z3107" i="34"/>
  <c r="Z3053" i="34"/>
  <c r="Z3045" i="34"/>
  <c r="Z3039" i="34"/>
  <c r="Z3017" i="34"/>
  <c r="Z3331" i="34"/>
  <c r="Z2949" i="34"/>
  <c r="Z3229" i="34"/>
  <c r="Z3121" i="34"/>
  <c r="Z3129" i="34"/>
  <c r="Z3137" i="34"/>
  <c r="Z3145" i="34"/>
  <c r="Z3275" i="34"/>
  <c r="Z3283" i="34"/>
  <c r="Z3291" i="34"/>
  <c r="Z3299" i="34"/>
  <c r="Z3307" i="34"/>
  <c r="Z3119" i="34"/>
  <c r="Z3061" i="34"/>
  <c r="Z3029" i="34"/>
  <c r="Z3321" i="34"/>
  <c r="Z2892" i="34"/>
  <c r="Z3001" i="34"/>
  <c r="Z2884" i="34"/>
  <c r="Z2876" i="34"/>
  <c r="Z2868" i="34"/>
  <c r="Z2860" i="34"/>
  <c r="Z3335" i="34"/>
  <c r="Z3347" i="34"/>
  <c r="Z3153" i="34"/>
  <c r="Z3161" i="34"/>
  <c r="Z3169" i="34"/>
  <c r="Z3177" i="34"/>
  <c r="Z3213" i="34"/>
  <c r="Z3217" i="34"/>
  <c r="Z3313" i="34"/>
  <c r="Z3327" i="34"/>
  <c r="Z3055" i="34"/>
  <c r="Z3071" i="34"/>
  <c r="Z3079" i="34"/>
  <c r="Z3087" i="34"/>
  <c r="Z3095" i="34"/>
  <c r="Z3183" i="34"/>
  <c r="Z3193" i="34"/>
  <c r="Z3201" i="34"/>
  <c r="Z3063" i="34"/>
  <c r="Z3265" i="34"/>
  <c r="Z3257" i="34"/>
  <c r="Z3249" i="34"/>
  <c r="Z3241" i="34"/>
  <c r="Z3205" i="34"/>
  <c r="Z3105" i="34"/>
  <c r="Z3051" i="34"/>
  <c r="Z3037" i="34"/>
  <c r="Z3015" i="34"/>
  <c r="Z3329" i="34"/>
  <c r="Z3276" i="34"/>
  <c r="Z3284" i="34"/>
  <c r="Z3292" i="34"/>
  <c r="Z3300" i="34"/>
  <c r="Z3308" i="34"/>
  <c r="Z3392" i="34"/>
  <c r="Z3020" i="34"/>
  <c r="Z3114" i="34"/>
  <c r="Z3032" i="34"/>
  <c r="Z3338" i="34"/>
  <c r="Z3324" i="34"/>
  <c r="Z3221" i="34"/>
  <c r="Z3011" i="34"/>
  <c r="Z3041" i="34"/>
  <c r="Z3067" i="34"/>
  <c r="Z3075" i="34"/>
  <c r="Z3083" i="34"/>
  <c r="Z3091" i="34"/>
  <c r="Z3099" i="34"/>
  <c r="Z3197" i="34"/>
  <c r="Z3261" i="34"/>
  <c r="Z3253" i="34"/>
  <c r="Z3245" i="34"/>
  <c r="Z3209" i="34"/>
  <c r="Z3109" i="34"/>
  <c r="Z3101" i="34"/>
  <c r="Z3047" i="34"/>
  <c r="Z3333" i="34"/>
  <c r="Z3272" i="34"/>
  <c r="Z3280" i="34"/>
  <c r="Z3288" i="34"/>
  <c r="Z3296" i="34"/>
  <c r="Z3304" i="34"/>
  <c r="Z3024" i="34"/>
  <c r="Z3118" i="34"/>
  <c r="Z3060" i="34"/>
  <c r="Z3042" i="34"/>
  <c r="Z3028" i="34"/>
  <c r="Z3320" i="34"/>
  <c r="Z3389" i="34"/>
  <c r="Z2978" i="34"/>
  <c r="Z2938" i="34"/>
  <c r="Z2934" i="34"/>
  <c r="Z2960" i="34"/>
  <c r="Z2984" i="34"/>
  <c r="Z3388" i="34"/>
  <c r="Z2963" i="34"/>
  <c r="Z2995" i="34"/>
  <c r="Z2929" i="34"/>
  <c r="Z2973" i="34"/>
  <c r="Z2941" i="34"/>
  <c r="Z2998" i="34"/>
  <c r="Z2942" i="34"/>
  <c r="Z2964" i="34"/>
  <c r="Z2980" i="34"/>
  <c r="Z2988" i="34"/>
  <c r="Z3390" i="34"/>
  <c r="Z2976" i="34"/>
  <c r="Z2937" i="34"/>
  <c r="Z2927" i="34"/>
  <c r="Z2983" i="34"/>
  <c r="Z2959" i="34"/>
  <c r="Z2991" i="34"/>
  <c r="Z2992" i="34"/>
  <c r="Z2936" i="34"/>
  <c r="Z2926" i="34"/>
  <c r="Z2939" i="34"/>
  <c r="Z2961" i="34"/>
  <c r="Z2985" i="34"/>
  <c r="Z2977" i="34"/>
  <c r="Z2933" i="34"/>
  <c r="Z2993" i="34"/>
  <c r="Z2996" i="34"/>
  <c r="Z2974" i="34"/>
  <c r="Z2994" i="34"/>
  <c r="Z2972" i="34"/>
  <c r="Z2940" i="34"/>
  <c r="Z2935" i="34"/>
  <c r="Z2925" i="34"/>
  <c r="Z2931" i="34"/>
  <c r="Z2957" i="34"/>
  <c r="Z2965" i="34"/>
  <c r="Z2981" i="34"/>
  <c r="Z2989" i="34"/>
  <c r="Z2987" i="34"/>
  <c r="Z2997" i="34"/>
  <c r="Z2975" i="34"/>
  <c r="Z2979" i="34"/>
  <c r="Z2932" i="34"/>
  <c r="Z2958" i="34"/>
  <c r="Z2982" i="34"/>
  <c r="Z2990" i="34"/>
  <c r="Z2971" i="34"/>
  <c r="Z2962" i="34"/>
  <c r="Z2986" i="34"/>
  <c r="Z2954" i="34"/>
  <c r="Z3362" i="34"/>
  <c r="Z2907" i="34"/>
  <c r="Z2950" i="34"/>
  <c r="Z3372" i="34"/>
  <c r="Z3380" i="34"/>
  <c r="Z2966" i="34"/>
  <c r="Z2908" i="34"/>
  <c r="Z2916" i="34"/>
  <c r="Z2956" i="34"/>
  <c r="Z3352" i="34"/>
  <c r="Z3356" i="34"/>
  <c r="Z3364" i="34"/>
  <c r="Z2901" i="34"/>
  <c r="Z2918" i="34"/>
  <c r="Z3366" i="34"/>
  <c r="Z3374" i="34"/>
  <c r="Z3382" i="34"/>
  <c r="Z3004" i="34"/>
  <c r="Z3353" i="34"/>
  <c r="Z2968" i="34"/>
  <c r="Z2910" i="34"/>
  <c r="Z3367" i="34"/>
  <c r="Z3375" i="34"/>
  <c r="Z3383" i="34"/>
  <c r="Z3005" i="34"/>
  <c r="Z3354" i="34"/>
  <c r="Z2969" i="34"/>
  <c r="Z2911" i="34"/>
  <c r="Z2955" i="34"/>
  <c r="Z3351" i="34"/>
  <c r="Z3363" i="34"/>
  <c r="Z2904" i="34"/>
  <c r="Z3369" i="34"/>
  <c r="Z3377" i="34"/>
  <c r="Z3385" i="34"/>
  <c r="Z3007" i="34"/>
  <c r="Z2909" i="34"/>
  <c r="Z2913" i="34"/>
  <c r="Z3357" i="34"/>
  <c r="Z3365" i="34"/>
  <c r="Z2902" i="34"/>
  <c r="Z2919" i="34"/>
  <c r="Z3387" i="34"/>
  <c r="Z3358" i="34"/>
  <c r="Z2924" i="34"/>
  <c r="Z2903" i="34"/>
  <c r="Z2920" i="34"/>
  <c r="Z3368" i="34"/>
  <c r="Z3376" i="34"/>
  <c r="Z3384" i="34"/>
  <c r="Z3006" i="34"/>
  <c r="Z2970" i="34"/>
  <c r="Z2912" i="34"/>
  <c r="Z2952" i="34"/>
  <c r="Z3360" i="34"/>
  <c r="Z2905" i="34"/>
  <c r="Z2922" i="34"/>
  <c r="Z3370" i="34"/>
  <c r="Z3378" i="34"/>
  <c r="Z3386" i="34"/>
  <c r="Z3008" i="34"/>
  <c r="Z2906" i="34"/>
  <c r="Z2914" i="34"/>
  <c r="Z3371" i="34"/>
  <c r="Z3379" i="34"/>
  <c r="Z3009" i="34"/>
  <c r="Z2915" i="34"/>
  <c r="Z2951" i="34"/>
  <c r="Z3355" i="34"/>
  <c r="Z3359" i="34"/>
  <c r="Z2921" i="34"/>
  <c r="Z3373" i="34"/>
  <c r="Z3381" i="34"/>
  <c r="Z2967" i="34"/>
  <c r="Z2917" i="34"/>
  <c r="Z2953" i="34"/>
  <c r="Z3361" i="34"/>
  <c r="Z2923" i="34"/>
  <c r="K376" i="55"/>
  <c r="K289" i="55"/>
  <c r="K147" i="55"/>
  <c r="K158" i="55"/>
  <c r="K273" i="55"/>
  <c r="K69" i="55"/>
  <c r="K152" i="55"/>
  <c r="K165" i="55"/>
  <c r="K313" i="55"/>
  <c r="K358" i="55"/>
  <c r="K72" i="55"/>
  <c r="K380" i="55"/>
  <c r="K227" i="55"/>
  <c r="K345" i="55"/>
  <c r="K155" i="55"/>
  <c r="K107" i="55"/>
  <c r="K254" i="55"/>
  <c r="K46" i="55"/>
  <c r="K256" i="55"/>
  <c r="K397" i="55"/>
  <c r="K396" i="55"/>
  <c r="K234" i="55"/>
  <c r="K267" i="55"/>
  <c r="K306" i="55"/>
  <c r="K255" i="55"/>
  <c r="K78" i="55"/>
  <c r="K318" i="55"/>
  <c r="K276" i="55"/>
  <c r="K283" i="55"/>
  <c r="K118" i="55"/>
  <c r="K312" i="55"/>
  <c r="K176" i="55"/>
  <c r="K214" i="55"/>
  <c r="K382" i="55"/>
  <c r="K80" i="55"/>
  <c r="K208" i="55"/>
  <c r="K190" i="55"/>
  <c r="K349" i="55"/>
  <c r="K236" i="55"/>
  <c r="K19" i="55"/>
  <c r="K25" i="55"/>
  <c r="K390" i="55"/>
  <c r="K277" i="55"/>
  <c r="K144" i="55"/>
  <c r="K339" i="55"/>
  <c r="K145" i="55"/>
  <c r="K395" i="55"/>
  <c r="K183" i="55"/>
  <c r="K406" i="55"/>
  <c r="K115" i="55"/>
  <c r="K260" i="55"/>
  <c r="K399" i="55"/>
  <c r="K206" i="55"/>
  <c r="K372" i="55"/>
  <c r="K317" i="55"/>
  <c r="K298" i="55"/>
  <c r="K242" i="55"/>
  <c r="K228" i="55"/>
  <c r="K308" i="55"/>
  <c r="K45" i="55"/>
  <c r="K51" i="55"/>
  <c r="K344" i="55"/>
  <c r="K36" i="55"/>
  <c r="K117" i="55"/>
  <c r="K106" i="55"/>
  <c r="K95" i="55"/>
  <c r="K373" i="55"/>
  <c r="K405" i="55"/>
  <c r="K123" i="55"/>
  <c r="K394" i="55"/>
  <c r="K226" i="55"/>
  <c r="K132" i="55"/>
  <c r="K166" i="55"/>
  <c r="K286" i="55"/>
  <c r="K63" i="55"/>
  <c r="K203" i="55"/>
  <c r="K348" i="55"/>
  <c r="K88" i="55"/>
  <c r="K159" i="55"/>
  <c r="K347" i="55"/>
  <c r="K187" i="55"/>
  <c r="K154" i="55"/>
  <c r="K309" i="55"/>
  <c r="K361" i="55"/>
  <c r="K146" i="55"/>
  <c r="K192" i="55"/>
  <c r="K248" i="55"/>
  <c r="K121" i="55"/>
  <c r="K205" i="55"/>
  <c r="K98" i="55"/>
  <c r="K307" i="55"/>
  <c r="K65" i="55"/>
  <c r="K224" i="55"/>
  <c r="K301" i="55"/>
  <c r="K71" i="55"/>
  <c r="K403" i="55"/>
  <c r="K250" i="55"/>
  <c r="K172" i="55"/>
  <c r="K161" i="55"/>
  <c r="K129" i="55"/>
  <c r="K241" i="55"/>
  <c r="K125" i="55"/>
  <c r="K274" i="55"/>
  <c r="K62" i="55"/>
  <c r="K303" i="55"/>
  <c r="K151" i="55"/>
  <c r="K247" i="55"/>
  <c r="K68" i="55"/>
  <c r="A3" i="68"/>
  <c r="A2" i="68"/>
  <c r="A2" i="64"/>
  <c r="A1" i="64"/>
  <c r="A2" i="61"/>
  <c r="A1" i="61"/>
  <c r="A2" i="58"/>
  <c r="A1" i="58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171" i="34" l="1"/>
  <c r="B170" i="34"/>
  <c r="B150" i="34"/>
  <c r="B168" i="34"/>
  <c r="B167" i="34"/>
  <c r="B166" i="34"/>
  <c r="B165" i="34"/>
  <c r="B164" i="34"/>
  <c r="B163" i="34"/>
  <c r="B870" i="34"/>
  <c r="B223" i="34"/>
  <c r="B222" i="34"/>
  <c r="B204" i="34"/>
  <c r="B203" i="34"/>
  <c r="B135" i="34"/>
  <c r="B262" i="34"/>
  <c r="B261" i="34"/>
  <c r="B837" i="34"/>
  <c r="B800" i="34"/>
  <c r="B799" i="34"/>
  <c r="B796" i="34"/>
  <c r="B766" i="34"/>
  <c r="B661" i="34"/>
  <c r="B716" i="34"/>
  <c r="B793" i="34"/>
  <c r="B794" i="34"/>
  <c r="B795" i="34"/>
  <c r="B797" i="34"/>
  <c r="B798" i="34"/>
  <c r="B877" i="34"/>
  <c r="B878" i="34"/>
  <c r="B879" i="34"/>
  <c r="B880" i="34"/>
  <c r="B883" i="34"/>
  <c r="B884" i="34"/>
  <c r="B871" i="34"/>
  <c r="B872" i="34"/>
  <c r="B151" i="34"/>
  <c r="B172" i="34"/>
  <c r="B173" i="34"/>
  <c r="B174" i="34"/>
  <c r="B175" i="34"/>
  <c r="B180" i="34"/>
  <c r="B184" i="34"/>
  <c r="B185" i="34"/>
  <c r="B186" i="34"/>
  <c r="B195" i="34"/>
  <c r="B196" i="34"/>
  <c r="B198" i="34"/>
  <c r="B199" i="34"/>
  <c r="B200" i="34"/>
  <c r="B201" i="34"/>
  <c r="B202" i="34"/>
  <c r="B206" i="34"/>
  <c r="B207" i="34"/>
  <c r="B208" i="34"/>
  <c r="B209" i="34"/>
  <c r="B219" i="34"/>
  <c r="B220" i="34"/>
  <c r="B221" i="34"/>
  <c r="B238" i="34"/>
  <c r="B239" i="34"/>
  <c r="B256" i="34"/>
  <c r="B257" i="34"/>
  <c r="B241" i="34"/>
  <c r="B259" i="34"/>
  <c r="B260" i="34"/>
  <c r="B282" i="34"/>
  <c r="B283" i="34"/>
  <c r="B284" i="34"/>
  <c r="B285" i="34"/>
  <c r="B290" i="34"/>
  <c r="B291" i="34"/>
  <c r="B292" i="34"/>
  <c r="B374" i="34"/>
  <c r="B376" i="34"/>
  <c r="B377" i="34"/>
  <c r="B378" i="34"/>
  <c r="B224" i="34"/>
  <c r="B225" i="34"/>
  <c r="B226" i="34"/>
  <c r="B227" i="34"/>
  <c r="B228" i="34"/>
  <c r="B252" i="34"/>
  <c r="B253" i="34"/>
  <c r="B254" i="34"/>
  <c r="B255" i="34"/>
  <c r="B352" i="34"/>
  <c r="B353" i="34"/>
  <c r="B354" i="34"/>
  <c r="B355" i="34"/>
  <c r="B356" i="34"/>
  <c r="B362" i="34"/>
  <c r="B363" i="34"/>
  <c r="B364" i="34"/>
  <c r="B386" i="34"/>
  <c r="B387" i="34"/>
  <c r="B388" i="34"/>
  <c r="B391" i="34"/>
  <c r="B392" i="34"/>
  <c r="B393" i="34"/>
  <c r="B394" i="34"/>
  <c r="B397" i="34"/>
  <c r="B398" i="34"/>
  <c r="B399" i="34"/>
  <c r="B405" i="34"/>
  <c r="B409" i="34"/>
  <c r="B410" i="34"/>
  <c r="B411" i="34"/>
  <c r="B412" i="34"/>
  <c r="B395" i="34"/>
  <c r="B396" i="34"/>
  <c r="B413" i="34"/>
  <c r="B414" i="34"/>
  <c r="B415" i="34"/>
  <c r="B431" i="34"/>
  <c r="B432" i="34"/>
  <c r="B433" i="34"/>
  <c r="B434" i="34"/>
  <c r="B435" i="34"/>
  <c r="B436" i="34"/>
  <c r="B437" i="34"/>
  <c r="B438" i="34"/>
  <c r="B444" i="34"/>
  <c r="B445" i="34"/>
  <c r="B446" i="34"/>
  <c r="B447" i="34"/>
  <c r="B449" i="34"/>
  <c r="B450" i="34"/>
  <c r="B379" i="34"/>
  <c r="B380" i="34"/>
  <c r="B381" i="34"/>
  <c r="B382" i="34"/>
  <c r="B383" i="34"/>
  <c r="B384" i="34"/>
  <c r="B451" i="34"/>
  <c r="B455" i="34"/>
  <c r="B456" i="34"/>
  <c r="I13" i="71"/>
  <c r="O11" i="42"/>
  <c r="N11" i="42"/>
  <c r="Q1607" i="34" l="1"/>
  <c r="P1607" i="34"/>
  <c r="P873" i="34"/>
  <c r="R1607" i="34"/>
  <c r="Q873" i="34"/>
  <c r="R873" i="34"/>
  <c r="R1660" i="34"/>
  <c r="P1783" i="34"/>
  <c r="R1445" i="34"/>
  <c r="Q1653" i="34"/>
  <c r="P1653" i="34"/>
  <c r="P1032" i="34"/>
  <c r="Q1654" i="34"/>
  <c r="Q1661" i="34"/>
  <c r="P1661" i="34"/>
  <c r="R1673" i="34"/>
  <c r="Q1708" i="34"/>
  <c r="Q1784" i="34"/>
  <c r="P1784" i="34"/>
  <c r="R1790" i="34"/>
  <c r="P1352" i="34"/>
  <c r="P1254" i="34"/>
  <c r="Q1265" i="34"/>
  <c r="Q1587" i="34"/>
  <c r="P1587" i="34"/>
  <c r="R1778" i="34"/>
  <c r="Q976" i="34"/>
  <c r="Q1033" i="34"/>
  <c r="P1033" i="34"/>
  <c r="R1037" i="34"/>
  <c r="Q1128" i="34"/>
  <c r="Q1177" i="34"/>
  <c r="P1177" i="34"/>
  <c r="R1181" i="34"/>
  <c r="P110" i="34"/>
  <c r="R1701" i="34"/>
  <c r="P1268" i="34"/>
  <c r="R1535" i="34"/>
  <c r="R1180" i="34"/>
  <c r="P1184" i="34"/>
  <c r="Q1494" i="34"/>
  <c r="Q1655" i="34"/>
  <c r="P1655" i="34"/>
  <c r="P1662" i="34"/>
  <c r="Q1709" i="34"/>
  <c r="P1709" i="34"/>
  <c r="P1785" i="34"/>
  <c r="Q1492" i="34"/>
  <c r="R1192" i="34"/>
  <c r="P1255" i="34"/>
  <c r="P1425" i="34"/>
  <c r="P1502" i="34"/>
  <c r="Q1779" i="34"/>
  <c r="Q969" i="34"/>
  <c r="P969" i="34"/>
  <c r="R973" i="34"/>
  <c r="Q1034" i="34"/>
  <c r="R1038" i="34"/>
  <c r="R1125" i="34"/>
  <c r="Q1178" i="34"/>
  <c r="R1182" i="34"/>
  <c r="P1186" i="34"/>
  <c r="R1672" i="34"/>
  <c r="R1707" i="34"/>
  <c r="R1500" i="34"/>
  <c r="R971" i="34"/>
  <c r="R1664" i="34"/>
  <c r="P1656" i="34"/>
  <c r="Q1700" i="34"/>
  <c r="R1706" i="34"/>
  <c r="R1782" i="34"/>
  <c r="Q1544" i="34"/>
  <c r="Q1493" i="34"/>
  <c r="P1493" i="34"/>
  <c r="R1193" i="34"/>
  <c r="R1267" i="34"/>
  <c r="Q1444" i="34"/>
  <c r="Q1534" i="34"/>
  <c r="R1652" i="34"/>
  <c r="P970" i="34"/>
  <c r="Q1035" i="34"/>
  <c r="P1035" i="34"/>
  <c r="R1039" i="34"/>
  <c r="P1660" i="34"/>
  <c r="Q1194" i="34"/>
  <c r="P1445" i="34"/>
  <c r="R1653" i="34"/>
  <c r="Q1136" i="34"/>
  <c r="R1654" i="34"/>
  <c r="R1661" i="34"/>
  <c r="Q1702" i="34"/>
  <c r="R1708" i="34"/>
  <c r="R1784" i="34"/>
  <c r="Q1546" i="34"/>
  <c r="R1352" i="34"/>
  <c r="Q1254" i="34"/>
  <c r="P1265" i="34"/>
  <c r="P1424" i="34"/>
  <c r="Q1501" i="34"/>
  <c r="P1501" i="34"/>
  <c r="R1587" i="34"/>
  <c r="Q972" i="34"/>
  <c r="R976" i="34"/>
  <c r="R1033" i="34"/>
  <c r="Q1124" i="34"/>
  <c r="R1128" i="34"/>
  <c r="R1177" i="34"/>
  <c r="Q1189" i="34"/>
  <c r="P1189" i="34"/>
  <c r="Q1787" i="34"/>
  <c r="R1253" i="34"/>
  <c r="Q1268" i="34"/>
  <c r="Q1123" i="34"/>
  <c r="P1123" i="34"/>
  <c r="P1180" i="34"/>
  <c r="Q1188" i="34"/>
  <c r="R1494" i="34"/>
  <c r="R1655" i="34"/>
  <c r="Q1703" i="34"/>
  <c r="P1703" i="34"/>
  <c r="R1709" i="34"/>
  <c r="Q1791" i="34"/>
  <c r="R1492" i="34"/>
  <c r="P1192" i="34"/>
  <c r="Q1353" i="34"/>
  <c r="P1266" i="34"/>
  <c r="Q1588" i="34"/>
  <c r="R1779" i="34"/>
  <c r="R969" i="34"/>
  <c r="Q980" i="34"/>
  <c r="R1034" i="34"/>
  <c r="P1038" i="34"/>
  <c r="R1178" i="34"/>
  <c r="P1182" i="34"/>
  <c r="Q1190" i="34"/>
  <c r="Q1665" i="34"/>
  <c r="P1665" i="34"/>
  <c r="P1672" i="34"/>
  <c r="P1264" i="34"/>
  <c r="P1500" i="34"/>
  <c r="Q1036" i="34"/>
  <c r="Q1127" i="34"/>
  <c r="P1127" i="34"/>
  <c r="P1664" i="34"/>
  <c r="R1700" i="34"/>
  <c r="P1706" i="34"/>
  <c r="R1544" i="34"/>
  <c r="R1493" i="34"/>
  <c r="P1354" i="34"/>
  <c r="R1263" i="34"/>
  <c r="Q1267" i="34"/>
  <c r="R1534" i="34"/>
  <c r="P1652" i="34"/>
  <c r="Q974" i="34"/>
  <c r="Q1031" i="34"/>
  <c r="P1031" i="34"/>
  <c r="R1035" i="34"/>
  <c r="Q1126" i="34"/>
  <c r="Q1135" i="34"/>
  <c r="P1135" i="34"/>
  <c r="R1179" i="34"/>
  <c r="Q1783" i="34"/>
  <c r="R1194" i="34"/>
  <c r="Q1032" i="34"/>
  <c r="R1136" i="34"/>
  <c r="P1654" i="34"/>
  <c r="R1702" i="34"/>
  <c r="P1708" i="34"/>
  <c r="R1546" i="34"/>
  <c r="Q1352" i="34"/>
  <c r="R1254" i="34"/>
  <c r="R1424" i="34"/>
  <c r="R1501" i="34"/>
  <c r="R972" i="34"/>
  <c r="P976" i="34"/>
  <c r="R1124" i="34"/>
  <c r="P1128" i="34"/>
  <c r="Q1185" i="34"/>
  <c r="P1185" i="34"/>
  <c r="R1189" i="34"/>
  <c r="Q110" i="34"/>
  <c r="R1787" i="34"/>
  <c r="Q1253" i="34"/>
  <c r="R1268" i="34"/>
  <c r="Q975" i="34"/>
  <c r="P975" i="34"/>
  <c r="R1123" i="34"/>
  <c r="Q1184" i="34"/>
  <c r="R1188" i="34"/>
  <c r="P1494" i="34"/>
  <c r="Q1662" i="34"/>
  <c r="Q1699" i="34"/>
  <c r="P1699" i="34"/>
  <c r="R1703" i="34"/>
  <c r="Q1785" i="34"/>
  <c r="R1791" i="34"/>
  <c r="P1492" i="34"/>
  <c r="R1353" i="34"/>
  <c r="R1255" i="34"/>
  <c r="Q1266" i="34"/>
  <c r="Q1425" i="34"/>
  <c r="Q1502" i="34"/>
  <c r="R1588" i="34"/>
  <c r="P1779" i="34"/>
  <c r="R980" i="34"/>
  <c r="P1034" i="34"/>
  <c r="Q1129" i="34"/>
  <c r="P1129" i="34"/>
  <c r="P1178" i="34"/>
  <c r="Q1186" i="34"/>
  <c r="R1190" i="34"/>
  <c r="R1665" i="34"/>
  <c r="Q1545" i="34"/>
  <c r="P1545" i="34"/>
  <c r="Q1264" i="34"/>
  <c r="R1036" i="34"/>
  <c r="R1127" i="34"/>
  <c r="Q1656" i="34"/>
  <c r="Q1663" i="34"/>
  <c r="P1663" i="34"/>
  <c r="P1700" i="34"/>
  <c r="Q1786" i="34"/>
  <c r="P1786" i="34"/>
  <c r="P1544" i="34"/>
  <c r="R1354" i="34"/>
  <c r="Q1263" i="34"/>
  <c r="P1267" i="34"/>
  <c r="P1444" i="34"/>
  <c r="Q1499" i="34"/>
  <c r="P1499" i="34"/>
  <c r="P1534" i="34"/>
  <c r="Q970" i="34"/>
  <c r="R974" i="34"/>
  <c r="R1031" i="34"/>
  <c r="R1126" i="34"/>
  <c r="R1135" i="34"/>
  <c r="Q1660" i="34"/>
  <c r="R1783" i="34"/>
  <c r="P1194" i="34"/>
  <c r="Q1445" i="34"/>
  <c r="R1032" i="34"/>
  <c r="P1136" i="34"/>
  <c r="Q1673" i="34"/>
  <c r="P1673" i="34"/>
  <c r="P1702" i="34"/>
  <c r="Q1790" i="34"/>
  <c r="P1790" i="34"/>
  <c r="P1546" i="34"/>
  <c r="R1265" i="34"/>
  <c r="Q1424" i="34"/>
  <c r="Q1778" i="34"/>
  <c r="P1778" i="34"/>
  <c r="P972" i="34"/>
  <c r="Q1037" i="34"/>
  <c r="P1037" i="34"/>
  <c r="P1124" i="34"/>
  <c r="Q1181" i="34"/>
  <c r="P1181" i="34"/>
  <c r="R1185" i="34"/>
  <c r="R110" i="34"/>
  <c r="Q1701" i="34"/>
  <c r="P1701" i="34"/>
  <c r="P1787" i="34"/>
  <c r="P1253" i="34"/>
  <c r="Q1535" i="34"/>
  <c r="P1535" i="34"/>
  <c r="R975" i="34"/>
  <c r="Q1180" i="34"/>
  <c r="R1184" i="34"/>
  <c r="P1188" i="34"/>
  <c r="R1662" i="34"/>
  <c r="R1699" i="34"/>
  <c r="R1785" i="34"/>
  <c r="P1791" i="34"/>
  <c r="Q1192" i="34"/>
  <c r="P1353" i="34"/>
  <c r="Q1255" i="34"/>
  <c r="R1266" i="34"/>
  <c r="R1425" i="34"/>
  <c r="R1502" i="34"/>
  <c r="P1588" i="34"/>
  <c r="Q973" i="34"/>
  <c r="P973" i="34"/>
  <c r="P980" i="34"/>
  <c r="Q1038" i="34"/>
  <c r="Q1125" i="34"/>
  <c r="P1125" i="34"/>
  <c r="R1129" i="34"/>
  <c r="Q1182" i="34"/>
  <c r="R1186" i="34"/>
  <c r="P1190" i="34"/>
  <c r="Q1672" i="34"/>
  <c r="Q1707" i="34"/>
  <c r="P1707" i="34"/>
  <c r="R1545" i="34"/>
  <c r="R1264" i="34"/>
  <c r="Q1500" i="34"/>
  <c r="Q971" i="34"/>
  <c r="P971" i="34"/>
  <c r="P1036" i="34"/>
  <c r="Q1664" i="34"/>
  <c r="R1656" i="34"/>
  <c r="R1663" i="34"/>
  <c r="Q1706" i="34"/>
  <c r="Q1782" i="34"/>
  <c r="P1782" i="34"/>
  <c r="R1786" i="34"/>
  <c r="Q1193" i="34"/>
  <c r="P1193" i="34"/>
  <c r="Q1354" i="34"/>
  <c r="P1263" i="34"/>
  <c r="R1444" i="34"/>
  <c r="R1499" i="34"/>
  <c r="Q1652" i="34"/>
  <c r="R970" i="34"/>
  <c r="P974" i="34"/>
  <c r="Q1039" i="34"/>
  <c r="P1039" i="34"/>
  <c r="P1126" i="34"/>
  <c r="Q1183" i="34"/>
  <c r="P1183" i="34"/>
  <c r="Q1179" i="34"/>
  <c r="R1187" i="34"/>
  <c r="R1183" i="34"/>
  <c r="Q1191" i="34"/>
  <c r="P1191" i="34"/>
  <c r="P1179" i="34"/>
  <c r="Q1187" i="34"/>
  <c r="P1187" i="34"/>
  <c r="R1191" i="34"/>
  <c r="R583" i="34"/>
  <c r="P573" i="34"/>
  <c r="Q541" i="34"/>
  <c r="R551" i="34"/>
  <c r="P555" i="34"/>
  <c r="Q563" i="34"/>
  <c r="R569" i="34"/>
  <c r="R1213" i="34"/>
  <c r="Q112" i="34"/>
  <c r="P458" i="34"/>
  <c r="R481" i="34"/>
  <c r="P489" i="34"/>
  <c r="Q497" i="34"/>
  <c r="Q512" i="34"/>
  <c r="P512" i="34"/>
  <c r="R518" i="34"/>
  <c r="P606" i="34"/>
  <c r="R601" i="34"/>
  <c r="R619" i="34"/>
  <c r="P692" i="34"/>
  <c r="R706" i="34"/>
  <c r="Q768" i="34"/>
  <c r="P802" i="34"/>
  <c r="R128" i="34"/>
  <c r="R952" i="34"/>
  <c r="Q986" i="34"/>
  <c r="R1012" i="34"/>
  <c r="R1045" i="34"/>
  <c r="R1098" i="34"/>
  <c r="R1097" i="34"/>
  <c r="R887" i="34"/>
  <c r="R570" i="34"/>
  <c r="Q581" i="34"/>
  <c r="Q888" i="34"/>
  <c r="P888" i="34"/>
  <c r="R534" i="34"/>
  <c r="Q556" i="34"/>
  <c r="P556" i="34"/>
  <c r="R560" i="34"/>
  <c r="R1214" i="34"/>
  <c r="Q113" i="34"/>
  <c r="R473" i="34"/>
  <c r="Q490" i="34"/>
  <c r="P490" i="34"/>
  <c r="R494" i="34"/>
  <c r="Q515" i="34"/>
  <c r="R519" i="34"/>
  <c r="P595" i="34"/>
  <c r="R609" i="34"/>
  <c r="P613" i="34"/>
  <c r="Q703" i="34"/>
  <c r="P758" i="34"/>
  <c r="R774" i="34"/>
  <c r="P811" i="34"/>
  <c r="R984" i="34"/>
  <c r="P1042" i="34"/>
  <c r="R1046" i="34"/>
  <c r="P1050" i="34"/>
  <c r="Q1113" i="34"/>
  <c r="P1113" i="34"/>
  <c r="P579" i="34"/>
  <c r="R571" i="34"/>
  <c r="R578" i="34"/>
  <c r="Q531" i="34"/>
  <c r="R535" i="34"/>
  <c r="P549" i="34"/>
  <c r="Q557" i="34"/>
  <c r="R561" i="34"/>
  <c r="P567" i="34"/>
  <c r="Q857" i="34"/>
  <c r="P114" i="34"/>
  <c r="Q491" i="34"/>
  <c r="R495" i="34"/>
  <c r="P499" i="34"/>
  <c r="Q596" i="34"/>
  <c r="P596" i="34"/>
  <c r="P599" i="34"/>
  <c r="P583" i="34"/>
  <c r="Q533" i="34"/>
  <c r="R541" i="34"/>
  <c r="P551" i="34"/>
  <c r="Q559" i="34"/>
  <c r="R563" i="34"/>
  <c r="P569" i="34"/>
  <c r="R112" i="34"/>
  <c r="R458" i="34"/>
  <c r="P481" i="34"/>
  <c r="Q493" i="34"/>
  <c r="R497" i="34"/>
  <c r="R512" i="34"/>
  <c r="Q539" i="34"/>
  <c r="Q606" i="34"/>
  <c r="P601" i="34"/>
  <c r="P612" i="34"/>
  <c r="R692" i="34"/>
  <c r="Q706" i="34"/>
  <c r="P768" i="34"/>
  <c r="P128" i="34"/>
  <c r="Q952" i="34"/>
  <c r="Q964" i="34"/>
  <c r="R986" i="34"/>
  <c r="P1012" i="34"/>
  <c r="Q1053" i="34"/>
  <c r="P1053" i="34"/>
  <c r="P1098" i="34"/>
  <c r="Q540" i="34"/>
  <c r="P540" i="34"/>
  <c r="P887" i="34"/>
  <c r="Q577" i="34"/>
  <c r="R581" i="34"/>
  <c r="R888" i="34"/>
  <c r="Q552" i="34"/>
  <c r="P552" i="34"/>
  <c r="R556" i="34"/>
  <c r="Q814" i="34"/>
  <c r="P814" i="34"/>
  <c r="P1214" i="34"/>
  <c r="Q482" i="34"/>
  <c r="P482" i="34"/>
  <c r="R490" i="34"/>
  <c r="R515" i="34"/>
  <c r="P519" i="34"/>
  <c r="Q613" i="34"/>
  <c r="P620" i="34"/>
  <c r="R703" i="34"/>
  <c r="R758" i="34"/>
  <c r="Q774" i="34"/>
  <c r="P129" i="34"/>
  <c r="P953" i="34"/>
  <c r="P984" i="34"/>
  <c r="Q1008" i="34"/>
  <c r="Q1013" i="34"/>
  <c r="P1013" i="34"/>
  <c r="P1046" i="34"/>
  <c r="Q1054" i="34"/>
  <c r="Q1133" i="34"/>
  <c r="P1133" i="34"/>
  <c r="R1113" i="34"/>
  <c r="Q580" i="34"/>
  <c r="P580" i="34"/>
  <c r="P571" i="34"/>
  <c r="R531" i="34"/>
  <c r="P535" i="34"/>
  <c r="Q553" i="34"/>
  <c r="R557" i="34"/>
  <c r="P561" i="34"/>
  <c r="R857" i="34"/>
  <c r="Q474" i="34"/>
  <c r="Q483" i="34"/>
  <c r="R491" i="34"/>
  <c r="P495" i="34"/>
  <c r="Q520" i="34"/>
  <c r="P520" i="34"/>
  <c r="R596" i="34"/>
  <c r="P610" i="34"/>
  <c r="R614" i="34"/>
  <c r="Q614" i="34"/>
  <c r="Q621" i="34"/>
  <c r="Q573" i="34"/>
  <c r="R533" i="34"/>
  <c r="P541" i="34"/>
  <c r="Q555" i="34"/>
  <c r="R559" i="34"/>
  <c r="P563" i="34"/>
  <c r="P112" i="34"/>
  <c r="Q458" i="34"/>
  <c r="Q489" i="34"/>
  <c r="R493" i="34"/>
  <c r="P497" i="34"/>
  <c r="R539" i="34"/>
  <c r="R606" i="34"/>
  <c r="P619" i="34"/>
  <c r="Q692" i="34"/>
  <c r="R802" i="34"/>
  <c r="P952" i="34"/>
  <c r="R964" i="34"/>
  <c r="Q1041" i="34"/>
  <c r="P1041" i="34"/>
  <c r="P986" i="34"/>
  <c r="Q1049" i="34"/>
  <c r="P1049" i="34"/>
  <c r="R1053" i="34"/>
  <c r="Q572" i="34"/>
  <c r="P572" i="34"/>
  <c r="R540" i="34"/>
  <c r="R577" i="34"/>
  <c r="P581" i="34"/>
  <c r="Q548" i="34"/>
  <c r="P548" i="34"/>
  <c r="R552" i="34"/>
  <c r="Q564" i="34"/>
  <c r="P564" i="34"/>
  <c r="R814" i="34"/>
  <c r="P113" i="34"/>
  <c r="P473" i="34"/>
  <c r="R482" i="34"/>
  <c r="Q498" i="34"/>
  <c r="P498" i="34"/>
  <c r="P515" i="34"/>
  <c r="Q595" i="34"/>
  <c r="Q598" i="34"/>
  <c r="P598" i="34"/>
  <c r="P609" i="34"/>
  <c r="Q609" i="34"/>
  <c r="R613" i="34"/>
  <c r="P703" i="34"/>
  <c r="Q758" i="34"/>
  <c r="P774" i="34"/>
  <c r="Q811" i="34"/>
  <c r="R129" i="34"/>
  <c r="Q953" i="34"/>
  <c r="Q1042" i="34"/>
  <c r="R1008" i="34"/>
  <c r="R1013" i="34"/>
  <c r="Q1050" i="34"/>
  <c r="R1054" i="34"/>
  <c r="R1133" i="34"/>
  <c r="Q579" i="34"/>
  <c r="Q550" i="34"/>
  <c r="P550" i="34"/>
  <c r="R580" i="34"/>
  <c r="Q582" i="34"/>
  <c r="P582" i="34"/>
  <c r="P531" i="34"/>
  <c r="Q549" i="34"/>
  <c r="R553" i="34"/>
  <c r="P557" i="34"/>
  <c r="Q567" i="34"/>
  <c r="Q1211" i="34"/>
  <c r="P1211" i="34"/>
  <c r="P857" i="34"/>
  <c r="Q114" i="34"/>
  <c r="P474" i="34"/>
  <c r="R483" i="34"/>
  <c r="P491" i="34"/>
  <c r="Q499" i="34"/>
  <c r="Q516" i="34"/>
  <c r="P516" i="34"/>
  <c r="R520" i="34"/>
  <c r="Q599" i="34"/>
  <c r="Q610" i="34"/>
  <c r="R621" i="34"/>
  <c r="P704" i="34"/>
  <c r="Q583" i="34"/>
  <c r="R573" i="34"/>
  <c r="P533" i="34"/>
  <c r="Q551" i="34"/>
  <c r="R555" i="34"/>
  <c r="P559" i="34"/>
  <c r="Q569" i="34"/>
  <c r="Q1213" i="34"/>
  <c r="P1213" i="34"/>
  <c r="Q481" i="34"/>
  <c r="R489" i="34"/>
  <c r="P493" i="34"/>
  <c r="Q518" i="34"/>
  <c r="P518" i="34"/>
  <c r="P539" i="34"/>
  <c r="Q601" i="34"/>
  <c r="R612" i="34"/>
  <c r="Q612" i="34"/>
  <c r="Q619" i="34"/>
  <c r="P706" i="34"/>
  <c r="R768" i="34"/>
  <c r="Q802" i="34"/>
  <c r="Q128" i="34"/>
  <c r="P964" i="34"/>
  <c r="R1041" i="34"/>
  <c r="Q1012" i="34"/>
  <c r="Q1045" i="34"/>
  <c r="P1045" i="34"/>
  <c r="R1049" i="34"/>
  <c r="Q1098" i="34"/>
  <c r="Q1097" i="34"/>
  <c r="P1097" i="34"/>
  <c r="R572" i="34"/>
  <c r="Q887" i="34"/>
  <c r="Q570" i="34"/>
  <c r="P570" i="34"/>
  <c r="P577" i="34"/>
  <c r="Q534" i="34"/>
  <c r="P534" i="34"/>
  <c r="R548" i="34"/>
  <c r="Q560" i="34"/>
  <c r="P560" i="34"/>
  <c r="R564" i="34"/>
  <c r="Q1214" i="34"/>
  <c r="R113" i="34"/>
  <c r="Q473" i="34"/>
  <c r="Q494" i="34"/>
  <c r="P494" i="34"/>
  <c r="R498" i="34"/>
  <c r="Q519" i="34"/>
  <c r="R595" i="34"/>
  <c r="R598" i="34"/>
  <c r="R620" i="34"/>
  <c r="Q620" i="34"/>
  <c r="R811" i="34"/>
  <c r="Q129" i="34"/>
  <c r="R953" i="34"/>
  <c r="Q984" i="34"/>
  <c r="R1042" i="34"/>
  <c r="P1008" i="34"/>
  <c r="Q1046" i="34"/>
  <c r="R1050" i="34"/>
  <c r="P1054" i="34"/>
  <c r="R579" i="34"/>
  <c r="R550" i="34"/>
  <c r="Q571" i="34"/>
  <c r="Q578" i="34"/>
  <c r="P578" i="34"/>
  <c r="R582" i="34"/>
  <c r="Q535" i="34"/>
  <c r="R549" i="34"/>
  <c r="P553" i="34"/>
  <c r="Q561" i="34"/>
  <c r="R567" i="34"/>
  <c r="R1211" i="34"/>
  <c r="R114" i="34"/>
  <c r="R474" i="34"/>
  <c r="P483" i="34"/>
  <c r="Q495" i="34"/>
  <c r="R499" i="34"/>
  <c r="R516" i="34"/>
  <c r="R599" i="34"/>
  <c r="R610" i="34"/>
  <c r="P614" i="34"/>
  <c r="R704" i="34"/>
  <c r="P621" i="34"/>
  <c r="Q704" i="34"/>
  <c r="Q759" i="34"/>
  <c r="Q812" i="34"/>
  <c r="P812" i="34"/>
  <c r="P962" i="34"/>
  <c r="Q1043" i="34"/>
  <c r="P1043" i="34"/>
  <c r="R1009" i="34"/>
  <c r="Q1051" i="34"/>
  <c r="P1051" i="34"/>
  <c r="P1092" i="34"/>
  <c r="Q532" i="34"/>
  <c r="P532" i="34"/>
  <c r="R554" i="34"/>
  <c r="Q568" i="34"/>
  <c r="P568" i="34"/>
  <c r="P1212" i="34"/>
  <c r="P115" i="34"/>
  <c r="R475" i="34"/>
  <c r="R484" i="34"/>
  <c r="R511" i="34"/>
  <c r="P517" i="34"/>
  <c r="Q597" i="34"/>
  <c r="Q600" i="34"/>
  <c r="P600" i="34"/>
  <c r="Q611" i="34"/>
  <c r="P618" i="34"/>
  <c r="R691" i="34"/>
  <c r="P705" i="34"/>
  <c r="Q767" i="34"/>
  <c r="R801" i="34"/>
  <c r="Q813" i="34"/>
  <c r="P951" i="34"/>
  <c r="Q963" i="34"/>
  <c r="Q1011" i="34"/>
  <c r="P1011" i="34"/>
  <c r="P1044" i="34"/>
  <c r="Q1052" i="34"/>
  <c r="Q1095" i="34"/>
  <c r="P1095" i="34"/>
  <c r="P1096" i="34"/>
  <c r="Q1056" i="34"/>
  <c r="R759" i="34"/>
  <c r="P775" i="34"/>
  <c r="R812" i="34"/>
  <c r="Q130" i="34"/>
  <c r="Q1007" i="34"/>
  <c r="P1007" i="34"/>
  <c r="R1043" i="34"/>
  <c r="Q1014" i="34"/>
  <c r="Q1047" i="34"/>
  <c r="P1047" i="34"/>
  <c r="R1051" i="34"/>
  <c r="Q1088" i="34"/>
  <c r="Q1055" i="34"/>
  <c r="P1055" i="34"/>
  <c r="R532" i="34"/>
  <c r="Q562" i="34"/>
  <c r="P562" i="34"/>
  <c r="R568" i="34"/>
  <c r="P111" i="34"/>
  <c r="R115" i="34"/>
  <c r="P475" i="34"/>
  <c r="Q496" i="34"/>
  <c r="P496" i="34"/>
  <c r="P511" i="34"/>
  <c r="R597" i="34"/>
  <c r="R600" i="34"/>
  <c r="R611" i="34"/>
  <c r="P691" i="34"/>
  <c r="R767" i="34"/>
  <c r="R813" i="34"/>
  <c r="Q951" i="34"/>
  <c r="R963" i="34"/>
  <c r="Q1040" i="34"/>
  <c r="Q985" i="34"/>
  <c r="P985" i="34"/>
  <c r="R1011" i="34"/>
  <c r="Q1048" i="34"/>
  <c r="R1052" i="34"/>
  <c r="R1095" i="34"/>
  <c r="P759" i="34"/>
  <c r="Q775" i="34"/>
  <c r="R130" i="34"/>
  <c r="R962" i="34"/>
  <c r="R1007" i="34"/>
  <c r="R1014" i="34"/>
  <c r="R1047" i="34"/>
  <c r="Q1092" i="34"/>
  <c r="R1088" i="34"/>
  <c r="R1055" i="34"/>
  <c r="Q558" i="34"/>
  <c r="P558" i="34"/>
  <c r="R562" i="34"/>
  <c r="Q1212" i="34"/>
  <c r="R111" i="34"/>
  <c r="Q115" i="34"/>
  <c r="Q492" i="34"/>
  <c r="P492" i="34"/>
  <c r="R496" i="34"/>
  <c r="Q517" i="34"/>
  <c r="Q530" i="34"/>
  <c r="P530" i="34"/>
  <c r="P597" i="34"/>
  <c r="R618" i="34"/>
  <c r="Q618" i="34"/>
  <c r="Q705" i="34"/>
  <c r="P801" i="34"/>
  <c r="Q801" i="34"/>
  <c r="P813" i="34"/>
  <c r="R951" i="34"/>
  <c r="R1040" i="34"/>
  <c r="R985" i="34"/>
  <c r="Q1044" i="34"/>
  <c r="R1048" i="34"/>
  <c r="P1052" i="34"/>
  <c r="Q1096" i="34"/>
  <c r="R1056" i="34"/>
  <c r="R775" i="34"/>
  <c r="P130" i="34"/>
  <c r="Q962" i="34"/>
  <c r="Q1009" i="34"/>
  <c r="P1009" i="34"/>
  <c r="P1014" i="34"/>
  <c r="R1092" i="34"/>
  <c r="P1088" i="34"/>
  <c r="Q554" i="34"/>
  <c r="P554" i="34"/>
  <c r="R558" i="34"/>
  <c r="R1212" i="34"/>
  <c r="Q111" i="34"/>
  <c r="Q475" i="34"/>
  <c r="Q484" i="34"/>
  <c r="P484" i="34"/>
  <c r="R492" i="34"/>
  <c r="Q511" i="34"/>
  <c r="R517" i="34"/>
  <c r="R530" i="34"/>
  <c r="P611" i="34"/>
  <c r="Q691" i="34"/>
  <c r="R705" i="34"/>
  <c r="P767" i="34"/>
  <c r="P963" i="34"/>
  <c r="P1040" i="34"/>
  <c r="R1044" i="34"/>
  <c r="P1048" i="34"/>
  <c r="R1096" i="34"/>
  <c r="P1056" i="34"/>
  <c r="P80" i="34"/>
  <c r="Q80" i="34"/>
  <c r="R80" i="34"/>
  <c r="Q1081" i="34"/>
  <c r="P1081" i="34"/>
  <c r="P1090" i="34"/>
  <c r="P1242" i="34"/>
  <c r="Q1251" i="34"/>
  <c r="Q1387" i="34"/>
  <c r="R1415" i="34"/>
  <c r="R1490" i="34"/>
  <c r="R1521" i="34"/>
  <c r="Q1688" i="34"/>
  <c r="R1698" i="34"/>
  <c r="Q1748" i="34"/>
  <c r="Q1028" i="34"/>
  <c r="R1082" i="34"/>
  <c r="R1091" i="34"/>
  <c r="Q1172" i="34"/>
  <c r="R1243" i="34"/>
  <c r="Q1252" i="34"/>
  <c r="P1416" i="34"/>
  <c r="Q1491" i="34"/>
  <c r="P1491" i="34"/>
  <c r="P1522" i="34"/>
  <c r="Q1729" i="34"/>
  <c r="Q1093" i="34"/>
  <c r="P1093" i="34"/>
  <c r="R1169" i="34"/>
  <c r="P1385" i="34"/>
  <c r="R1686" i="34"/>
  <c r="P1696" i="34"/>
  <c r="R1080" i="34"/>
  <c r="R1089" i="34"/>
  <c r="Q1170" i="34"/>
  <c r="R1241" i="34"/>
  <c r="Q1245" i="34"/>
  <c r="P1414" i="34"/>
  <c r="Q1489" i="34"/>
  <c r="P1489" i="34"/>
  <c r="P1506" i="34"/>
  <c r="R1754" i="34"/>
  <c r="P1754" i="34"/>
  <c r="R1081" i="34"/>
  <c r="Q1171" i="34"/>
  <c r="P1171" i="34"/>
  <c r="Q1242" i="34"/>
  <c r="P1251" i="34"/>
  <c r="R1387" i="34"/>
  <c r="P1415" i="34"/>
  <c r="P1490" i="34"/>
  <c r="Q1684" i="34"/>
  <c r="R1688" i="34"/>
  <c r="P1698" i="34"/>
  <c r="R1748" i="34"/>
  <c r="Q1781" i="34"/>
  <c r="R1028" i="34"/>
  <c r="P1082" i="34"/>
  <c r="Q1166" i="34"/>
  <c r="R1172" i="34"/>
  <c r="Q1243" i="34"/>
  <c r="R1252" i="34"/>
  <c r="P1388" i="34"/>
  <c r="R1416" i="34"/>
  <c r="R1491" i="34"/>
  <c r="Q1695" i="34"/>
  <c r="P1695" i="34"/>
  <c r="R1729" i="34"/>
  <c r="P1749" i="34"/>
  <c r="Q1083" i="34"/>
  <c r="P1083" i="34"/>
  <c r="R1093" i="34"/>
  <c r="P1244" i="34"/>
  <c r="Q1413" i="34"/>
  <c r="Q1537" i="34"/>
  <c r="P1537" i="34"/>
  <c r="P1686" i="34"/>
  <c r="R1730" i="34"/>
  <c r="P1750" i="34"/>
  <c r="P1080" i="34"/>
  <c r="Q1164" i="34"/>
  <c r="R1170" i="34"/>
  <c r="Q1241" i="34"/>
  <c r="P1245" i="34"/>
  <c r="P1386" i="34"/>
  <c r="R1414" i="34"/>
  <c r="R1489" i="34"/>
  <c r="Q1596" i="34"/>
  <c r="Q1687" i="34"/>
  <c r="P1687" i="34"/>
  <c r="R1697" i="34"/>
  <c r="P1747" i="34"/>
  <c r="Q1090" i="34"/>
  <c r="Q1165" i="34"/>
  <c r="P1165" i="34"/>
  <c r="R1171" i="34"/>
  <c r="R1242" i="34"/>
  <c r="P1387" i="34"/>
  <c r="R1684" i="34"/>
  <c r="P1688" i="34"/>
  <c r="R1781" i="34"/>
  <c r="P1028" i="34"/>
  <c r="R1166" i="34"/>
  <c r="P1172" i="34"/>
  <c r="P1243" i="34"/>
  <c r="R1388" i="34"/>
  <c r="Q1416" i="34"/>
  <c r="Q1522" i="34"/>
  <c r="Q1685" i="34"/>
  <c r="P1685" i="34"/>
  <c r="R1695" i="34"/>
  <c r="Q1029" i="34"/>
  <c r="P1029" i="34"/>
  <c r="R1083" i="34"/>
  <c r="Q1173" i="34"/>
  <c r="P1173" i="34"/>
  <c r="Q1244" i="34"/>
  <c r="Q1385" i="34"/>
  <c r="R1413" i="34"/>
  <c r="Q1497" i="34"/>
  <c r="P1497" i="34"/>
  <c r="R1537" i="34"/>
  <c r="Q1696" i="34"/>
  <c r="Q1750" i="34"/>
  <c r="R1164" i="34"/>
  <c r="P1170" i="34"/>
  <c r="P1241" i="34"/>
  <c r="R1386" i="34"/>
  <c r="Q1414" i="34"/>
  <c r="Q1506" i="34"/>
  <c r="R1596" i="34"/>
  <c r="R1687" i="34"/>
  <c r="R1090" i="34"/>
  <c r="R1165" i="34"/>
  <c r="R1251" i="34"/>
  <c r="Q1415" i="34"/>
  <c r="Q1490" i="34"/>
  <c r="Q1521" i="34"/>
  <c r="P1521" i="34"/>
  <c r="P1684" i="34"/>
  <c r="Q1698" i="34"/>
  <c r="P1748" i="34"/>
  <c r="P1781" i="34"/>
  <c r="Q1082" i="34"/>
  <c r="Q1091" i="34"/>
  <c r="P1091" i="34"/>
  <c r="P1166" i="34"/>
  <c r="P1252" i="34"/>
  <c r="Q1388" i="34"/>
  <c r="R1522" i="34"/>
  <c r="R1685" i="34"/>
  <c r="P1729" i="34"/>
  <c r="R1749" i="34"/>
  <c r="Q1749" i="34"/>
  <c r="R1029" i="34"/>
  <c r="Q1169" i="34"/>
  <c r="P1169" i="34"/>
  <c r="R1173" i="34"/>
  <c r="R1244" i="34"/>
  <c r="R1385" i="34"/>
  <c r="P1413" i="34"/>
  <c r="R1497" i="34"/>
  <c r="Q1686" i="34"/>
  <c r="R1696" i="34"/>
  <c r="P1730" i="34"/>
  <c r="Q1730" i="34"/>
  <c r="R1750" i="34"/>
  <c r="Q1080" i="34"/>
  <c r="Q1089" i="34"/>
  <c r="P1089" i="34"/>
  <c r="P1164" i="34"/>
  <c r="R1245" i="34"/>
  <c r="Q1386" i="34"/>
  <c r="R1506" i="34"/>
  <c r="P1596" i="34"/>
  <c r="R1747" i="34"/>
  <c r="Q1747" i="34"/>
  <c r="Q1754" i="34"/>
  <c r="Q1697" i="34"/>
  <c r="P1697" i="34"/>
  <c r="Q1195" i="34"/>
  <c r="P1195" i="34"/>
  <c r="R1023" i="34"/>
  <c r="Q1676" i="34"/>
  <c r="R1680" i="34"/>
  <c r="P1710" i="34"/>
  <c r="R1396" i="34"/>
  <c r="R1300" i="34"/>
  <c r="Q1300" i="34"/>
  <c r="R1363" i="34"/>
  <c r="R1504" i="34"/>
  <c r="P1076" i="34"/>
  <c r="Q1160" i="34"/>
  <c r="R1196" i="34"/>
  <c r="P1200" i="34"/>
  <c r="Q1002" i="34"/>
  <c r="R1072" i="34"/>
  <c r="Q1775" i="34"/>
  <c r="P1771" i="34"/>
  <c r="Q1646" i="34"/>
  <c r="R1624" i="34"/>
  <c r="R1617" i="34"/>
  <c r="Q1579" i="34"/>
  <c r="P1579" i="34"/>
  <c r="R1569" i="34"/>
  <c r="R1395" i="34"/>
  <c r="P1355" i="34"/>
  <c r="R1141" i="34"/>
  <c r="Q1104" i="34"/>
  <c r="R1100" i="34"/>
  <c r="P1066" i="34"/>
  <c r="Q981" i="34"/>
  <c r="P981" i="34"/>
  <c r="R940" i="34"/>
  <c r="Q925" i="34"/>
  <c r="R921" i="34"/>
  <c r="P917" i="34"/>
  <c r="Q1116" i="34"/>
  <c r="R1120" i="34"/>
  <c r="P1146" i="34"/>
  <c r="P324" i="34"/>
  <c r="R331" i="34"/>
  <c r="Q441" i="34"/>
  <c r="Q911" i="34"/>
  <c r="Q1215" i="34"/>
  <c r="P1215" i="34"/>
  <c r="R989" i="34"/>
  <c r="Q1060" i="34"/>
  <c r="Q1217" i="34"/>
  <c r="P1217" i="34"/>
  <c r="Q28" i="34"/>
  <c r="P33" i="34"/>
  <c r="R37" i="34"/>
  <c r="Q43" i="34"/>
  <c r="P623" i="34"/>
  <c r="Q627" i="34"/>
  <c r="Q638" i="34"/>
  <c r="R642" i="34"/>
  <c r="R646" i="34"/>
  <c r="Q650" i="34"/>
  <c r="P668" i="34"/>
  <c r="R672" i="34"/>
  <c r="Q676" i="34"/>
  <c r="P686" i="34"/>
  <c r="P697" i="34"/>
  <c r="R725" i="34"/>
  <c r="P733" i="34"/>
  <c r="Q1024" i="34"/>
  <c r="R1536" i="34"/>
  <c r="R1677" i="34"/>
  <c r="P1237" i="34"/>
  <c r="R1357" i="34"/>
  <c r="R1382" i="34"/>
  <c r="R1505" i="34"/>
  <c r="Q1161" i="34"/>
  <c r="P1161" i="34"/>
  <c r="R1197" i="34"/>
  <c r="Q1208" i="34"/>
  <c r="Q999" i="34"/>
  <c r="P999" i="34"/>
  <c r="R1003" i="34"/>
  <c r="P1770" i="34"/>
  <c r="R1627" i="34"/>
  <c r="Q1616" i="34"/>
  <c r="R1612" i="34"/>
  <c r="R1195" i="34"/>
  <c r="R1676" i="34"/>
  <c r="P1680" i="34"/>
  <c r="P1725" i="34"/>
  <c r="Q1780" i="34"/>
  <c r="P1780" i="34"/>
  <c r="Q1396" i="34"/>
  <c r="P1356" i="34"/>
  <c r="P1363" i="34"/>
  <c r="P1504" i="34"/>
  <c r="Q1154" i="34"/>
  <c r="R1160" i="34"/>
  <c r="P1196" i="34"/>
  <c r="Q1204" i="34"/>
  <c r="R1002" i="34"/>
  <c r="P1072" i="34"/>
  <c r="P1775" i="34"/>
  <c r="R1646" i="34"/>
  <c r="P1624" i="34"/>
  <c r="Q1583" i="34"/>
  <c r="P1583" i="34"/>
  <c r="R1579" i="34"/>
  <c r="P1395" i="34"/>
  <c r="R1104" i="34"/>
  <c r="P1100" i="34"/>
  <c r="Q993" i="34"/>
  <c r="P993" i="34"/>
  <c r="R981" i="34"/>
  <c r="P936" i="34"/>
  <c r="R925" i="34"/>
  <c r="P921" i="34"/>
  <c r="Q1086" i="34"/>
  <c r="R1116" i="34"/>
  <c r="P1120" i="34"/>
  <c r="Q1151" i="34"/>
  <c r="P1151" i="34"/>
  <c r="R441" i="34"/>
  <c r="R911" i="34"/>
  <c r="R1215" i="34"/>
  <c r="Q1018" i="34"/>
  <c r="R1060" i="34"/>
  <c r="R1217" i="34"/>
  <c r="Q24" i="34"/>
  <c r="R28" i="34"/>
  <c r="R33" i="34"/>
  <c r="Q37" i="34"/>
  <c r="P131" i="34"/>
  <c r="Q586" i="34"/>
  <c r="P586" i="34"/>
  <c r="Q623" i="34"/>
  <c r="R627" i="34"/>
  <c r="R638" i="34"/>
  <c r="P642" i="34"/>
  <c r="Q646" i="34"/>
  <c r="P664" i="34"/>
  <c r="R668" i="34"/>
  <c r="Q672" i="34"/>
  <c r="P680" i="34"/>
  <c r="R686" i="34"/>
  <c r="Q701" i="34"/>
  <c r="P710" i="34"/>
  <c r="P725" i="34"/>
  <c r="Q741" i="34"/>
  <c r="R1024" i="34"/>
  <c r="P1536" i="34"/>
  <c r="Q1711" i="34"/>
  <c r="P1711" i="34"/>
  <c r="P1726" i="34"/>
  <c r="Q1726" i="34"/>
  <c r="Q1397" i="34"/>
  <c r="P1357" i="34"/>
  <c r="Q1382" i="34"/>
  <c r="Q1155" i="34"/>
  <c r="P1155" i="34"/>
  <c r="R1161" i="34"/>
  <c r="R1208" i="34"/>
  <c r="R999" i="34"/>
  <c r="P1774" i="34"/>
  <c r="Q1770" i="34"/>
  <c r="R1616" i="34"/>
  <c r="P1612" i="34"/>
  <c r="Q1027" i="34"/>
  <c r="P1027" i="34"/>
  <c r="P1676" i="34"/>
  <c r="Q1710" i="34"/>
  <c r="Q1725" i="34"/>
  <c r="R1780" i="34"/>
  <c r="R1356" i="34"/>
  <c r="Q1076" i="34"/>
  <c r="R1154" i="34"/>
  <c r="P1160" i="34"/>
  <c r="Q1200" i="34"/>
  <c r="R1204" i="34"/>
  <c r="P1002" i="34"/>
  <c r="R1771" i="34"/>
  <c r="P1646" i="34"/>
  <c r="Q1613" i="34"/>
  <c r="P1613" i="34"/>
  <c r="R1583" i="34"/>
  <c r="Q1565" i="34"/>
  <c r="P1565" i="34"/>
  <c r="Q1355" i="34"/>
  <c r="Q1137" i="34"/>
  <c r="P1137" i="34"/>
  <c r="P1104" i="34"/>
  <c r="Q1066" i="34"/>
  <c r="Q997" i="34"/>
  <c r="P997" i="34"/>
  <c r="R993" i="34"/>
  <c r="P940" i="34"/>
  <c r="Q936" i="34"/>
  <c r="P925" i="34"/>
  <c r="Q917" i="34"/>
  <c r="R1086" i="34"/>
  <c r="P1116" i="34"/>
  <c r="Q1146" i="34"/>
  <c r="Q1147" i="34"/>
  <c r="P1147" i="34"/>
  <c r="R1151" i="34"/>
  <c r="Q324" i="34"/>
  <c r="P441" i="34"/>
  <c r="P911" i="34"/>
  <c r="R1018" i="34"/>
  <c r="P1060" i="34"/>
  <c r="R24" i="34"/>
  <c r="P28" i="34"/>
  <c r="Q33" i="34"/>
  <c r="P43" i="34"/>
  <c r="R131" i="34"/>
  <c r="R586" i="34"/>
  <c r="R623" i="34"/>
  <c r="P638" i="34"/>
  <c r="P650" i="34"/>
  <c r="R664" i="34"/>
  <c r="Q668" i="34"/>
  <c r="P676" i="34"/>
  <c r="R680" i="34"/>
  <c r="Q686" i="34"/>
  <c r="Q697" i="34"/>
  <c r="R701" i="34"/>
  <c r="R710" i="34"/>
  <c r="Q733" i="34"/>
  <c r="R741" i="34"/>
  <c r="Q894" i="34"/>
  <c r="P894" i="34"/>
  <c r="P1024" i="34"/>
  <c r="Q1681" i="34"/>
  <c r="P1681" i="34"/>
  <c r="R1711" i="34"/>
  <c r="R1397" i="34"/>
  <c r="R1237" i="34"/>
  <c r="Q1077" i="34"/>
  <c r="P1077" i="34"/>
  <c r="R1155" i="34"/>
  <c r="Q1201" i="34"/>
  <c r="P1201" i="34"/>
  <c r="P1208" i="34"/>
  <c r="Q1073" i="34"/>
  <c r="P1073" i="34"/>
  <c r="Q1774" i="34"/>
  <c r="R1770" i="34"/>
  <c r="Q1623" i="34"/>
  <c r="P1623" i="34"/>
  <c r="P1616" i="34"/>
  <c r="Q1582" i="34"/>
  <c r="R1578" i="34"/>
  <c r="P1568" i="34"/>
  <c r="Q1023" i="34"/>
  <c r="P1023" i="34"/>
  <c r="R1027" i="34"/>
  <c r="Q1680" i="34"/>
  <c r="R1710" i="34"/>
  <c r="R1725" i="34"/>
  <c r="P1396" i="34"/>
  <c r="P1300" i="34"/>
  <c r="Q1356" i="34"/>
  <c r="Q1363" i="34"/>
  <c r="Q1504" i="34"/>
  <c r="R1076" i="34"/>
  <c r="P1154" i="34"/>
  <c r="Q1196" i="34"/>
  <c r="R1200" i="34"/>
  <c r="P1204" i="34"/>
  <c r="Q1072" i="34"/>
  <c r="R1775" i="34"/>
  <c r="Q1771" i="34"/>
  <c r="Q1624" i="34"/>
  <c r="Q1617" i="34"/>
  <c r="P1617" i="34"/>
  <c r="R1613" i="34"/>
  <c r="Q1569" i="34"/>
  <c r="P1569" i="34"/>
  <c r="R1565" i="34"/>
  <c r="Q1395" i="34"/>
  <c r="R1355" i="34"/>
  <c r="Q1141" i="34"/>
  <c r="P1141" i="34"/>
  <c r="R1137" i="34"/>
  <c r="Q1100" i="34"/>
  <c r="R1066" i="34"/>
  <c r="R997" i="34"/>
  <c r="Q940" i="34"/>
  <c r="R936" i="34"/>
  <c r="Q921" i="34"/>
  <c r="R917" i="34"/>
  <c r="P1086" i="34"/>
  <c r="Q1120" i="34"/>
  <c r="R1146" i="34"/>
  <c r="R1147" i="34"/>
  <c r="R324" i="34"/>
  <c r="Q331" i="34"/>
  <c r="P331" i="34"/>
  <c r="Q989" i="34"/>
  <c r="P989" i="34"/>
  <c r="P1018" i="34"/>
  <c r="P24" i="34"/>
  <c r="P37" i="34"/>
  <c r="R43" i="34"/>
  <c r="Q131" i="34"/>
  <c r="P627" i="34"/>
  <c r="Q642" i="34"/>
  <c r="P646" i="34"/>
  <c r="R650" i="34"/>
  <c r="Q664" i="34"/>
  <c r="P672" i="34"/>
  <c r="R676" i="34"/>
  <c r="Q680" i="34"/>
  <c r="R697" i="34"/>
  <c r="P701" i="34"/>
  <c r="Q710" i="34"/>
  <c r="Q725" i="34"/>
  <c r="R733" i="34"/>
  <c r="P741" i="34"/>
  <c r="R894" i="34"/>
  <c r="Q1536" i="34"/>
  <c r="Q1677" i="34"/>
  <c r="P1677" i="34"/>
  <c r="R1681" i="34"/>
  <c r="R1726" i="34"/>
  <c r="P1397" i="34"/>
  <c r="Q1237" i="34"/>
  <c r="Q1357" i="34"/>
  <c r="P1382" i="34"/>
  <c r="Q1505" i="34"/>
  <c r="P1505" i="34"/>
  <c r="R1077" i="34"/>
  <c r="Q1197" i="34"/>
  <c r="P1197" i="34"/>
  <c r="R1201" i="34"/>
  <c r="Q1003" i="34"/>
  <c r="P1003" i="34"/>
  <c r="R1073" i="34"/>
  <c r="R1774" i="34"/>
  <c r="Q1627" i="34"/>
  <c r="P1627" i="34"/>
  <c r="R1623" i="34"/>
  <c r="Q1612" i="34"/>
  <c r="R1582" i="34"/>
  <c r="P1578" i="34"/>
  <c r="Q1568" i="34"/>
  <c r="R1564" i="34"/>
  <c r="Q1271" i="34"/>
  <c r="Q1144" i="34"/>
  <c r="R1140" i="34"/>
  <c r="R1107" i="34"/>
  <c r="Q1065" i="34"/>
  <c r="P1065" i="34"/>
  <c r="P996" i="34"/>
  <c r="R943" i="34"/>
  <c r="R928" i="34"/>
  <c r="Q900" i="34"/>
  <c r="P900" i="34"/>
  <c r="R1087" i="34"/>
  <c r="R1156" i="34"/>
  <c r="P1148" i="34"/>
  <c r="Q325" i="34"/>
  <c r="Q335" i="34"/>
  <c r="P335" i="34"/>
  <c r="R858" i="34"/>
  <c r="Q1216" i="34"/>
  <c r="Q1015" i="34"/>
  <c r="P1015" i="34"/>
  <c r="R1019" i="34"/>
  <c r="Q1218" i="34"/>
  <c r="R25" i="34"/>
  <c r="Q34" i="34"/>
  <c r="R38" i="34"/>
  <c r="P118" i="34"/>
  <c r="R615" i="34"/>
  <c r="R628" i="34"/>
  <c r="Q628" i="34"/>
  <c r="P643" i="34"/>
  <c r="R647" i="34"/>
  <c r="P651" i="34"/>
  <c r="Q669" i="34"/>
  <c r="R673" i="34"/>
  <c r="P677" i="34"/>
  <c r="Q687" i="34"/>
  <c r="P698" i="34"/>
  <c r="P707" i="34"/>
  <c r="Q722" i="34"/>
  <c r="P734" i="34"/>
  <c r="R742" i="34"/>
  <c r="P895" i="34"/>
  <c r="R1678" i="34"/>
  <c r="P1682" i="34"/>
  <c r="P1727" i="34"/>
  <c r="R1398" i="34"/>
  <c r="Q1238" i="34"/>
  <c r="Q1361" i="34"/>
  <c r="R1383" i="34"/>
  <c r="R1074" i="34"/>
  <c r="P1078" i="34"/>
  <c r="Q1162" i="34"/>
  <c r="R1198" i="34"/>
  <c r="P1202" i="34"/>
  <c r="Q1000" i="34"/>
  <c r="R1020" i="34"/>
  <c r="P899" i="34"/>
  <c r="P1773" i="34"/>
  <c r="R1626" i="34"/>
  <c r="P1622" i="34"/>
  <c r="Q1581" i="34"/>
  <c r="P1581" i="34"/>
  <c r="R1575" i="34"/>
  <c r="P1270" i="34"/>
  <c r="R1106" i="34"/>
  <c r="P1102" i="34"/>
  <c r="Q1064" i="34"/>
  <c r="Q995" i="34"/>
  <c r="P995" i="34"/>
  <c r="R991" i="34"/>
  <c r="P938" i="34"/>
  <c r="R927" i="34"/>
  <c r="P923" i="34"/>
  <c r="R1114" i="34"/>
  <c r="P1118" i="34"/>
  <c r="Q1149" i="34"/>
  <c r="P1149" i="34"/>
  <c r="R1153" i="34"/>
  <c r="Q326" i="34"/>
  <c r="Q336" i="34"/>
  <c r="R903" i="34"/>
  <c r="Q954" i="34"/>
  <c r="Q1016" i="34"/>
  <c r="R1058" i="34"/>
  <c r="P1062" i="34"/>
  <c r="P1582" i="34"/>
  <c r="R1568" i="34"/>
  <c r="P1564" i="34"/>
  <c r="P1271" i="34"/>
  <c r="P1380" i="34"/>
  <c r="R1144" i="34"/>
  <c r="P1140" i="34"/>
  <c r="Q1069" i="34"/>
  <c r="P1069" i="34"/>
  <c r="R1065" i="34"/>
  <c r="Q992" i="34"/>
  <c r="P939" i="34"/>
  <c r="Q939" i="34"/>
  <c r="Q920" i="34"/>
  <c r="P920" i="34"/>
  <c r="R900" i="34"/>
  <c r="Q1121" i="34"/>
  <c r="P1121" i="34"/>
  <c r="P1156" i="34"/>
  <c r="Q1152" i="34"/>
  <c r="R325" i="34"/>
  <c r="R335" i="34"/>
  <c r="R1216" i="34"/>
  <c r="R1015" i="34"/>
  <c r="R1218" i="34"/>
  <c r="Q25" i="34"/>
  <c r="Q30" i="34"/>
  <c r="R34" i="34"/>
  <c r="P38" i="34"/>
  <c r="Q132" i="34"/>
  <c r="R624" i="34"/>
  <c r="Q624" i="34"/>
  <c r="P639" i="34"/>
  <c r="Q643" i="34"/>
  <c r="P647" i="34"/>
  <c r="Q665" i="34"/>
  <c r="R669" i="34"/>
  <c r="P673" i="34"/>
  <c r="Q683" i="34"/>
  <c r="R687" i="34"/>
  <c r="R698" i="34"/>
  <c r="P726" i="34"/>
  <c r="R734" i="34"/>
  <c r="Q742" i="34"/>
  <c r="Q1595" i="34"/>
  <c r="P1595" i="34"/>
  <c r="P1678" i="34"/>
  <c r="Q1727" i="34"/>
  <c r="Q1398" i="34"/>
  <c r="R1238" i="34"/>
  <c r="R1361" i="34"/>
  <c r="P1383" i="34"/>
  <c r="P1074" i="34"/>
  <c r="Q1158" i="34"/>
  <c r="R1162" i="34"/>
  <c r="P1198" i="34"/>
  <c r="R1000" i="34"/>
  <c r="P1020" i="34"/>
  <c r="R1769" i="34"/>
  <c r="P1626" i="34"/>
  <c r="Q1585" i="34"/>
  <c r="P1585" i="34"/>
  <c r="R1581" i="34"/>
  <c r="Q1563" i="34"/>
  <c r="P1563" i="34"/>
  <c r="Q1270" i="34"/>
  <c r="Q1379" i="34"/>
  <c r="Q1139" i="34"/>
  <c r="P1139" i="34"/>
  <c r="P1106" i="34"/>
  <c r="Q1068" i="34"/>
  <c r="R1064" i="34"/>
  <c r="R995" i="34"/>
  <c r="P942" i="34"/>
  <c r="Q938" i="34"/>
  <c r="P927" i="34"/>
  <c r="Q919" i="34"/>
  <c r="Q1057" i="34"/>
  <c r="P1057" i="34"/>
  <c r="P1114" i="34"/>
  <c r="Q1122" i="34"/>
  <c r="Q1157" i="34"/>
  <c r="P1157" i="34"/>
  <c r="R1149" i="34"/>
  <c r="R326" i="34"/>
  <c r="R1380" i="34"/>
  <c r="P1144" i="34"/>
  <c r="Q1103" i="34"/>
  <c r="P1103" i="34"/>
  <c r="R1069" i="34"/>
  <c r="Q996" i="34"/>
  <c r="R992" i="34"/>
  <c r="P943" i="34"/>
  <c r="Q943" i="34"/>
  <c r="Q924" i="34"/>
  <c r="P924" i="34"/>
  <c r="R920" i="34"/>
  <c r="Q1117" i="34"/>
  <c r="P1117" i="34"/>
  <c r="R1121" i="34"/>
  <c r="Q1148" i="34"/>
  <c r="R1152" i="34"/>
  <c r="Q912" i="34"/>
  <c r="P912" i="34"/>
  <c r="P1216" i="34"/>
  <c r="Q1061" i="34"/>
  <c r="P1061" i="34"/>
  <c r="P1218" i="34"/>
  <c r="R30" i="34"/>
  <c r="P34" i="34"/>
  <c r="Q118" i="34"/>
  <c r="R132" i="34"/>
  <c r="P615" i="34"/>
  <c r="P628" i="34"/>
  <c r="Q639" i="34"/>
  <c r="R643" i="34"/>
  <c r="Q651" i="34"/>
  <c r="R665" i="34"/>
  <c r="P669" i="34"/>
  <c r="Q677" i="34"/>
  <c r="R683" i="34"/>
  <c r="P687" i="34"/>
  <c r="Q698" i="34"/>
  <c r="Q707" i="34"/>
  <c r="P722" i="34"/>
  <c r="R726" i="34"/>
  <c r="Q734" i="34"/>
  <c r="Q895" i="34"/>
  <c r="Q1025" i="34"/>
  <c r="P1025" i="34"/>
  <c r="R1595" i="34"/>
  <c r="Q1682" i="34"/>
  <c r="Q1723" i="34"/>
  <c r="P1723" i="34"/>
  <c r="R1727" i="34"/>
  <c r="P1361" i="34"/>
  <c r="Q1078" i="34"/>
  <c r="R1158" i="34"/>
  <c r="P1162" i="34"/>
  <c r="Q1202" i="34"/>
  <c r="Q1209" i="34"/>
  <c r="P1209" i="34"/>
  <c r="P1000" i="34"/>
  <c r="Q899" i="34"/>
  <c r="R1773" i="34"/>
  <c r="Q1769" i="34"/>
  <c r="Q1622" i="34"/>
  <c r="Q1615" i="34"/>
  <c r="P1615" i="34"/>
  <c r="R1585" i="34"/>
  <c r="Q1567" i="34"/>
  <c r="P1567" i="34"/>
  <c r="R1563" i="34"/>
  <c r="R1270" i="34"/>
  <c r="R1379" i="34"/>
  <c r="Q1143" i="34"/>
  <c r="P1143" i="34"/>
  <c r="R1139" i="34"/>
  <c r="Q1102" i="34"/>
  <c r="R1068" i="34"/>
  <c r="P1064" i="34"/>
  <c r="Q942" i="34"/>
  <c r="R938" i="34"/>
  <c r="Q923" i="34"/>
  <c r="R919" i="34"/>
  <c r="R1057" i="34"/>
  <c r="Q1118" i="34"/>
  <c r="R1122" i="34"/>
  <c r="R1157" i="34"/>
  <c r="P326" i="34"/>
  <c r="P336" i="34"/>
  <c r="Q987" i="34"/>
  <c r="P987" i="34"/>
  <c r="P1016" i="34"/>
  <c r="Q1578" i="34"/>
  <c r="Q1564" i="34"/>
  <c r="R1271" i="34"/>
  <c r="Q1380" i="34"/>
  <c r="Q1140" i="34"/>
  <c r="Q1107" i="34"/>
  <c r="P1107" i="34"/>
  <c r="R1103" i="34"/>
  <c r="R996" i="34"/>
  <c r="P992" i="34"/>
  <c r="R939" i="34"/>
  <c r="Q928" i="34"/>
  <c r="P928" i="34"/>
  <c r="R924" i="34"/>
  <c r="Q1087" i="34"/>
  <c r="P1087" i="34"/>
  <c r="R1117" i="34"/>
  <c r="Q1156" i="34"/>
  <c r="R1148" i="34"/>
  <c r="P1152" i="34"/>
  <c r="P325" i="34"/>
  <c r="Q858" i="34"/>
  <c r="P858" i="34"/>
  <c r="R912" i="34"/>
  <c r="Q1019" i="34"/>
  <c r="P1019" i="34"/>
  <c r="R1061" i="34"/>
  <c r="P25" i="34"/>
  <c r="P30" i="34"/>
  <c r="Q38" i="34"/>
  <c r="R118" i="34"/>
  <c r="P132" i="34"/>
  <c r="Q615" i="34"/>
  <c r="P624" i="34"/>
  <c r="R639" i="34"/>
  <c r="Q647" i="34"/>
  <c r="R651" i="34"/>
  <c r="P665" i="34"/>
  <c r="Q673" i="34"/>
  <c r="R677" i="34"/>
  <c r="P683" i="34"/>
  <c r="R707" i="34"/>
  <c r="R722" i="34"/>
  <c r="Q726" i="34"/>
  <c r="P742" i="34"/>
  <c r="R895" i="34"/>
  <c r="R1025" i="34"/>
  <c r="Q1678" i="34"/>
  <c r="R1682" i="34"/>
  <c r="R1723" i="34"/>
  <c r="P1398" i="34"/>
  <c r="P1238" i="34"/>
  <c r="Q1383" i="34"/>
  <c r="Q1074" i="34"/>
  <c r="R1078" i="34"/>
  <c r="P1158" i="34"/>
  <c r="Q1198" i="34"/>
  <c r="R1202" i="34"/>
  <c r="R1209" i="34"/>
  <c r="Q1020" i="34"/>
  <c r="R899" i="34"/>
  <c r="Q1773" i="34"/>
  <c r="P1769" i="34"/>
  <c r="Q1626" i="34"/>
  <c r="R1622" i="34"/>
  <c r="R1615" i="34"/>
  <c r="Q1575" i="34"/>
  <c r="P1575" i="34"/>
  <c r="R1567" i="34"/>
  <c r="P1379" i="34"/>
  <c r="R1143" i="34"/>
  <c r="Q1106" i="34"/>
  <c r="R1102" i="34"/>
  <c r="P1068" i="34"/>
  <c r="Q991" i="34"/>
  <c r="P991" i="34"/>
  <c r="R942" i="34"/>
  <c r="Q927" i="34"/>
  <c r="R923" i="34"/>
  <c r="P919" i="34"/>
  <c r="Q1114" i="34"/>
  <c r="R1118" i="34"/>
  <c r="P1122" i="34"/>
  <c r="Q1153" i="34"/>
  <c r="P1153" i="34"/>
  <c r="Q903" i="34"/>
  <c r="R954" i="34"/>
  <c r="R987" i="34"/>
  <c r="Q1058" i="34"/>
  <c r="R1062" i="34"/>
  <c r="R1219" i="34"/>
  <c r="P26" i="34"/>
  <c r="Q31" i="34"/>
  <c r="P41" i="34"/>
  <c r="R119" i="34"/>
  <c r="R584" i="34"/>
  <c r="P616" i="34"/>
  <c r="P629" i="34"/>
  <c r="Q644" i="34"/>
  <c r="P648" i="34"/>
  <c r="R652" i="34"/>
  <c r="Q666" i="34"/>
  <c r="P674" i="34"/>
  <c r="R678" i="34"/>
  <c r="Q684" i="34"/>
  <c r="Q695" i="34"/>
  <c r="R699" i="34"/>
  <c r="R708" i="34"/>
  <c r="Q727" i="34"/>
  <c r="R735" i="34"/>
  <c r="P743" i="34"/>
  <c r="P893" i="34"/>
  <c r="Q1026" i="34"/>
  <c r="R1674" i="34"/>
  <c r="R1679" i="34"/>
  <c r="Q1724" i="34"/>
  <c r="Q1299" i="34"/>
  <c r="R1240" i="34"/>
  <c r="P1362" i="34"/>
  <c r="R1384" i="34"/>
  <c r="R1503" i="34"/>
  <c r="Q1159" i="34"/>
  <c r="P1159" i="34"/>
  <c r="R1163" i="34"/>
  <c r="R1210" i="34"/>
  <c r="R1001" i="34"/>
  <c r="Q1647" i="34"/>
  <c r="P1647" i="34"/>
  <c r="R1625" i="34"/>
  <c r="Q1614" i="34"/>
  <c r="R1584" i="34"/>
  <c r="P1580" i="34"/>
  <c r="Q1566" i="34"/>
  <c r="Q1557" i="34"/>
  <c r="P1557" i="34"/>
  <c r="Q1269" i="34"/>
  <c r="Q1142" i="34"/>
  <c r="R1138" i="34"/>
  <c r="R1105" i="34"/>
  <c r="R998" i="34"/>
  <c r="P994" i="34"/>
  <c r="R941" i="34"/>
  <c r="R926" i="34"/>
  <c r="Q1085" i="34"/>
  <c r="P1085" i="34"/>
  <c r="R1115" i="34"/>
  <c r="Q1134" i="34"/>
  <c r="Q1167" i="34"/>
  <c r="P1167" i="34"/>
  <c r="P1150" i="34"/>
  <c r="Q330" i="34"/>
  <c r="R422" i="34"/>
  <c r="R904" i="34"/>
  <c r="R955" i="34"/>
  <c r="Q988" i="34"/>
  <c r="Q1017" i="34"/>
  <c r="P1017" i="34"/>
  <c r="R1059" i="34"/>
  <c r="Q1220" i="34"/>
  <c r="R27" i="34"/>
  <c r="Q36" i="34"/>
  <c r="R42" i="34"/>
  <c r="P120" i="34"/>
  <c r="P585" i="34"/>
  <c r="P622" i="34"/>
  <c r="R637" i="34"/>
  <c r="Q645" i="34"/>
  <c r="R649" i="34"/>
  <c r="P653" i="34"/>
  <c r="Q671" i="34"/>
  <c r="R675" i="34"/>
  <c r="P679" i="34"/>
  <c r="P700" i="34"/>
  <c r="P709" i="34"/>
  <c r="Q724" i="34"/>
  <c r="P740" i="34"/>
  <c r="R1016" i="34"/>
  <c r="P1058" i="34"/>
  <c r="P1219" i="34"/>
  <c r="P35" i="34"/>
  <c r="R41" i="34"/>
  <c r="Q119" i="34"/>
  <c r="P625" i="34"/>
  <c r="Q629" i="34"/>
  <c r="Q640" i="34"/>
  <c r="R644" i="34"/>
  <c r="R648" i="34"/>
  <c r="Q652" i="34"/>
  <c r="P670" i="34"/>
  <c r="R674" i="34"/>
  <c r="Q678" i="34"/>
  <c r="R695" i="34"/>
  <c r="P699" i="34"/>
  <c r="Q708" i="34"/>
  <c r="Q723" i="34"/>
  <c r="R727" i="34"/>
  <c r="P735" i="34"/>
  <c r="Q1022" i="34"/>
  <c r="R1026" i="34"/>
  <c r="P1674" i="34"/>
  <c r="R1724" i="34"/>
  <c r="P1728" i="34"/>
  <c r="Q1728" i="34"/>
  <c r="P1299" i="34"/>
  <c r="R1362" i="34"/>
  <c r="Q1384" i="34"/>
  <c r="Q1079" i="34"/>
  <c r="P1079" i="34"/>
  <c r="R1159" i="34"/>
  <c r="Q1203" i="34"/>
  <c r="P1203" i="34"/>
  <c r="P1210" i="34"/>
  <c r="P1772" i="34"/>
  <c r="R1647" i="34"/>
  <c r="Q1618" i="34"/>
  <c r="R1614" i="34"/>
  <c r="P1584" i="34"/>
  <c r="Q1574" i="34"/>
  <c r="R1566" i="34"/>
  <c r="R1557" i="34"/>
  <c r="P1269" i="34"/>
  <c r="P1378" i="34"/>
  <c r="R1142" i="34"/>
  <c r="P1138" i="34"/>
  <c r="Q1067" i="34"/>
  <c r="P1067" i="34"/>
  <c r="P998" i="34"/>
  <c r="Q990" i="34"/>
  <c r="P937" i="34"/>
  <c r="Q937" i="34"/>
  <c r="Q918" i="34"/>
  <c r="P918" i="34"/>
  <c r="R1085" i="34"/>
  <c r="R1134" i="34"/>
  <c r="R1167" i="34"/>
  <c r="Q1168" i="34"/>
  <c r="R330" i="34"/>
  <c r="Q422" i="34"/>
  <c r="R988" i="34"/>
  <c r="R1017" i="34"/>
  <c r="R1220" i="34"/>
  <c r="Q27" i="34"/>
  <c r="Q32" i="34"/>
  <c r="R36" i="34"/>
  <c r="P42" i="34"/>
  <c r="R626" i="34"/>
  <c r="Q626" i="34"/>
  <c r="P641" i="34"/>
  <c r="R645" i="34"/>
  <c r="P649" i="34"/>
  <c r="Q667" i="34"/>
  <c r="R671" i="34"/>
  <c r="P675" i="34"/>
  <c r="Q685" i="34"/>
  <c r="P696" i="34"/>
  <c r="R700" i="34"/>
  <c r="P728" i="34"/>
  <c r="R740" i="34"/>
  <c r="P889" i="34"/>
  <c r="R336" i="34"/>
  <c r="P903" i="34"/>
  <c r="Q1219" i="34"/>
  <c r="Q26" i="34"/>
  <c r="P31" i="34"/>
  <c r="R35" i="34"/>
  <c r="Q41" i="34"/>
  <c r="R616" i="34"/>
  <c r="Q616" i="34"/>
  <c r="Q625" i="34"/>
  <c r="R629" i="34"/>
  <c r="R640" i="34"/>
  <c r="P644" i="34"/>
  <c r="Q648" i="34"/>
  <c r="P666" i="34"/>
  <c r="R670" i="34"/>
  <c r="Q674" i="34"/>
  <c r="P684" i="34"/>
  <c r="P695" i="34"/>
  <c r="R723" i="34"/>
  <c r="P727" i="34"/>
  <c r="Q743" i="34"/>
  <c r="Q893" i="34"/>
  <c r="R1022" i="34"/>
  <c r="P1026" i="34"/>
  <c r="Q1683" i="34"/>
  <c r="P1683" i="34"/>
  <c r="P1724" i="34"/>
  <c r="P1240" i="34"/>
  <c r="Q1362" i="34"/>
  <c r="Q1075" i="34"/>
  <c r="P1075" i="34"/>
  <c r="R1079" i="34"/>
  <c r="Q1199" i="34"/>
  <c r="P1199" i="34"/>
  <c r="R1203" i="34"/>
  <c r="Q1021" i="34"/>
  <c r="P1021" i="34"/>
  <c r="Q1772" i="34"/>
  <c r="R1618" i="34"/>
  <c r="P1614" i="34"/>
  <c r="Q1580" i="34"/>
  <c r="R1574" i="34"/>
  <c r="P1566" i="34"/>
  <c r="R1378" i="34"/>
  <c r="P1142" i="34"/>
  <c r="Q1101" i="34"/>
  <c r="P1101" i="34"/>
  <c r="R1067" i="34"/>
  <c r="Q994" i="34"/>
  <c r="R990" i="34"/>
  <c r="P941" i="34"/>
  <c r="Q941" i="34"/>
  <c r="Q922" i="34"/>
  <c r="P922" i="34"/>
  <c r="R918" i="34"/>
  <c r="Q1119" i="34"/>
  <c r="P1119" i="34"/>
  <c r="P1134" i="34"/>
  <c r="Q1150" i="34"/>
  <c r="R1168" i="34"/>
  <c r="P330" i="34"/>
  <c r="P955" i="34"/>
  <c r="P988" i="34"/>
  <c r="Q1063" i="34"/>
  <c r="P1063" i="34"/>
  <c r="P1220" i="34"/>
  <c r="R32" i="34"/>
  <c r="P36" i="34"/>
  <c r="Q120" i="34"/>
  <c r="Q585" i="34"/>
  <c r="R622" i="34"/>
  <c r="Q622" i="34"/>
  <c r="P637" i="34"/>
  <c r="Q641" i="34"/>
  <c r="P645" i="34"/>
  <c r="Q653" i="34"/>
  <c r="R667" i="34"/>
  <c r="P671" i="34"/>
  <c r="Q679" i="34"/>
  <c r="R685" i="34"/>
  <c r="R696" i="34"/>
  <c r="Q700" i="34"/>
  <c r="Q709" i="34"/>
  <c r="P724" i="34"/>
  <c r="R728" i="34"/>
  <c r="Q740" i="34"/>
  <c r="P954" i="34"/>
  <c r="Q1062" i="34"/>
  <c r="R26" i="34"/>
  <c r="R31" i="34"/>
  <c r="Q35" i="34"/>
  <c r="P119" i="34"/>
  <c r="Q584" i="34"/>
  <c r="P584" i="34"/>
  <c r="R625" i="34"/>
  <c r="P640" i="34"/>
  <c r="P652" i="34"/>
  <c r="R666" i="34"/>
  <c r="Q670" i="34"/>
  <c r="P678" i="34"/>
  <c r="R684" i="34"/>
  <c r="Q699" i="34"/>
  <c r="P708" i="34"/>
  <c r="P723" i="34"/>
  <c r="Q735" i="34"/>
  <c r="R743" i="34"/>
  <c r="R893" i="34"/>
  <c r="P1022" i="34"/>
  <c r="Q1674" i="34"/>
  <c r="Q1679" i="34"/>
  <c r="P1679" i="34"/>
  <c r="R1683" i="34"/>
  <c r="R1728" i="34"/>
  <c r="R1299" i="34"/>
  <c r="Q1240" i="34"/>
  <c r="P1384" i="34"/>
  <c r="Q1503" i="34"/>
  <c r="P1503" i="34"/>
  <c r="R1075" i="34"/>
  <c r="Q1163" i="34"/>
  <c r="P1163" i="34"/>
  <c r="R1199" i="34"/>
  <c r="Q1210" i="34"/>
  <c r="Q1001" i="34"/>
  <c r="P1001" i="34"/>
  <c r="R1021" i="34"/>
  <c r="R1772" i="34"/>
  <c r="Q1625" i="34"/>
  <c r="P1625" i="34"/>
  <c r="P1618" i="34"/>
  <c r="Q1584" i="34"/>
  <c r="R1580" i="34"/>
  <c r="P1574" i="34"/>
  <c r="R1269" i="34"/>
  <c r="Q1378" i="34"/>
  <c r="Q1138" i="34"/>
  <c r="Q1105" i="34"/>
  <c r="P1105" i="34"/>
  <c r="R1101" i="34"/>
  <c r="Q998" i="34"/>
  <c r="R994" i="34"/>
  <c r="P990" i="34"/>
  <c r="R937" i="34"/>
  <c r="Q926" i="34"/>
  <c r="P926" i="34"/>
  <c r="R922" i="34"/>
  <c r="Q1115" i="34"/>
  <c r="P1115" i="34"/>
  <c r="R1119" i="34"/>
  <c r="R1150" i="34"/>
  <c r="P1168" i="34"/>
  <c r="P422" i="34"/>
  <c r="Q904" i="34"/>
  <c r="P904" i="34"/>
  <c r="Q955" i="34"/>
  <c r="Q1059" i="34"/>
  <c r="P1059" i="34"/>
  <c r="R1063" i="34"/>
  <c r="P27" i="34"/>
  <c r="P32" i="34"/>
  <c r="Q42" i="34"/>
  <c r="R120" i="34"/>
  <c r="R585" i="34"/>
  <c r="P626" i="34"/>
  <c r="Q637" i="34"/>
  <c r="R641" i="34"/>
  <c r="Q649" i="34"/>
  <c r="R653" i="34"/>
  <c r="P667" i="34"/>
  <c r="Q675" i="34"/>
  <c r="R679" i="34"/>
  <c r="P685" i="34"/>
  <c r="Q696" i="34"/>
  <c r="R709" i="34"/>
  <c r="R724" i="34"/>
  <c r="Q728" i="34"/>
  <c r="Q889" i="34"/>
  <c r="R889" i="34"/>
  <c r="R109" i="34"/>
  <c r="Q127" i="34"/>
  <c r="Q457" i="34"/>
  <c r="Q109" i="34"/>
  <c r="R457" i="34"/>
  <c r="Q886" i="34"/>
  <c r="P886" i="34"/>
  <c r="P127" i="34"/>
  <c r="P457" i="34"/>
  <c r="R886" i="34"/>
  <c r="P109" i="34"/>
  <c r="R127" i="34"/>
  <c r="R69" i="34"/>
  <c r="Q52" i="34"/>
  <c r="P64" i="34"/>
  <c r="Q69" i="34"/>
  <c r="Q753" i="34"/>
  <c r="R52" i="34"/>
  <c r="R762" i="34"/>
  <c r="Q762" i="34"/>
  <c r="P782" i="34"/>
  <c r="R753" i="34"/>
  <c r="P52" i="34"/>
  <c r="Q64" i="34"/>
  <c r="P69" i="34"/>
  <c r="P753" i="34"/>
  <c r="P762" i="34"/>
  <c r="R64" i="34"/>
  <c r="R782" i="34"/>
  <c r="Q782" i="34"/>
  <c r="P425" i="34"/>
  <c r="Q403" i="34"/>
  <c r="P23" i="34"/>
  <c r="Q425" i="34"/>
  <c r="R403" i="34"/>
  <c r="R23" i="34"/>
  <c r="R425" i="34"/>
  <c r="P403" i="34"/>
  <c r="Q23" i="34"/>
  <c r="R299" i="34"/>
  <c r="Q205" i="34"/>
  <c r="P169" i="34"/>
  <c r="P657" i="34"/>
  <c r="P299" i="34"/>
  <c r="P205" i="34"/>
  <c r="R373" i="34"/>
  <c r="Q322" i="34"/>
  <c r="P197" i="34"/>
  <c r="Q286" i="34"/>
  <c r="P286" i="34"/>
  <c r="R169" i="34"/>
  <c r="Q169" i="34"/>
  <c r="Q373" i="34"/>
  <c r="Q657" i="34"/>
  <c r="R322" i="34"/>
  <c r="Q197" i="34"/>
  <c r="R286" i="34"/>
  <c r="Q299" i="34"/>
  <c r="R205" i="34"/>
  <c r="P373" i="34"/>
  <c r="R657" i="34"/>
  <c r="P322" i="34"/>
  <c r="R197" i="34"/>
  <c r="P213" i="34"/>
  <c r="P247" i="34"/>
  <c r="Q213" i="34"/>
  <c r="Q247" i="34"/>
  <c r="R213" i="34"/>
  <c r="R247" i="34"/>
  <c r="P100" i="34"/>
  <c r="Q139" i="34"/>
  <c r="Q192" i="34"/>
  <c r="R263" i="34"/>
  <c r="P1586" i="34"/>
  <c r="R1538" i="34"/>
  <c r="P897" i="34"/>
  <c r="Q965" i="34"/>
  <c r="R1030" i="34"/>
  <c r="P1176" i="34"/>
  <c r="Q1597" i="34"/>
  <c r="P1597" i="34"/>
  <c r="P1650" i="34"/>
  <c r="R1756" i="34"/>
  <c r="Q575" i="34"/>
  <c r="R53" i="34"/>
  <c r="Q57" i="34"/>
  <c r="P61" i="34"/>
  <c r="R66" i="34"/>
  <c r="R71" i="34"/>
  <c r="R92" i="34"/>
  <c r="P96" i="34"/>
  <c r="Q133" i="34"/>
  <c r="Q749" i="34"/>
  <c r="P754" i="34"/>
  <c r="P761" i="34"/>
  <c r="Q776" i="34"/>
  <c r="R471" i="34"/>
  <c r="R487" i="34"/>
  <c r="P505" i="34"/>
  <c r="R217" i="34"/>
  <c r="R529" i="34"/>
  <c r="R783" i="34"/>
  <c r="Q806" i="34"/>
  <c r="P806" i="34"/>
  <c r="R875" i="34"/>
  <c r="Q343" i="34"/>
  <c r="P343" i="34"/>
  <c r="P97" i="34"/>
  <c r="R105" i="34"/>
  <c r="Q146" i="34"/>
  <c r="Q193" i="34"/>
  <c r="P193" i="34"/>
  <c r="R231" i="34"/>
  <c r="R273" i="34"/>
  <c r="R294" i="34"/>
  <c r="R315" i="34"/>
  <c r="R346" i="34"/>
  <c r="P350" i="34"/>
  <c r="R368" i="34"/>
  <c r="P182" i="34"/>
  <c r="R246" i="34"/>
  <c r="P302" i="34"/>
  <c r="Q590" i="34"/>
  <c r="P590" i="34"/>
  <c r="Q631" i="34"/>
  <c r="R633" i="34"/>
  <c r="P662" i="34"/>
  <c r="R690" i="34"/>
  <c r="R820" i="34"/>
  <c r="Q841" i="34"/>
  <c r="R853" i="34"/>
  <c r="R890" i="34"/>
  <c r="Q968" i="34"/>
  <c r="Q1175" i="34"/>
  <c r="P1175" i="34"/>
  <c r="R1577" i="34"/>
  <c r="P1776" i="34"/>
  <c r="P51" i="34"/>
  <c r="R65" i="34"/>
  <c r="Q427" i="34"/>
  <c r="Q891" i="34"/>
  <c r="Q1651" i="34"/>
  <c r="P1651" i="34"/>
  <c r="R818" i="34"/>
  <c r="Q830" i="34"/>
  <c r="P830" i="34"/>
  <c r="R836" i="34"/>
  <c r="Q843" i="34"/>
  <c r="R847" i="34"/>
  <c r="P851" i="34"/>
  <c r="Q863" i="34"/>
  <c r="R867" i="34"/>
  <c r="R892" i="34"/>
  <c r="Q933" i="34"/>
  <c r="P966" i="34"/>
  <c r="P1094" i="34"/>
  <c r="Q1558" i="34"/>
  <c r="R1562" i="34"/>
  <c r="R1605" i="34"/>
  <c r="P22" i="34"/>
  <c r="R58" i="34"/>
  <c r="R62" i="34"/>
  <c r="R67" i="34"/>
  <c r="Q82" i="34"/>
  <c r="R88" i="34"/>
  <c r="R93" i="34"/>
  <c r="Q121" i="34"/>
  <c r="Q134" i="34"/>
  <c r="P750" i="34"/>
  <c r="P755" i="34"/>
  <c r="Q763" i="34"/>
  <c r="R777" i="34"/>
  <c r="R429" i="34"/>
  <c r="Q478" i="34"/>
  <c r="P501" i="34"/>
  <c r="R160" i="34"/>
  <c r="R249" i="34"/>
  <c r="R538" i="34"/>
  <c r="P803" i="34"/>
  <c r="P807" i="34"/>
  <c r="Q717" i="34"/>
  <c r="R721" i="34"/>
  <c r="R770" i="34"/>
  <c r="R876" i="34"/>
  <c r="P790" i="34"/>
  <c r="Q977" i="34"/>
  <c r="P977" i="34"/>
  <c r="P344" i="34"/>
  <c r="P102" i="34"/>
  <c r="Q137" i="34"/>
  <c r="P147" i="34"/>
  <c r="R190" i="34"/>
  <c r="P194" i="34"/>
  <c r="R236" i="34"/>
  <c r="R265" i="34"/>
  <c r="R274" i="34"/>
  <c r="R340" i="34"/>
  <c r="R347" i="34"/>
  <c r="R400" i="34"/>
  <c r="P183" i="34"/>
  <c r="P320" i="34"/>
  <c r="P591" i="34"/>
  <c r="P663" i="34"/>
  <c r="Q834" i="34"/>
  <c r="P834" i="34"/>
  <c r="P849" i="34"/>
  <c r="Q1556" i="34"/>
  <c r="R1553" i="34"/>
  <c r="P424" i="34"/>
  <c r="P56" i="34"/>
  <c r="Q90" i="34"/>
  <c r="P123" i="34"/>
  <c r="R752" i="34"/>
  <c r="Q765" i="34"/>
  <c r="Q574" i="34"/>
  <c r="P574" i="34"/>
  <c r="P45" i="34"/>
  <c r="R49" i="34"/>
  <c r="Q100" i="34"/>
  <c r="P145" i="34"/>
  <c r="R192" i="34"/>
  <c r="P263" i="34"/>
  <c r="Q825" i="34"/>
  <c r="Q838" i="34"/>
  <c r="P838" i="34"/>
  <c r="P1538" i="34"/>
  <c r="R965" i="34"/>
  <c r="P1030" i="34"/>
  <c r="Q1554" i="34"/>
  <c r="Q1561" i="34"/>
  <c r="P1561" i="34"/>
  <c r="R1597" i="34"/>
  <c r="R575" i="34"/>
  <c r="Q53" i="34"/>
  <c r="P57" i="34"/>
  <c r="P66" i="34"/>
  <c r="Q71" i="34"/>
  <c r="Q76" i="34"/>
  <c r="P87" i="34"/>
  <c r="P92" i="34"/>
  <c r="Q96" i="34"/>
  <c r="R749" i="34"/>
  <c r="R754" i="34"/>
  <c r="Q761" i="34"/>
  <c r="P776" i="34"/>
  <c r="P428" i="34"/>
  <c r="P471" i="34"/>
  <c r="P487" i="34"/>
  <c r="P159" i="34"/>
  <c r="P217" i="34"/>
  <c r="P529" i="34"/>
  <c r="Q46" i="34"/>
  <c r="P787" i="34"/>
  <c r="Q787" i="34"/>
  <c r="R806" i="34"/>
  <c r="Q737" i="34"/>
  <c r="P720" i="34"/>
  <c r="P769" i="34"/>
  <c r="P875" i="34"/>
  <c r="R789" i="34"/>
  <c r="Q907" i="34"/>
  <c r="P961" i="34"/>
  <c r="R343" i="34"/>
  <c r="Q421" i="34"/>
  <c r="R101" i="34"/>
  <c r="Q101" i="34"/>
  <c r="Q105" i="34"/>
  <c r="Q142" i="34"/>
  <c r="R146" i="34"/>
  <c r="Q189" i="34"/>
  <c r="P189" i="34"/>
  <c r="R193" i="34"/>
  <c r="P235" i="34"/>
  <c r="Q264" i="34"/>
  <c r="P264" i="34"/>
  <c r="P273" i="34"/>
  <c r="Q339" i="34"/>
  <c r="P339" i="34"/>
  <c r="P346" i="34"/>
  <c r="P372" i="34"/>
  <c r="Q182" i="34"/>
  <c r="R306" i="34"/>
  <c r="R590" i="34"/>
  <c r="R631" i="34"/>
  <c r="R662" i="34"/>
  <c r="Q690" i="34"/>
  <c r="R841" i="34"/>
  <c r="P853" i="34"/>
  <c r="R968" i="34"/>
  <c r="R1175" i="34"/>
  <c r="Q1776" i="34"/>
  <c r="R51" i="34"/>
  <c r="Q65" i="34"/>
  <c r="Q86" i="34"/>
  <c r="R427" i="34"/>
  <c r="R891" i="34"/>
  <c r="R1651" i="34"/>
  <c r="Q826" i="34"/>
  <c r="P826" i="34"/>
  <c r="R830" i="34"/>
  <c r="Q839" i="34"/>
  <c r="R843" i="34"/>
  <c r="P847" i="34"/>
  <c r="Q855" i="34"/>
  <c r="R863" i="34"/>
  <c r="P867" i="34"/>
  <c r="Q929" i="34"/>
  <c r="R933" i="34"/>
  <c r="Q1174" i="34"/>
  <c r="R1558" i="34"/>
  <c r="P1562" i="34"/>
  <c r="Q1648" i="34"/>
  <c r="R1757" i="34"/>
  <c r="Q1757" i="34"/>
  <c r="Q54" i="34"/>
  <c r="P62" i="34"/>
  <c r="Q67" i="34"/>
  <c r="Q72" i="34"/>
  <c r="R82" i="34"/>
  <c r="P88" i="34"/>
  <c r="Q93" i="34"/>
  <c r="R134" i="34"/>
  <c r="R750" i="34"/>
  <c r="R763" i="34"/>
  <c r="P429" i="34"/>
  <c r="P478" i="34"/>
  <c r="P160" i="34"/>
  <c r="P249" i="34"/>
  <c r="P47" i="34"/>
  <c r="R784" i="34"/>
  <c r="R717" i="34"/>
  <c r="P721" i="34"/>
  <c r="Q770" i="34"/>
  <c r="Q914" i="34"/>
  <c r="P914" i="34"/>
  <c r="R977" i="34"/>
  <c r="P442" i="34"/>
  <c r="P98" i="34"/>
  <c r="P143" i="34"/>
  <c r="R147" i="34"/>
  <c r="P190" i="34"/>
  <c r="R232" i="34"/>
  <c r="P265" i="34"/>
  <c r="Q295" i="34"/>
  <c r="R316" i="34"/>
  <c r="P340" i="34"/>
  <c r="P365" i="34"/>
  <c r="R369" i="34"/>
  <c r="Q400" i="34"/>
  <c r="Q183" i="34"/>
  <c r="P303" i="34"/>
  <c r="P654" i="34"/>
  <c r="R634" i="34"/>
  <c r="Q634" i="34"/>
  <c r="Q731" i="34"/>
  <c r="Q824" i="34"/>
  <c r="P824" i="34"/>
  <c r="R834" i="34"/>
  <c r="Q861" i="34"/>
  <c r="R1556" i="34"/>
  <c r="P935" i="34"/>
  <c r="Q935" i="34"/>
  <c r="R424" i="34"/>
  <c r="Q56" i="34"/>
  <c r="Q70" i="34"/>
  <c r="R90" i="34"/>
  <c r="R123" i="34"/>
  <c r="Q752" i="34"/>
  <c r="R765" i="34"/>
  <c r="P470" i="34"/>
  <c r="Q504" i="34"/>
  <c r="P504" i="34"/>
  <c r="R574" i="34"/>
  <c r="P216" i="34"/>
  <c r="Q251" i="34"/>
  <c r="R45" i="34"/>
  <c r="Q49" i="34"/>
  <c r="R100" i="34"/>
  <c r="P139" i="34"/>
  <c r="R145" i="34"/>
  <c r="P192" i="34"/>
  <c r="Q1586" i="34"/>
  <c r="R825" i="34"/>
  <c r="R838" i="34"/>
  <c r="Q897" i="34"/>
  <c r="Q932" i="34"/>
  <c r="P932" i="34"/>
  <c r="Q1176" i="34"/>
  <c r="R1554" i="34"/>
  <c r="R1561" i="34"/>
  <c r="Q1650" i="34"/>
  <c r="P1756" i="34"/>
  <c r="P575" i="34"/>
  <c r="R61" i="34"/>
  <c r="R76" i="34"/>
  <c r="R87" i="34"/>
  <c r="R96" i="34"/>
  <c r="P133" i="34"/>
  <c r="P749" i="34"/>
  <c r="Q754" i="34"/>
  <c r="R761" i="34"/>
  <c r="R428" i="34"/>
  <c r="Q505" i="34"/>
  <c r="R159" i="34"/>
  <c r="R46" i="34"/>
  <c r="P783" i="34"/>
  <c r="Q783" i="34"/>
  <c r="R737" i="34"/>
  <c r="R720" i="34"/>
  <c r="Q769" i="34"/>
  <c r="R907" i="34"/>
  <c r="Q961" i="34"/>
  <c r="R421" i="34"/>
  <c r="R97" i="34"/>
  <c r="Q97" i="34"/>
  <c r="R142" i="34"/>
  <c r="P146" i="34"/>
  <c r="R189" i="34"/>
  <c r="P231" i="34"/>
  <c r="Q235" i="34"/>
  <c r="R264" i="34"/>
  <c r="P315" i="34"/>
  <c r="R339" i="34"/>
  <c r="Q350" i="34"/>
  <c r="P368" i="34"/>
  <c r="Q372" i="34"/>
  <c r="R182" i="34"/>
  <c r="R302" i="34"/>
  <c r="Q306" i="34"/>
  <c r="P633" i="34"/>
  <c r="Q662" i="34"/>
  <c r="Q832" i="34"/>
  <c r="P832" i="34"/>
  <c r="P841" i="34"/>
  <c r="Q896" i="34"/>
  <c r="P896" i="34"/>
  <c r="P968" i="34"/>
  <c r="R1776" i="34"/>
  <c r="Q51" i="34"/>
  <c r="R86" i="34"/>
  <c r="P427" i="34"/>
  <c r="P891" i="34"/>
  <c r="Q822" i="34"/>
  <c r="P822" i="34"/>
  <c r="R826" i="34"/>
  <c r="R839" i="34"/>
  <c r="P843" i="34"/>
  <c r="Q851" i="34"/>
  <c r="R855" i="34"/>
  <c r="P863" i="34"/>
  <c r="R929" i="34"/>
  <c r="P933" i="34"/>
  <c r="Q966" i="34"/>
  <c r="Q1094" i="34"/>
  <c r="R1174" i="34"/>
  <c r="P1558" i="34"/>
  <c r="R1648" i="34"/>
  <c r="Q22" i="34"/>
  <c r="R54" i="34"/>
  <c r="P58" i="34"/>
  <c r="R72" i="34"/>
  <c r="P82" i="34"/>
  <c r="P121" i="34"/>
  <c r="P134" i="34"/>
  <c r="Q750" i="34"/>
  <c r="Q755" i="34"/>
  <c r="P777" i="34"/>
  <c r="R478" i="34"/>
  <c r="Q501" i="34"/>
  <c r="Q508" i="34"/>
  <c r="P508" i="34"/>
  <c r="R47" i="34"/>
  <c r="Q784" i="34"/>
  <c r="R803" i="34"/>
  <c r="Q807" i="34"/>
  <c r="P717" i="34"/>
  <c r="P770" i="34"/>
  <c r="R790" i="34"/>
  <c r="R914" i="34"/>
  <c r="Q344" i="34"/>
  <c r="R442" i="34"/>
  <c r="Q98" i="34"/>
  <c r="R102" i="34"/>
  <c r="P137" i="34"/>
  <c r="R143" i="34"/>
  <c r="Q147" i="34"/>
  <c r="Q194" i="34"/>
  <c r="P236" i="34"/>
  <c r="Q236" i="34"/>
  <c r="R295" i="34"/>
  <c r="Q316" i="34"/>
  <c r="Q365" i="34"/>
  <c r="Q369" i="34"/>
  <c r="Q248" i="34"/>
  <c r="P248" i="34"/>
  <c r="Q303" i="34"/>
  <c r="Q320" i="34"/>
  <c r="Q591" i="34"/>
  <c r="R654" i="34"/>
  <c r="Q663" i="34"/>
  <c r="R731" i="34"/>
  <c r="Q816" i="34"/>
  <c r="P816" i="34"/>
  <c r="R824" i="34"/>
  <c r="Q849" i="34"/>
  <c r="R861" i="34"/>
  <c r="P1556" i="34"/>
  <c r="Q1611" i="34"/>
  <c r="P1611" i="34"/>
  <c r="Q424" i="34"/>
  <c r="R56" i="34"/>
  <c r="R70" i="34"/>
  <c r="P90" i="34"/>
  <c r="Q123" i="34"/>
  <c r="R470" i="34"/>
  <c r="R504" i="34"/>
  <c r="Q216" i="34"/>
  <c r="R251" i="34"/>
  <c r="Q45" i="34"/>
  <c r="Q805" i="34"/>
  <c r="R736" i="34"/>
  <c r="Q747" i="34"/>
  <c r="R139" i="34"/>
  <c r="Q145" i="34"/>
  <c r="Q263" i="34"/>
  <c r="R1586" i="34"/>
  <c r="P825" i="34"/>
  <c r="Q1538" i="34"/>
  <c r="R897" i="34"/>
  <c r="R932" i="34"/>
  <c r="P965" i="34"/>
  <c r="Q1030" i="34"/>
  <c r="R1176" i="34"/>
  <c r="P1554" i="34"/>
  <c r="R1650" i="34"/>
  <c r="Q1756" i="34"/>
  <c r="P53" i="34"/>
  <c r="R57" i="34"/>
  <c r="Q61" i="34"/>
  <c r="Q66" i="34"/>
  <c r="P71" i="34"/>
  <c r="P76" i="34"/>
  <c r="Q87" i="34"/>
  <c r="Q92" i="34"/>
  <c r="R133" i="34"/>
  <c r="R776" i="34"/>
  <c r="Q428" i="34"/>
  <c r="Q471" i="34"/>
  <c r="Q487" i="34"/>
  <c r="R505" i="34"/>
  <c r="Q159" i="34"/>
  <c r="Q217" i="34"/>
  <c r="Q529" i="34"/>
  <c r="P46" i="34"/>
  <c r="R787" i="34"/>
  <c r="P737" i="34"/>
  <c r="Q720" i="34"/>
  <c r="R769" i="34"/>
  <c r="Q875" i="34"/>
  <c r="P789" i="34"/>
  <c r="Q789" i="34"/>
  <c r="P907" i="34"/>
  <c r="R961" i="34"/>
  <c r="P421" i="34"/>
  <c r="P101" i="34"/>
  <c r="P105" i="34"/>
  <c r="P142" i="34"/>
  <c r="Q231" i="34"/>
  <c r="R235" i="34"/>
  <c r="Q273" i="34"/>
  <c r="Q294" i="34"/>
  <c r="P294" i="34"/>
  <c r="Q315" i="34"/>
  <c r="Q346" i="34"/>
  <c r="R350" i="34"/>
  <c r="Q368" i="34"/>
  <c r="R372" i="34"/>
  <c r="Q246" i="34"/>
  <c r="P246" i="34"/>
  <c r="Q302" i="34"/>
  <c r="P306" i="34"/>
  <c r="P631" i="34"/>
  <c r="Q633" i="34"/>
  <c r="P690" i="34"/>
  <c r="Q820" i="34"/>
  <c r="P820" i="34"/>
  <c r="R832" i="34"/>
  <c r="Q853" i="34"/>
  <c r="Q890" i="34"/>
  <c r="P890" i="34"/>
  <c r="R896" i="34"/>
  <c r="Q1577" i="34"/>
  <c r="P1577" i="34"/>
  <c r="P65" i="34"/>
  <c r="P86" i="34"/>
  <c r="Q818" i="34"/>
  <c r="P818" i="34"/>
  <c r="R822" i="34"/>
  <c r="Q836" i="34"/>
  <c r="P836" i="34"/>
  <c r="P839" i="34"/>
  <c r="Q847" i="34"/>
  <c r="R851" i="34"/>
  <c r="P855" i="34"/>
  <c r="Q867" i="34"/>
  <c r="Q892" i="34"/>
  <c r="P892" i="34"/>
  <c r="P929" i="34"/>
  <c r="R966" i="34"/>
  <c r="R1094" i="34"/>
  <c r="P1174" i="34"/>
  <c r="Q1562" i="34"/>
  <c r="Q1605" i="34"/>
  <c r="P1605" i="34"/>
  <c r="P1648" i="34"/>
  <c r="P1757" i="34"/>
  <c r="R22" i="34"/>
  <c r="P54" i="34"/>
  <c r="Q58" i="34"/>
  <c r="Q62" i="34"/>
  <c r="P67" i="34"/>
  <c r="P72" i="34"/>
  <c r="Q88" i="34"/>
  <c r="P93" i="34"/>
  <c r="R121" i="34"/>
  <c r="R755" i="34"/>
  <c r="P763" i="34"/>
  <c r="Q777" i="34"/>
  <c r="Q429" i="34"/>
  <c r="R501" i="34"/>
  <c r="R508" i="34"/>
  <c r="Q160" i="34"/>
  <c r="Q249" i="34"/>
  <c r="Q538" i="34"/>
  <c r="P538" i="34"/>
  <c r="Q47" i="34"/>
  <c r="P784" i="34"/>
  <c r="Q803" i="34"/>
  <c r="R807" i="34"/>
  <c r="Q721" i="34"/>
  <c r="Q876" i="34"/>
  <c r="P876" i="34"/>
  <c r="Q790" i="34"/>
  <c r="R344" i="34"/>
  <c r="Q442" i="34"/>
  <c r="R98" i="34"/>
  <c r="Q102" i="34"/>
  <c r="R137" i="34"/>
  <c r="Q143" i="34"/>
  <c r="Q190" i="34"/>
  <c r="R194" i="34"/>
  <c r="P232" i="34"/>
  <c r="Q232" i="34"/>
  <c r="Q265" i="34"/>
  <c r="Q274" i="34"/>
  <c r="P274" i="34"/>
  <c r="P295" i="34"/>
  <c r="P316" i="34"/>
  <c r="Q340" i="34"/>
  <c r="Q347" i="34"/>
  <c r="P347" i="34"/>
  <c r="R365" i="34"/>
  <c r="P369" i="34"/>
  <c r="P400" i="34"/>
  <c r="R183" i="34"/>
  <c r="R248" i="34"/>
  <c r="R303" i="34"/>
  <c r="R320" i="34"/>
  <c r="R591" i="34"/>
  <c r="Q654" i="34"/>
  <c r="P634" i="34"/>
  <c r="R663" i="34"/>
  <c r="P731" i="34"/>
  <c r="R816" i="34"/>
  <c r="R849" i="34"/>
  <c r="P861" i="34"/>
  <c r="R935" i="34"/>
  <c r="Q1553" i="34"/>
  <c r="P1553" i="34"/>
  <c r="R1611" i="34"/>
  <c r="P70" i="34"/>
  <c r="P752" i="34"/>
  <c r="P765" i="34"/>
  <c r="Q470" i="34"/>
  <c r="R216" i="34"/>
  <c r="P251" i="34"/>
  <c r="P49" i="34"/>
  <c r="R805" i="34"/>
  <c r="Q736" i="34"/>
  <c r="Q719" i="34"/>
  <c r="R747" i="34"/>
  <c r="Q856" i="34"/>
  <c r="R719" i="34"/>
  <c r="P747" i="34"/>
  <c r="P856" i="34"/>
  <c r="Q773" i="34"/>
  <c r="Q979" i="34"/>
  <c r="P979" i="34"/>
  <c r="P360" i="34"/>
  <c r="R104" i="34"/>
  <c r="R188" i="34"/>
  <c r="P230" i="34"/>
  <c r="Q230" i="34"/>
  <c r="Q267" i="34"/>
  <c r="R817" i="34"/>
  <c r="P821" i="34"/>
  <c r="Q835" i="34"/>
  <c r="Q842" i="34"/>
  <c r="P842" i="34"/>
  <c r="R846" i="34"/>
  <c r="Q862" i="34"/>
  <c r="P862" i="34"/>
  <c r="R866" i="34"/>
  <c r="Q819" i="34"/>
  <c r="R823" i="34"/>
  <c r="P827" i="34"/>
  <c r="Q833" i="34"/>
  <c r="Q840" i="34"/>
  <c r="P840" i="34"/>
  <c r="R844" i="34"/>
  <c r="Q860" i="34"/>
  <c r="P860" i="34"/>
  <c r="R864" i="34"/>
  <c r="Q930" i="34"/>
  <c r="P930" i="34"/>
  <c r="R934" i="34"/>
  <c r="P967" i="34"/>
  <c r="R1498" i="34"/>
  <c r="R1559" i="34"/>
  <c r="Q1606" i="34"/>
  <c r="Q1649" i="34"/>
  <c r="P1649" i="34"/>
  <c r="Q1758" i="34"/>
  <c r="R50" i="34"/>
  <c r="R55" i="34"/>
  <c r="Q55" i="34"/>
  <c r="Q59" i="34"/>
  <c r="R68" i="34"/>
  <c r="R73" i="34"/>
  <c r="Q83" i="34"/>
  <c r="R94" i="34"/>
  <c r="P122" i="34"/>
  <c r="Q744" i="34"/>
  <c r="Q751" i="34"/>
  <c r="P756" i="34"/>
  <c r="R764" i="34"/>
  <c r="Q426" i="34"/>
  <c r="Q479" i="34"/>
  <c r="Q502" i="34"/>
  <c r="P502" i="34"/>
  <c r="P509" i="34"/>
  <c r="Q215" i="34"/>
  <c r="P44" i="34"/>
  <c r="R785" i="34"/>
  <c r="R732" i="34"/>
  <c r="Q718" i="34"/>
  <c r="R772" i="34"/>
  <c r="Q978" i="34"/>
  <c r="Q359" i="34"/>
  <c r="P359" i="34"/>
  <c r="P99" i="34"/>
  <c r="P103" i="34"/>
  <c r="P138" i="34"/>
  <c r="Q229" i="34"/>
  <c r="R233" i="34"/>
  <c r="R275" i="34"/>
  <c r="R296" i="34"/>
  <c r="R317" i="34"/>
  <c r="R348" i="34"/>
  <c r="P366" i="34"/>
  <c r="Q366" i="34"/>
  <c r="R370" i="34"/>
  <c r="R401" i="34"/>
  <c r="R212" i="34"/>
  <c r="R272" i="34"/>
  <c r="P304" i="34"/>
  <c r="Q321" i="34"/>
  <c r="R593" i="34"/>
  <c r="Q682" i="34"/>
  <c r="R635" i="34"/>
  <c r="P688" i="34"/>
  <c r="Q828" i="34"/>
  <c r="P828" i="34"/>
  <c r="P845" i="34"/>
  <c r="Q931" i="34"/>
  <c r="R1560" i="34"/>
  <c r="R60" i="34"/>
  <c r="P75" i="34"/>
  <c r="R95" i="34"/>
  <c r="Q95" i="34"/>
  <c r="Q748" i="34"/>
  <c r="P760" i="34"/>
  <c r="R786" i="34"/>
  <c r="P293" i="34"/>
  <c r="P314" i="34"/>
  <c r="R342" i="34"/>
  <c r="R349" i="34"/>
  <c r="R402" i="34"/>
  <c r="R589" i="34"/>
  <c r="R594" i="34"/>
  <c r="Q693" i="34"/>
  <c r="R636" i="34"/>
  <c r="P689" i="34"/>
  <c r="Q289" i="34"/>
  <c r="P305" i="34"/>
  <c r="P589" i="34"/>
  <c r="P805" i="34"/>
  <c r="R856" i="34"/>
  <c r="R773" i="34"/>
  <c r="R948" i="34"/>
  <c r="R979" i="34"/>
  <c r="P462" i="34"/>
  <c r="P104" i="34"/>
  <c r="P188" i="34"/>
  <c r="R234" i="34"/>
  <c r="R267" i="34"/>
  <c r="P817" i="34"/>
  <c r="Q829" i="34"/>
  <c r="R835" i="34"/>
  <c r="R842" i="34"/>
  <c r="Q854" i="34"/>
  <c r="P854" i="34"/>
  <c r="R862" i="34"/>
  <c r="Q815" i="34"/>
  <c r="R819" i="34"/>
  <c r="P823" i="34"/>
  <c r="Q831" i="34"/>
  <c r="R833" i="34"/>
  <c r="R840" i="34"/>
  <c r="Q852" i="34"/>
  <c r="P852" i="34"/>
  <c r="R860" i="34"/>
  <c r="Q1555" i="34"/>
  <c r="P1555" i="34"/>
  <c r="R930" i="34"/>
  <c r="Q967" i="34"/>
  <c r="Q1099" i="34"/>
  <c r="P1099" i="34"/>
  <c r="P1498" i="34"/>
  <c r="Q1576" i="34"/>
  <c r="R1606" i="34"/>
  <c r="R1649" i="34"/>
  <c r="R1758" i="34"/>
  <c r="P404" i="34"/>
  <c r="P50" i="34"/>
  <c r="P59" i="34"/>
  <c r="P63" i="34"/>
  <c r="P68" i="34"/>
  <c r="Q73" i="34"/>
  <c r="P89" i="34"/>
  <c r="P94" i="34"/>
  <c r="R751" i="34"/>
  <c r="R756" i="34"/>
  <c r="Q764" i="34"/>
  <c r="P430" i="34"/>
  <c r="R479" i="34"/>
  <c r="R502" i="34"/>
  <c r="R215" i="34"/>
  <c r="Q250" i="34"/>
  <c r="P250" i="34"/>
  <c r="Q48" i="34"/>
  <c r="Q804" i="34"/>
  <c r="P804" i="34"/>
  <c r="Q732" i="34"/>
  <c r="P746" i="34"/>
  <c r="Q810" i="34"/>
  <c r="P810" i="34"/>
  <c r="Q772" i="34"/>
  <c r="R791" i="34"/>
  <c r="Q915" i="34"/>
  <c r="R978" i="34"/>
  <c r="R359" i="34"/>
  <c r="Q461" i="34"/>
  <c r="R103" i="34"/>
  <c r="Q144" i="34"/>
  <c r="Q191" i="34"/>
  <c r="P191" i="34"/>
  <c r="R229" i="34"/>
  <c r="P237" i="34"/>
  <c r="Q266" i="34"/>
  <c r="P266" i="34"/>
  <c r="P275" i="34"/>
  <c r="Q341" i="34"/>
  <c r="P341" i="34"/>
  <c r="P348" i="34"/>
  <c r="P401" i="34"/>
  <c r="R321" i="34"/>
  <c r="P593" i="34"/>
  <c r="R688" i="34"/>
  <c r="R828" i="34"/>
  <c r="Q865" i="34"/>
  <c r="R931" i="34"/>
  <c r="P1560" i="34"/>
  <c r="P1755" i="34"/>
  <c r="R75" i="34"/>
  <c r="Q486" i="34"/>
  <c r="P486" i="34"/>
  <c r="Q786" i="34"/>
  <c r="Q333" i="34"/>
  <c r="P333" i="34"/>
  <c r="P342" i="34"/>
  <c r="P367" i="34"/>
  <c r="R371" i="34"/>
  <c r="Q402" i="34"/>
  <c r="P214" i="34"/>
  <c r="R693" i="34"/>
  <c r="P636" i="34"/>
  <c r="P719" i="34"/>
  <c r="Q902" i="34"/>
  <c r="P902" i="34"/>
  <c r="Q948" i="34"/>
  <c r="Q360" i="34"/>
  <c r="R462" i="34"/>
  <c r="R230" i="34"/>
  <c r="P267" i="34"/>
  <c r="Q821" i="34"/>
  <c r="R829" i="34"/>
  <c r="P835" i="34"/>
  <c r="Q850" i="34"/>
  <c r="P850" i="34"/>
  <c r="R854" i="34"/>
  <c r="R815" i="34"/>
  <c r="P819" i="34"/>
  <c r="Q827" i="34"/>
  <c r="R831" i="34"/>
  <c r="P833" i="34"/>
  <c r="Q848" i="34"/>
  <c r="P848" i="34"/>
  <c r="R852" i="34"/>
  <c r="Q868" i="34"/>
  <c r="P868" i="34"/>
  <c r="R1555" i="34"/>
  <c r="P934" i="34"/>
  <c r="R967" i="34"/>
  <c r="R1099" i="34"/>
  <c r="R1576" i="34"/>
  <c r="P1606" i="34"/>
  <c r="R404" i="34"/>
  <c r="P55" i="34"/>
  <c r="R63" i="34"/>
  <c r="P83" i="34"/>
  <c r="R89" i="34"/>
  <c r="Q122" i="34"/>
  <c r="P744" i="34"/>
  <c r="P751" i="34"/>
  <c r="Q756" i="34"/>
  <c r="P764" i="34"/>
  <c r="P426" i="34"/>
  <c r="R430" i="34"/>
  <c r="P479" i="34"/>
  <c r="Q509" i="34"/>
  <c r="P215" i="34"/>
  <c r="R250" i="34"/>
  <c r="Q44" i="34"/>
  <c r="R48" i="34"/>
  <c r="P785" i="34"/>
  <c r="Q785" i="34"/>
  <c r="R804" i="34"/>
  <c r="P718" i="34"/>
  <c r="R746" i="34"/>
  <c r="R810" i="34"/>
  <c r="P772" i="34"/>
  <c r="R915" i="34"/>
  <c r="P978" i="34"/>
  <c r="R461" i="34"/>
  <c r="R99" i="34"/>
  <c r="Q99" i="34"/>
  <c r="Q103" i="34"/>
  <c r="Q138" i="34"/>
  <c r="R144" i="34"/>
  <c r="Q187" i="34"/>
  <c r="P187" i="34"/>
  <c r="R191" i="34"/>
  <c r="P233" i="34"/>
  <c r="Q237" i="34"/>
  <c r="R266" i="34"/>
  <c r="P317" i="34"/>
  <c r="R341" i="34"/>
  <c r="R366" i="34"/>
  <c r="P370" i="34"/>
  <c r="P212" i="34"/>
  <c r="R304" i="34"/>
  <c r="P682" i="34"/>
  <c r="P635" i="34"/>
  <c r="Q688" i="34"/>
  <c r="Q845" i="34"/>
  <c r="R865" i="34"/>
  <c r="P931" i="34"/>
  <c r="P60" i="34"/>
  <c r="Q75" i="34"/>
  <c r="P95" i="34"/>
  <c r="P748" i="34"/>
  <c r="R760" i="34"/>
  <c r="Q760" i="34"/>
  <c r="R486" i="34"/>
  <c r="P786" i="34"/>
  <c r="Q293" i="34"/>
  <c r="R314" i="34"/>
  <c r="R333" i="34"/>
  <c r="Q367" i="34"/>
  <c r="Q371" i="34"/>
  <c r="Q214" i="34"/>
  <c r="R289" i="34"/>
  <c r="Q305" i="34"/>
  <c r="P693" i="34"/>
  <c r="Q689" i="34"/>
  <c r="P736" i="34"/>
  <c r="P773" i="34"/>
  <c r="R902" i="34"/>
  <c r="P948" i="34"/>
  <c r="R360" i="34"/>
  <c r="Q462" i="34"/>
  <c r="Q104" i="34"/>
  <c r="Q188" i="34"/>
  <c r="P234" i="34"/>
  <c r="Q234" i="34"/>
  <c r="Q817" i="34"/>
  <c r="R821" i="34"/>
  <c r="P829" i="34"/>
  <c r="Q846" i="34"/>
  <c r="P846" i="34"/>
  <c r="R850" i="34"/>
  <c r="Q866" i="34"/>
  <c r="P866" i="34"/>
  <c r="P815" i="34"/>
  <c r="Q823" i="34"/>
  <c r="R827" i="34"/>
  <c r="P831" i="34"/>
  <c r="Q844" i="34"/>
  <c r="P844" i="34"/>
  <c r="R848" i="34"/>
  <c r="Q864" i="34"/>
  <c r="P864" i="34"/>
  <c r="R868" i="34"/>
  <c r="Q934" i="34"/>
  <c r="Q1498" i="34"/>
  <c r="Q1559" i="34"/>
  <c r="P1559" i="34"/>
  <c r="P1576" i="34"/>
  <c r="P1758" i="34"/>
  <c r="Q404" i="34"/>
  <c r="Q50" i="34"/>
  <c r="R59" i="34"/>
  <c r="Q63" i="34"/>
  <c r="Q68" i="34"/>
  <c r="P73" i="34"/>
  <c r="R83" i="34"/>
  <c r="Q89" i="34"/>
  <c r="Q94" i="34"/>
  <c r="R122" i="34"/>
  <c r="R744" i="34"/>
  <c r="R426" i="34"/>
  <c r="Q430" i="34"/>
  <c r="R509" i="34"/>
  <c r="R44" i="34"/>
  <c r="P48" i="34"/>
  <c r="P732" i="34"/>
  <c r="R718" i="34"/>
  <c r="Q746" i="34"/>
  <c r="P791" i="34"/>
  <c r="Q791" i="34"/>
  <c r="P915" i="34"/>
  <c r="P461" i="34"/>
  <c r="R138" i="34"/>
  <c r="P144" i="34"/>
  <c r="R187" i="34"/>
  <c r="P229" i="34"/>
  <c r="Q233" i="34"/>
  <c r="R237" i="34"/>
  <c r="Q275" i="34"/>
  <c r="Q296" i="34"/>
  <c r="P296" i="34"/>
  <c r="Q317" i="34"/>
  <c r="Q348" i="34"/>
  <c r="Q370" i="34"/>
  <c r="Q401" i="34"/>
  <c r="Q212" i="34"/>
  <c r="Q272" i="34"/>
  <c r="P272" i="34"/>
  <c r="Q304" i="34"/>
  <c r="P321" i="34"/>
  <c r="Q593" i="34"/>
  <c r="R682" i="34"/>
  <c r="Q635" i="34"/>
  <c r="R845" i="34"/>
  <c r="P865" i="34"/>
  <c r="Q1560" i="34"/>
  <c r="R1755" i="34"/>
  <c r="Q1755" i="34"/>
  <c r="Q60" i="34"/>
  <c r="R748" i="34"/>
  <c r="R293" i="34"/>
  <c r="Q314" i="34"/>
  <c r="Q342" i="34"/>
  <c r="Q349" i="34"/>
  <c r="P349" i="34"/>
  <c r="R367" i="34"/>
  <c r="P371" i="34"/>
  <c r="P402" i="34"/>
  <c r="R214" i="34"/>
  <c r="P289" i="34"/>
  <c r="R305" i="34"/>
  <c r="Q589" i="34"/>
  <c r="Q594" i="34"/>
  <c r="P594" i="34"/>
  <c r="Q636" i="34"/>
  <c r="R689" i="34"/>
  <c r="R565" i="34"/>
  <c r="P271" i="34"/>
  <c r="R108" i="34"/>
  <c r="P244" i="34"/>
  <c r="P565" i="34"/>
  <c r="Q885" i="34"/>
  <c r="P108" i="34"/>
  <c r="Q271" i="34"/>
  <c r="R885" i="34"/>
  <c r="Q244" i="34"/>
  <c r="Q565" i="34"/>
  <c r="R271" i="34"/>
  <c r="P885" i="34"/>
  <c r="Q108" i="34"/>
  <c r="R244" i="34"/>
  <c r="Q898" i="34"/>
  <c r="P898" i="34"/>
  <c r="P1777" i="34"/>
  <c r="R898" i="34"/>
  <c r="R1777" i="34"/>
  <c r="Q1777" i="34"/>
  <c r="P459" i="34"/>
  <c r="Q459" i="34"/>
  <c r="R459" i="34"/>
  <c r="R107" i="34"/>
  <c r="Q107" i="34"/>
  <c r="Q106" i="34"/>
  <c r="R869" i="34"/>
  <c r="R106" i="34"/>
  <c r="Q874" i="34"/>
  <c r="P874" i="34"/>
  <c r="P869" i="34"/>
  <c r="Q869" i="34"/>
  <c r="P107" i="34"/>
  <c r="P106" i="34"/>
  <c r="R874" i="34"/>
  <c r="P126" i="34"/>
  <c r="Q140" i="34"/>
  <c r="Q126" i="34"/>
  <c r="R140" i="34"/>
  <c r="R126" i="34"/>
  <c r="P140" i="34"/>
  <c r="R141" i="34"/>
  <c r="Q141" i="34"/>
  <c r="Q757" i="34"/>
  <c r="R757" i="34"/>
  <c r="P141" i="34"/>
  <c r="P757" i="34"/>
  <c r="R149" i="34"/>
  <c r="Q149" i="34"/>
  <c r="Q156" i="34"/>
  <c r="R156" i="34"/>
  <c r="P149" i="34"/>
  <c r="P156" i="34"/>
  <c r="Q1965" i="34"/>
  <c r="Q1967" i="34"/>
  <c r="Q1969" i="34"/>
  <c r="Q1971" i="34"/>
  <c r="Q1973" i="34"/>
  <c r="Q1975" i="34"/>
  <c r="Q1977" i="34"/>
  <c r="Q1979" i="34"/>
  <c r="Q1981" i="34"/>
  <c r="Q1983" i="34"/>
  <c r="Q1985" i="34"/>
  <c r="Q1987" i="34"/>
  <c r="Q1989" i="34"/>
  <c r="Q1991" i="34"/>
  <c r="Q1993" i="34"/>
  <c r="Q1995" i="34"/>
  <c r="Q1997" i="34"/>
  <c r="Q1999" i="34"/>
  <c r="Q2001" i="34"/>
  <c r="Q2003" i="34"/>
  <c r="Q2005" i="34"/>
  <c r="Q2007" i="34"/>
  <c r="Q2009" i="34"/>
  <c r="Q2011" i="34"/>
  <c r="Q2013" i="34"/>
  <c r="Q2015" i="34"/>
  <c r="Q2017" i="34"/>
  <c r="Q2019" i="34"/>
  <c r="Q2021" i="34"/>
  <c r="Q2023" i="34"/>
  <c r="Q2025" i="34"/>
  <c r="Q2027" i="34"/>
  <c r="Q2029" i="34"/>
  <c r="Q2031" i="34"/>
  <c r="Q2033" i="34"/>
  <c r="Q2035" i="34"/>
  <c r="Q2037" i="34"/>
  <c r="Q2039" i="34"/>
  <c r="P1964" i="34"/>
  <c r="R1965" i="34"/>
  <c r="P1966" i="34"/>
  <c r="R1967" i="34"/>
  <c r="P1968" i="34"/>
  <c r="R1969" i="34"/>
  <c r="P1970" i="34"/>
  <c r="R1971" i="34"/>
  <c r="P1972" i="34"/>
  <c r="R1973" i="34"/>
  <c r="P1974" i="34"/>
  <c r="R1975" i="34"/>
  <c r="P1976" i="34"/>
  <c r="R1977" i="34"/>
  <c r="P1978" i="34"/>
  <c r="R1979" i="34"/>
  <c r="P1980" i="34"/>
  <c r="R1981" i="34"/>
  <c r="P1982" i="34"/>
  <c r="R1983" i="34"/>
  <c r="P1984" i="34"/>
  <c r="R1985" i="34"/>
  <c r="P1986" i="34"/>
  <c r="R1987" i="34"/>
  <c r="P1988" i="34"/>
  <c r="Q1964" i="34"/>
  <c r="Q1966" i="34"/>
  <c r="Q1968" i="34"/>
  <c r="Q1970" i="34"/>
  <c r="Q1972" i="34"/>
  <c r="Q1974" i="34"/>
  <c r="Q1976" i="34"/>
  <c r="Q1978" i="34"/>
  <c r="Q1980" i="34"/>
  <c r="Q1982" i="34"/>
  <c r="Q1984" i="34"/>
  <c r="Q1986" i="34"/>
  <c r="Q1988" i="34"/>
  <c r="Q1990" i="34"/>
  <c r="Q1992" i="34"/>
  <c r="Q1994" i="34"/>
  <c r="Q1996" i="34"/>
  <c r="Q1998" i="34"/>
  <c r="Q2000" i="34"/>
  <c r="Q2002" i="34"/>
  <c r="Q2004" i="34"/>
  <c r="Q2006" i="34"/>
  <c r="Q2008" i="34"/>
  <c r="Q2010" i="34"/>
  <c r="Q2012" i="34"/>
  <c r="Q2014" i="34"/>
  <c r="Q2016" i="34"/>
  <c r="Q2018" i="34"/>
  <c r="Q2020" i="34"/>
  <c r="Q2022" i="34"/>
  <c r="Q2024" i="34"/>
  <c r="Q2026" i="34"/>
  <c r="Q2028" i="34"/>
  <c r="Q2030" i="34"/>
  <c r="Q2032" i="34"/>
  <c r="Q2034" i="34"/>
  <c r="Q2036" i="34"/>
  <c r="Q2038" i="34"/>
  <c r="Q2040" i="34"/>
  <c r="Q2042" i="34"/>
  <c r="Q2044" i="34"/>
  <c r="Q2046" i="34"/>
  <c r="Q2048" i="34"/>
  <c r="Q2050" i="34"/>
  <c r="R1964" i="34"/>
  <c r="P1965" i="34"/>
  <c r="R1966" i="34"/>
  <c r="P1967" i="34"/>
  <c r="R1968" i="34"/>
  <c r="P1969" i="34"/>
  <c r="R1970" i="34"/>
  <c r="P1971" i="34"/>
  <c r="R1972" i="34"/>
  <c r="P1973" i="34"/>
  <c r="R1974" i="34"/>
  <c r="P1975" i="34"/>
  <c r="R1976" i="34"/>
  <c r="P1977" i="34"/>
  <c r="R1978" i="34"/>
  <c r="P1979" i="34"/>
  <c r="R1980" i="34"/>
  <c r="P1981" i="34"/>
  <c r="R1982" i="34"/>
  <c r="P1983" i="34"/>
  <c r="R1984" i="34"/>
  <c r="P1985" i="34"/>
  <c r="R1986" i="34"/>
  <c r="P1987" i="34"/>
  <c r="R1988" i="34"/>
  <c r="P1989" i="34"/>
  <c r="R1990" i="34"/>
  <c r="P1991" i="34"/>
  <c r="R1992" i="34"/>
  <c r="P1993" i="34"/>
  <c r="R1994" i="34"/>
  <c r="P1995" i="34"/>
  <c r="R1996" i="34"/>
  <c r="P1997" i="34"/>
  <c r="R1998" i="34"/>
  <c r="P1999" i="34"/>
  <c r="R2000" i="34"/>
  <c r="P2001" i="34"/>
  <c r="R2002" i="34"/>
  <c r="P2003" i="34"/>
  <c r="R2004" i="34"/>
  <c r="P2005" i="34"/>
  <c r="R2006" i="34"/>
  <c r="P2007" i="34"/>
  <c r="R2008" i="34"/>
  <c r="P2009" i="34"/>
  <c r="R2010" i="34"/>
  <c r="P2011" i="34"/>
  <c r="R2012" i="34"/>
  <c r="P2013" i="34"/>
  <c r="R2014" i="34"/>
  <c r="P2015" i="34"/>
  <c r="R2016" i="34"/>
  <c r="P2017" i="34"/>
  <c r="R2018" i="34"/>
  <c r="P2019" i="34"/>
  <c r="R2020" i="34"/>
  <c r="P2021" i="34"/>
  <c r="R2022" i="34"/>
  <c r="P2023" i="34"/>
  <c r="R2024" i="34"/>
  <c r="P2025" i="34"/>
  <c r="R2026" i="34"/>
  <c r="P2027" i="34"/>
  <c r="R2028" i="34"/>
  <c r="P2029" i="34"/>
  <c r="R2030" i="34"/>
  <c r="P2031" i="34"/>
  <c r="R2032" i="34"/>
  <c r="P2033" i="34"/>
  <c r="R2034" i="34"/>
  <c r="P2035" i="34"/>
  <c r="R2036" i="34"/>
  <c r="P2037" i="34"/>
  <c r="R2038" i="34"/>
  <c r="P2039" i="34"/>
  <c r="R2040" i="34"/>
  <c r="P2041" i="34"/>
  <c r="R2042" i="34"/>
  <c r="P2043" i="34"/>
  <c r="R2044" i="34"/>
  <c r="P2045" i="34"/>
  <c r="R2046" i="34"/>
  <c r="P2047" i="34"/>
  <c r="R2045" i="34"/>
  <c r="P2046" i="34"/>
  <c r="Q2047" i="34"/>
  <c r="R2049" i="34"/>
  <c r="P2050" i="34"/>
  <c r="Q2052" i="34"/>
  <c r="Q2054" i="34"/>
  <c r="Q2056" i="34"/>
  <c r="Q2058" i="34"/>
  <c r="Q2060" i="34"/>
  <c r="Q2062" i="34"/>
  <c r="Q2064" i="34"/>
  <c r="Q2066" i="34"/>
  <c r="Q2068" i="34"/>
  <c r="Q2070" i="34"/>
  <c r="Q2072" i="34"/>
  <c r="Q2074" i="34"/>
  <c r="Q2076" i="34"/>
  <c r="Q2078" i="34"/>
  <c r="Q2080" i="34"/>
  <c r="Q2082" i="34"/>
  <c r="Q2084" i="34"/>
  <c r="Q2086" i="34"/>
  <c r="Q2088" i="34"/>
  <c r="Q2090" i="34"/>
  <c r="Q2092" i="34"/>
  <c r="Q2094" i="34"/>
  <c r="Q2096" i="34"/>
  <c r="Q2098" i="34"/>
  <c r="Q2100" i="34"/>
  <c r="Q2102" i="34"/>
  <c r="Q2104" i="34"/>
  <c r="Q2106" i="34"/>
  <c r="Q2108" i="34"/>
  <c r="Q2110" i="34"/>
  <c r="Q2112" i="34"/>
  <c r="Q2114" i="34"/>
  <c r="R1989" i="34"/>
  <c r="P1990" i="34"/>
  <c r="R1991" i="34"/>
  <c r="P1992" i="34"/>
  <c r="R1993" i="34"/>
  <c r="P1994" i="34"/>
  <c r="R1995" i="34"/>
  <c r="P1996" i="34"/>
  <c r="R1997" i="34"/>
  <c r="P1998" i="34"/>
  <c r="R1999" i="34"/>
  <c r="P2000" i="34"/>
  <c r="R2001" i="34"/>
  <c r="P2002" i="34"/>
  <c r="R2003" i="34"/>
  <c r="P2004" i="34"/>
  <c r="R2005" i="34"/>
  <c r="P2006" i="34"/>
  <c r="R2007" i="34"/>
  <c r="P2008" i="34"/>
  <c r="R2009" i="34"/>
  <c r="P2010" i="34"/>
  <c r="R2011" i="34"/>
  <c r="P2012" i="34"/>
  <c r="R2013" i="34"/>
  <c r="P2014" i="34"/>
  <c r="R2015" i="34"/>
  <c r="P2016" i="34"/>
  <c r="R2017" i="34"/>
  <c r="P2018" i="34"/>
  <c r="R2019" i="34"/>
  <c r="P2020" i="34"/>
  <c r="R2021" i="34"/>
  <c r="P2022" i="34"/>
  <c r="R2023" i="34"/>
  <c r="P2024" i="34"/>
  <c r="R2025" i="34"/>
  <c r="P2026" i="34"/>
  <c r="R2027" i="34"/>
  <c r="P2028" i="34"/>
  <c r="R2029" i="34"/>
  <c r="P2030" i="34"/>
  <c r="R2031" i="34"/>
  <c r="P2032" i="34"/>
  <c r="R2033" i="34"/>
  <c r="P2034" i="34"/>
  <c r="R2035" i="34"/>
  <c r="P2036" i="34"/>
  <c r="R2037" i="34"/>
  <c r="P2038" i="34"/>
  <c r="R2039" i="34"/>
  <c r="P2040" i="34"/>
  <c r="Q2041" i="34"/>
  <c r="R2047" i="34"/>
  <c r="P2048" i="34"/>
  <c r="R2050" i="34"/>
  <c r="P2051" i="34"/>
  <c r="R2052" i="34"/>
  <c r="P2053" i="34"/>
  <c r="R2054" i="34"/>
  <c r="P2055" i="34"/>
  <c r="R2056" i="34"/>
  <c r="P2057" i="34"/>
  <c r="R2058" i="34"/>
  <c r="P2059" i="34"/>
  <c r="R2060" i="34"/>
  <c r="P2061" i="34"/>
  <c r="R2062" i="34"/>
  <c r="P2063" i="34"/>
  <c r="R2064" i="34"/>
  <c r="P2065" i="34"/>
  <c r="R2066" i="34"/>
  <c r="P2067" i="34"/>
  <c r="R2068" i="34"/>
  <c r="P2069" i="34"/>
  <c r="R2070" i="34"/>
  <c r="P2071" i="34"/>
  <c r="R2072" i="34"/>
  <c r="P2073" i="34"/>
  <c r="R2074" i="34"/>
  <c r="P2075" i="34"/>
  <c r="R2076" i="34"/>
  <c r="P2077" i="34"/>
  <c r="R2078" i="34"/>
  <c r="P2079" i="34"/>
  <c r="R2041" i="34"/>
  <c r="P2042" i="34"/>
  <c r="Q2043" i="34"/>
  <c r="R2048" i="34"/>
  <c r="P2049" i="34"/>
  <c r="Q2051" i="34"/>
  <c r="Q2053" i="34"/>
  <c r="Q2055" i="34"/>
  <c r="Q2057" i="34"/>
  <c r="Q2059" i="34"/>
  <c r="Q2061" i="34"/>
  <c r="Q2063" i="34"/>
  <c r="Q2065" i="34"/>
  <c r="Q2067" i="34"/>
  <c r="Q2069" i="34"/>
  <c r="Q2071" i="34"/>
  <c r="Q2073" i="34"/>
  <c r="Q2075" i="34"/>
  <c r="Q2077" i="34"/>
  <c r="Q2079" i="34"/>
  <c r="Q2081" i="34"/>
  <c r="Q2083" i="34"/>
  <c r="Q2085" i="34"/>
  <c r="Q2087" i="34"/>
  <c r="Q2089" i="34"/>
  <c r="Q2091" i="34"/>
  <c r="Q2093" i="34"/>
  <c r="Q2095" i="34"/>
  <c r="Q2097" i="34"/>
  <c r="Q2099" i="34"/>
  <c r="Q2101" i="34"/>
  <c r="Q2103" i="34"/>
  <c r="Q2105" i="34"/>
  <c r="Q2107" i="34"/>
  <c r="Q2109" i="34"/>
  <c r="Q2111" i="34"/>
  <c r="Q2113" i="34"/>
  <c r="Q2115" i="34"/>
  <c r="R2043" i="34"/>
  <c r="P2044" i="34"/>
  <c r="Q2045" i="34"/>
  <c r="Q2049" i="34"/>
  <c r="R2051" i="34"/>
  <c r="P2052" i="34"/>
  <c r="R2053" i="34"/>
  <c r="P2054" i="34"/>
  <c r="R2055" i="34"/>
  <c r="P2056" i="34"/>
  <c r="R2057" i="34"/>
  <c r="P2058" i="34"/>
  <c r="R2059" i="34"/>
  <c r="P2060" i="34"/>
  <c r="R2061" i="34"/>
  <c r="P2062" i="34"/>
  <c r="R2063" i="34"/>
  <c r="P2064" i="34"/>
  <c r="R2065" i="34"/>
  <c r="P2066" i="34"/>
  <c r="R2067" i="34"/>
  <c r="P2068" i="34"/>
  <c r="R2069" i="34"/>
  <c r="P2070" i="34"/>
  <c r="R2071" i="34"/>
  <c r="P2072" i="34"/>
  <c r="R2073" i="34"/>
  <c r="P2074" i="34"/>
  <c r="R2075" i="34"/>
  <c r="P2076" i="34"/>
  <c r="R2077" i="34"/>
  <c r="P2078" i="34"/>
  <c r="R2079" i="34"/>
  <c r="P2080" i="34"/>
  <c r="R2081" i="34"/>
  <c r="P2082" i="34"/>
  <c r="R2083" i="34"/>
  <c r="P2084" i="34"/>
  <c r="R2085" i="34"/>
  <c r="P2086" i="34"/>
  <c r="R2087" i="34"/>
  <c r="P2088" i="34"/>
  <c r="R2089" i="34"/>
  <c r="P2090" i="34"/>
  <c r="R2091" i="34"/>
  <c r="P2092" i="34"/>
  <c r="R2093" i="34"/>
  <c r="P2094" i="34"/>
  <c r="R2095" i="34"/>
  <c r="P2096" i="34"/>
  <c r="R2097" i="34"/>
  <c r="P2098" i="34"/>
  <c r="R2099" i="34"/>
  <c r="P2100" i="34"/>
  <c r="R2101" i="34"/>
  <c r="P2102" i="34"/>
  <c r="R2103" i="34"/>
  <c r="P2104" i="34"/>
  <c r="R2105" i="34"/>
  <c r="P2106" i="34"/>
  <c r="R2107" i="34"/>
  <c r="P2108" i="34"/>
  <c r="R2109" i="34"/>
  <c r="P2110" i="34"/>
  <c r="R2111" i="34"/>
  <c r="P2112" i="34"/>
  <c r="R2113" i="34"/>
  <c r="R2115" i="34"/>
  <c r="P2116" i="34"/>
  <c r="R2117" i="34"/>
  <c r="P2118" i="34"/>
  <c r="R2119" i="34"/>
  <c r="P2120" i="34"/>
  <c r="R2121" i="34"/>
  <c r="P2122" i="34"/>
  <c r="R2123" i="34"/>
  <c r="P2124" i="34"/>
  <c r="R2125" i="34"/>
  <c r="P2126" i="34"/>
  <c r="R2127" i="34"/>
  <c r="P2128" i="34"/>
  <c r="R2129" i="34"/>
  <c r="P2130" i="34"/>
  <c r="R2131" i="34"/>
  <c r="P2132" i="34"/>
  <c r="R2133" i="34"/>
  <c r="P2134" i="34"/>
  <c r="R2135" i="34"/>
  <c r="P2136" i="34"/>
  <c r="R2137" i="34"/>
  <c r="P2138" i="34"/>
  <c r="R2139" i="34"/>
  <c r="P2140" i="34"/>
  <c r="R2141" i="34"/>
  <c r="P2142" i="34"/>
  <c r="R2143" i="34"/>
  <c r="P2144" i="34"/>
  <c r="R2145" i="34"/>
  <c r="P2146" i="34"/>
  <c r="R2147" i="34"/>
  <c r="P2148" i="34"/>
  <c r="R2149" i="34"/>
  <c r="P2150" i="34"/>
  <c r="R2151" i="34"/>
  <c r="P2152" i="34"/>
  <c r="R2153" i="34"/>
  <c r="P2154" i="34"/>
  <c r="R2155" i="34"/>
  <c r="P2156" i="34"/>
  <c r="R2157" i="34"/>
  <c r="P2158" i="34"/>
  <c r="R2159" i="34"/>
  <c r="P2160" i="34"/>
  <c r="R2161" i="34"/>
  <c r="P2162" i="34"/>
  <c r="R2163" i="34"/>
  <c r="P2164" i="34"/>
  <c r="R2165" i="34"/>
  <c r="P2166" i="34"/>
  <c r="R2167" i="34"/>
  <c r="P2168" i="34"/>
  <c r="R2169" i="34"/>
  <c r="P2170" i="34"/>
  <c r="R2171" i="34"/>
  <c r="P2172" i="34"/>
  <c r="R2173" i="34"/>
  <c r="P2174" i="34"/>
  <c r="R2175" i="34"/>
  <c r="P2176" i="34"/>
  <c r="R2177" i="34"/>
  <c r="P2178" i="34"/>
  <c r="R2179" i="34"/>
  <c r="P2180" i="34"/>
  <c r="R2181" i="34"/>
  <c r="P2182" i="34"/>
  <c r="R2183" i="34"/>
  <c r="P2184" i="34"/>
  <c r="R2185" i="34"/>
  <c r="P2186" i="34"/>
  <c r="R2187" i="34"/>
  <c r="P2188" i="34"/>
  <c r="Q2116" i="34"/>
  <c r="Q2118" i="34"/>
  <c r="Q2120" i="34"/>
  <c r="Q2122" i="34"/>
  <c r="Q2124" i="34"/>
  <c r="Q2126" i="34"/>
  <c r="Q2128" i="34"/>
  <c r="Q2130" i="34"/>
  <c r="Q2132" i="34"/>
  <c r="Q2134" i="34"/>
  <c r="Q2136" i="34"/>
  <c r="Q2138" i="34"/>
  <c r="Q2140" i="34"/>
  <c r="Q2142" i="34"/>
  <c r="Q2144" i="34"/>
  <c r="Q2146" i="34"/>
  <c r="Q2148" i="34"/>
  <c r="Q2150" i="34"/>
  <c r="Q2152" i="34"/>
  <c r="Q2154" i="34"/>
  <c r="Q2156" i="34"/>
  <c r="Q2158" i="34"/>
  <c r="Q2160" i="34"/>
  <c r="Q2162" i="34"/>
  <c r="Q2164" i="34"/>
  <c r="Q2166" i="34"/>
  <c r="Q2168" i="34"/>
  <c r="Q2170" i="34"/>
  <c r="Q2172" i="34"/>
  <c r="Q2174" i="34"/>
  <c r="Q2176" i="34"/>
  <c r="Q2178" i="34"/>
  <c r="Q2180" i="34"/>
  <c r="Q2182" i="34"/>
  <c r="Q2184" i="34"/>
  <c r="Q2186" i="34"/>
  <c r="Q2188" i="34"/>
  <c r="Q2190" i="34"/>
  <c r="Q2192" i="34"/>
  <c r="R2080" i="34"/>
  <c r="P2081" i="34"/>
  <c r="R2082" i="34"/>
  <c r="P2083" i="34"/>
  <c r="R2084" i="34"/>
  <c r="P2085" i="34"/>
  <c r="R2086" i="34"/>
  <c r="P2087" i="34"/>
  <c r="R2088" i="34"/>
  <c r="P2089" i="34"/>
  <c r="R2090" i="34"/>
  <c r="P2091" i="34"/>
  <c r="R2092" i="34"/>
  <c r="P2093" i="34"/>
  <c r="R2094" i="34"/>
  <c r="P2095" i="34"/>
  <c r="R2096" i="34"/>
  <c r="P2097" i="34"/>
  <c r="R2098" i="34"/>
  <c r="P2099" i="34"/>
  <c r="R2100" i="34"/>
  <c r="P2101" i="34"/>
  <c r="R2102" i="34"/>
  <c r="P2103" i="34"/>
  <c r="R2104" i="34"/>
  <c r="P2105" i="34"/>
  <c r="R2106" i="34"/>
  <c r="P2107" i="34"/>
  <c r="R2108" i="34"/>
  <c r="P2109" i="34"/>
  <c r="R2110" i="34"/>
  <c r="P2111" i="34"/>
  <c r="R2112" i="34"/>
  <c r="P2113" i="34"/>
  <c r="P2114" i="34"/>
  <c r="R2116" i="34"/>
  <c r="P2117" i="34"/>
  <c r="R2118" i="34"/>
  <c r="P2119" i="34"/>
  <c r="R2120" i="34"/>
  <c r="P2121" i="34"/>
  <c r="R2122" i="34"/>
  <c r="P2123" i="34"/>
  <c r="R2124" i="34"/>
  <c r="P2125" i="34"/>
  <c r="R2126" i="34"/>
  <c r="P2127" i="34"/>
  <c r="R2128" i="34"/>
  <c r="P2129" i="34"/>
  <c r="R2130" i="34"/>
  <c r="P2131" i="34"/>
  <c r="R2132" i="34"/>
  <c r="P2133" i="34"/>
  <c r="R2134" i="34"/>
  <c r="P2135" i="34"/>
  <c r="R2136" i="34"/>
  <c r="P2137" i="34"/>
  <c r="R2138" i="34"/>
  <c r="P2139" i="34"/>
  <c r="R2140" i="34"/>
  <c r="P2141" i="34"/>
  <c r="R2142" i="34"/>
  <c r="P2143" i="34"/>
  <c r="R2144" i="34"/>
  <c r="P2145" i="34"/>
  <c r="R2146" i="34"/>
  <c r="P2147" i="34"/>
  <c r="R2148" i="34"/>
  <c r="P2149" i="34"/>
  <c r="R2150" i="34"/>
  <c r="P2151" i="34"/>
  <c r="R2152" i="34"/>
  <c r="P2153" i="34"/>
  <c r="R2154" i="34"/>
  <c r="P2155" i="34"/>
  <c r="R2156" i="34"/>
  <c r="P2157" i="34"/>
  <c r="R2158" i="34"/>
  <c r="P2159" i="34"/>
  <c r="R2160" i="34"/>
  <c r="P2161" i="34"/>
  <c r="R2162" i="34"/>
  <c r="P2163" i="34"/>
  <c r="R2164" i="34"/>
  <c r="P2165" i="34"/>
  <c r="R2114" i="34"/>
  <c r="P2115" i="34"/>
  <c r="Q2117" i="34"/>
  <c r="Q2119" i="34"/>
  <c r="Q2121" i="34"/>
  <c r="Q2123" i="34"/>
  <c r="Q2125" i="34"/>
  <c r="Q2127" i="34"/>
  <c r="Q2129" i="34"/>
  <c r="Q2131" i="34"/>
  <c r="Q2133" i="34"/>
  <c r="Q2135" i="34"/>
  <c r="Q2137" i="34"/>
  <c r="Q2139" i="34"/>
  <c r="Q2141" i="34"/>
  <c r="Q2143" i="34"/>
  <c r="Q2145" i="34"/>
  <c r="Q2147" i="34"/>
  <c r="Q2149" i="34"/>
  <c r="Q2151" i="34"/>
  <c r="Q2153" i="34"/>
  <c r="Q2155" i="34"/>
  <c r="Q2157" i="34"/>
  <c r="Q2159" i="34"/>
  <c r="Q2161" i="34"/>
  <c r="Q2163" i="34"/>
  <c r="Q2165" i="34"/>
  <c r="Q2167" i="34"/>
  <c r="Q2169" i="34"/>
  <c r="Q2171" i="34"/>
  <c r="Q2173" i="34"/>
  <c r="Q2175" i="34"/>
  <c r="Q2177" i="34"/>
  <c r="Q2179" i="34"/>
  <c r="Q2181" i="34"/>
  <c r="Q2183" i="34"/>
  <c r="Q2185" i="34"/>
  <c r="Q2187" i="34"/>
  <c r="Q2189" i="34"/>
  <c r="Q2191" i="34"/>
  <c r="Q2193" i="34"/>
  <c r="Q2195" i="34"/>
  <c r="Q2197" i="34"/>
  <c r="Q2199" i="34"/>
  <c r="Q2201" i="34"/>
  <c r="Q2203" i="34"/>
  <c r="Q2205" i="34"/>
  <c r="Q2207" i="34"/>
  <c r="Q2209" i="34"/>
  <c r="Q2211" i="34"/>
  <c r="Q2213" i="34"/>
  <c r="Q2215" i="34"/>
  <c r="Q2217" i="34"/>
  <c r="Q2219" i="34"/>
  <c r="Q2221" i="34"/>
  <c r="Q2223" i="34"/>
  <c r="Q2225" i="34"/>
  <c r="Q2227" i="34"/>
  <c r="R2166" i="34"/>
  <c r="P2167" i="34"/>
  <c r="R2168" i="34"/>
  <c r="P2169" i="34"/>
  <c r="R2170" i="34"/>
  <c r="P2171" i="34"/>
  <c r="R2172" i="34"/>
  <c r="P2173" i="34"/>
  <c r="R2174" i="34"/>
  <c r="P2175" i="34"/>
  <c r="R2176" i="34"/>
  <c r="P2177" i="34"/>
  <c r="R2178" i="34"/>
  <c r="P2179" i="34"/>
  <c r="R2180" i="34"/>
  <c r="P2181" i="34"/>
  <c r="R2182" i="34"/>
  <c r="P2183" i="34"/>
  <c r="R2184" i="34"/>
  <c r="P2185" i="34"/>
  <c r="R2186" i="34"/>
  <c r="P2187" i="34"/>
  <c r="R2188" i="34"/>
  <c r="P2189" i="34"/>
  <c r="R2192" i="34"/>
  <c r="P2193" i="34"/>
  <c r="R2195" i="34"/>
  <c r="P2196" i="34"/>
  <c r="Q2198" i="34"/>
  <c r="R2200" i="34"/>
  <c r="P2201" i="34"/>
  <c r="R2203" i="34"/>
  <c r="P2204" i="34"/>
  <c r="Q2206" i="34"/>
  <c r="R2208" i="34"/>
  <c r="P2209" i="34"/>
  <c r="R2211" i="34"/>
  <c r="P2212" i="34"/>
  <c r="Q2214" i="34"/>
  <c r="R2216" i="34"/>
  <c r="P2217" i="34"/>
  <c r="R2219" i="34"/>
  <c r="P2220" i="34"/>
  <c r="Q2222" i="34"/>
  <c r="R2224" i="34"/>
  <c r="P2225" i="34"/>
  <c r="R2227" i="34"/>
  <c r="P2228" i="34"/>
  <c r="R2229" i="34"/>
  <c r="P2230" i="34"/>
  <c r="R2231" i="34"/>
  <c r="P2232" i="34"/>
  <c r="R2233" i="34"/>
  <c r="P2234" i="34"/>
  <c r="R2235" i="34"/>
  <c r="P2236" i="34"/>
  <c r="R2237" i="34"/>
  <c r="P2238" i="34"/>
  <c r="R2239" i="34"/>
  <c r="P2240" i="34"/>
  <c r="R2241" i="34"/>
  <c r="P2242" i="34"/>
  <c r="R2243" i="34"/>
  <c r="P2244" i="34"/>
  <c r="R2245" i="34"/>
  <c r="P2246" i="34"/>
  <c r="R2247" i="34"/>
  <c r="P2248" i="34"/>
  <c r="R2249" i="34"/>
  <c r="P2250" i="34"/>
  <c r="R2251" i="34"/>
  <c r="P2252" i="34"/>
  <c r="R2253" i="34"/>
  <c r="P2254" i="34"/>
  <c r="R2255" i="34"/>
  <c r="P2256" i="34"/>
  <c r="R2257" i="34"/>
  <c r="P2258" i="34"/>
  <c r="R2259" i="34"/>
  <c r="P2260" i="34"/>
  <c r="R2261" i="34"/>
  <c r="P2262" i="34"/>
  <c r="R2263" i="34"/>
  <c r="P2264" i="34"/>
  <c r="R2265" i="34"/>
  <c r="R2189" i="34"/>
  <c r="P2190" i="34"/>
  <c r="R2193" i="34"/>
  <c r="P2194" i="34"/>
  <c r="Q2196" i="34"/>
  <c r="R2198" i="34"/>
  <c r="P2199" i="34"/>
  <c r="R2201" i="34"/>
  <c r="P2202" i="34"/>
  <c r="Q2204" i="34"/>
  <c r="R2206" i="34"/>
  <c r="P2207" i="34"/>
  <c r="R2209" i="34"/>
  <c r="P2210" i="34"/>
  <c r="Q2212" i="34"/>
  <c r="R2214" i="34"/>
  <c r="P2215" i="34"/>
  <c r="R2217" i="34"/>
  <c r="P2218" i="34"/>
  <c r="Q2220" i="34"/>
  <c r="R2222" i="34"/>
  <c r="P2223" i="34"/>
  <c r="R2225" i="34"/>
  <c r="P2226" i="34"/>
  <c r="Q2228" i="34"/>
  <c r="Q2230" i="34"/>
  <c r="Q2232" i="34"/>
  <c r="Q2234" i="34"/>
  <c r="Q2236" i="34"/>
  <c r="Q2238" i="34"/>
  <c r="Q2240" i="34"/>
  <c r="Q2242" i="34"/>
  <c r="Q2244" i="34"/>
  <c r="Q2246" i="34"/>
  <c r="Q2248" i="34"/>
  <c r="Q2250" i="34"/>
  <c r="Q2252" i="34"/>
  <c r="Q2254" i="34"/>
  <c r="Q2256" i="34"/>
  <c r="Q2258" i="34"/>
  <c r="Q2260" i="34"/>
  <c r="Q2262" i="34"/>
  <c r="Q2264" i="34"/>
  <c r="Q2266" i="34"/>
  <c r="Q2268" i="34"/>
  <c r="Q2270" i="34"/>
  <c r="Q2272" i="34"/>
  <c r="Q2274" i="34"/>
  <c r="Q2276" i="34"/>
  <c r="Q2278" i="34"/>
  <c r="Q2280" i="34"/>
  <c r="R2190" i="34"/>
  <c r="P2191" i="34"/>
  <c r="Q2194" i="34"/>
  <c r="R2196" i="34"/>
  <c r="P2197" i="34"/>
  <c r="R2199" i="34"/>
  <c r="P2200" i="34"/>
  <c r="Q2202" i="34"/>
  <c r="R2204" i="34"/>
  <c r="P2205" i="34"/>
  <c r="R2207" i="34"/>
  <c r="P2208" i="34"/>
  <c r="Q2210" i="34"/>
  <c r="R2212" i="34"/>
  <c r="P2213" i="34"/>
  <c r="R2215" i="34"/>
  <c r="P2216" i="34"/>
  <c r="Q2218" i="34"/>
  <c r="R2220" i="34"/>
  <c r="P2221" i="34"/>
  <c r="R2223" i="34"/>
  <c r="P2224" i="34"/>
  <c r="Q2226" i="34"/>
  <c r="R2228" i="34"/>
  <c r="P2229" i="34"/>
  <c r="R2230" i="34"/>
  <c r="P2231" i="34"/>
  <c r="R2232" i="34"/>
  <c r="P2233" i="34"/>
  <c r="R2234" i="34"/>
  <c r="P2235" i="34"/>
  <c r="R2236" i="34"/>
  <c r="P2237" i="34"/>
  <c r="R2238" i="34"/>
  <c r="P2239" i="34"/>
  <c r="R2240" i="34"/>
  <c r="P2241" i="34"/>
  <c r="R2242" i="34"/>
  <c r="P2243" i="34"/>
  <c r="R2244" i="34"/>
  <c r="P2245" i="34"/>
  <c r="R2246" i="34"/>
  <c r="P2247" i="34"/>
  <c r="R2248" i="34"/>
  <c r="P2249" i="34"/>
  <c r="R2250" i="34"/>
  <c r="P2251" i="34"/>
  <c r="R2252" i="34"/>
  <c r="P2253" i="34"/>
  <c r="R2254" i="34"/>
  <c r="P2255" i="34"/>
  <c r="R2256" i="34"/>
  <c r="P2257" i="34"/>
  <c r="R2258" i="34"/>
  <c r="P2259" i="34"/>
  <c r="R2260" i="34"/>
  <c r="P2261" i="34"/>
  <c r="R2262" i="34"/>
  <c r="P2263" i="34"/>
  <c r="R2264" i="34"/>
  <c r="P2265" i="34"/>
  <c r="R2266" i="34"/>
  <c r="P2267" i="34"/>
  <c r="R2268" i="34"/>
  <c r="P2269" i="34"/>
  <c r="R2270" i="34"/>
  <c r="P2271" i="34"/>
  <c r="R2272" i="34"/>
  <c r="P2273" i="34"/>
  <c r="R2274" i="34"/>
  <c r="P2275" i="34"/>
  <c r="R2276" i="34"/>
  <c r="P2277" i="34"/>
  <c r="R2278" i="34"/>
  <c r="P2279" i="34"/>
  <c r="R2191" i="34"/>
  <c r="P2192" i="34"/>
  <c r="R2194" i="34"/>
  <c r="P2195" i="34"/>
  <c r="R2197" i="34"/>
  <c r="P2198" i="34"/>
  <c r="Q2200" i="34"/>
  <c r="R2202" i="34"/>
  <c r="P2203" i="34"/>
  <c r="R2205" i="34"/>
  <c r="P2206" i="34"/>
  <c r="Q2208" i="34"/>
  <c r="R2210" i="34"/>
  <c r="P2211" i="34"/>
  <c r="R2213" i="34"/>
  <c r="P2214" i="34"/>
  <c r="Q2216" i="34"/>
  <c r="R2218" i="34"/>
  <c r="P2219" i="34"/>
  <c r="R2221" i="34"/>
  <c r="P2222" i="34"/>
  <c r="Q2224" i="34"/>
  <c r="R2226" i="34"/>
  <c r="P2227" i="34"/>
  <c r="Q2229" i="34"/>
  <c r="Q2231" i="34"/>
  <c r="Q2233" i="34"/>
  <c r="Q2235" i="34"/>
  <c r="Q2237" i="34"/>
  <c r="Q2239" i="34"/>
  <c r="Q2241" i="34"/>
  <c r="Q2243" i="34"/>
  <c r="Q2245" i="34"/>
  <c r="Q2247" i="34"/>
  <c r="Q2249" i="34"/>
  <c r="Q2251" i="34"/>
  <c r="Q2253" i="34"/>
  <c r="Q2255" i="34"/>
  <c r="Q2257" i="34"/>
  <c r="Q2259" i="34"/>
  <c r="Q2261" i="34"/>
  <c r="Q2263" i="34"/>
  <c r="Q2265" i="34"/>
  <c r="Q2267" i="34"/>
  <c r="Q2269" i="34"/>
  <c r="Q2271" i="34"/>
  <c r="Q2273" i="34"/>
  <c r="Q2275" i="34"/>
  <c r="Q2277" i="34"/>
  <c r="Q2279" i="34"/>
  <c r="Q2281" i="34"/>
  <c r="Q2283" i="34"/>
  <c r="Q2285" i="34"/>
  <c r="Q2287" i="34"/>
  <c r="Q2289" i="34"/>
  <c r="Q2291" i="34"/>
  <c r="Q2293" i="34"/>
  <c r="Q2295" i="34"/>
  <c r="Q2297" i="34"/>
  <c r="Q2299" i="34"/>
  <c r="Q2301" i="34"/>
  <c r="Q2303" i="34"/>
  <c r="Q2305" i="34"/>
  <c r="Q2307" i="34"/>
  <c r="Q2309" i="34"/>
  <c r="Q2311" i="34"/>
  <c r="Q2313" i="34"/>
  <c r="Q2315" i="34"/>
  <c r="Q2317" i="34"/>
  <c r="Q2319" i="34"/>
  <c r="Q2321" i="34"/>
  <c r="Q2323" i="34"/>
  <c r="Q2325" i="34"/>
  <c r="Q2327" i="34"/>
  <c r="P2266" i="34"/>
  <c r="R2267" i="34"/>
  <c r="P2268" i="34"/>
  <c r="R2269" i="34"/>
  <c r="P2270" i="34"/>
  <c r="R2271" i="34"/>
  <c r="P2272" i="34"/>
  <c r="R2273" i="34"/>
  <c r="P2274" i="34"/>
  <c r="R2275" i="34"/>
  <c r="P2276" i="34"/>
  <c r="R2277" i="34"/>
  <c r="P2278" i="34"/>
  <c r="R2279" i="34"/>
  <c r="P2280" i="34"/>
  <c r="R2282" i="34"/>
  <c r="P2283" i="34"/>
  <c r="R2285" i="34"/>
  <c r="P2286" i="34"/>
  <c r="Q2288" i="34"/>
  <c r="R2290" i="34"/>
  <c r="P2291" i="34"/>
  <c r="R2293" i="34"/>
  <c r="P2294" i="34"/>
  <c r="Q2296" i="34"/>
  <c r="R2298" i="34"/>
  <c r="P2299" i="34"/>
  <c r="R2301" i="34"/>
  <c r="P2302" i="34"/>
  <c r="Q2304" i="34"/>
  <c r="R2306" i="34"/>
  <c r="P2307" i="34"/>
  <c r="R2309" i="34"/>
  <c r="P2310" i="34"/>
  <c r="Q2312" i="34"/>
  <c r="R2314" i="34"/>
  <c r="P2315" i="34"/>
  <c r="R2317" i="34"/>
  <c r="P2318" i="34"/>
  <c r="Q2320" i="34"/>
  <c r="R2322" i="34"/>
  <c r="P2323" i="34"/>
  <c r="R2325" i="34"/>
  <c r="P2326" i="34"/>
  <c r="Q2328" i="34"/>
  <c r="Q2330" i="34"/>
  <c r="Q2332" i="34"/>
  <c r="Q2334" i="34"/>
  <c r="Q2336" i="34"/>
  <c r="Q2338" i="34"/>
  <c r="Q2340" i="34"/>
  <c r="Q2342" i="34"/>
  <c r="Q2344" i="34"/>
  <c r="Q2346" i="34"/>
  <c r="Q2348" i="34"/>
  <c r="Q2350" i="34"/>
  <c r="Q2352" i="34"/>
  <c r="Q2354" i="34"/>
  <c r="Q2356" i="34"/>
  <c r="Q2358" i="34"/>
  <c r="Q2360" i="34"/>
  <c r="Q2362" i="34"/>
  <c r="Q2364" i="34"/>
  <c r="Q2366" i="34"/>
  <c r="Q2368" i="34"/>
  <c r="Q2370" i="34"/>
  <c r="Q2372" i="34"/>
  <c r="Q2374" i="34"/>
  <c r="Q2376" i="34"/>
  <c r="Q2378" i="34"/>
  <c r="Q2380" i="34"/>
  <c r="Q2382" i="34"/>
  <c r="Q2384" i="34"/>
  <c r="Q2386" i="34"/>
  <c r="Q2388" i="34"/>
  <c r="Q2390" i="34"/>
  <c r="Q2392" i="34"/>
  <c r="Q2394" i="34"/>
  <c r="Q2396" i="34"/>
  <c r="Q2398" i="34"/>
  <c r="Q2400" i="34"/>
  <c r="Q2402" i="34"/>
  <c r="Q2404" i="34"/>
  <c r="Q2406" i="34"/>
  <c r="Q2408" i="34"/>
  <c r="Q2410" i="34"/>
  <c r="Q2412" i="34"/>
  <c r="Q2414" i="34"/>
  <c r="Q2416" i="34"/>
  <c r="Q2418" i="34"/>
  <c r="Q2420" i="34"/>
  <c r="Q2422" i="34"/>
  <c r="Q2424" i="34"/>
  <c r="Q2426" i="34"/>
  <c r="Q2428" i="34"/>
  <c r="Q2430" i="34"/>
  <c r="Q2432" i="34"/>
  <c r="Q2434" i="34"/>
  <c r="Q2436" i="34"/>
  <c r="Q2438" i="34"/>
  <c r="Q2440" i="34"/>
  <c r="Q2442" i="34"/>
  <c r="Q2444" i="34"/>
  <c r="Q2446" i="34"/>
  <c r="Q2448" i="34"/>
  <c r="Q2450" i="34"/>
  <c r="Q2452" i="34"/>
  <c r="Q2454" i="34"/>
  <c r="Q2456" i="34"/>
  <c r="Q2458" i="34"/>
  <c r="Q2460" i="34"/>
  <c r="Q2462" i="34"/>
  <c r="Q2464" i="34"/>
  <c r="Q2466" i="34"/>
  <c r="Q2468" i="34"/>
  <c r="Q2470" i="34"/>
  <c r="Q2472" i="34"/>
  <c r="R2280" i="34"/>
  <c r="P2281" i="34"/>
  <c r="R2283" i="34"/>
  <c r="P2284" i="34"/>
  <c r="Q2286" i="34"/>
  <c r="R2288" i="34"/>
  <c r="P2289" i="34"/>
  <c r="R2291" i="34"/>
  <c r="P2292" i="34"/>
  <c r="Q2294" i="34"/>
  <c r="R2296" i="34"/>
  <c r="P2297" i="34"/>
  <c r="R2299" i="34"/>
  <c r="P2300" i="34"/>
  <c r="Q2302" i="34"/>
  <c r="R2304" i="34"/>
  <c r="P2305" i="34"/>
  <c r="R2307" i="34"/>
  <c r="P2308" i="34"/>
  <c r="Q2310" i="34"/>
  <c r="R2312" i="34"/>
  <c r="P2313" i="34"/>
  <c r="R2315" i="34"/>
  <c r="P2316" i="34"/>
  <c r="Q2318" i="34"/>
  <c r="R2320" i="34"/>
  <c r="P2321" i="34"/>
  <c r="R2323" i="34"/>
  <c r="P2324" i="34"/>
  <c r="Q2326" i="34"/>
  <c r="R2328" i="34"/>
  <c r="P2329" i="34"/>
  <c r="R2330" i="34"/>
  <c r="P2331" i="34"/>
  <c r="R2332" i="34"/>
  <c r="P2333" i="34"/>
  <c r="R2334" i="34"/>
  <c r="P2335" i="34"/>
  <c r="R2336" i="34"/>
  <c r="P2337" i="34"/>
  <c r="R2338" i="34"/>
  <c r="P2339" i="34"/>
  <c r="R2340" i="34"/>
  <c r="P2341" i="34"/>
  <c r="R2342" i="34"/>
  <c r="P2343" i="34"/>
  <c r="R2344" i="34"/>
  <c r="P2345" i="34"/>
  <c r="R2346" i="34"/>
  <c r="P2347" i="34"/>
  <c r="R2348" i="34"/>
  <c r="P2349" i="34"/>
  <c r="R2350" i="34"/>
  <c r="P2351" i="34"/>
  <c r="R2352" i="34"/>
  <c r="P2353" i="34"/>
  <c r="R2354" i="34"/>
  <c r="P2355" i="34"/>
  <c r="R2356" i="34"/>
  <c r="P2357" i="34"/>
  <c r="R2358" i="34"/>
  <c r="P2359" i="34"/>
  <c r="R2360" i="34"/>
  <c r="P2361" i="34"/>
  <c r="R2362" i="34"/>
  <c r="P2363" i="34"/>
  <c r="R2364" i="34"/>
  <c r="P2365" i="34"/>
  <c r="R2366" i="34"/>
  <c r="P2367" i="34"/>
  <c r="R2368" i="34"/>
  <c r="P2369" i="34"/>
  <c r="R2370" i="34"/>
  <c r="P2371" i="34"/>
  <c r="R2372" i="34"/>
  <c r="P2373" i="34"/>
  <c r="R2374" i="34"/>
  <c r="P2375" i="34"/>
  <c r="R2376" i="34"/>
  <c r="P2377" i="34"/>
  <c r="R2378" i="34"/>
  <c r="P2379" i="34"/>
  <c r="R2380" i="34"/>
  <c r="P2381" i="34"/>
  <c r="R2382" i="34"/>
  <c r="P2383" i="34"/>
  <c r="R2384" i="34"/>
  <c r="P2385" i="34"/>
  <c r="R2386" i="34"/>
  <c r="P2387" i="34"/>
  <c r="R2388" i="34"/>
  <c r="P2389" i="34"/>
  <c r="R2390" i="34"/>
  <c r="P2391" i="34"/>
  <c r="R2392" i="34"/>
  <c r="P2393" i="34"/>
  <c r="R2394" i="34"/>
  <c r="P2395" i="34"/>
  <c r="R2396" i="34"/>
  <c r="P2397" i="34"/>
  <c r="R2398" i="34"/>
  <c r="P2399" i="34"/>
  <c r="R2400" i="34"/>
  <c r="P2401" i="34"/>
  <c r="R2402" i="34"/>
  <c r="P2403" i="34"/>
  <c r="R2404" i="34"/>
  <c r="P2405" i="34"/>
  <c r="R2406" i="34"/>
  <c r="P2407" i="34"/>
  <c r="R2408" i="34"/>
  <c r="P2409" i="34"/>
  <c r="R2410" i="34"/>
  <c r="P2411" i="34"/>
  <c r="R2412" i="34"/>
  <c r="P2413" i="34"/>
  <c r="R2414" i="34"/>
  <c r="P2415" i="34"/>
  <c r="R2416" i="34"/>
  <c r="P2417" i="34"/>
  <c r="R2418" i="34"/>
  <c r="P2419" i="34"/>
  <c r="R2420" i="34"/>
  <c r="P2421" i="34"/>
  <c r="R2422" i="34"/>
  <c r="P2423" i="34"/>
  <c r="R2424" i="34"/>
  <c r="P2425" i="34"/>
  <c r="R2426" i="34"/>
  <c r="P2427" i="34"/>
  <c r="R2428" i="34"/>
  <c r="P2429" i="34"/>
  <c r="R2430" i="34"/>
  <c r="P2431" i="34"/>
  <c r="R2432" i="34"/>
  <c r="P2433" i="34"/>
  <c r="R2434" i="34"/>
  <c r="P2435" i="34"/>
  <c r="R2436" i="34"/>
  <c r="P2437" i="34"/>
  <c r="R2438" i="34"/>
  <c r="P2439" i="34"/>
  <c r="R2440" i="34"/>
  <c r="P2441" i="34"/>
  <c r="R2442" i="34"/>
  <c r="R2281" i="34"/>
  <c r="P2282" i="34"/>
  <c r="Q2284" i="34"/>
  <c r="R2286" i="34"/>
  <c r="P2287" i="34"/>
  <c r="R2289" i="34"/>
  <c r="P2290" i="34"/>
  <c r="Q2292" i="34"/>
  <c r="R2294" i="34"/>
  <c r="P2295" i="34"/>
  <c r="R2297" i="34"/>
  <c r="P2298" i="34"/>
  <c r="Q2300" i="34"/>
  <c r="R2302" i="34"/>
  <c r="P2303" i="34"/>
  <c r="R2305" i="34"/>
  <c r="P2306" i="34"/>
  <c r="Q2308" i="34"/>
  <c r="R2310" i="34"/>
  <c r="P2311" i="34"/>
  <c r="R2313" i="34"/>
  <c r="P2314" i="34"/>
  <c r="Q2316" i="34"/>
  <c r="R2318" i="34"/>
  <c r="P2319" i="34"/>
  <c r="R2321" i="34"/>
  <c r="P2322" i="34"/>
  <c r="Q2324" i="34"/>
  <c r="R2326" i="34"/>
  <c r="P2327" i="34"/>
  <c r="Q2329" i="34"/>
  <c r="Q2331" i="34"/>
  <c r="Q2333" i="34"/>
  <c r="Q2335" i="34"/>
  <c r="Q2337" i="34"/>
  <c r="Q2339" i="34"/>
  <c r="Q2341" i="34"/>
  <c r="Q2343" i="34"/>
  <c r="Q2345" i="34"/>
  <c r="Q2347" i="34"/>
  <c r="Q2349" i="34"/>
  <c r="Q2351" i="34"/>
  <c r="Q2353" i="34"/>
  <c r="Q2355" i="34"/>
  <c r="Q2357" i="34"/>
  <c r="Q2359" i="34"/>
  <c r="Q2361" i="34"/>
  <c r="Q2363" i="34"/>
  <c r="Q2365" i="34"/>
  <c r="Q2367" i="34"/>
  <c r="Q2369" i="34"/>
  <c r="Q2371" i="34"/>
  <c r="Q2373" i="34"/>
  <c r="Q2375" i="34"/>
  <c r="Q2377" i="34"/>
  <c r="Q2379" i="34"/>
  <c r="Q2381" i="34"/>
  <c r="Q2383" i="34"/>
  <c r="Q2385" i="34"/>
  <c r="Q2387" i="34"/>
  <c r="Q2389" i="34"/>
  <c r="Q2391" i="34"/>
  <c r="Q2393" i="34"/>
  <c r="Q2395" i="34"/>
  <c r="Q2397" i="34"/>
  <c r="Q2399" i="34"/>
  <c r="Q2401" i="34"/>
  <c r="Q2403" i="34"/>
  <c r="Q2405" i="34"/>
  <c r="Q2407" i="34"/>
  <c r="Q2409" i="34"/>
  <c r="Q2411" i="34"/>
  <c r="Q2413" i="34"/>
  <c r="Q2415" i="34"/>
  <c r="Q2417" i="34"/>
  <c r="Q2419" i="34"/>
  <c r="Q2421" i="34"/>
  <c r="Q2423" i="34"/>
  <c r="Q2425" i="34"/>
  <c r="Q2427" i="34"/>
  <c r="Q2429" i="34"/>
  <c r="Q2431" i="34"/>
  <c r="Q2433" i="34"/>
  <c r="Q2435" i="34"/>
  <c r="Q2437" i="34"/>
  <c r="Q2439" i="34"/>
  <c r="Q2441" i="34"/>
  <c r="Q2443" i="34"/>
  <c r="Q2445" i="34"/>
  <c r="Q2447" i="34"/>
  <c r="Q2449" i="34"/>
  <c r="Q2451" i="34"/>
  <c r="Q2453" i="34"/>
  <c r="Q2455" i="34"/>
  <c r="Q2457" i="34"/>
  <c r="Q2459" i="34"/>
  <c r="Q2461" i="34"/>
  <c r="Q2463" i="34"/>
  <c r="Q2465" i="34"/>
  <c r="Q2467" i="34"/>
  <c r="Q2469" i="34"/>
  <c r="Q2471" i="34"/>
  <c r="Q2473" i="34"/>
  <c r="Q2282" i="34"/>
  <c r="R2284" i="34"/>
  <c r="P2285" i="34"/>
  <c r="R2287" i="34"/>
  <c r="P2288" i="34"/>
  <c r="Q2290" i="34"/>
  <c r="R2292" i="34"/>
  <c r="P2293" i="34"/>
  <c r="R2295" i="34"/>
  <c r="P2296" i="34"/>
  <c r="Q2298" i="34"/>
  <c r="R2300" i="34"/>
  <c r="P2301" i="34"/>
  <c r="R2303" i="34"/>
  <c r="P2304" i="34"/>
  <c r="Q2306" i="34"/>
  <c r="R2308" i="34"/>
  <c r="P2309" i="34"/>
  <c r="R2311" i="34"/>
  <c r="P2312" i="34"/>
  <c r="Q2314" i="34"/>
  <c r="R2316" i="34"/>
  <c r="P2317" i="34"/>
  <c r="R2319" i="34"/>
  <c r="P2320" i="34"/>
  <c r="Q2322" i="34"/>
  <c r="R2324" i="34"/>
  <c r="P2325" i="34"/>
  <c r="R2327" i="34"/>
  <c r="P2328" i="34"/>
  <c r="R2329" i="34"/>
  <c r="P2330" i="34"/>
  <c r="R2331" i="34"/>
  <c r="P2332" i="34"/>
  <c r="R2333" i="34"/>
  <c r="P2334" i="34"/>
  <c r="R2335" i="34"/>
  <c r="P2336" i="34"/>
  <c r="R2337" i="34"/>
  <c r="P2338" i="34"/>
  <c r="R2339" i="34"/>
  <c r="P2340" i="34"/>
  <c r="R2341" i="34"/>
  <c r="P2342" i="34"/>
  <c r="R2343" i="34"/>
  <c r="P2344" i="34"/>
  <c r="R2345" i="34"/>
  <c r="P2346" i="34"/>
  <c r="R2347" i="34"/>
  <c r="P2348" i="34"/>
  <c r="R2349" i="34"/>
  <c r="P2350" i="34"/>
  <c r="R2351" i="34"/>
  <c r="P2352" i="34"/>
  <c r="R2353" i="34"/>
  <c r="P2354" i="34"/>
  <c r="R2355" i="34"/>
  <c r="P2356" i="34"/>
  <c r="R2357" i="34"/>
  <c r="P2358" i="34"/>
  <c r="R2359" i="34"/>
  <c r="P2360" i="34"/>
  <c r="R2361" i="34"/>
  <c r="P2362" i="34"/>
  <c r="R2363" i="34"/>
  <c r="P2364" i="34"/>
  <c r="R2365" i="34"/>
  <c r="P2366" i="34"/>
  <c r="R2367" i="34"/>
  <c r="P2368" i="34"/>
  <c r="R2369" i="34"/>
  <c r="P2370" i="34"/>
  <c r="R2371" i="34"/>
  <c r="P2372" i="34"/>
  <c r="R2373" i="34"/>
  <c r="P2374" i="34"/>
  <c r="R2375" i="34"/>
  <c r="P2376" i="34"/>
  <c r="R2377" i="34"/>
  <c r="P2378" i="34"/>
  <c r="R2379" i="34"/>
  <c r="P2380" i="34"/>
  <c r="R2381" i="34"/>
  <c r="P2382" i="34"/>
  <c r="R2383" i="34"/>
  <c r="P2384" i="34"/>
  <c r="R2385" i="34"/>
  <c r="P2386" i="34"/>
  <c r="R2387" i="34"/>
  <c r="P2388" i="34"/>
  <c r="R2389" i="34"/>
  <c r="P2390" i="34"/>
  <c r="R2391" i="34"/>
  <c r="P2392" i="34"/>
  <c r="R2393" i="34"/>
  <c r="P2394" i="34"/>
  <c r="R2395" i="34"/>
  <c r="P2396" i="34"/>
  <c r="R2397" i="34"/>
  <c r="P2398" i="34"/>
  <c r="R2399" i="34"/>
  <c r="P2400" i="34"/>
  <c r="R2401" i="34"/>
  <c r="P2402" i="34"/>
  <c r="R2403" i="34"/>
  <c r="P2404" i="34"/>
  <c r="R2405" i="34"/>
  <c r="P2406" i="34"/>
  <c r="R2407" i="34"/>
  <c r="P2408" i="34"/>
  <c r="R2409" i="34"/>
  <c r="P2410" i="34"/>
  <c r="R2411" i="34"/>
  <c r="P2412" i="34"/>
  <c r="R2413" i="34"/>
  <c r="P2414" i="34"/>
  <c r="R2415" i="34"/>
  <c r="P2416" i="34"/>
  <c r="R2417" i="34"/>
  <c r="P2418" i="34"/>
  <c r="R2419" i="34"/>
  <c r="P2420" i="34"/>
  <c r="R2421" i="34"/>
  <c r="P2422" i="34"/>
  <c r="R2423" i="34"/>
  <c r="P2424" i="34"/>
  <c r="R2425" i="34"/>
  <c r="P2426" i="34"/>
  <c r="R2427" i="34"/>
  <c r="P2428" i="34"/>
  <c r="R2429" i="34"/>
  <c r="P2430" i="34"/>
  <c r="R2431" i="34"/>
  <c r="P2432" i="34"/>
  <c r="R2433" i="34"/>
  <c r="P2434" i="34"/>
  <c r="R2435" i="34"/>
  <c r="P2436" i="34"/>
  <c r="R2437" i="34"/>
  <c r="P2438" i="34"/>
  <c r="R2439" i="34"/>
  <c r="P2440" i="34"/>
  <c r="R2441" i="34"/>
  <c r="P2442" i="34"/>
  <c r="R2443" i="34"/>
  <c r="P2444" i="34"/>
  <c r="R2445" i="34"/>
  <c r="P2446" i="34"/>
  <c r="R2447" i="34"/>
  <c r="P2448" i="34"/>
  <c r="R2449" i="34"/>
  <c r="P2450" i="34"/>
  <c r="R2451" i="34"/>
  <c r="P2452" i="34"/>
  <c r="R2453" i="34"/>
  <c r="P2454" i="34"/>
  <c r="R2455" i="34"/>
  <c r="P2456" i="34"/>
  <c r="R2457" i="34"/>
  <c r="P2458" i="34"/>
  <c r="R2459" i="34"/>
  <c r="P2460" i="34"/>
  <c r="R2461" i="34"/>
  <c r="P2462" i="34"/>
  <c r="R2463" i="34"/>
  <c r="P2464" i="34"/>
  <c r="R2465" i="34"/>
  <c r="P2466" i="34"/>
  <c r="R2467" i="34"/>
  <c r="P2468" i="34"/>
  <c r="R2469" i="34"/>
  <c r="P2470" i="34"/>
  <c r="R2473" i="34"/>
  <c r="P2474" i="34"/>
  <c r="R2475" i="34"/>
  <c r="P2476" i="34"/>
  <c r="R2477" i="34"/>
  <c r="P2478" i="34"/>
  <c r="R2479" i="34"/>
  <c r="P2480" i="34"/>
  <c r="R2481" i="34"/>
  <c r="P2482" i="34"/>
  <c r="R2483" i="34"/>
  <c r="P2484" i="34"/>
  <c r="R2485" i="34"/>
  <c r="P2486" i="34"/>
  <c r="R2487" i="34"/>
  <c r="P2488" i="34"/>
  <c r="R2489" i="34"/>
  <c r="P2490" i="34"/>
  <c r="R2491" i="34"/>
  <c r="P2492" i="34"/>
  <c r="R2493" i="34"/>
  <c r="P2494" i="34"/>
  <c r="R2495" i="34"/>
  <c r="P2496" i="34"/>
  <c r="R2497" i="34"/>
  <c r="P2498" i="34"/>
  <c r="R2499" i="34"/>
  <c r="P2500" i="34"/>
  <c r="R2501" i="34"/>
  <c r="P2502" i="34"/>
  <c r="R2503" i="34"/>
  <c r="P2504" i="34"/>
  <c r="R2505" i="34"/>
  <c r="P2506" i="34"/>
  <c r="R2507" i="34"/>
  <c r="P2508" i="34"/>
  <c r="R2509" i="34"/>
  <c r="P2510" i="34"/>
  <c r="R2511" i="34"/>
  <c r="P2512" i="34"/>
  <c r="R2513" i="34"/>
  <c r="P2514" i="34"/>
  <c r="R2515" i="34"/>
  <c r="P2516" i="34"/>
  <c r="R2517" i="34"/>
  <c r="P2518" i="34"/>
  <c r="R2519" i="34"/>
  <c r="P2520" i="34"/>
  <c r="R2521" i="34"/>
  <c r="P2522" i="34"/>
  <c r="R2523" i="34"/>
  <c r="P2524" i="34"/>
  <c r="R2525" i="34"/>
  <c r="P2526" i="34"/>
  <c r="R2527" i="34"/>
  <c r="P2528" i="34"/>
  <c r="R2529" i="34"/>
  <c r="P2530" i="34"/>
  <c r="R2531" i="34"/>
  <c r="P2532" i="34"/>
  <c r="R2533" i="34"/>
  <c r="P2534" i="34"/>
  <c r="R2535" i="34"/>
  <c r="P2536" i="34"/>
  <c r="R2537" i="34"/>
  <c r="P2538" i="34"/>
  <c r="R2539" i="34"/>
  <c r="P2540" i="34"/>
  <c r="R2541" i="34"/>
  <c r="P2542" i="34"/>
  <c r="R2543" i="34"/>
  <c r="P2544" i="34"/>
  <c r="R2545" i="34"/>
  <c r="P2546" i="34"/>
  <c r="R2547" i="34"/>
  <c r="P2548" i="34"/>
  <c r="R2549" i="34"/>
  <c r="P2550" i="34"/>
  <c r="R2551" i="34"/>
  <c r="P2552" i="34"/>
  <c r="R2553" i="34"/>
  <c r="P2554" i="34"/>
  <c r="R2555" i="34"/>
  <c r="P2556" i="34"/>
  <c r="R2557" i="34"/>
  <c r="P2558" i="34"/>
  <c r="R2559" i="34"/>
  <c r="P2560" i="34"/>
  <c r="R2561" i="34"/>
  <c r="P2562" i="34"/>
  <c r="R2563" i="34"/>
  <c r="P2564" i="34"/>
  <c r="R2565" i="34"/>
  <c r="P2566" i="34"/>
  <c r="R2567" i="34"/>
  <c r="P2568" i="34"/>
  <c r="R2569" i="34"/>
  <c r="P2570" i="34"/>
  <c r="R2571" i="34"/>
  <c r="P2572" i="34"/>
  <c r="R2573" i="34"/>
  <c r="P2574" i="34"/>
  <c r="R2575" i="34"/>
  <c r="P2576" i="34"/>
  <c r="R2577" i="34"/>
  <c r="P2578" i="34"/>
  <c r="R2579" i="34"/>
  <c r="P2580" i="34"/>
  <c r="R2581" i="34"/>
  <c r="P2582" i="34"/>
  <c r="R2583" i="34"/>
  <c r="P2584" i="34"/>
  <c r="R2585" i="34"/>
  <c r="P2586" i="34"/>
  <c r="R2587" i="34"/>
  <c r="P2588" i="34"/>
  <c r="R2589" i="34"/>
  <c r="P2590" i="34"/>
  <c r="R2591" i="34"/>
  <c r="P2592" i="34"/>
  <c r="R2593" i="34"/>
  <c r="P2594" i="34"/>
  <c r="R2595" i="34"/>
  <c r="P2596" i="34"/>
  <c r="R2597" i="34"/>
  <c r="P2598" i="34"/>
  <c r="R2599" i="34"/>
  <c r="P2600" i="34"/>
  <c r="R2601" i="34"/>
  <c r="P2602" i="34"/>
  <c r="R2603" i="34"/>
  <c r="P2604" i="34"/>
  <c r="R2605" i="34"/>
  <c r="P2606" i="34"/>
  <c r="R2607" i="34"/>
  <c r="P2608" i="34"/>
  <c r="R2609" i="34"/>
  <c r="P2610" i="34"/>
  <c r="R2611" i="34"/>
  <c r="P2612" i="34"/>
  <c r="R2613" i="34"/>
  <c r="P2614" i="34"/>
  <c r="R2615" i="34"/>
  <c r="P2616" i="34"/>
  <c r="R2617" i="34"/>
  <c r="P2618" i="34"/>
  <c r="R2619" i="34"/>
  <c r="P2620" i="34"/>
  <c r="R2621" i="34"/>
  <c r="P2622" i="34"/>
  <c r="R2623" i="34"/>
  <c r="P2624" i="34"/>
  <c r="R2625" i="34"/>
  <c r="P2626" i="34"/>
  <c r="R2627" i="34"/>
  <c r="P2628" i="34"/>
  <c r="R2629" i="34"/>
  <c r="P2630" i="34"/>
  <c r="R2631" i="34"/>
  <c r="P2632" i="34"/>
  <c r="R2633" i="34"/>
  <c r="P2634" i="34"/>
  <c r="R2635" i="34"/>
  <c r="P2636" i="34"/>
  <c r="R2637" i="34"/>
  <c r="P2638" i="34"/>
  <c r="R2639" i="34"/>
  <c r="P2640" i="34"/>
  <c r="R2470" i="34"/>
  <c r="P2471" i="34"/>
  <c r="Q2474" i="34"/>
  <c r="Q2476" i="34"/>
  <c r="Q2478" i="34"/>
  <c r="Q2480" i="34"/>
  <c r="Q2482" i="34"/>
  <c r="Q2484" i="34"/>
  <c r="Q2486" i="34"/>
  <c r="Q2488" i="34"/>
  <c r="Q2490" i="34"/>
  <c r="Q2492" i="34"/>
  <c r="Q2494" i="34"/>
  <c r="Q2496" i="34"/>
  <c r="Q2498" i="34"/>
  <c r="Q2500" i="34"/>
  <c r="Q2502" i="34"/>
  <c r="Q2504" i="34"/>
  <c r="Q2506" i="34"/>
  <c r="Q2508" i="34"/>
  <c r="Q2510" i="34"/>
  <c r="Q2512" i="34"/>
  <c r="Q2514" i="34"/>
  <c r="Q2516" i="34"/>
  <c r="Q2518" i="34"/>
  <c r="Q2520" i="34"/>
  <c r="Q2522" i="34"/>
  <c r="Q2524" i="34"/>
  <c r="Q2526" i="34"/>
  <c r="Q2528" i="34"/>
  <c r="Q2530" i="34"/>
  <c r="Q2532" i="34"/>
  <c r="Q2534" i="34"/>
  <c r="Q2536" i="34"/>
  <c r="Q2538" i="34"/>
  <c r="Q2540" i="34"/>
  <c r="Q2542" i="34"/>
  <c r="Q2544" i="34"/>
  <c r="Q2546" i="34"/>
  <c r="Q2548" i="34"/>
  <c r="Q2550" i="34"/>
  <c r="Q2552" i="34"/>
  <c r="Q2554" i="34"/>
  <c r="Q2556" i="34"/>
  <c r="Q2558" i="34"/>
  <c r="Q2560" i="34"/>
  <c r="Q2562" i="34"/>
  <c r="Q2564" i="34"/>
  <c r="Q2566" i="34"/>
  <c r="Q2568" i="34"/>
  <c r="Q2570" i="34"/>
  <c r="Q2572" i="34"/>
  <c r="Q2574" i="34"/>
  <c r="Q2576" i="34"/>
  <c r="Q2578" i="34"/>
  <c r="Q2580" i="34"/>
  <c r="Q2582" i="34"/>
  <c r="Q2584" i="34"/>
  <c r="Q2586" i="34"/>
  <c r="Q2588" i="34"/>
  <c r="Q2590" i="34"/>
  <c r="Q2592" i="34"/>
  <c r="Q2594" i="34"/>
  <c r="Q2596" i="34"/>
  <c r="Q2598" i="34"/>
  <c r="Q2600" i="34"/>
  <c r="Q2602" i="34"/>
  <c r="Q2604" i="34"/>
  <c r="Q2606" i="34"/>
  <c r="Q2608" i="34"/>
  <c r="Q2610" i="34"/>
  <c r="Q2612" i="34"/>
  <c r="Q2614" i="34"/>
  <c r="Q2616" i="34"/>
  <c r="Q2618" i="34"/>
  <c r="Q2620" i="34"/>
  <c r="Q2622" i="34"/>
  <c r="Q2624" i="34"/>
  <c r="Q2626" i="34"/>
  <c r="Q2628" i="34"/>
  <c r="Q2630" i="34"/>
  <c r="Q2632" i="34"/>
  <c r="Q2634" i="34"/>
  <c r="Q2636" i="34"/>
  <c r="Q2638" i="34"/>
  <c r="Q2640" i="34"/>
  <c r="Q2642" i="34"/>
  <c r="Q2644" i="34"/>
  <c r="Q2646" i="34"/>
  <c r="Q2648" i="34"/>
  <c r="R2471" i="34"/>
  <c r="P2472" i="34"/>
  <c r="R2474" i="34"/>
  <c r="P2475" i="34"/>
  <c r="R2476" i="34"/>
  <c r="P2477" i="34"/>
  <c r="R2478" i="34"/>
  <c r="P2479" i="34"/>
  <c r="R2480" i="34"/>
  <c r="P2481" i="34"/>
  <c r="R2482" i="34"/>
  <c r="P2483" i="34"/>
  <c r="R2484" i="34"/>
  <c r="P2485" i="34"/>
  <c r="R2486" i="34"/>
  <c r="P2487" i="34"/>
  <c r="R2488" i="34"/>
  <c r="P2489" i="34"/>
  <c r="R2490" i="34"/>
  <c r="P2491" i="34"/>
  <c r="R2492" i="34"/>
  <c r="P2493" i="34"/>
  <c r="R2494" i="34"/>
  <c r="P2495" i="34"/>
  <c r="R2496" i="34"/>
  <c r="P2497" i="34"/>
  <c r="R2498" i="34"/>
  <c r="P2499" i="34"/>
  <c r="R2500" i="34"/>
  <c r="P2501" i="34"/>
  <c r="R2502" i="34"/>
  <c r="P2503" i="34"/>
  <c r="R2504" i="34"/>
  <c r="P2505" i="34"/>
  <c r="R2506" i="34"/>
  <c r="P2507" i="34"/>
  <c r="R2508" i="34"/>
  <c r="P2509" i="34"/>
  <c r="R2510" i="34"/>
  <c r="P2511" i="34"/>
  <c r="R2512" i="34"/>
  <c r="P2513" i="34"/>
  <c r="R2514" i="34"/>
  <c r="P2515" i="34"/>
  <c r="R2516" i="34"/>
  <c r="P2517" i="34"/>
  <c r="R2518" i="34"/>
  <c r="P2519" i="34"/>
  <c r="R2520" i="34"/>
  <c r="P2521" i="34"/>
  <c r="R2522" i="34"/>
  <c r="P2523" i="34"/>
  <c r="R2524" i="34"/>
  <c r="P2525" i="34"/>
  <c r="R2526" i="34"/>
  <c r="P2527" i="34"/>
  <c r="R2528" i="34"/>
  <c r="P2529" i="34"/>
  <c r="R2530" i="34"/>
  <c r="P2531" i="34"/>
  <c r="R2532" i="34"/>
  <c r="P2533" i="34"/>
  <c r="R2534" i="34"/>
  <c r="P2535" i="34"/>
  <c r="R2536" i="34"/>
  <c r="P2537" i="34"/>
  <c r="R2538" i="34"/>
  <c r="P2539" i="34"/>
  <c r="R2540" i="34"/>
  <c r="P2541" i="34"/>
  <c r="R2542" i="34"/>
  <c r="P2543" i="34"/>
  <c r="R2544" i="34"/>
  <c r="P2545" i="34"/>
  <c r="R2546" i="34"/>
  <c r="P2547" i="34"/>
  <c r="R2548" i="34"/>
  <c r="P2549" i="34"/>
  <c r="R2550" i="34"/>
  <c r="P2551" i="34"/>
  <c r="R2552" i="34"/>
  <c r="P2553" i="34"/>
  <c r="R2554" i="34"/>
  <c r="P2555" i="34"/>
  <c r="R2556" i="34"/>
  <c r="P2557" i="34"/>
  <c r="R2558" i="34"/>
  <c r="P2559" i="34"/>
  <c r="R2560" i="34"/>
  <c r="P2561" i="34"/>
  <c r="R2562" i="34"/>
  <c r="P2563" i="34"/>
  <c r="R2564" i="34"/>
  <c r="P2565" i="34"/>
  <c r="R2566" i="34"/>
  <c r="P2567" i="34"/>
  <c r="R2568" i="34"/>
  <c r="P2569" i="34"/>
  <c r="R2570" i="34"/>
  <c r="P2571" i="34"/>
  <c r="R2572" i="34"/>
  <c r="P2573" i="34"/>
  <c r="R2574" i="34"/>
  <c r="P2575" i="34"/>
  <c r="R2576" i="34"/>
  <c r="P2577" i="34"/>
  <c r="R2578" i="34"/>
  <c r="P2579" i="34"/>
  <c r="R2580" i="34"/>
  <c r="P2581" i="34"/>
  <c r="R2582" i="34"/>
  <c r="P2583" i="34"/>
  <c r="R2584" i="34"/>
  <c r="P2585" i="34"/>
  <c r="R2586" i="34"/>
  <c r="P2587" i="34"/>
  <c r="R2588" i="34"/>
  <c r="P2589" i="34"/>
  <c r="R2590" i="34"/>
  <c r="P2591" i="34"/>
  <c r="R2592" i="34"/>
  <c r="P2593" i="34"/>
  <c r="R2594" i="34"/>
  <c r="P2595" i="34"/>
  <c r="R2596" i="34"/>
  <c r="P2597" i="34"/>
  <c r="R2598" i="34"/>
  <c r="P2599" i="34"/>
  <c r="R2600" i="34"/>
  <c r="P2601" i="34"/>
  <c r="R2602" i="34"/>
  <c r="P2603" i="34"/>
  <c r="R2604" i="34"/>
  <c r="P2605" i="34"/>
  <c r="R2606" i="34"/>
  <c r="P2607" i="34"/>
  <c r="R2608" i="34"/>
  <c r="P2609" i="34"/>
  <c r="R2610" i="34"/>
  <c r="P2611" i="34"/>
  <c r="R2612" i="34"/>
  <c r="P2613" i="34"/>
  <c r="R2614" i="34"/>
  <c r="P2615" i="34"/>
  <c r="R2616" i="34"/>
  <c r="P2617" i="34"/>
  <c r="R2618" i="34"/>
  <c r="P2619" i="34"/>
  <c r="R2620" i="34"/>
  <c r="P2621" i="34"/>
  <c r="R2622" i="34"/>
  <c r="P2623" i="34"/>
  <c r="R2624" i="34"/>
  <c r="P2625" i="34"/>
  <c r="P2443" i="34"/>
  <c r="R2444" i="34"/>
  <c r="P2445" i="34"/>
  <c r="R2446" i="34"/>
  <c r="P2447" i="34"/>
  <c r="R2448" i="34"/>
  <c r="P2449" i="34"/>
  <c r="R2450" i="34"/>
  <c r="P2451" i="34"/>
  <c r="R2452" i="34"/>
  <c r="P2453" i="34"/>
  <c r="R2454" i="34"/>
  <c r="P2455" i="34"/>
  <c r="R2456" i="34"/>
  <c r="P2457" i="34"/>
  <c r="R2458" i="34"/>
  <c r="P2459" i="34"/>
  <c r="R2460" i="34"/>
  <c r="P2461" i="34"/>
  <c r="R2462" i="34"/>
  <c r="P2463" i="34"/>
  <c r="R2464" i="34"/>
  <c r="P2465" i="34"/>
  <c r="R2466" i="34"/>
  <c r="P2467" i="34"/>
  <c r="R2468" i="34"/>
  <c r="P2469" i="34"/>
  <c r="R2472" i="34"/>
  <c r="P2473" i="34"/>
  <c r="Q2475" i="34"/>
  <c r="Q2477" i="34"/>
  <c r="Q2479" i="34"/>
  <c r="Q2481" i="34"/>
  <c r="Q2483" i="34"/>
  <c r="Q2485" i="34"/>
  <c r="Q2487" i="34"/>
  <c r="Q2489" i="34"/>
  <c r="Q2491" i="34"/>
  <c r="Q2493" i="34"/>
  <c r="Q2495" i="34"/>
  <c r="Q2497" i="34"/>
  <c r="Q2499" i="34"/>
  <c r="Q2501" i="34"/>
  <c r="Q2503" i="34"/>
  <c r="Q2505" i="34"/>
  <c r="Q2507" i="34"/>
  <c r="Q2509" i="34"/>
  <c r="Q2511" i="34"/>
  <c r="Q2513" i="34"/>
  <c r="Q2515" i="34"/>
  <c r="Q2517" i="34"/>
  <c r="Q2519" i="34"/>
  <c r="Q2521" i="34"/>
  <c r="Q2523" i="34"/>
  <c r="Q2525" i="34"/>
  <c r="Q2527" i="34"/>
  <c r="Q2529" i="34"/>
  <c r="Q2531" i="34"/>
  <c r="Q2533" i="34"/>
  <c r="Q2535" i="34"/>
  <c r="Q2537" i="34"/>
  <c r="Q2539" i="34"/>
  <c r="Q2541" i="34"/>
  <c r="Q2543" i="34"/>
  <c r="Q2545" i="34"/>
  <c r="Q2547" i="34"/>
  <c r="Q2549" i="34"/>
  <c r="Q2551" i="34"/>
  <c r="Q2553" i="34"/>
  <c r="Q2555" i="34"/>
  <c r="Q2557" i="34"/>
  <c r="Q2559" i="34"/>
  <c r="Q2561" i="34"/>
  <c r="Q2563" i="34"/>
  <c r="Q2565" i="34"/>
  <c r="Q2567" i="34"/>
  <c r="Q2569" i="34"/>
  <c r="Q2571" i="34"/>
  <c r="Q2573" i="34"/>
  <c r="Q2575" i="34"/>
  <c r="Q2577" i="34"/>
  <c r="Q2579" i="34"/>
  <c r="Q2581" i="34"/>
  <c r="Q2583" i="34"/>
  <c r="Q2585" i="34"/>
  <c r="Q2587" i="34"/>
  <c r="Q2589" i="34"/>
  <c r="Q2591" i="34"/>
  <c r="Q2593" i="34"/>
  <c r="Q2595" i="34"/>
  <c r="Q2597" i="34"/>
  <c r="Q2599" i="34"/>
  <c r="Q2601" i="34"/>
  <c r="Q2603" i="34"/>
  <c r="Q2605" i="34"/>
  <c r="Q2607" i="34"/>
  <c r="Q2609" i="34"/>
  <c r="Q2611" i="34"/>
  <c r="Q2613" i="34"/>
  <c r="Q2615" i="34"/>
  <c r="Q2617" i="34"/>
  <c r="Q2619" i="34"/>
  <c r="Q2621" i="34"/>
  <c r="Q2623" i="34"/>
  <c r="Q2625" i="34"/>
  <c r="Q2627" i="34"/>
  <c r="Q2629" i="34"/>
  <c r="Q2631" i="34"/>
  <c r="Q2633" i="34"/>
  <c r="Q2635" i="34"/>
  <c r="Q2637" i="34"/>
  <c r="Q2639" i="34"/>
  <c r="Q2641" i="34"/>
  <c r="Q2643" i="34"/>
  <c r="Q2645" i="34"/>
  <c r="Q2647" i="34"/>
  <c r="Q2649" i="34"/>
  <c r="Q2651" i="34"/>
  <c r="R2626" i="34"/>
  <c r="P2627" i="34"/>
  <c r="R2628" i="34"/>
  <c r="P2629" i="34"/>
  <c r="R2630" i="34"/>
  <c r="P2631" i="34"/>
  <c r="R2632" i="34"/>
  <c r="P2633" i="34"/>
  <c r="R2634" i="34"/>
  <c r="P2635" i="34"/>
  <c r="R2636" i="34"/>
  <c r="P2637" i="34"/>
  <c r="R2638" i="34"/>
  <c r="P2639" i="34"/>
  <c r="R2640" i="34"/>
  <c r="P2641" i="34"/>
  <c r="R2644" i="34"/>
  <c r="P2645" i="34"/>
  <c r="R2648" i="34"/>
  <c r="P2649" i="34"/>
  <c r="R2651" i="34"/>
  <c r="P2652" i="34"/>
  <c r="R2653" i="34"/>
  <c r="P2654" i="34"/>
  <c r="R2655" i="34"/>
  <c r="P2656" i="34"/>
  <c r="R2657" i="34"/>
  <c r="P2658" i="34"/>
  <c r="R2659" i="34"/>
  <c r="P2660" i="34"/>
  <c r="R2661" i="34"/>
  <c r="P2662" i="34"/>
  <c r="R2663" i="34"/>
  <c r="P2664" i="34"/>
  <c r="R2665" i="34"/>
  <c r="P2666" i="34"/>
  <c r="R2667" i="34"/>
  <c r="P2668" i="34"/>
  <c r="R2669" i="34"/>
  <c r="P2670" i="34"/>
  <c r="R2671" i="34"/>
  <c r="P2672" i="34"/>
  <c r="R2673" i="34"/>
  <c r="P2674" i="34"/>
  <c r="R2675" i="34"/>
  <c r="P2676" i="34"/>
  <c r="R2677" i="34"/>
  <c r="P2678" i="34"/>
  <c r="R2679" i="34"/>
  <c r="P2680" i="34"/>
  <c r="R2681" i="34"/>
  <c r="P2682" i="34"/>
  <c r="R2683" i="34"/>
  <c r="P2684" i="34"/>
  <c r="R2685" i="34"/>
  <c r="P2686" i="34"/>
  <c r="R2687" i="34"/>
  <c r="P2688" i="34"/>
  <c r="R2689" i="34"/>
  <c r="P2690" i="34"/>
  <c r="R2691" i="34"/>
  <c r="P2692" i="34"/>
  <c r="R2693" i="34"/>
  <c r="P2694" i="34"/>
  <c r="R2695" i="34"/>
  <c r="P2696" i="34"/>
  <c r="R2697" i="34"/>
  <c r="P2698" i="34"/>
  <c r="R2699" i="34"/>
  <c r="P2700" i="34"/>
  <c r="R2701" i="34"/>
  <c r="P2702" i="34"/>
  <c r="R2703" i="34"/>
  <c r="P2704" i="34"/>
  <c r="R2705" i="34"/>
  <c r="P2706" i="34"/>
  <c r="R2707" i="34"/>
  <c r="P2708" i="34"/>
  <c r="R2709" i="34"/>
  <c r="P2710" i="34"/>
  <c r="R2711" i="34"/>
  <c r="P2712" i="34"/>
  <c r="R2713" i="34"/>
  <c r="P2714" i="34"/>
  <c r="R2715" i="34"/>
  <c r="P2716" i="34"/>
  <c r="R2717" i="34"/>
  <c r="P2718" i="34"/>
  <c r="R2719" i="34"/>
  <c r="P2720" i="34"/>
  <c r="R2721" i="34"/>
  <c r="P2722" i="34"/>
  <c r="R2723" i="34"/>
  <c r="P2724" i="34"/>
  <c r="R2725" i="34"/>
  <c r="P2726" i="34"/>
  <c r="R2727" i="34"/>
  <c r="P2728" i="34"/>
  <c r="R2729" i="34"/>
  <c r="P2730" i="34"/>
  <c r="R2731" i="34"/>
  <c r="P2732" i="34"/>
  <c r="R2733" i="34"/>
  <c r="P2734" i="34"/>
  <c r="R2735" i="34"/>
  <c r="P2736" i="34"/>
  <c r="R2737" i="34"/>
  <c r="P2738" i="34"/>
  <c r="R2739" i="34"/>
  <c r="P2740" i="34"/>
  <c r="R2741" i="34"/>
  <c r="P2742" i="34"/>
  <c r="R2743" i="34"/>
  <c r="P2744" i="34"/>
  <c r="R2745" i="34"/>
  <c r="P2746" i="34"/>
  <c r="R2747" i="34"/>
  <c r="P2748" i="34"/>
  <c r="R2749" i="34"/>
  <c r="P2750" i="34"/>
  <c r="R2751" i="34"/>
  <c r="P2752" i="34"/>
  <c r="R2753" i="34"/>
  <c r="P2754" i="34"/>
  <c r="R2755" i="34"/>
  <c r="P2756" i="34"/>
  <c r="R2757" i="34"/>
  <c r="P2758" i="34"/>
  <c r="R2759" i="34"/>
  <c r="P2760" i="34"/>
  <c r="R2761" i="34"/>
  <c r="P2762" i="34"/>
  <c r="R2763" i="34"/>
  <c r="P2764" i="34"/>
  <c r="R2765" i="34"/>
  <c r="P2766" i="34"/>
  <c r="R2767" i="34"/>
  <c r="P2768" i="34"/>
  <c r="R2769" i="34"/>
  <c r="P2770" i="34"/>
  <c r="R2771" i="34"/>
  <c r="P2772" i="34"/>
  <c r="R2773" i="34"/>
  <c r="P2774" i="34"/>
  <c r="R2775" i="34"/>
  <c r="P2776" i="34"/>
  <c r="R2777" i="34"/>
  <c r="P2778" i="34"/>
  <c r="R2779" i="34"/>
  <c r="P2780" i="34"/>
  <c r="R2781" i="34"/>
  <c r="P2782" i="34"/>
  <c r="R2783" i="34"/>
  <c r="P2784" i="34"/>
  <c r="R2785" i="34"/>
  <c r="P2786" i="34"/>
  <c r="R2787" i="34"/>
  <c r="P2788" i="34"/>
  <c r="R2789" i="34"/>
  <c r="P2790" i="34"/>
  <c r="R2791" i="34"/>
  <c r="P2792" i="34"/>
  <c r="R2793" i="34"/>
  <c r="P2794" i="34"/>
  <c r="R2795" i="34"/>
  <c r="P2796" i="34"/>
  <c r="R2797" i="34"/>
  <c r="P2798" i="34"/>
  <c r="R2799" i="34"/>
  <c r="P2800" i="34"/>
  <c r="R2801" i="34"/>
  <c r="P2802" i="34"/>
  <c r="R2803" i="34"/>
  <c r="P2804" i="34"/>
  <c r="R2805" i="34"/>
  <c r="P2806" i="34"/>
  <c r="R2807" i="34"/>
  <c r="P2808" i="34"/>
  <c r="R2809" i="34"/>
  <c r="P2810" i="34"/>
  <c r="R2811" i="34"/>
  <c r="P2812" i="34"/>
  <c r="R2813" i="34"/>
  <c r="P2814" i="34"/>
  <c r="R2815" i="34"/>
  <c r="P2816" i="34"/>
  <c r="R2817" i="34"/>
  <c r="P2818" i="34"/>
  <c r="R2819" i="34"/>
  <c r="P2820" i="34"/>
  <c r="R2821" i="34"/>
  <c r="P2822" i="34"/>
  <c r="R2641" i="34"/>
  <c r="P2642" i="34"/>
  <c r="R2645" i="34"/>
  <c r="P2646" i="34"/>
  <c r="R2649" i="34"/>
  <c r="P2650" i="34"/>
  <c r="Q2652" i="34"/>
  <c r="Q2654" i="34"/>
  <c r="Q2656" i="34"/>
  <c r="Q2658" i="34"/>
  <c r="Q2660" i="34"/>
  <c r="Q2662" i="34"/>
  <c r="Q2664" i="34"/>
  <c r="Q2666" i="34"/>
  <c r="Q2668" i="34"/>
  <c r="Q2670" i="34"/>
  <c r="Q2672" i="34"/>
  <c r="Q2674" i="34"/>
  <c r="Q2676" i="34"/>
  <c r="Q2678" i="34"/>
  <c r="Q2680" i="34"/>
  <c r="Q2682" i="34"/>
  <c r="Q2684" i="34"/>
  <c r="Q2686" i="34"/>
  <c r="Q2688" i="34"/>
  <c r="Q2690" i="34"/>
  <c r="Q2692" i="34"/>
  <c r="Q2694" i="34"/>
  <c r="Q2696" i="34"/>
  <c r="Q2698" i="34"/>
  <c r="Q2700" i="34"/>
  <c r="Q2702" i="34"/>
  <c r="Q2704" i="34"/>
  <c r="Q2706" i="34"/>
  <c r="Q2708" i="34"/>
  <c r="Q2710" i="34"/>
  <c r="Q2712" i="34"/>
  <c r="Q2714" i="34"/>
  <c r="Q2716" i="34"/>
  <c r="Q2718" i="34"/>
  <c r="Q2720" i="34"/>
  <c r="Q2722" i="34"/>
  <c r="Q2724" i="34"/>
  <c r="Q2726" i="34"/>
  <c r="Q2728" i="34"/>
  <c r="Q2730" i="34"/>
  <c r="Q2732" i="34"/>
  <c r="Q2734" i="34"/>
  <c r="Q2736" i="34"/>
  <c r="Q2738" i="34"/>
  <c r="Q2740" i="34"/>
  <c r="Q2742" i="34"/>
  <c r="Q2744" i="34"/>
  <c r="Q2746" i="34"/>
  <c r="Q2748" i="34"/>
  <c r="Q2750" i="34"/>
  <c r="Q2752" i="34"/>
  <c r="Q2754" i="34"/>
  <c r="Q2756" i="34"/>
  <c r="Q2758" i="34"/>
  <c r="Q2760" i="34"/>
  <c r="Q2762" i="34"/>
  <c r="Q2764" i="34"/>
  <c r="Q2766" i="34"/>
  <c r="Q2768" i="34"/>
  <c r="Q2770" i="34"/>
  <c r="Q2772" i="34"/>
  <c r="Q2774" i="34"/>
  <c r="Q2776" i="34"/>
  <c r="Q2778" i="34"/>
  <c r="Q2780" i="34"/>
  <c r="Q2782" i="34"/>
  <c r="Q2784" i="34"/>
  <c r="Q2786" i="34"/>
  <c r="Q2788" i="34"/>
  <c r="Q2790" i="34"/>
  <c r="Q2792" i="34"/>
  <c r="Q2794" i="34"/>
  <c r="Q2796" i="34"/>
  <c r="Q2798" i="34"/>
  <c r="Q2800" i="34"/>
  <c r="Q2802" i="34"/>
  <c r="Q2804" i="34"/>
  <c r="Q2806" i="34"/>
  <c r="Q2808" i="34"/>
  <c r="Q2810" i="34"/>
  <c r="Q2812" i="34"/>
  <c r="Q2814" i="34"/>
  <c r="Q2816" i="34"/>
  <c r="Q2818" i="34"/>
  <c r="Q2820" i="34"/>
  <c r="Q2822" i="34"/>
  <c r="Q2824" i="34"/>
  <c r="Q2826" i="34"/>
  <c r="Q2828" i="34"/>
  <c r="Q2830" i="34"/>
  <c r="Q2832" i="34"/>
  <c r="Q2834" i="34"/>
  <c r="R2642" i="34"/>
  <c r="P2643" i="34"/>
  <c r="R2646" i="34"/>
  <c r="P2647" i="34"/>
  <c r="Q2650" i="34"/>
  <c r="R2652" i="34"/>
  <c r="P2653" i="34"/>
  <c r="R2654" i="34"/>
  <c r="P2655" i="34"/>
  <c r="R2656" i="34"/>
  <c r="P2657" i="34"/>
  <c r="R2658" i="34"/>
  <c r="P2659" i="34"/>
  <c r="R2660" i="34"/>
  <c r="P2661" i="34"/>
  <c r="R2662" i="34"/>
  <c r="P2663" i="34"/>
  <c r="R2664" i="34"/>
  <c r="P2665" i="34"/>
  <c r="R2666" i="34"/>
  <c r="P2667" i="34"/>
  <c r="R2668" i="34"/>
  <c r="P2669" i="34"/>
  <c r="R2670" i="34"/>
  <c r="P2671" i="34"/>
  <c r="R2672" i="34"/>
  <c r="P2673" i="34"/>
  <c r="R2674" i="34"/>
  <c r="P2675" i="34"/>
  <c r="R2676" i="34"/>
  <c r="P2677" i="34"/>
  <c r="R2678" i="34"/>
  <c r="P2679" i="34"/>
  <c r="R2680" i="34"/>
  <c r="P2681" i="34"/>
  <c r="R2682" i="34"/>
  <c r="P2683" i="34"/>
  <c r="R2684" i="34"/>
  <c r="P2685" i="34"/>
  <c r="R2686" i="34"/>
  <c r="P2687" i="34"/>
  <c r="R2688" i="34"/>
  <c r="P2689" i="34"/>
  <c r="R2690" i="34"/>
  <c r="P2691" i="34"/>
  <c r="R2692" i="34"/>
  <c r="P2693" i="34"/>
  <c r="R2694" i="34"/>
  <c r="P2695" i="34"/>
  <c r="R2696" i="34"/>
  <c r="P2697" i="34"/>
  <c r="R2698" i="34"/>
  <c r="P2699" i="34"/>
  <c r="R2700" i="34"/>
  <c r="P2701" i="34"/>
  <c r="R2702" i="34"/>
  <c r="P2703" i="34"/>
  <c r="R2704" i="34"/>
  <c r="P2705" i="34"/>
  <c r="R2706" i="34"/>
  <c r="P2707" i="34"/>
  <c r="R2708" i="34"/>
  <c r="P2709" i="34"/>
  <c r="R2710" i="34"/>
  <c r="P2711" i="34"/>
  <c r="R2712" i="34"/>
  <c r="P2713" i="34"/>
  <c r="R2714" i="34"/>
  <c r="P2715" i="34"/>
  <c r="R2716" i="34"/>
  <c r="P2717" i="34"/>
  <c r="R2718" i="34"/>
  <c r="P2719" i="34"/>
  <c r="R2720" i="34"/>
  <c r="P2721" i="34"/>
  <c r="R2722" i="34"/>
  <c r="P2723" i="34"/>
  <c r="R2724" i="34"/>
  <c r="P2725" i="34"/>
  <c r="R2726" i="34"/>
  <c r="P2727" i="34"/>
  <c r="R2728" i="34"/>
  <c r="P2729" i="34"/>
  <c r="R2730" i="34"/>
  <c r="P2731" i="34"/>
  <c r="R2732" i="34"/>
  <c r="P2733" i="34"/>
  <c r="R2734" i="34"/>
  <c r="P2735" i="34"/>
  <c r="R2736" i="34"/>
  <c r="P2737" i="34"/>
  <c r="R2738" i="34"/>
  <c r="P2739" i="34"/>
  <c r="R2740" i="34"/>
  <c r="P2741" i="34"/>
  <c r="R2742" i="34"/>
  <c r="P2743" i="34"/>
  <c r="R2744" i="34"/>
  <c r="P2745" i="34"/>
  <c r="R2746" i="34"/>
  <c r="P2747" i="34"/>
  <c r="R2748" i="34"/>
  <c r="P2749" i="34"/>
  <c r="R2750" i="34"/>
  <c r="P2751" i="34"/>
  <c r="R2752" i="34"/>
  <c r="P2753" i="34"/>
  <c r="R2754" i="34"/>
  <c r="P2755" i="34"/>
  <c r="R2756" i="34"/>
  <c r="P2757" i="34"/>
  <c r="R2758" i="34"/>
  <c r="P2759" i="34"/>
  <c r="R2760" i="34"/>
  <c r="P2761" i="34"/>
  <c r="R2762" i="34"/>
  <c r="P2763" i="34"/>
  <c r="R2764" i="34"/>
  <c r="P2765" i="34"/>
  <c r="R2766" i="34"/>
  <c r="P2767" i="34"/>
  <c r="R2768" i="34"/>
  <c r="P2769" i="34"/>
  <c r="R2770" i="34"/>
  <c r="P2771" i="34"/>
  <c r="R2772" i="34"/>
  <c r="P2773" i="34"/>
  <c r="R2774" i="34"/>
  <c r="P2775" i="34"/>
  <c r="R2776" i="34"/>
  <c r="P2777" i="34"/>
  <c r="R2778" i="34"/>
  <c r="P2779" i="34"/>
  <c r="R2780" i="34"/>
  <c r="P2781" i="34"/>
  <c r="R2782" i="34"/>
  <c r="P2783" i="34"/>
  <c r="R2784" i="34"/>
  <c r="P2785" i="34"/>
  <c r="R2786" i="34"/>
  <c r="P2787" i="34"/>
  <c r="R2788" i="34"/>
  <c r="P2789" i="34"/>
  <c r="R2790" i="34"/>
  <c r="P2791" i="34"/>
  <c r="R2792" i="34"/>
  <c r="P2793" i="34"/>
  <c r="R2794" i="34"/>
  <c r="P2795" i="34"/>
  <c r="R2796" i="34"/>
  <c r="P2797" i="34"/>
  <c r="R2798" i="34"/>
  <c r="P2799" i="34"/>
  <c r="R2800" i="34"/>
  <c r="P2801" i="34"/>
  <c r="R2802" i="34"/>
  <c r="P2803" i="34"/>
  <c r="R2804" i="34"/>
  <c r="P2805" i="34"/>
  <c r="R2806" i="34"/>
  <c r="P2807" i="34"/>
  <c r="R2808" i="34"/>
  <c r="P2809" i="34"/>
  <c r="R2810" i="34"/>
  <c r="P2811" i="34"/>
  <c r="R2812" i="34"/>
  <c r="P2813" i="34"/>
  <c r="R2814" i="34"/>
  <c r="P2815" i="34"/>
  <c r="R2816" i="34"/>
  <c r="R2643" i="34"/>
  <c r="P2644" i="34"/>
  <c r="R2647" i="34"/>
  <c r="P2648" i="34"/>
  <c r="R2650" i="34"/>
  <c r="P2651" i="34"/>
  <c r="Q2653" i="34"/>
  <c r="Q2655" i="34"/>
  <c r="Q2657" i="34"/>
  <c r="Q2659" i="34"/>
  <c r="Q2661" i="34"/>
  <c r="Q2663" i="34"/>
  <c r="Q2665" i="34"/>
  <c r="Q2667" i="34"/>
  <c r="Q2669" i="34"/>
  <c r="Q2671" i="34"/>
  <c r="Q2673" i="34"/>
  <c r="Q2675" i="34"/>
  <c r="Q2677" i="34"/>
  <c r="Q2679" i="34"/>
  <c r="Q2681" i="34"/>
  <c r="Q2683" i="34"/>
  <c r="Q2685" i="34"/>
  <c r="Q2687" i="34"/>
  <c r="Q2689" i="34"/>
  <c r="Q2691" i="34"/>
  <c r="Q2693" i="34"/>
  <c r="Q2695" i="34"/>
  <c r="Q2697" i="34"/>
  <c r="Q2699" i="34"/>
  <c r="Q2701" i="34"/>
  <c r="Q2703" i="34"/>
  <c r="Q2705" i="34"/>
  <c r="Q2707" i="34"/>
  <c r="Q2709" i="34"/>
  <c r="Q2711" i="34"/>
  <c r="Q2713" i="34"/>
  <c r="Q2715" i="34"/>
  <c r="Q2717" i="34"/>
  <c r="Q2719" i="34"/>
  <c r="Q2721" i="34"/>
  <c r="Q2723" i="34"/>
  <c r="Q2725" i="34"/>
  <c r="Q2727" i="34"/>
  <c r="Q2729" i="34"/>
  <c r="Q2731" i="34"/>
  <c r="Q2733" i="34"/>
  <c r="Q2735" i="34"/>
  <c r="Q2737" i="34"/>
  <c r="Q2739" i="34"/>
  <c r="Q2741" i="34"/>
  <c r="Q2743" i="34"/>
  <c r="Q2745" i="34"/>
  <c r="Q2747" i="34"/>
  <c r="Q2749" i="34"/>
  <c r="Q2751" i="34"/>
  <c r="Q2753" i="34"/>
  <c r="Q2755" i="34"/>
  <c r="Q2757" i="34"/>
  <c r="Q2759" i="34"/>
  <c r="Q2761" i="34"/>
  <c r="Q2763" i="34"/>
  <c r="Q2765" i="34"/>
  <c r="Q2767" i="34"/>
  <c r="Q2769" i="34"/>
  <c r="Q2771" i="34"/>
  <c r="Q2773" i="34"/>
  <c r="Q2775" i="34"/>
  <c r="Q2777" i="34"/>
  <c r="Q2779" i="34"/>
  <c r="Q2781" i="34"/>
  <c r="Q2783" i="34"/>
  <c r="Q2785" i="34"/>
  <c r="Q2787" i="34"/>
  <c r="Q2789" i="34"/>
  <c r="Q2791" i="34"/>
  <c r="Q2793" i="34"/>
  <c r="Q2795" i="34"/>
  <c r="Q2797" i="34"/>
  <c r="Q2799" i="34"/>
  <c r="Q2801" i="34"/>
  <c r="Q2803" i="34"/>
  <c r="Q2805" i="34"/>
  <c r="Q2807" i="34"/>
  <c r="Q2809" i="34"/>
  <c r="Q2811" i="34"/>
  <c r="Q2813" i="34"/>
  <c r="Q2815" i="34"/>
  <c r="Q2817" i="34"/>
  <c r="Q2819" i="34"/>
  <c r="Q2821" i="34"/>
  <c r="Q2823" i="34"/>
  <c r="Q2825" i="34"/>
  <c r="Q2827" i="34"/>
  <c r="Q2829" i="34"/>
  <c r="Q2831" i="34"/>
  <c r="Q2833" i="34"/>
  <c r="Q2835" i="34"/>
  <c r="Q2837" i="34"/>
  <c r="Q2839" i="34"/>
  <c r="Q2841" i="34"/>
  <c r="Q2843" i="34"/>
  <c r="Q2845" i="34"/>
  <c r="Q2847" i="34"/>
  <c r="Q2849" i="34"/>
  <c r="Q2851" i="34"/>
  <c r="Q2853" i="34"/>
  <c r="Q2855" i="34"/>
  <c r="Q2857" i="34"/>
  <c r="Q2859" i="34"/>
  <c r="R2825" i="34"/>
  <c r="P2826" i="34"/>
  <c r="R2829" i="34"/>
  <c r="P2830" i="34"/>
  <c r="R2833" i="34"/>
  <c r="P2834" i="34"/>
  <c r="R2836" i="34"/>
  <c r="P2837" i="34"/>
  <c r="R2839" i="34"/>
  <c r="P2840" i="34"/>
  <c r="Q2842" i="34"/>
  <c r="R2844" i="34"/>
  <c r="P2845" i="34"/>
  <c r="R2847" i="34"/>
  <c r="P2848" i="34"/>
  <c r="Q2850" i="34"/>
  <c r="R2852" i="34"/>
  <c r="P2853" i="34"/>
  <c r="R2855" i="34"/>
  <c r="P2856" i="34"/>
  <c r="Q2858" i="34"/>
  <c r="P2817" i="34"/>
  <c r="R2818" i="34"/>
  <c r="P2819" i="34"/>
  <c r="R2820" i="34"/>
  <c r="P2821" i="34"/>
  <c r="R2822" i="34"/>
  <c r="P2823" i="34"/>
  <c r="R2826" i="34"/>
  <c r="P2827" i="34"/>
  <c r="R2830" i="34"/>
  <c r="P2831" i="34"/>
  <c r="R2834" i="34"/>
  <c r="P2835" i="34"/>
  <c r="R2837" i="34"/>
  <c r="P2838" i="34"/>
  <c r="Q2840" i="34"/>
  <c r="R2842" i="34"/>
  <c r="P2843" i="34"/>
  <c r="R2845" i="34"/>
  <c r="P2846" i="34"/>
  <c r="Q2848" i="34"/>
  <c r="R2850" i="34"/>
  <c r="P2851" i="34"/>
  <c r="R2853" i="34"/>
  <c r="P2854" i="34"/>
  <c r="Q2856" i="34"/>
  <c r="R2858" i="34"/>
  <c r="P2859" i="34"/>
  <c r="R2823" i="34"/>
  <c r="P2824" i="34"/>
  <c r="R2827" i="34"/>
  <c r="P2828" i="34"/>
  <c r="R2831" i="34"/>
  <c r="P2832" i="34"/>
  <c r="R2835" i="34"/>
  <c r="P2836" i="34"/>
  <c r="Q2838" i="34"/>
  <c r="R2840" i="34"/>
  <c r="P2841" i="34"/>
  <c r="R2843" i="34"/>
  <c r="P2844" i="34"/>
  <c r="Q2846" i="34"/>
  <c r="R2848" i="34"/>
  <c r="P2849" i="34"/>
  <c r="R2851" i="34"/>
  <c r="P2852" i="34"/>
  <c r="Q2854" i="34"/>
  <c r="R2856" i="34"/>
  <c r="P2857" i="34"/>
  <c r="R2859" i="34"/>
  <c r="R2824" i="34"/>
  <c r="P2825" i="34"/>
  <c r="R2828" i="34"/>
  <c r="P2829" i="34"/>
  <c r="R2832" i="34"/>
  <c r="P2833" i="34"/>
  <c r="Q2836" i="34"/>
  <c r="R2838" i="34"/>
  <c r="P2839" i="34"/>
  <c r="R2841" i="34"/>
  <c r="P2842" i="34"/>
  <c r="Q2844" i="34"/>
  <c r="R2846" i="34"/>
  <c r="P2847" i="34"/>
  <c r="R2849" i="34"/>
  <c r="P2850" i="34"/>
  <c r="Q2852" i="34"/>
  <c r="R2854" i="34"/>
  <c r="P2855" i="34"/>
  <c r="R2857" i="34"/>
  <c r="P2858" i="34"/>
  <c r="R1719" i="34"/>
  <c r="P1719" i="34"/>
  <c r="Q1950" i="34"/>
  <c r="R1956" i="34"/>
  <c r="P1956" i="34"/>
  <c r="P1951" i="34"/>
  <c r="Q1952" i="34"/>
  <c r="P1957" i="34"/>
  <c r="Q1954" i="34"/>
  <c r="P1953" i="34"/>
  <c r="Q1955" i="34"/>
  <c r="Q1720" i="34"/>
  <c r="R1951" i="34"/>
  <c r="R1957" i="34"/>
  <c r="R1953" i="34"/>
  <c r="P1955" i="34"/>
  <c r="Q1719" i="34"/>
  <c r="R1950" i="34"/>
  <c r="P1950" i="34"/>
  <c r="Q1956" i="34"/>
  <c r="P1720" i="34"/>
  <c r="R1952" i="34"/>
  <c r="P1952" i="34"/>
  <c r="R1954" i="34"/>
  <c r="P1954" i="34"/>
  <c r="P1963" i="34"/>
  <c r="Q1963" i="34"/>
  <c r="R1955" i="34"/>
  <c r="R1720" i="34"/>
  <c r="Q1951" i="34"/>
  <c r="Q1957" i="34"/>
  <c r="Q1953" i="34"/>
  <c r="R1963" i="34"/>
  <c r="R901" i="34"/>
  <c r="Q617" i="34"/>
  <c r="R279" i="34"/>
  <c r="Q956" i="34"/>
  <c r="R74" i="34"/>
  <c r="R310" i="34"/>
  <c r="Q1286" i="34"/>
  <c r="R311" i="34"/>
  <c r="Q808" i="34"/>
  <c r="P808" i="34"/>
  <c r="R500" i="34"/>
  <c r="P309" i="34"/>
  <c r="P607" i="34"/>
  <c r="Q607" i="34"/>
  <c r="P681" i="34"/>
  <c r="Q77" i="34"/>
  <c r="P308" i="34"/>
  <c r="Q210" i="34"/>
  <c r="R1084" i="34"/>
  <c r="Q702" i="34"/>
  <c r="P958" i="34"/>
  <c r="Q1923" i="34"/>
  <c r="P729" i="34"/>
  <c r="Q21" i="34"/>
  <c r="Q913" i="34"/>
  <c r="R630" i="34"/>
  <c r="Q630" i="34"/>
  <c r="P513" i="34"/>
  <c r="P901" i="34"/>
  <c r="R617" i="34"/>
  <c r="Q809" i="34"/>
  <c r="R1285" i="34"/>
  <c r="P279" i="34"/>
  <c r="P956" i="34"/>
  <c r="P74" i="34"/>
  <c r="Q310" i="34"/>
  <c r="R1286" i="34"/>
  <c r="P957" i="34"/>
  <c r="R808" i="34"/>
  <c r="P91" i="34"/>
  <c r="P307" i="34"/>
  <c r="Q309" i="34"/>
  <c r="Q602" i="34"/>
  <c r="P602" i="34"/>
  <c r="R210" i="34"/>
  <c r="P1084" i="34"/>
  <c r="R1923" i="34"/>
  <c r="P448" i="34"/>
  <c r="R913" i="34"/>
  <c r="Q521" i="34"/>
  <c r="R809" i="34"/>
  <c r="Q1285" i="34"/>
  <c r="Q514" i="34"/>
  <c r="P514" i="34"/>
  <c r="P310" i="34"/>
  <c r="P311" i="34"/>
  <c r="Q957" i="34"/>
  <c r="R91" i="34"/>
  <c r="Q307" i="34"/>
  <c r="R309" i="34"/>
  <c r="R607" i="34"/>
  <c r="Q906" i="34"/>
  <c r="P906" i="34"/>
  <c r="R602" i="34"/>
  <c r="Q681" i="34"/>
  <c r="P77" i="34"/>
  <c r="R308" i="34"/>
  <c r="P702" i="34"/>
  <c r="R958" i="34"/>
  <c r="P1923" i="34"/>
  <c r="Q729" i="34"/>
  <c r="P21" i="34"/>
  <c r="R448" i="34"/>
  <c r="P913" i="34"/>
  <c r="P630" i="34"/>
  <c r="Q513" i="34"/>
  <c r="R521" i="34"/>
  <c r="Q901" i="34"/>
  <c r="P617" i="34"/>
  <c r="P809" i="34"/>
  <c r="P1285" i="34"/>
  <c r="Q279" i="34"/>
  <c r="R956" i="34"/>
  <c r="R514" i="34"/>
  <c r="Q74" i="34"/>
  <c r="P1286" i="34"/>
  <c r="Q311" i="34"/>
  <c r="R957" i="34"/>
  <c r="Q500" i="34"/>
  <c r="P500" i="34"/>
  <c r="Q91" i="34"/>
  <c r="R307" i="34"/>
  <c r="R906" i="34"/>
  <c r="R681" i="34"/>
  <c r="R77" i="34"/>
  <c r="Q308" i="34"/>
  <c r="P210" i="34"/>
  <c r="Q1084" i="34"/>
  <c r="R702" i="34"/>
  <c r="Q958" i="34"/>
  <c r="R729" i="34"/>
  <c r="R21" i="34"/>
  <c r="Q448" i="34"/>
  <c r="R513" i="34"/>
  <c r="P521" i="34"/>
  <c r="Q1609" i="34"/>
  <c r="P1609" i="34"/>
  <c r="P1608" i="34"/>
  <c r="Q1644" i="34"/>
  <c r="Q1643" i="34"/>
  <c r="P1643" i="34"/>
  <c r="R1609" i="34"/>
  <c r="Q1642" i="34"/>
  <c r="R1644" i="34"/>
  <c r="R1643" i="34"/>
  <c r="Q1608" i="34"/>
  <c r="R1642" i="34"/>
  <c r="P1644" i="34"/>
  <c r="R1608" i="34"/>
  <c r="P1642" i="34"/>
  <c r="Q1641" i="34"/>
  <c r="P1641" i="34"/>
  <c r="R1639" i="34"/>
  <c r="Q1919" i="34"/>
  <c r="R1640" i="34"/>
  <c r="R1641" i="34"/>
  <c r="R1919" i="34"/>
  <c r="P1640" i="34"/>
  <c r="Q1918" i="34"/>
  <c r="P1918" i="34"/>
  <c r="P1919" i="34"/>
  <c r="Q1639" i="34"/>
  <c r="P1639" i="34"/>
  <c r="R1918" i="34"/>
  <c r="Q1640" i="34"/>
  <c r="R1714" i="34"/>
  <c r="R1483" i="34"/>
  <c r="Q1715" i="34"/>
  <c r="P1715" i="34"/>
  <c r="P1718" i="34"/>
  <c r="Q1484" i="34"/>
  <c r="R1716" i="34"/>
  <c r="R1507" i="34"/>
  <c r="P1714" i="34"/>
  <c r="Q1509" i="34"/>
  <c r="P1509" i="34"/>
  <c r="R1715" i="34"/>
  <c r="Q1508" i="34"/>
  <c r="R1484" i="34"/>
  <c r="P1716" i="34"/>
  <c r="Q1717" i="34"/>
  <c r="P1717" i="34"/>
  <c r="R1509" i="34"/>
  <c r="Q1718" i="34"/>
  <c r="R1508" i="34"/>
  <c r="P1484" i="34"/>
  <c r="Q1714" i="34"/>
  <c r="Q1483" i="34"/>
  <c r="P1483" i="34"/>
  <c r="R1717" i="34"/>
  <c r="R1718" i="34"/>
  <c r="P1508" i="34"/>
  <c r="Q1716" i="34"/>
  <c r="Q1507" i="34"/>
  <c r="P1507" i="34"/>
  <c r="R1893" i="34"/>
  <c r="R1894" i="34"/>
  <c r="R1752" i="34"/>
  <c r="P1893" i="34"/>
  <c r="R1753" i="34"/>
  <c r="Q1753" i="34"/>
  <c r="P1752" i="34"/>
  <c r="Q1893" i="34"/>
  <c r="Q1894" i="34"/>
  <c r="P1894" i="34"/>
  <c r="Q1752" i="34"/>
  <c r="P1753" i="34"/>
  <c r="P1447" i="34"/>
  <c r="Q1464" i="34"/>
  <c r="R1454" i="34"/>
  <c r="P1666" i="34"/>
  <c r="Q1448" i="34"/>
  <c r="R1418" i="34"/>
  <c r="Q1453" i="34"/>
  <c r="P1419" i="34"/>
  <c r="R1463" i="34"/>
  <c r="R1670" i="34"/>
  <c r="Q1671" i="34"/>
  <c r="P1671" i="34"/>
  <c r="Q1417" i="34"/>
  <c r="P1420" i="34"/>
  <c r="R1464" i="34"/>
  <c r="P1454" i="34"/>
  <c r="Q1789" i="34"/>
  <c r="R1448" i="34"/>
  <c r="P1448" i="34"/>
  <c r="Q1418" i="34"/>
  <c r="R1453" i="34"/>
  <c r="Q1668" i="34"/>
  <c r="Q1669" i="34"/>
  <c r="P1669" i="34"/>
  <c r="Q1667" i="34"/>
  <c r="P1667" i="34"/>
  <c r="P1670" i="34"/>
  <c r="Q1449" i="34"/>
  <c r="Q1462" i="34"/>
  <c r="Q1788" i="34"/>
  <c r="P1788" i="34"/>
  <c r="R1671" i="34"/>
  <c r="Q1447" i="34"/>
  <c r="R1417" i="34"/>
  <c r="R1420" i="34"/>
  <c r="P1464" i="34"/>
  <c r="Q1454" i="34"/>
  <c r="Q1666" i="34"/>
  <c r="R1789" i="34"/>
  <c r="R1668" i="34"/>
  <c r="R1669" i="34"/>
  <c r="Q1419" i="34"/>
  <c r="Q1455" i="34"/>
  <c r="P1455" i="34"/>
  <c r="R1667" i="34"/>
  <c r="R1462" i="34"/>
  <c r="R1788" i="34"/>
  <c r="R1447" i="34"/>
  <c r="P1417" i="34"/>
  <c r="Q1420" i="34"/>
  <c r="R1666" i="34"/>
  <c r="P1789" i="34"/>
  <c r="P1418" i="34"/>
  <c r="P1453" i="34"/>
  <c r="P1668" i="34"/>
  <c r="R1419" i="34"/>
  <c r="Q1463" i="34"/>
  <c r="P1463" i="34"/>
  <c r="R1455" i="34"/>
  <c r="Q1670" i="34"/>
  <c r="P1449" i="34"/>
  <c r="R1449" i="34"/>
  <c r="P1462" i="34"/>
  <c r="R1741" i="34"/>
  <c r="P1745" i="34"/>
  <c r="Q1804" i="34"/>
  <c r="P1813" i="34"/>
  <c r="P1821" i="34"/>
  <c r="Q1874" i="34"/>
  <c r="P1849" i="34"/>
  <c r="P1871" i="34"/>
  <c r="Q1930" i="34"/>
  <c r="P1885" i="34"/>
  <c r="P1909" i="34"/>
  <c r="Q1926" i="34"/>
  <c r="P1935" i="34"/>
  <c r="P1694" i="34"/>
  <c r="P1742" i="34"/>
  <c r="Q1742" i="34"/>
  <c r="Q1812" i="34"/>
  <c r="R1814" i="34"/>
  <c r="P1814" i="34"/>
  <c r="Q1818" i="34"/>
  <c r="R1822" i="34"/>
  <c r="P1822" i="34"/>
  <c r="R1850" i="34"/>
  <c r="P1850" i="34"/>
  <c r="Q1866" i="34"/>
  <c r="R1872" i="34"/>
  <c r="P1872" i="34"/>
  <c r="R1886" i="34"/>
  <c r="P1886" i="34"/>
  <c r="Q1890" i="34"/>
  <c r="R1910" i="34"/>
  <c r="P1910" i="34"/>
  <c r="R1936" i="34"/>
  <c r="P1936" i="34"/>
  <c r="Q1940" i="34"/>
  <c r="Q1815" i="34"/>
  <c r="R1819" i="34"/>
  <c r="Q1851" i="34"/>
  <c r="R1867" i="34"/>
  <c r="Q1891" i="34"/>
  <c r="Q1887" i="34"/>
  <c r="Q1911" i="34"/>
  <c r="Q1937" i="34"/>
  <c r="R1941" i="34"/>
  <c r="Q1740" i="34"/>
  <c r="R1744" i="34"/>
  <c r="Q1803" i="34"/>
  <c r="R1486" i="34"/>
  <c r="Q1873" i="34"/>
  <c r="R1933" i="34"/>
  <c r="Q1925" i="34"/>
  <c r="R1929" i="34"/>
  <c r="Q1745" i="34"/>
  <c r="R1813" i="34"/>
  <c r="Q1817" i="34"/>
  <c r="R1821" i="34"/>
  <c r="R1849" i="34"/>
  <c r="Q1865" i="34"/>
  <c r="R1871" i="34"/>
  <c r="R1885" i="34"/>
  <c r="Q1889" i="34"/>
  <c r="R1909" i="34"/>
  <c r="R1935" i="34"/>
  <c r="Q1939" i="34"/>
  <c r="R1694" i="34"/>
  <c r="R1746" i="34"/>
  <c r="Q1883" i="34"/>
  <c r="Q1931" i="34"/>
  <c r="Q1927" i="34"/>
  <c r="Q1010" i="34"/>
  <c r="R1743" i="34"/>
  <c r="Q1485" i="34"/>
  <c r="P1815" i="34"/>
  <c r="R1828" i="34"/>
  <c r="P1828" i="34"/>
  <c r="Q1884" i="34"/>
  <c r="P1851" i="34"/>
  <c r="P1891" i="34"/>
  <c r="Q1932" i="34"/>
  <c r="P1887" i="34"/>
  <c r="Q1902" i="34"/>
  <c r="P1911" i="34"/>
  <c r="Q1928" i="34"/>
  <c r="P1937" i="34"/>
  <c r="P1744" i="34"/>
  <c r="P1803" i="34"/>
  <c r="R1816" i="34"/>
  <c r="P1816" i="34"/>
  <c r="Q1820" i="34"/>
  <c r="P1873" i="34"/>
  <c r="Q1934" i="34"/>
  <c r="R1858" i="34"/>
  <c r="P1858" i="34"/>
  <c r="Q1868" i="34"/>
  <c r="R1892" i="34"/>
  <c r="P1892" i="34"/>
  <c r="R1888" i="34"/>
  <c r="P1888" i="34"/>
  <c r="Q1908" i="34"/>
  <c r="P1925" i="34"/>
  <c r="R1938" i="34"/>
  <c r="P1938" i="34"/>
  <c r="Q1693" i="34"/>
  <c r="P1741" i="34"/>
  <c r="R1745" i="34"/>
  <c r="R1804" i="34"/>
  <c r="P1804" i="34"/>
  <c r="P1817" i="34"/>
  <c r="R1874" i="34"/>
  <c r="P1874" i="34"/>
  <c r="P1865" i="34"/>
  <c r="R1930" i="34"/>
  <c r="P1930" i="34"/>
  <c r="P1889" i="34"/>
  <c r="R1926" i="34"/>
  <c r="P1926" i="34"/>
  <c r="P1939" i="34"/>
  <c r="P1746" i="34"/>
  <c r="Q1746" i="34"/>
  <c r="R1812" i="34"/>
  <c r="P1812" i="34"/>
  <c r="Q1814" i="34"/>
  <c r="R1818" i="34"/>
  <c r="P1818" i="34"/>
  <c r="Q1822" i="34"/>
  <c r="P1883" i="34"/>
  <c r="Q1850" i="34"/>
  <c r="R1866" i="34"/>
  <c r="P1866" i="34"/>
  <c r="Q1872" i="34"/>
  <c r="P1931" i="34"/>
  <c r="Q1886" i="34"/>
  <c r="R1890" i="34"/>
  <c r="P1890" i="34"/>
  <c r="Q1910" i="34"/>
  <c r="P1927" i="34"/>
  <c r="Q1936" i="34"/>
  <c r="R1940" i="34"/>
  <c r="P1940" i="34"/>
  <c r="R1010" i="34"/>
  <c r="Q1743" i="34"/>
  <c r="R1768" i="34"/>
  <c r="Q1768" i="34"/>
  <c r="R1815" i="34"/>
  <c r="Q1819" i="34"/>
  <c r="R1851" i="34"/>
  <c r="Q1867" i="34"/>
  <c r="R1891" i="34"/>
  <c r="R1887" i="34"/>
  <c r="R1911" i="34"/>
  <c r="R1937" i="34"/>
  <c r="Q1941" i="34"/>
  <c r="R1740" i="34"/>
  <c r="Q1744" i="34"/>
  <c r="R1803" i="34"/>
  <c r="Q1486" i="34"/>
  <c r="R1873" i="34"/>
  <c r="Q1933" i="34"/>
  <c r="R1925" i="34"/>
  <c r="Q1929" i="34"/>
  <c r="Q1741" i="34"/>
  <c r="Q1813" i="34"/>
  <c r="R1817" i="34"/>
  <c r="Q1821" i="34"/>
  <c r="Q1849" i="34"/>
  <c r="R1865" i="34"/>
  <c r="Q1871" i="34"/>
  <c r="Q1885" i="34"/>
  <c r="R1889" i="34"/>
  <c r="Q1909" i="34"/>
  <c r="Q1935" i="34"/>
  <c r="R1939" i="34"/>
  <c r="Q1694" i="34"/>
  <c r="R1742" i="34"/>
  <c r="R1883" i="34"/>
  <c r="R1931" i="34"/>
  <c r="R1927" i="34"/>
  <c r="P1010" i="34"/>
  <c r="P1743" i="34"/>
  <c r="P1768" i="34"/>
  <c r="R1485" i="34"/>
  <c r="P1485" i="34"/>
  <c r="P1819" i="34"/>
  <c r="Q1828" i="34"/>
  <c r="R1884" i="34"/>
  <c r="P1884" i="34"/>
  <c r="P1867" i="34"/>
  <c r="R1932" i="34"/>
  <c r="P1932" i="34"/>
  <c r="R1902" i="34"/>
  <c r="P1902" i="34"/>
  <c r="R1928" i="34"/>
  <c r="P1928" i="34"/>
  <c r="P1941" i="34"/>
  <c r="P1740" i="34"/>
  <c r="P1486" i="34"/>
  <c r="Q1816" i="34"/>
  <c r="R1820" i="34"/>
  <c r="P1820" i="34"/>
  <c r="R1934" i="34"/>
  <c r="P1934" i="34"/>
  <c r="Q1858" i="34"/>
  <c r="R1868" i="34"/>
  <c r="P1868" i="34"/>
  <c r="Q1892" i="34"/>
  <c r="P1933" i="34"/>
  <c r="Q1888" i="34"/>
  <c r="R1908" i="34"/>
  <c r="P1908" i="34"/>
  <c r="P1929" i="34"/>
  <c r="Q1938" i="34"/>
  <c r="R1693" i="34"/>
  <c r="P1693" i="34"/>
  <c r="Q1794" i="34"/>
  <c r="P1794" i="34"/>
  <c r="R1824" i="34"/>
  <c r="R1855" i="34"/>
  <c r="P1857" i="34"/>
  <c r="Q1869" i="34"/>
  <c r="R1921" i="34"/>
  <c r="P1945" i="34"/>
  <c r="Q1905" i="34"/>
  <c r="R1907" i="34"/>
  <c r="P1839" i="34"/>
  <c r="Q1835" i="34"/>
  <c r="Q1792" i="34"/>
  <c r="P1792" i="34"/>
  <c r="P1795" i="34"/>
  <c r="R1831" i="34"/>
  <c r="P1949" i="34"/>
  <c r="Q1879" i="34"/>
  <c r="Q1842" i="34"/>
  <c r="P1842" i="34"/>
  <c r="P1853" i="34"/>
  <c r="Q1870" i="34"/>
  <c r="P1870" i="34"/>
  <c r="R1916" i="34"/>
  <c r="Q1881" i="34"/>
  <c r="Q1896" i="34"/>
  <c r="P1896" i="34"/>
  <c r="R1898" i="34"/>
  <c r="R1915" i="34"/>
  <c r="R1832" i="34"/>
  <c r="Q1796" i="34"/>
  <c r="P1796" i="34"/>
  <c r="P1807" i="34"/>
  <c r="Q1876" i="34"/>
  <c r="P1876" i="34"/>
  <c r="R1880" i="34"/>
  <c r="R1863" i="34"/>
  <c r="R1942" i="34"/>
  <c r="R1903" i="34"/>
  <c r="R1906" i="34"/>
  <c r="Q1837" i="34"/>
  <c r="Q1840" i="34"/>
  <c r="P1840" i="34"/>
  <c r="P1841" i="34"/>
  <c r="R1793" i="34"/>
  <c r="P1797" i="34"/>
  <c r="R1877" i="34"/>
  <c r="R1948" i="34"/>
  <c r="Q1860" i="34"/>
  <c r="P1860" i="34"/>
  <c r="R1864" i="34"/>
  <c r="Q1943" i="34"/>
  <c r="R1947" i="34"/>
  <c r="P1895" i="34"/>
  <c r="Q1899" i="34"/>
  <c r="Q1904" i="34"/>
  <c r="P1904" i="34"/>
  <c r="R1914" i="34"/>
  <c r="R1794" i="34"/>
  <c r="Q1959" i="34"/>
  <c r="Q1878" i="34"/>
  <c r="P1878" i="34"/>
  <c r="P1855" i="34"/>
  <c r="Q1861" i="34"/>
  <c r="R1869" i="34"/>
  <c r="P1921" i="34"/>
  <c r="R1905" i="34"/>
  <c r="P1907" i="34"/>
  <c r="Q1805" i="34"/>
  <c r="R1835" i="34"/>
  <c r="R1792" i="34"/>
  <c r="Q1826" i="34"/>
  <c r="P1826" i="34"/>
  <c r="P1831" i="34"/>
  <c r="Q1875" i="34"/>
  <c r="R1879" i="34"/>
  <c r="R1842" i="34"/>
  <c r="Q1859" i="34"/>
  <c r="Q1862" i="34"/>
  <c r="P1862" i="34"/>
  <c r="R1870" i="34"/>
  <c r="R1881" i="34"/>
  <c r="R1896" i="34"/>
  <c r="Q1901" i="34"/>
  <c r="Q1912" i="34"/>
  <c r="P1912" i="34"/>
  <c r="P1915" i="34"/>
  <c r="Q1833" i="34"/>
  <c r="Q1838" i="34"/>
  <c r="P1838" i="34"/>
  <c r="R1796" i="34"/>
  <c r="Q1827" i="34"/>
  <c r="Q1958" i="34"/>
  <c r="P1958" i="34"/>
  <c r="R1876" i="34"/>
  <c r="Q1843" i="34"/>
  <c r="Q1856" i="34"/>
  <c r="P1856" i="34"/>
  <c r="P1863" i="34"/>
  <c r="Q1882" i="34"/>
  <c r="P1882" i="34"/>
  <c r="P1903" i="34"/>
  <c r="Q1913" i="34"/>
  <c r="R1837" i="34"/>
  <c r="R1840" i="34"/>
  <c r="Q1836" i="34"/>
  <c r="P1836" i="34"/>
  <c r="P1793" i="34"/>
  <c r="Q1823" i="34"/>
  <c r="Q1830" i="34"/>
  <c r="P1830" i="34"/>
  <c r="P1877" i="34"/>
  <c r="Q1854" i="34"/>
  <c r="P1854" i="34"/>
  <c r="R1860" i="34"/>
  <c r="Q1917" i="34"/>
  <c r="R1943" i="34"/>
  <c r="P1947" i="34"/>
  <c r="Q1897" i="34"/>
  <c r="R1899" i="34"/>
  <c r="R1904" i="34"/>
  <c r="R1959" i="34"/>
  <c r="R1878" i="34"/>
  <c r="Q1857" i="34"/>
  <c r="R1861" i="34"/>
  <c r="P1869" i="34"/>
  <c r="Q1945" i="34"/>
  <c r="Q1900" i="34"/>
  <c r="P1900" i="34"/>
  <c r="P1905" i="34"/>
  <c r="Q1839" i="34"/>
  <c r="R1805" i="34"/>
  <c r="P1835" i="34"/>
  <c r="Q1795" i="34"/>
  <c r="Q1806" i="34"/>
  <c r="P1806" i="34"/>
  <c r="R1826" i="34"/>
  <c r="Q1949" i="34"/>
  <c r="R1875" i="34"/>
  <c r="P1879" i="34"/>
  <c r="Q1853" i="34"/>
  <c r="R1859" i="34"/>
  <c r="R1862" i="34"/>
  <c r="Q1922" i="34"/>
  <c r="P1922" i="34"/>
  <c r="P1881" i="34"/>
  <c r="R1901" i="34"/>
  <c r="R1912" i="34"/>
  <c r="R1833" i="34"/>
  <c r="R1838" i="34"/>
  <c r="Q1807" i="34"/>
  <c r="R1827" i="34"/>
  <c r="R1958" i="34"/>
  <c r="R1843" i="34"/>
  <c r="R1856" i="34"/>
  <c r="Q1946" i="34"/>
  <c r="P1946" i="34"/>
  <c r="R1882" i="34"/>
  <c r="R1913" i="34"/>
  <c r="P1837" i="34"/>
  <c r="Q1841" i="34"/>
  <c r="Q1834" i="34"/>
  <c r="P1834" i="34"/>
  <c r="R1836" i="34"/>
  <c r="Q1797" i="34"/>
  <c r="R1823" i="34"/>
  <c r="R1830" i="34"/>
  <c r="Q1852" i="34"/>
  <c r="P1852" i="34"/>
  <c r="R1854" i="34"/>
  <c r="R1917" i="34"/>
  <c r="P1943" i="34"/>
  <c r="Q1895" i="34"/>
  <c r="R1897" i="34"/>
  <c r="P1899" i="34"/>
  <c r="Q1824" i="34"/>
  <c r="P1824" i="34"/>
  <c r="P1959" i="34"/>
  <c r="Q1855" i="34"/>
  <c r="R1857" i="34"/>
  <c r="P1861" i="34"/>
  <c r="Q1921" i="34"/>
  <c r="R1945" i="34"/>
  <c r="R1900" i="34"/>
  <c r="Q1907" i="34"/>
  <c r="R1839" i="34"/>
  <c r="P1805" i="34"/>
  <c r="R1795" i="34"/>
  <c r="R1806" i="34"/>
  <c r="Q1831" i="34"/>
  <c r="R1949" i="34"/>
  <c r="P1875" i="34"/>
  <c r="R1853" i="34"/>
  <c r="P1859" i="34"/>
  <c r="Q1916" i="34"/>
  <c r="P1916" i="34"/>
  <c r="R1922" i="34"/>
  <c r="Q1898" i="34"/>
  <c r="P1898" i="34"/>
  <c r="P1901" i="34"/>
  <c r="Q1915" i="34"/>
  <c r="Q1832" i="34"/>
  <c r="P1832" i="34"/>
  <c r="P1833" i="34"/>
  <c r="R1807" i="34"/>
  <c r="P1827" i="34"/>
  <c r="Q1880" i="34"/>
  <c r="P1880" i="34"/>
  <c r="P1843" i="34"/>
  <c r="Q1863" i="34"/>
  <c r="Q1942" i="34"/>
  <c r="P1942" i="34"/>
  <c r="R1946" i="34"/>
  <c r="Q1903" i="34"/>
  <c r="Q1906" i="34"/>
  <c r="P1906" i="34"/>
  <c r="P1913" i="34"/>
  <c r="R1841" i="34"/>
  <c r="R1834" i="34"/>
  <c r="Q1793" i="34"/>
  <c r="R1797" i="34"/>
  <c r="P1823" i="34"/>
  <c r="Q1877" i="34"/>
  <c r="Q1948" i="34"/>
  <c r="P1948" i="34"/>
  <c r="R1852" i="34"/>
  <c r="Q1864" i="34"/>
  <c r="P1864" i="34"/>
  <c r="P1917" i="34"/>
  <c r="Q1947" i="34"/>
  <c r="R1895" i="34"/>
  <c r="P1897" i="34"/>
  <c r="Q1914" i="34"/>
  <c r="P1914" i="34"/>
  <c r="P1739" i="34"/>
  <c r="R1659" i="34"/>
  <c r="P1659" i="34"/>
  <c r="Q1713" i="34"/>
  <c r="R1645" i="34"/>
  <c r="P1645" i="34"/>
  <c r="Q1691" i="34"/>
  <c r="R1721" i="34"/>
  <c r="P1721" i="34"/>
  <c r="Q1657" i="34"/>
  <c r="P1692" i="34"/>
  <c r="Q1658" i="34"/>
  <c r="Q1712" i="34"/>
  <c r="R1692" i="34"/>
  <c r="Q1722" i="34"/>
  <c r="P1658" i="34"/>
  <c r="R1739" i="34"/>
  <c r="P1712" i="34"/>
  <c r="Q1659" i="34"/>
  <c r="R1713" i="34"/>
  <c r="P1713" i="34"/>
  <c r="Q1645" i="34"/>
  <c r="R1691" i="34"/>
  <c r="P1691" i="34"/>
  <c r="Q1721" i="34"/>
  <c r="R1657" i="34"/>
  <c r="P1657" i="34"/>
  <c r="P1722" i="34"/>
  <c r="R1658" i="34"/>
  <c r="Q1739" i="34"/>
  <c r="R1712" i="34"/>
  <c r="Q1692" i="34"/>
  <c r="R1722" i="34"/>
  <c r="R1604" i="34"/>
  <c r="R1523" i="34"/>
  <c r="Q1468" i="34"/>
  <c r="R1516" i="34"/>
  <c r="P1811" i="34"/>
  <c r="Q1529" i="34"/>
  <c r="P1529" i="34"/>
  <c r="R1533" i="34"/>
  <c r="Q1479" i="34"/>
  <c r="P1479" i="34"/>
  <c r="P1518" i="34"/>
  <c r="R1737" i="34"/>
  <c r="Q1737" i="34"/>
  <c r="Q1764" i="34"/>
  <c r="Q1620" i="34"/>
  <c r="Q1635" i="34"/>
  <c r="P1635" i="34"/>
  <c r="P1732" i="34"/>
  <c r="Q1732" i="34"/>
  <c r="R1511" i="34"/>
  <c r="P1511" i="34"/>
  <c r="P1512" i="34"/>
  <c r="P1638" i="34"/>
  <c r="Q1846" i="34"/>
  <c r="P1572" i="34"/>
  <c r="Q1591" i="34"/>
  <c r="R1629" i="34"/>
  <c r="P1629" i="34"/>
  <c r="Q1602" i="34"/>
  <c r="Q1469" i="34"/>
  <c r="P1469" i="34"/>
  <c r="R1924" i="34"/>
  <c r="Q1704" i="34"/>
  <c r="R1759" i="34"/>
  <c r="Q1759" i="34"/>
  <c r="P1530" i="34"/>
  <c r="Q1472" i="34"/>
  <c r="R1476" i="34"/>
  <c r="P1480" i="34"/>
  <c r="Q1801" i="34"/>
  <c r="R1738" i="34"/>
  <c r="R1799" i="34"/>
  <c r="R1621" i="34"/>
  <c r="P1733" i="34"/>
  <c r="Q1539" i="34"/>
  <c r="R1543" i="34"/>
  <c r="P1543" i="34"/>
  <c r="Q1487" i="34"/>
  <c r="R1513" i="34"/>
  <c r="P1513" i="34"/>
  <c r="P1847" i="34"/>
  <c r="Q1573" i="34"/>
  <c r="P1592" i="34"/>
  <c r="Q1637" i="34"/>
  <c r="P1552" i="34"/>
  <c r="Q1551" i="34"/>
  <c r="Q1466" i="34"/>
  <c r="R1510" i="34"/>
  <c r="Q1760" i="34"/>
  <c r="P1731" i="34"/>
  <c r="Q1527" i="34"/>
  <c r="P1527" i="34"/>
  <c r="R1531" i="34"/>
  <c r="Q1477" i="34"/>
  <c r="P1477" i="34"/>
  <c r="R1481" i="34"/>
  <c r="Q1549" i="34"/>
  <c r="R1762" i="34"/>
  <c r="Q1800" i="34"/>
  <c r="P1800" i="34"/>
  <c r="R1633" i="34"/>
  <c r="R1734" i="34"/>
  <c r="R1547" i="34"/>
  <c r="P1547" i="34"/>
  <c r="P1514" i="34"/>
  <c r="Q1844" i="34"/>
  <c r="P1570" i="34"/>
  <c r="Q1589" i="34"/>
  <c r="R1593" i="34"/>
  <c r="P1593" i="34"/>
  <c r="Q1603" i="34"/>
  <c r="P1603" i="34"/>
  <c r="R1517" i="34"/>
  <c r="Q1515" i="34"/>
  <c r="P1515" i="34"/>
  <c r="P1735" i="34"/>
  <c r="R1528" i="34"/>
  <c r="P1532" i="34"/>
  <c r="Q1474" i="34"/>
  <c r="R1478" i="34"/>
  <c r="P1482" i="34"/>
  <c r="Q1825" i="34"/>
  <c r="P1736" i="34"/>
  <c r="P1767" i="34"/>
  <c r="R1634" i="34"/>
  <c r="R1705" i="34"/>
  <c r="R1459" i="34"/>
  <c r="P1459" i="34"/>
  <c r="Q1541" i="34"/>
  <c r="Q1495" i="34"/>
  <c r="R1848" i="34"/>
  <c r="P1848" i="34"/>
  <c r="R1571" i="34"/>
  <c r="P1571" i="34"/>
  <c r="P1594" i="34"/>
  <c r="P1604" i="34"/>
  <c r="Q1610" i="34"/>
  <c r="R1468" i="34"/>
  <c r="P1516" i="34"/>
  <c r="R1751" i="34"/>
  <c r="Q1751" i="34"/>
  <c r="R1529" i="34"/>
  <c r="Q1475" i="34"/>
  <c r="P1475" i="34"/>
  <c r="R1479" i="34"/>
  <c r="Q1526" i="34"/>
  <c r="Q1944" i="34"/>
  <c r="P1944" i="34"/>
  <c r="R1764" i="34"/>
  <c r="R1620" i="34"/>
  <c r="R1635" i="34"/>
  <c r="Q1542" i="34"/>
  <c r="R1512" i="34"/>
  <c r="Q1496" i="34"/>
  <c r="R1638" i="34"/>
  <c r="R1572" i="34"/>
  <c r="Q1550" i="34"/>
  <c r="Q1524" i="34"/>
  <c r="R1602" i="34"/>
  <c r="R1469" i="34"/>
  <c r="R1704" i="34"/>
  <c r="Q1600" i="34"/>
  <c r="R1472" i="34"/>
  <c r="P1476" i="34"/>
  <c r="R1801" i="34"/>
  <c r="Q1548" i="34"/>
  <c r="R1765" i="34"/>
  <c r="Q1765" i="34"/>
  <c r="P1799" i="34"/>
  <c r="Q1636" i="34"/>
  <c r="Q1733" i="34"/>
  <c r="Q1829" i="34"/>
  <c r="R1847" i="34"/>
  <c r="R1592" i="34"/>
  <c r="R1552" i="34"/>
  <c r="Q1598" i="34"/>
  <c r="R1466" i="34"/>
  <c r="P1510" i="34"/>
  <c r="R1760" i="34"/>
  <c r="Q1628" i="34"/>
  <c r="Q1731" i="34"/>
  <c r="R1527" i="34"/>
  <c r="Q1473" i="34"/>
  <c r="P1473" i="34"/>
  <c r="R1477" i="34"/>
  <c r="Q1520" i="34"/>
  <c r="Q1802" i="34"/>
  <c r="P1802" i="34"/>
  <c r="P1766" i="34"/>
  <c r="R1800" i="34"/>
  <c r="Q1690" i="34"/>
  <c r="Q1540" i="34"/>
  <c r="Q1488" i="34"/>
  <c r="R1514" i="34"/>
  <c r="R1570" i="34"/>
  <c r="R1603" i="34"/>
  <c r="Q1467" i="34"/>
  <c r="P1467" i="34"/>
  <c r="R1515" i="34"/>
  <c r="P1761" i="34"/>
  <c r="Q1735" i="34"/>
  <c r="P1528" i="34"/>
  <c r="Q1470" i="34"/>
  <c r="R1474" i="34"/>
  <c r="P1478" i="34"/>
  <c r="R1825" i="34"/>
  <c r="Q1736" i="34"/>
  <c r="P1763" i="34"/>
  <c r="Q1619" i="34"/>
  <c r="P1619" i="34"/>
  <c r="P1634" i="34"/>
  <c r="Q1410" i="34"/>
  <c r="Q1845" i="34"/>
  <c r="Q1590" i="34"/>
  <c r="R1594" i="34"/>
  <c r="R1590" i="34"/>
  <c r="Q1594" i="34"/>
  <c r="R1610" i="34"/>
  <c r="P1468" i="34"/>
  <c r="Q1811" i="34"/>
  <c r="Q1689" i="34"/>
  <c r="P1689" i="34"/>
  <c r="Q1471" i="34"/>
  <c r="P1471" i="34"/>
  <c r="R1475" i="34"/>
  <c r="Q1518" i="34"/>
  <c r="R1526" i="34"/>
  <c r="R1944" i="34"/>
  <c r="P1737" i="34"/>
  <c r="Q1798" i="34"/>
  <c r="P1798" i="34"/>
  <c r="P1620" i="34"/>
  <c r="R1732" i="34"/>
  <c r="Q1511" i="34"/>
  <c r="P1542" i="34"/>
  <c r="P1496" i="34"/>
  <c r="R1846" i="34"/>
  <c r="P1846" i="34"/>
  <c r="R1591" i="34"/>
  <c r="P1591" i="34"/>
  <c r="Q1629" i="34"/>
  <c r="P1550" i="34"/>
  <c r="R1524" i="34"/>
  <c r="P1602" i="34"/>
  <c r="Q1920" i="34"/>
  <c r="P1920" i="34"/>
  <c r="P1704" i="34"/>
  <c r="P1759" i="34"/>
  <c r="Q1530" i="34"/>
  <c r="R1600" i="34"/>
  <c r="P1472" i="34"/>
  <c r="Q1480" i="34"/>
  <c r="Q1519" i="34"/>
  <c r="P1519" i="34"/>
  <c r="P1801" i="34"/>
  <c r="P1548" i="34"/>
  <c r="P1738" i="34"/>
  <c r="R1636" i="34"/>
  <c r="R1733" i="34"/>
  <c r="R1539" i="34"/>
  <c r="P1539" i="34"/>
  <c r="Q1543" i="34"/>
  <c r="R1487" i="34"/>
  <c r="P1487" i="34"/>
  <c r="Q1513" i="34"/>
  <c r="P1829" i="34"/>
  <c r="R1573" i="34"/>
  <c r="P1573" i="34"/>
  <c r="R1637" i="34"/>
  <c r="P1637" i="34"/>
  <c r="R1551" i="34"/>
  <c r="P1551" i="34"/>
  <c r="R1598" i="34"/>
  <c r="P1466" i="34"/>
  <c r="R1628" i="34"/>
  <c r="R1731" i="34"/>
  <c r="Q1601" i="34"/>
  <c r="P1601" i="34"/>
  <c r="R1473" i="34"/>
  <c r="R1520" i="34"/>
  <c r="R1802" i="34"/>
  <c r="R1549" i="34"/>
  <c r="P1549" i="34"/>
  <c r="P1762" i="34"/>
  <c r="Q1766" i="34"/>
  <c r="R1690" i="34"/>
  <c r="P1734" i="34"/>
  <c r="Q1734" i="34"/>
  <c r="P1540" i="34"/>
  <c r="Q1547" i="34"/>
  <c r="P1488" i="34"/>
  <c r="R1844" i="34"/>
  <c r="P1844" i="34"/>
  <c r="R1589" i="34"/>
  <c r="P1589" i="34"/>
  <c r="Q1593" i="34"/>
  <c r="Q1599" i="34"/>
  <c r="P1599" i="34"/>
  <c r="R1467" i="34"/>
  <c r="Q1675" i="34"/>
  <c r="P1675" i="34"/>
  <c r="R1735" i="34"/>
  <c r="Q1532" i="34"/>
  <c r="R1470" i="34"/>
  <c r="P1474" i="34"/>
  <c r="Q1482" i="34"/>
  <c r="Q1525" i="34"/>
  <c r="P1525" i="34"/>
  <c r="P1825" i="34"/>
  <c r="R1736" i="34"/>
  <c r="R1767" i="34"/>
  <c r="Q1767" i="34"/>
  <c r="R1619" i="34"/>
  <c r="Q1459" i="34"/>
  <c r="R1541" i="34"/>
  <c r="P1541" i="34"/>
  <c r="R1410" i="34"/>
  <c r="P1410" i="34"/>
  <c r="R1495" i="34"/>
  <c r="P1495" i="34"/>
  <c r="Q1848" i="34"/>
  <c r="P1845" i="34"/>
  <c r="Q1571" i="34"/>
  <c r="P1590" i="34"/>
  <c r="Q1604" i="34"/>
  <c r="Q1523" i="34"/>
  <c r="P1523" i="34"/>
  <c r="P1610" i="34"/>
  <c r="Q1516" i="34"/>
  <c r="R1811" i="34"/>
  <c r="R1689" i="34"/>
  <c r="P1751" i="34"/>
  <c r="Q1533" i="34"/>
  <c r="P1533" i="34"/>
  <c r="R1471" i="34"/>
  <c r="R1518" i="34"/>
  <c r="P1526" i="34"/>
  <c r="P1764" i="34"/>
  <c r="R1798" i="34"/>
  <c r="R1542" i="34"/>
  <c r="Q1512" i="34"/>
  <c r="R1496" i="34"/>
  <c r="Q1638" i="34"/>
  <c r="Q1572" i="34"/>
  <c r="R1550" i="34"/>
  <c r="P1524" i="34"/>
  <c r="Q1924" i="34"/>
  <c r="P1924" i="34"/>
  <c r="R1920" i="34"/>
  <c r="R1530" i="34"/>
  <c r="P1600" i="34"/>
  <c r="Q1476" i="34"/>
  <c r="R1480" i="34"/>
  <c r="R1519" i="34"/>
  <c r="R1548" i="34"/>
  <c r="Q1738" i="34"/>
  <c r="P1765" i="34"/>
  <c r="Q1799" i="34"/>
  <c r="Q1621" i="34"/>
  <c r="P1621" i="34"/>
  <c r="P1636" i="34"/>
  <c r="R1829" i="34"/>
  <c r="Q1847" i="34"/>
  <c r="Q1592" i="34"/>
  <c r="Q1552" i="34"/>
  <c r="P1598" i="34"/>
  <c r="Q1510" i="34"/>
  <c r="P1760" i="34"/>
  <c r="P1628" i="34"/>
  <c r="Q1531" i="34"/>
  <c r="P1531" i="34"/>
  <c r="R1601" i="34"/>
  <c r="Q1481" i="34"/>
  <c r="P1481" i="34"/>
  <c r="P1520" i="34"/>
  <c r="Q1762" i="34"/>
  <c r="R1766" i="34"/>
  <c r="Q1633" i="34"/>
  <c r="P1633" i="34"/>
  <c r="P1690" i="34"/>
  <c r="R1540" i="34"/>
  <c r="R1488" i="34"/>
  <c r="Q1514" i="34"/>
  <c r="Q1570" i="34"/>
  <c r="Q1517" i="34"/>
  <c r="P1517" i="34"/>
  <c r="R1599" i="34"/>
  <c r="R1761" i="34"/>
  <c r="Q1761" i="34"/>
  <c r="R1675" i="34"/>
  <c r="Q1528" i="34"/>
  <c r="R1532" i="34"/>
  <c r="P1470" i="34"/>
  <c r="Q1478" i="34"/>
  <c r="R1482" i="34"/>
  <c r="R1525" i="34"/>
  <c r="R1763" i="34"/>
  <c r="Q1763" i="34"/>
  <c r="Q1634" i="34"/>
  <c r="Q1705" i="34"/>
  <c r="P1705" i="34"/>
  <c r="R1845" i="34"/>
  <c r="R859" i="34"/>
  <c r="P332" i="34"/>
  <c r="R423" i="34"/>
  <c r="P463" i="34"/>
  <c r="R480" i="34"/>
  <c r="P1399" i="34"/>
  <c r="P327" i="34"/>
  <c r="P443" i="34"/>
  <c r="Q576" i="34"/>
  <c r="P576" i="34"/>
  <c r="P859" i="34"/>
  <c r="P423" i="34"/>
  <c r="Q503" i="34"/>
  <c r="Q510" i="34"/>
  <c r="P510" i="34"/>
  <c r="Q327" i="34"/>
  <c r="Q361" i="34"/>
  <c r="P361" i="34"/>
  <c r="P472" i="34"/>
  <c r="Q506" i="34"/>
  <c r="P506" i="34"/>
  <c r="R576" i="34"/>
  <c r="Q1301" i="34"/>
  <c r="Q332" i="34"/>
  <c r="Q345" i="34"/>
  <c r="P345" i="34"/>
  <c r="Q463" i="34"/>
  <c r="R503" i="34"/>
  <c r="R510" i="34"/>
  <c r="Q1399" i="34"/>
  <c r="Q337" i="34"/>
  <c r="P337" i="34"/>
  <c r="R361" i="34"/>
  <c r="Q443" i="34"/>
  <c r="Q488" i="34"/>
  <c r="P488" i="34"/>
  <c r="R506" i="34"/>
  <c r="R1301" i="34"/>
  <c r="Q859" i="34"/>
  <c r="R332" i="34"/>
  <c r="R345" i="34"/>
  <c r="Q423" i="34"/>
  <c r="R463" i="34"/>
  <c r="Q480" i="34"/>
  <c r="P480" i="34"/>
  <c r="P503" i="34"/>
  <c r="R1399" i="34"/>
  <c r="R327" i="34"/>
  <c r="R337" i="34"/>
  <c r="R443" i="34"/>
  <c r="R472" i="34"/>
  <c r="Q472" i="34"/>
  <c r="R488" i="34"/>
  <c r="P1301" i="34"/>
  <c r="Q268" i="34"/>
  <c r="P268" i="34"/>
  <c r="P608" i="34"/>
  <c r="R269" i="34"/>
  <c r="Q406" i="34"/>
  <c r="R1004" i="34"/>
  <c r="R1205" i="34"/>
  <c r="R1391" i="34"/>
  <c r="R1456" i="34"/>
  <c r="P1630" i="34"/>
  <c r="P407" i="34"/>
  <c r="R604" i="34"/>
  <c r="R779" i="34"/>
  <c r="R1206" i="34"/>
  <c r="Q1631" i="34"/>
  <c r="P1631" i="34"/>
  <c r="P1809" i="34"/>
  <c r="R20" i="34"/>
  <c r="Q408" i="34"/>
  <c r="R1006" i="34"/>
  <c r="R1207" i="34"/>
  <c r="R1393" i="34"/>
  <c r="R1458" i="34"/>
  <c r="P1632" i="34"/>
  <c r="R268" i="34"/>
  <c r="Q608" i="34"/>
  <c r="P269" i="34"/>
  <c r="Q603" i="34"/>
  <c r="R778" i="34"/>
  <c r="P1004" i="34"/>
  <c r="P1302" i="34"/>
  <c r="P1391" i="34"/>
  <c r="P1456" i="34"/>
  <c r="Q1960" i="34"/>
  <c r="P1960" i="34"/>
  <c r="Q270" i="34"/>
  <c r="P270" i="34"/>
  <c r="Q1005" i="34"/>
  <c r="P1005" i="34"/>
  <c r="P1206" i="34"/>
  <c r="Q1303" i="34"/>
  <c r="P1392" i="34"/>
  <c r="Q1457" i="34"/>
  <c r="P1457" i="34"/>
  <c r="R1631" i="34"/>
  <c r="Q1961" i="34"/>
  <c r="P20" i="34"/>
  <c r="R605" i="34"/>
  <c r="R780" i="34"/>
  <c r="P1006" i="34"/>
  <c r="P1304" i="34"/>
  <c r="P1393" i="34"/>
  <c r="P1458" i="34"/>
  <c r="Q1962" i="34"/>
  <c r="P1962" i="34"/>
  <c r="R608" i="34"/>
  <c r="P406" i="34"/>
  <c r="R603" i="34"/>
  <c r="Q778" i="34"/>
  <c r="R1302" i="34"/>
  <c r="Q1630" i="34"/>
  <c r="Q1808" i="34"/>
  <c r="P1808" i="34"/>
  <c r="R1960" i="34"/>
  <c r="Q1223" i="34"/>
  <c r="P1223" i="34"/>
  <c r="R270" i="34"/>
  <c r="Q407" i="34"/>
  <c r="P604" i="34"/>
  <c r="P779" i="34"/>
  <c r="R1005" i="34"/>
  <c r="R1303" i="34"/>
  <c r="R1392" i="34"/>
  <c r="R1457" i="34"/>
  <c r="Q1809" i="34"/>
  <c r="R1961" i="34"/>
  <c r="Q1465" i="34"/>
  <c r="P1465" i="34"/>
  <c r="P408" i="34"/>
  <c r="Q780" i="34"/>
  <c r="R1304" i="34"/>
  <c r="Q1632" i="34"/>
  <c r="Q1810" i="34"/>
  <c r="P1810" i="34"/>
  <c r="R1962" i="34"/>
  <c r="Q269" i="34"/>
  <c r="R406" i="34"/>
  <c r="P603" i="34"/>
  <c r="P778" i="34"/>
  <c r="Q1004" i="34"/>
  <c r="Q1205" i="34"/>
  <c r="P1205" i="34"/>
  <c r="Q1302" i="34"/>
  <c r="Q1391" i="34"/>
  <c r="Q1456" i="34"/>
  <c r="R1630" i="34"/>
  <c r="R1808" i="34"/>
  <c r="R1223" i="34"/>
  <c r="R407" i="34"/>
  <c r="Q604" i="34"/>
  <c r="Q779" i="34"/>
  <c r="Q1206" i="34"/>
  <c r="P1303" i="34"/>
  <c r="Q1392" i="34"/>
  <c r="R1809" i="34"/>
  <c r="P1961" i="34"/>
  <c r="Q20" i="34"/>
  <c r="R1465" i="34"/>
  <c r="R408" i="34"/>
  <c r="P605" i="34"/>
  <c r="Q605" i="34"/>
  <c r="P780" i="34"/>
  <c r="Q1006" i="34"/>
  <c r="Q1207" i="34"/>
  <c r="P1207" i="34"/>
  <c r="Q1304" i="34"/>
  <c r="Q1393" i="34"/>
  <c r="Q1458" i="34"/>
  <c r="R1632" i="34"/>
  <c r="R1810" i="34"/>
  <c r="P1276" i="34"/>
  <c r="Q1278" i="34"/>
  <c r="P1273" i="34"/>
  <c r="P1272" i="34"/>
  <c r="Q1274" i="34"/>
  <c r="R1280" i="34"/>
  <c r="R1277" i="34"/>
  <c r="Q1281" i="34"/>
  <c r="Q1276" i="34"/>
  <c r="R1278" i="34"/>
  <c r="R1279" i="34"/>
  <c r="Q1272" i="34"/>
  <c r="R1274" i="34"/>
  <c r="R1275" i="34"/>
  <c r="Q1277" i="34"/>
  <c r="P1281" i="34"/>
  <c r="R1276" i="34"/>
  <c r="R1273" i="34"/>
  <c r="Q1279" i="34"/>
  <c r="R1272" i="34"/>
  <c r="P1280" i="34"/>
  <c r="Q1275" i="34"/>
  <c r="P1277" i="34"/>
  <c r="P1278" i="34"/>
  <c r="Q1273" i="34"/>
  <c r="P1279" i="34"/>
  <c r="P1274" i="34"/>
  <c r="Q1280" i="34"/>
  <c r="P1275" i="34"/>
  <c r="R1281" i="34"/>
  <c r="R245" i="34"/>
  <c r="Q738" i="34"/>
  <c r="P245" i="34"/>
  <c r="P738" i="34"/>
  <c r="Q245" i="34"/>
  <c r="R738" i="34"/>
  <c r="P1345" i="34"/>
  <c r="R1368" i="34"/>
  <c r="P1368" i="34"/>
  <c r="R1348" i="34"/>
  <c r="P1348" i="34"/>
  <c r="R1372" i="34"/>
  <c r="P1372" i="34"/>
  <c r="P1409" i="34"/>
  <c r="P1349" i="34"/>
  <c r="P1373" i="34"/>
  <c r="P1411" i="34"/>
  <c r="P1327" i="34"/>
  <c r="R1350" i="34"/>
  <c r="P1350" i="34"/>
  <c r="R1430" i="34"/>
  <c r="R1345" i="34"/>
  <c r="Q1428" i="34"/>
  <c r="Q1394" i="34"/>
  <c r="Q1346" i="34"/>
  <c r="Q1369" i="34"/>
  <c r="R1409" i="34"/>
  <c r="Q1431" i="34"/>
  <c r="R1349" i="34"/>
  <c r="Q1347" i="34"/>
  <c r="R1373" i="34"/>
  <c r="Q1370" i="34"/>
  <c r="R1411" i="34"/>
  <c r="Q1429" i="34"/>
  <c r="R1327" i="34"/>
  <c r="Q1412" i="34"/>
  <c r="Q1371" i="34"/>
  <c r="R1428" i="34"/>
  <c r="P1428" i="34"/>
  <c r="R1394" i="34"/>
  <c r="P1394" i="34"/>
  <c r="R1346" i="34"/>
  <c r="P1346" i="34"/>
  <c r="P1369" i="34"/>
  <c r="P1431" i="34"/>
  <c r="P1347" i="34"/>
  <c r="R1370" i="34"/>
  <c r="P1370" i="34"/>
  <c r="P1429" i="34"/>
  <c r="R1412" i="34"/>
  <c r="P1412" i="34"/>
  <c r="P1371" i="34"/>
  <c r="Q1345" i="34"/>
  <c r="Q1368" i="34"/>
  <c r="Q1348" i="34"/>
  <c r="Q1372" i="34"/>
  <c r="R1369" i="34"/>
  <c r="Q1409" i="34"/>
  <c r="R1431" i="34"/>
  <c r="Q1349" i="34"/>
  <c r="R1347" i="34"/>
  <c r="Q1373" i="34"/>
  <c r="Q1411" i="34"/>
  <c r="R1429" i="34"/>
  <c r="Q1327" i="34"/>
  <c r="Q1350" i="34"/>
  <c r="R1371" i="34"/>
  <c r="Q1430" i="34"/>
  <c r="P1430" i="34"/>
  <c r="Q1461" i="34"/>
  <c r="P1461" i="34"/>
  <c r="P1460" i="34"/>
  <c r="R1461" i="34"/>
  <c r="Q1460" i="34"/>
  <c r="R1460" i="34"/>
  <c r="P1451" i="34"/>
  <c r="Q1344" i="34"/>
  <c r="Q1367" i="34"/>
  <c r="R1423" i="34"/>
  <c r="R1400" i="34"/>
  <c r="Q1433" i="34"/>
  <c r="R1437" i="34"/>
  <c r="R1442" i="34"/>
  <c r="P1226" i="34"/>
  <c r="R1246" i="34"/>
  <c r="Q1233" i="34"/>
  <c r="Q1247" i="34"/>
  <c r="R1258" i="34"/>
  <c r="P1284" i="34"/>
  <c r="Q1298" i="34"/>
  <c r="Q1313" i="34"/>
  <c r="P1308" i="34"/>
  <c r="R1312" i="34"/>
  <c r="R1329" i="34"/>
  <c r="P1359" i="34"/>
  <c r="P1452" i="34"/>
  <c r="R1401" i="34"/>
  <c r="R1426" i="34"/>
  <c r="P1434" i="34"/>
  <c r="P1439" i="34"/>
  <c r="R1228" i="34"/>
  <c r="P1234" i="34"/>
  <c r="Q1234" i="34"/>
  <c r="R1248" i="34"/>
  <c r="R1283" i="34"/>
  <c r="Q1295" i="34"/>
  <c r="Q1305" i="34"/>
  <c r="R1319" i="34"/>
  <c r="P1309" i="34"/>
  <c r="Q1314" i="34"/>
  <c r="R1323" i="34"/>
  <c r="R1330" i="34"/>
  <c r="Q1360" i="34"/>
  <c r="P1374" i="34"/>
  <c r="P1365" i="34"/>
  <c r="Q1402" i="34"/>
  <c r="R1405" i="34"/>
  <c r="R1422" i="34"/>
  <c r="Q1224" i="34"/>
  <c r="Q1231" i="34"/>
  <c r="Q1257" i="34"/>
  <c r="P1235" i="34"/>
  <c r="R1249" i="34"/>
  <c r="Q1260" i="34"/>
  <c r="P1293" i="34"/>
  <c r="R1306" i="34"/>
  <c r="R1315" i="34"/>
  <c r="R1320" i="34"/>
  <c r="Q1324" i="34"/>
  <c r="Q1331" i="34"/>
  <c r="P1358" i="34"/>
  <c r="R1450" i="34"/>
  <c r="P1450" i="34"/>
  <c r="R1421" i="34"/>
  <c r="R1438" i="34"/>
  <c r="Q1406" i="34"/>
  <c r="Q1427" i="34"/>
  <c r="P1436" i="34"/>
  <c r="P1441" i="34"/>
  <c r="R1225" i="34"/>
  <c r="P1239" i="34"/>
  <c r="Q1236" i="34"/>
  <c r="R1250" i="34"/>
  <c r="P1294" i="34"/>
  <c r="Q1297" i="34"/>
  <c r="Q1307" i="34"/>
  <c r="P1326" i="34"/>
  <c r="P1311" i="34"/>
  <c r="Q1316" i="34"/>
  <c r="Q1321" i="34"/>
  <c r="P1328" i="34"/>
  <c r="R1332" i="34"/>
  <c r="R1367" i="34"/>
  <c r="P1423" i="34"/>
  <c r="Q1400" i="34"/>
  <c r="Q1407" i="34"/>
  <c r="R1433" i="34"/>
  <c r="P1437" i="34"/>
  <c r="Q1442" i="34"/>
  <c r="Q1227" i="34"/>
  <c r="P1227" i="34"/>
  <c r="R1233" i="34"/>
  <c r="P1247" i="34"/>
  <c r="P1262" i="34"/>
  <c r="Q1284" i="34"/>
  <c r="R1298" i="34"/>
  <c r="R1313" i="34"/>
  <c r="R1308" i="34"/>
  <c r="Q1312" i="34"/>
  <c r="Q1317" i="34"/>
  <c r="P1322" i="34"/>
  <c r="P1329" i="34"/>
  <c r="Q1452" i="34"/>
  <c r="P1364" i="34"/>
  <c r="P1401" i="34"/>
  <c r="Q1426" i="34"/>
  <c r="Q1403" i="34"/>
  <c r="P1408" i="34"/>
  <c r="R1434" i="34"/>
  <c r="Q1443" i="34"/>
  <c r="R1230" i="34"/>
  <c r="P1256" i="34"/>
  <c r="P1228" i="34"/>
  <c r="R1259" i="34"/>
  <c r="Q1283" i="34"/>
  <c r="P1295" i="34"/>
  <c r="R1305" i="34"/>
  <c r="P1319" i="34"/>
  <c r="P1318" i="34"/>
  <c r="P1323" i="34"/>
  <c r="Q1330" i="34"/>
  <c r="P1446" i="34"/>
  <c r="R1374" i="34"/>
  <c r="P1432" i="34"/>
  <c r="P1405" i="34"/>
  <c r="Q1422" i="34"/>
  <c r="Q1435" i="34"/>
  <c r="P1440" i="34"/>
  <c r="R1224" i="34"/>
  <c r="R1231" i="34"/>
  <c r="P1257" i="34"/>
  <c r="P1229" i="34"/>
  <c r="Q1235" i="34"/>
  <c r="Q1249" i="34"/>
  <c r="R1260" i="34"/>
  <c r="P1296" i="34"/>
  <c r="Q1306" i="34"/>
  <c r="Q1325" i="34"/>
  <c r="P1310" i="34"/>
  <c r="P1315" i="34"/>
  <c r="Q1320" i="34"/>
  <c r="R1331" i="34"/>
  <c r="R1358" i="34"/>
  <c r="Q1381" i="34"/>
  <c r="P1366" i="34"/>
  <c r="P1421" i="34"/>
  <c r="Q1438" i="34"/>
  <c r="R1427" i="34"/>
  <c r="R1436" i="34"/>
  <c r="P1282" i="34"/>
  <c r="P1232" i="34"/>
  <c r="Q1232" i="34"/>
  <c r="R1236" i="34"/>
  <c r="R1261" i="34"/>
  <c r="Q1294" i="34"/>
  <c r="P1297" i="34"/>
  <c r="R1307" i="34"/>
  <c r="R1326" i="34"/>
  <c r="R1321" i="34"/>
  <c r="R1328" i="34"/>
  <c r="Q1332" i="34"/>
  <c r="Q1328" i="34"/>
  <c r="Q1451" i="34"/>
  <c r="P1344" i="34"/>
  <c r="P1367" i="34"/>
  <c r="R1407" i="34"/>
  <c r="P1433" i="34"/>
  <c r="Q1226" i="34"/>
  <c r="P1246" i="34"/>
  <c r="R1227" i="34"/>
  <c r="P1258" i="34"/>
  <c r="Q1262" i="34"/>
  <c r="R1284" i="34"/>
  <c r="P1313" i="34"/>
  <c r="Q1308" i="34"/>
  <c r="R1317" i="34"/>
  <c r="R1322" i="34"/>
  <c r="Q1359" i="34"/>
  <c r="R1364" i="34"/>
  <c r="R1403" i="34"/>
  <c r="R1408" i="34"/>
  <c r="Q1434" i="34"/>
  <c r="Q1439" i="34"/>
  <c r="R1443" i="34"/>
  <c r="Q1256" i="34"/>
  <c r="R1234" i="34"/>
  <c r="P1248" i="34"/>
  <c r="Q1259" i="34"/>
  <c r="P1283" i="34"/>
  <c r="P1305" i="34"/>
  <c r="Q1309" i="34"/>
  <c r="P1314" i="34"/>
  <c r="R1318" i="34"/>
  <c r="P1360" i="34"/>
  <c r="R1446" i="34"/>
  <c r="Q1374" i="34"/>
  <c r="Q1365" i="34"/>
  <c r="P1402" i="34"/>
  <c r="R1432" i="34"/>
  <c r="R1435" i="34"/>
  <c r="R1440" i="34"/>
  <c r="P1224" i="34"/>
  <c r="Q1229" i="34"/>
  <c r="R1235" i="34"/>
  <c r="P1249" i="34"/>
  <c r="R1293" i="34"/>
  <c r="Q1296" i="34"/>
  <c r="R1325" i="34"/>
  <c r="R1310" i="34"/>
  <c r="P1324" i="34"/>
  <c r="P1331" i="34"/>
  <c r="Q1358" i="34"/>
  <c r="R1381" i="34"/>
  <c r="R1366" i="34"/>
  <c r="P1406" i="34"/>
  <c r="P1427" i="34"/>
  <c r="Q1436" i="34"/>
  <c r="Q1441" i="34"/>
  <c r="R1239" i="34"/>
  <c r="Q1282" i="34"/>
  <c r="P1250" i="34"/>
  <c r="Q1261" i="34"/>
  <c r="R1294" i="34"/>
  <c r="P1307" i="34"/>
  <c r="Q1326" i="34"/>
  <c r="Q1311" i="34"/>
  <c r="P1316" i="34"/>
  <c r="P1321" i="34"/>
  <c r="P1404" i="34"/>
  <c r="R1451" i="34"/>
  <c r="R1344" i="34"/>
  <c r="Q1423" i="34"/>
  <c r="P1400" i="34"/>
  <c r="P1407" i="34"/>
  <c r="Q1437" i="34"/>
  <c r="P1442" i="34"/>
  <c r="R1226" i="34"/>
  <c r="Q1246" i="34"/>
  <c r="P1233" i="34"/>
  <c r="R1247" i="34"/>
  <c r="Q1258" i="34"/>
  <c r="R1262" i="34"/>
  <c r="P1298" i="34"/>
  <c r="P1312" i="34"/>
  <c r="P1317" i="34"/>
  <c r="Q1322" i="34"/>
  <c r="Q1329" i="34"/>
  <c r="R1359" i="34"/>
  <c r="R1452" i="34"/>
  <c r="Q1364" i="34"/>
  <c r="Q1401" i="34"/>
  <c r="P1426" i="34"/>
  <c r="P1403" i="34"/>
  <c r="Q1408" i="34"/>
  <c r="R1439" i="34"/>
  <c r="P1443" i="34"/>
  <c r="P1230" i="34"/>
  <c r="Q1230" i="34"/>
  <c r="R1256" i="34"/>
  <c r="Q1228" i="34"/>
  <c r="Q1248" i="34"/>
  <c r="P1259" i="34"/>
  <c r="R1295" i="34"/>
  <c r="Q1319" i="34"/>
  <c r="R1309" i="34"/>
  <c r="R1314" i="34"/>
  <c r="Q1318" i="34"/>
  <c r="Q1323" i="34"/>
  <c r="P1330" i="34"/>
  <c r="R1360" i="34"/>
  <c r="Q1446" i="34"/>
  <c r="R1365" i="34"/>
  <c r="R1402" i="34"/>
  <c r="Q1432" i="34"/>
  <c r="Q1405" i="34"/>
  <c r="P1422" i="34"/>
  <c r="P1435" i="34"/>
  <c r="Q1440" i="34"/>
  <c r="P1231" i="34"/>
  <c r="R1257" i="34"/>
  <c r="R1229" i="34"/>
  <c r="P1260" i="34"/>
  <c r="Q1293" i="34"/>
  <c r="R1296" i="34"/>
  <c r="P1306" i="34"/>
  <c r="P1325" i="34"/>
  <c r="Q1310" i="34"/>
  <c r="Q1315" i="34"/>
  <c r="P1320" i="34"/>
  <c r="R1324" i="34"/>
  <c r="Q1450" i="34"/>
  <c r="P1381" i="34"/>
  <c r="Q1366" i="34"/>
  <c r="Q1421" i="34"/>
  <c r="P1438" i="34"/>
  <c r="R1406" i="34"/>
  <c r="R1441" i="34"/>
  <c r="Q1225" i="34"/>
  <c r="P1225" i="34"/>
  <c r="Q1239" i="34"/>
  <c r="R1282" i="34"/>
  <c r="R1232" i="34"/>
  <c r="P1236" i="34"/>
  <c r="Q1250" i="34"/>
  <c r="P1261" i="34"/>
  <c r="R1297" i="34"/>
  <c r="R1311" i="34"/>
  <c r="R1316" i="34"/>
  <c r="P1332" i="34"/>
  <c r="R1404" i="34"/>
  <c r="Q1404" i="34"/>
  <c r="P1337" i="34"/>
  <c r="P1376" i="34"/>
  <c r="P1339" i="34"/>
  <c r="R1351" i="34"/>
  <c r="P1335" i="34"/>
  <c r="Q1375" i="34"/>
  <c r="P1338" i="34"/>
  <c r="R1376" i="34"/>
  <c r="Q1377" i="34"/>
  <c r="P1336" i="34"/>
  <c r="P1351" i="34"/>
  <c r="Q1337" i="34"/>
  <c r="R1375" i="34"/>
  <c r="R1338" i="34"/>
  <c r="Q1376" i="34"/>
  <c r="Q1339" i="34"/>
  <c r="R1377" i="34"/>
  <c r="R1336" i="34"/>
  <c r="Q1335" i="34"/>
  <c r="R1337" i="34"/>
  <c r="P1375" i="34"/>
  <c r="Q1338" i="34"/>
  <c r="R1339" i="34"/>
  <c r="P1377" i="34"/>
  <c r="Q1336" i="34"/>
  <c r="Q1351" i="34"/>
  <c r="R1335" i="34"/>
  <c r="P1288" i="34"/>
  <c r="Q1289" i="34"/>
  <c r="Q1333" i="34"/>
  <c r="R1130" i="34"/>
  <c r="Q1287" i="34"/>
  <c r="R1290" i="34"/>
  <c r="Q1070" i="34"/>
  <c r="R1110" i="34"/>
  <c r="R1131" i="34"/>
  <c r="P1291" i="34"/>
  <c r="Q1111" i="34"/>
  <c r="P1111" i="34"/>
  <c r="P1132" i="34"/>
  <c r="R1292" i="34"/>
  <c r="Q1108" i="34"/>
  <c r="R1112" i="34"/>
  <c r="R1145" i="34"/>
  <c r="Q1288" i="34"/>
  <c r="P1289" i="34"/>
  <c r="R1333" i="34"/>
  <c r="Q1109" i="34"/>
  <c r="P1109" i="34"/>
  <c r="P1130" i="34"/>
  <c r="P1287" i="34"/>
  <c r="R1070" i="34"/>
  <c r="P1110" i="34"/>
  <c r="Q1071" i="34"/>
  <c r="P1071" i="34"/>
  <c r="R1111" i="34"/>
  <c r="R1108" i="34"/>
  <c r="P1112" i="34"/>
  <c r="R1288" i="34"/>
  <c r="P1333" i="34"/>
  <c r="R1109" i="34"/>
  <c r="P1290" i="34"/>
  <c r="P1070" i="34"/>
  <c r="R1291" i="34"/>
  <c r="R1071" i="34"/>
  <c r="Q1132" i="34"/>
  <c r="P1292" i="34"/>
  <c r="P1108" i="34"/>
  <c r="R1289" i="34"/>
  <c r="Q1130" i="34"/>
  <c r="R1287" i="34"/>
  <c r="Q1290" i="34"/>
  <c r="Q1110" i="34"/>
  <c r="Q1131" i="34"/>
  <c r="P1131" i="34"/>
  <c r="Q1291" i="34"/>
  <c r="R1132" i="34"/>
  <c r="Q1292" i="34"/>
  <c r="Q1112" i="34"/>
  <c r="Q1145" i="34"/>
  <c r="P1145" i="34"/>
  <c r="R1222" i="34"/>
  <c r="R1221" i="34"/>
  <c r="P1222" i="34"/>
  <c r="Q1222" i="34"/>
  <c r="Q1221" i="34"/>
  <c r="P1221" i="34"/>
  <c r="R1390" i="34"/>
  <c r="Q1390" i="34"/>
  <c r="Q1389" i="34"/>
  <c r="R1389" i="34"/>
  <c r="P1390" i="34"/>
  <c r="P1389" i="34"/>
  <c r="R714" i="34"/>
  <c r="Q946" i="34"/>
  <c r="R1341" i="34"/>
  <c r="P711" i="34"/>
  <c r="Q730" i="34"/>
  <c r="R947" i="34"/>
  <c r="R1342" i="34"/>
  <c r="Q712" i="34"/>
  <c r="R1334" i="34"/>
  <c r="Q713" i="34"/>
  <c r="R960" i="34"/>
  <c r="Q1340" i="34"/>
  <c r="Q714" i="34"/>
  <c r="P946" i="34"/>
  <c r="Q982" i="34"/>
  <c r="P1341" i="34"/>
  <c r="Q983" i="34"/>
  <c r="P983" i="34"/>
  <c r="Q1342" i="34"/>
  <c r="Q905" i="34"/>
  <c r="P959" i="34"/>
  <c r="Q1334" i="34"/>
  <c r="Q1343" i="34"/>
  <c r="R713" i="34"/>
  <c r="P945" i="34"/>
  <c r="Q960" i="34"/>
  <c r="R982" i="34"/>
  <c r="Q711" i="34"/>
  <c r="P730" i="34"/>
  <c r="P947" i="34"/>
  <c r="R983" i="34"/>
  <c r="P712" i="34"/>
  <c r="R905" i="34"/>
  <c r="Q959" i="34"/>
  <c r="R1343" i="34"/>
  <c r="P713" i="34"/>
  <c r="Q945" i="34"/>
  <c r="P960" i="34"/>
  <c r="P1340" i="34"/>
  <c r="P714" i="34"/>
  <c r="R946" i="34"/>
  <c r="P982" i="34"/>
  <c r="Q1341" i="34"/>
  <c r="R711" i="34"/>
  <c r="R730" i="34"/>
  <c r="Q947" i="34"/>
  <c r="P1342" i="34"/>
  <c r="R712" i="34"/>
  <c r="P905" i="34"/>
  <c r="R959" i="34"/>
  <c r="P1334" i="34"/>
  <c r="P1343" i="34"/>
  <c r="R945" i="34"/>
  <c r="R1340" i="34"/>
  <c r="P380" i="34"/>
  <c r="W380" i="34"/>
  <c r="R380" i="34"/>
  <c r="Z380" i="34"/>
  <c r="Q380" i="34"/>
  <c r="A380" i="34"/>
  <c r="R434" i="34"/>
  <c r="Z434" i="34"/>
  <c r="P434" i="34"/>
  <c r="W434" i="34"/>
  <c r="Q434" i="34"/>
  <c r="A434" i="34"/>
  <c r="P409" i="34"/>
  <c r="W409" i="34"/>
  <c r="Q409" i="34"/>
  <c r="R409" i="34"/>
  <c r="Z409" i="34"/>
  <c r="A409" i="34"/>
  <c r="Z364" i="34"/>
  <c r="P364" i="34"/>
  <c r="W364" i="34"/>
  <c r="Q364" i="34"/>
  <c r="R364" i="34"/>
  <c r="A364" i="34"/>
  <c r="Z228" i="34"/>
  <c r="P228" i="34"/>
  <c r="W228" i="34"/>
  <c r="Q228" i="34"/>
  <c r="R228" i="34"/>
  <c r="A228" i="34"/>
  <c r="Z285" i="34"/>
  <c r="P285" i="34"/>
  <c r="W285" i="34"/>
  <c r="Q285" i="34"/>
  <c r="R285" i="34"/>
  <c r="A285" i="34"/>
  <c r="R220" i="34"/>
  <c r="P220" i="34"/>
  <c r="Q220" i="34"/>
  <c r="Z220" i="34"/>
  <c r="W220" i="34"/>
  <c r="A220" i="34"/>
  <c r="Q195" i="34"/>
  <c r="R195" i="34"/>
  <c r="Z195" i="34"/>
  <c r="P195" i="34"/>
  <c r="W195" i="34"/>
  <c r="A195" i="34"/>
  <c r="Q884" i="34"/>
  <c r="R884" i="34"/>
  <c r="Z884" i="34"/>
  <c r="P884" i="34"/>
  <c r="W884" i="34"/>
  <c r="A884" i="34"/>
  <c r="P795" i="34"/>
  <c r="W795" i="34"/>
  <c r="R795" i="34"/>
  <c r="Q795" i="34"/>
  <c r="Z795" i="34"/>
  <c r="A795" i="34"/>
  <c r="R800" i="34"/>
  <c r="P800" i="34"/>
  <c r="W800" i="34"/>
  <c r="Z800" i="34"/>
  <c r="Q800" i="34"/>
  <c r="A800" i="34"/>
  <c r="R165" i="34"/>
  <c r="Z165" i="34"/>
  <c r="P165" i="34"/>
  <c r="W165" i="34"/>
  <c r="Q165" i="34"/>
  <c r="A165" i="34"/>
  <c r="P451" i="34"/>
  <c r="W451" i="34"/>
  <c r="Q451" i="34"/>
  <c r="R451" i="34"/>
  <c r="Z451" i="34"/>
  <c r="A451" i="34"/>
  <c r="R381" i="34"/>
  <c r="P381" i="34"/>
  <c r="W381" i="34"/>
  <c r="Z381" i="34"/>
  <c r="Q381" i="34"/>
  <c r="A381" i="34"/>
  <c r="P449" i="34"/>
  <c r="W449" i="34"/>
  <c r="Q449" i="34"/>
  <c r="R449" i="34"/>
  <c r="Z449" i="34"/>
  <c r="A449" i="34"/>
  <c r="R444" i="34"/>
  <c r="Z444" i="34"/>
  <c r="P444" i="34"/>
  <c r="W444" i="34"/>
  <c r="Q444" i="34"/>
  <c r="A444" i="34"/>
  <c r="P435" i="34"/>
  <c r="W435" i="34"/>
  <c r="Q435" i="34"/>
  <c r="R435" i="34"/>
  <c r="Z435" i="34"/>
  <c r="A435" i="34"/>
  <c r="P431" i="34"/>
  <c r="W431" i="34"/>
  <c r="Q431" i="34"/>
  <c r="R431" i="34"/>
  <c r="Z431" i="34"/>
  <c r="A431" i="34"/>
  <c r="P396" i="34"/>
  <c r="R396" i="34"/>
  <c r="Q396" i="34"/>
  <c r="Z396" i="34"/>
  <c r="W396" i="34"/>
  <c r="A396" i="34"/>
  <c r="R410" i="34"/>
  <c r="Z410" i="34"/>
  <c r="P410" i="34"/>
  <c r="W410" i="34"/>
  <c r="Q410" i="34"/>
  <c r="A410" i="34"/>
  <c r="R398" i="34"/>
  <c r="Z398" i="34"/>
  <c r="P398" i="34"/>
  <c r="W398" i="34"/>
  <c r="Q398" i="34"/>
  <c r="A398" i="34"/>
  <c r="P392" i="34"/>
  <c r="W392" i="34"/>
  <c r="R392" i="34"/>
  <c r="Z392" i="34"/>
  <c r="Q392" i="34"/>
  <c r="A392" i="34"/>
  <c r="P386" i="34"/>
  <c r="W386" i="34"/>
  <c r="R386" i="34"/>
  <c r="Z386" i="34"/>
  <c r="Q386" i="34"/>
  <c r="A386" i="34"/>
  <c r="Z356" i="34"/>
  <c r="P356" i="34"/>
  <c r="W356" i="34"/>
  <c r="Q356" i="34"/>
  <c r="R356" i="34"/>
  <c r="A356" i="34"/>
  <c r="Z352" i="34"/>
  <c r="P352" i="34"/>
  <c r="W352" i="34"/>
  <c r="Q352" i="34"/>
  <c r="R352" i="34"/>
  <c r="A352" i="34"/>
  <c r="Q252" i="34"/>
  <c r="R252" i="34"/>
  <c r="Z252" i="34"/>
  <c r="P252" i="34"/>
  <c r="W252" i="34"/>
  <c r="A252" i="34"/>
  <c r="Q225" i="34"/>
  <c r="R225" i="34"/>
  <c r="Z225" i="34"/>
  <c r="P225" i="34"/>
  <c r="W225" i="34"/>
  <c r="A225" i="34"/>
  <c r="P376" i="34"/>
  <c r="W376" i="34"/>
  <c r="R376" i="34"/>
  <c r="Z376" i="34"/>
  <c r="Q376" i="34"/>
  <c r="A376" i="34"/>
  <c r="Q290" i="34"/>
  <c r="R290" i="34"/>
  <c r="Z290" i="34"/>
  <c r="P290" i="34"/>
  <c r="W290" i="34"/>
  <c r="A290" i="34"/>
  <c r="Q282" i="34"/>
  <c r="R282" i="34"/>
  <c r="Z282" i="34"/>
  <c r="P282" i="34"/>
  <c r="W282" i="34"/>
  <c r="A282" i="34"/>
  <c r="Z257" i="34"/>
  <c r="P257" i="34"/>
  <c r="W257" i="34"/>
  <c r="Q257" i="34"/>
  <c r="R257" i="34"/>
  <c r="A257" i="34"/>
  <c r="P221" i="34"/>
  <c r="W221" i="34"/>
  <c r="Q221" i="34"/>
  <c r="R221" i="34"/>
  <c r="Z221" i="34"/>
  <c r="A221" i="34"/>
  <c r="P208" i="34"/>
  <c r="R208" i="34"/>
  <c r="Q208" i="34"/>
  <c r="Z208" i="34"/>
  <c r="W208" i="34"/>
  <c r="A208" i="34"/>
  <c r="Q201" i="34"/>
  <c r="R201" i="34"/>
  <c r="P201" i="34"/>
  <c r="W201" i="34"/>
  <c r="Z201" i="34"/>
  <c r="A201" i="34"/>
  <c r="Z196" i="34"/>
  <c r="P196" i="34"/>
  <c r="W196" i="34"/>
  <c r="Q196" i="34"/>
  <c r="R196" i="34"/>
  <c r="A196" i="34"/>
  <c r="P184" i="34"/>
  <c r="W184" i="34"/>
  <c r="R184" i="34"/>
  <c r="Z184" i="34"/>
  <c r="Q184" i="34"/>
  <c r="A184" i="34"/>
  <c r="R173" i="34"/>
  <c r="P173" i="34"/>
  <c r="W173" i="34"/>
  <c r="Z173" i="34"/>
  <c r="Q173" i="34"/>
  <c r="A173" i="34"/>
  <c r="Z871" i="34"/>
  <c r="P871" i="34"/>
  <c r="W871" i="34"/>
  <c r="Q871" i="34"/>
  <c r="R871" i="34"/>
  <c r="A871" i="34"/>
  <c r="Z879" i="34"/>
  <c r="P879" i="34"/>
  <c r="W879" i="34"/>
  <c r="Q879" i="34"/>
  <c r="R879" i="34"/>
  <c r="A879" i="34"/>
  <c r="P797" i="34"/>
  <c r="W797" i="34"/>
  <c r="R797" i="34"/>
  <c r="Q797" i="34"/>
  <c r="Z797" i="34"/>
  <c r="A797" i="34"/>
  <c r="R716" i="34"/>
  <c r="Z716" i="34"/>
  <c r="P716" i="34"/>
  <c r="W716" i="34"/>
  <c r="Q716" i="34"/>
  <c r="A716" i="34"/>
  <c r="P799" i="34"/>
  <c r="W799" i="34"/>
  <c r="R799" i="34"/>
  <c r="Q799" i="34"/>
  <c r="Z799" i="34"/>
  <c r="A799" i="34"/>
  <c r="Q262" i="34"/>
  <c r="R262" i="34"/>
  <c r="Z262" i="34"/>
  <c r="P262" i="34"/>
  <c r="W262" i="34"/>
  <c r="A262" i="34"/>
  <c r="R222" i="34"/>
  <c r="P222" i="34"/>
  <c r="Q222" i="34"/>
  <c r="Z222" i="34"/>
  <c r="W222" i="34"/>
  <c r="A222" i="34"/>
  <c r="P164" i="34"/>
  <c r="W164" i="34"/>
  <c r="Q164" i="34"/>
  <c r="R164" i="34"/>
  <c r="Z164" i="34"/>
  <c r="A164" i="34"/>
  <c r="P168" i="34"/>
  <c r="W168" i="34"/>
  <c r="Q168" i="34"/>
  <c r="R168" i="34"/>
  <c r="Z168" i="34"/>
  <c r="A168" i="34"/>
  <c r="P447" i="34"/>
  <c r="W447" i="34"/>
  <c r="Q447" i="34"/>
  <c r="R447" i="34"/>
  <c r="Z447" i="34"/>
  <c r="A447" i="34"/>
  <c r="P415" i="34"/>
  <c r="W415" i="34"/>
  <c r="Q415" i="34"/>
  <c r="R415" i="34"/>
  <c r="Z415" i="34"/>
  <c r="A415" i="34"/>
  <c r="P397" i="34"/>
  <c r="W397" i="34"/>
  <c r="Q397" i="34"/>
  <c r="R397" i="34"/>
  <c r="Z397" i="34"/>
  <c r="A397" i="34"/>
  <c r="Q355" i="34"/>
  <c r="R355" i="34"/>
  <c r="Z355" i="34"/>
  <c r="P355" i="34"/>
  <c r="W355" i="34"/>
  <c r="A355" i="34"/>
  <c r="Z224" i="34"/>
  <c r="P224" i="34"/>
  <c r="W224" i="34"/>
  <c r="Q224" i="34"/>
  <c r="R224" i="34"/>
  <c r="A224" i="34"/>
  <c r="Q260" i="34"/>
  <c r="R260" i="34"/>
  <c r="Z260" i="34"/>
  <c r="P260" i="34"/>
  <c r="W260" i="34"/>
  <c r="A260" i="34"/>
  <c r="R207" i="34"/>
  <c r="P207" i="34"/>
  <c r="W207" i="34"/>
  <c r="Z207" i="34"/>
  <c r="Q207" i="34"/>
  <c r="A207" i="34"/>
  <c r="P180" i="34"/>
  <c r="W180" i="34"/>
  <c r="R180" i="34"/>
  <c r="Z180" i="34"/>
  <c r="Q180" i="34"/>
  <c r="A180" i="34"/>
  <c r="Q878" i="34"/>
  <c r="R878" i="34"/>
  <c r="Z878" i="34"/>
  <c r="P878" i="34"/>
  <c r="W878" i="34"/>
  <c r="A878" i="34"/>
  <c r="R135" i="34"/>
  <c r="Z135" i="34"/>
  <c r="P135" i="34"/>
  <c r="W135" i="34"/>
  <c r="Q135" i="34"/>
  <c r="A135" i="34"/>
  <c r="P150" i="34"/>
  <c r="W150" i="34"/>
  <c r="Q150" i="34"/>
  <c r="R150" i="34"/>
  <c r="Z150" i="34"/>
  <c r="A150" i="34"/>
  <c r="R456" i="34"/>
  <c r="Z456" i="34"/>
  <c r="P456" i="34"/>
  <c r="W456" i="34"/>
  <c r="Q456" i="34"/>
  <c r="A456" i="34"/>
  <c r="R383" i="34"/>
  <c r="P383" i="34"/>
  <c r="W383" i="34"/>
  <c r="Z383" i="34"/>
  <c r="Q383" i="34"/>
  <c r="A383" i="34"/>
  <c r="R379" i="34"/>
  <c r="P379" i="34"/>
  <c r="W379" i="34"/>
  <c r="Z379" i="34"/>
  <c r="Q379" i="34"/>
  <c r="A379" i="34"/>
  <c r="R446" i="34"/>
  <c r="Z446" i="34"/>
  <c r="P446" i="34"/>
  <c r="W446" i="34"/>
  <c r="Q446" i="34"/>
  <c r="A446" i="34"/>
  <c r="P437" i="34"/>
  <c r="W437" i="34"/>
  <c r="Q437" i="34"/>
  <c r="R437" i="34"/>
  <c r="Z437" i="34"/>
  <c r="A437" i="34"/>
  <c r="P433" i="34"/>
  <c r="W433" i="34"/>
  <c r="Q433" i="34"/>
  <c r="R433" i="34"/>
  <c r="Z433" i="34"/>
  <c r="A433" i="34"/>
  <c r="R414" i="34"/>
  <c r="Z414" i="34"/>
  <c r="P414" i="34"/>
  <c r="W414" i="34"/>
  <c r="Q414" i="34"/>
  <c r="A414" i="34"/>
  <c r="R412" i="34"/>
  <c r="Z412" i="34"/>
  <c r="P412" i="34"/>
  <c r="W412" i="34"/>
  <c r="Q412" i="34"/>
  <c r="A412" i="34"/>
  <c r="P405" i="34"/>
  <c r="W405" i="34"/>
  <c r="Q405" i="34"/>
  <c r="R405" i="34"/>
  <c r="Z405" i="34"/>
  <c r="A405" i="34"/>
  <c r="P394" i="34"/>
  <c r="W394" i="34"/>
  <c r="R394" i="34"/>
  <c r="Z394" i="34"/>
  <c r="Q394" i="34"/>
  <c r="A394" i="34"/>
  <c r="P388" i="34"/>
  <c r="W388" i="34"/>
  <c r="R388" i="34"/>
  <c r="Z388" i="34"/>
  <c r="Q388" i="34"/>
  <c r="A388" i="34"/>
  <c r="Q363" i="34"/>
  <c r="R363" i="34"/>
  <c r="Z363" i="34"/>
  <c r="P363" i="34"/>
  <c r="W363" i="34"/>
  <c r="A363" i="34"/>
  <c r="Z354" i="34"/>
  <c r="P354" i="34"/>
  <c r="W354" i="34"/>
  <c r="Q354" i="34"/>
  <c r="R354" i="34"/>
  <c r="A354" i="34"/>
  <c r="Q254" i="34"/>
  <c r="R254" i="34"/>
  <c r="Z254" i="34"/>
  <c r="P254" i="34"/>
  <c r="W254" i="34"/>
  <c r="A254" i="34"/>
  <c r="Q227" i="34"/>
  <c r="R227" i="34"/>
  <c r="Z227" i="34"/>
  <c r="P227" i="34"/>
  <c r="W227" i="34"/>
  <c r="A227" i="34"/>
  <c r="P378" i="34"/>
  <c r="W378" i="34"/>
  <c r="R378" i="34"/>
  <c r="Z378" i="34"/>
  <c r="Q378" i="34"/>
  <c r="A378" i="34"/>
  <c r="Q292" i="34"/>
  <c r="R292" i="34"/>
  <c r="Z292" i="34"/>
  <c r="P292" i="34"/>
  <c r="W292" i="34"/>
  <c r="A292" i="34"/>
  <c r="Q284" i="34"/>
  <c r="R284" i="34"/>
  <c r="Z284" i="34"/>
  <c r="P284" i="34"/>
  <c r="W284" i="34"/>
  <c r="A284" i="34"/>
  <c r="Z259" i="34"/>
  <c r="P259" i="34"/>
  <c r="W259" i="34"/>
  <c r="Q259" i="34"/>
  <c r="R259" i="34"/>
  <c r="A259" i="34"/>
  <c r="R239" i="34"/>
  <c r="P239" i="34"/>
  <c r="W239" i="34"/>
  <c r="Z239" i="34"/>
  <c r="Q239" i="34"/>
  <c r="A239" i="34"/>
  <c r="P219" i="34"/>
  <c r="W219" i="34"/>
  <c r="Q219" i="34"/>
  <c r="R219" i="34"/>
  <c r="Z219" i="34"/>
  <c r="A219" i="34"/>
  <c r="P206" i="34"/>
  <c r="W206" i="34"/>
  <c r="R206" i="34"/>
  <c r="Z206" i="34"/>
  <c r="Q206" i="34"/>
  <c r="A206" i="34"/>
  <c r="Q199" i="34"/>
  <c r="R199" i="34"/>
  <c r="P199" i="34"/>
  <c r="W199" i="34"/>
  <c r="Z199" i="34"/>
  <c r="A199" i="34"/>
  <c r="P186" i="34"/>
  <c r="W186" i="34"/>
  <c r="R186" i="34"/>
  <c r="Z186" i="34"/>
  <c r="Q186" i="34"/>
  <c r="A186" i="34"/>
  <c r="R175" i="34"/>
  <c r="P175" i="34"/>
  <c r="W175" i="34"/>
  <c r="Z175" i="34"/>
  <c r="Q175" i="34"/>
  <c r="A175" i="34"/>
  <c r="R151" i="34"/>
  <c r="Z151" i="34"/>
  <c r="P151" i="34"/>
  <c r="W151" i="34"/>
  <c r="Q151" i="34"/>
  <c r="A151" i="34"/>
  <c r="Z883" i="34"/>
  <c r="P883" i="34"/>
  <c r="W883" i="34"/>
  <c r="Q883" i="34"/>
  <c r="R883" i="34"/>
  <c r="A883" i="34"/>
  <c r="Z877" i="34"/>
  <c r="P877" i="34"/>
  <c r="W877" i="34"/>
  <c r="Q877" i="34"/>
  <c r="R877" i="34"/>
  <c r="A877" i="34"/>
  <c r="R794" i="34"/>
  <c r="P794" i="34"/>
  <c r="W794" i="34"/>
  <c r="Z794" i="34"/>
  <c r="Q794" i="34"/>
  <c r="A794" i="34"/>
  <c r="R766" i="34"/>
  <c r="P766" i="34"/>
  <c r="W766" i="34"/>
  <c r="Z766" i="34"/>
  <c r="Q766" i="34"/>
  <c r="A766" i="34"/>
  <c r="Z837" i="34"/>
  <c r="P837" i="34"/>
  <c r="W837" i="34"/>
  <c r="Q837" i="34"/>
  <c r="R837" i="34"/>
  <c r="A837" i="34"/>
  <c r="R203" i="34"/>
  <c r="P203" i="34"/>
  <c r="W203" i="34"/>
  <c r="Z203" i="34"/>
  <c r="Q203" i="34"/>
  <c r="A203" i="34"/>
  <c r="Q870" i="34"/>
  <c r="R870" i="34"/>
  <c r="Z870" i="34"/>
  <c r="P870" i="34"/>
  <c r="W870" i="34"/>
  <c r="A870" i="34"/>
  <c r="P166" i="34"/>
  <c r="W166" i="34"/>
  <c r="Q166" i="34"/>
  <c r="R166" i="34"/>
  <c r="Z166" i="34"/>
  <c r="A166" i="34"/>
  <c r="P170" i="34"/>
  <c r="W170" i="34"/>
  <c r="R170" i="34"/>
  <c r="Z170" i="34"/>
  <c r="Q170" i="34"/>
  <c r="A170" i="34"/>
  <c r="P384" i="34"/>
  <c r="W384" i="34"/>
  <c r="R384" i="34"/>
  <c r="Z384" i="34"/>
  <c r="Q384" i="34"/>
  <c r="A384" i="34"/>
  <c r="R438" i="34"/>
  <c r="Z438" i="34"/>
  <c r="P438" i="34"/>
  <c r="W438" i="34"/>
  <c r="Q438" i="34"/>
  <c r="A438" i="34"/>
  <c r="R395" i="34"/>
  <c r="P395" i="34"/>
  <c r="W395" i="34"/>
  <c r="Z395" i="34"/>
  <c r="Q395" i="34"/>
  <c r="A395" i="34"/>
  <c r="R391" i="34"/>
  <c r="P391" i="34"/>
  <c r="W391" i="34"/>
  <c r="Z391" i="34"/>
  <c r="Q391" i="34"/>
  <c r="A391" i="34"/>
  <c r="Z255" i="34"/>
  <c r="P255" i="34"/>
  <c r="W255" i="34"/>
  <c r="Q255" i="34"/>
  <c r="R255" i="34"/>
  <c r="A255" i="34"/>
  <c r="P374" i="34"/>
  <c r="W374" i="34"/>
  <c r="R374" i="34"/>
  <c r="Z374" i="34"/>
  <c r="Q374" i="34"/>
  <c r="A374" i="34"/>
  <c r="Q256" i="34"/>
  <c r="R256" i="34"/>
  <c r="Z256" i="34"/>
  <c r="P256" i="34"/>
  <c r="W256" i="34"/>
  <c r="A256" i="34"/>
  <c r="Z200" i="34"/>
  <c r="P200" i="34"/>
  <c r="W200" i="34"/>
  <c r="R200" i="34"/>
  <c r="Q200" i="34"/>
  <c r="A200" i="34"/>
  <c r="P172" i="34"/>
  <c r="W172" i="34"/>
  <c r="R172" i="34"/>
  <c r="Z172" i="34"/>
  <c r="Q172" i="34"/>
  <c r="A172" i="34"/>
  <c r="P661" i="34"/>
  <c r="W661" i="34"/>
  <c r="Q661" i="34"/>
  <c r="R661" i="34"/>
  <c r="Z661" i="34"/>
  <c r="A661" i="34"/>
  <c r="P223" i="34"/>
  <c r="Q223" i="34"/>
  <c r="R223" i="34"/>
  <c r="Z223" i="34"/>
  <c r="W223" i="34"/>
  <c r="A223" i="34"/>
  <c r="P455" i="34"/>
  <c r="W455" i="34"/>
  <c r="Q455" i="34"/>
  <c r="R455" i="34"/>
  <c r="Z455" i="34"/>
  <c r="A455" i="34"/>
  <c r="P382" i="34"/>
  <c r="W382" i="34"/>
  <c r="R382" i="34"/>
  <c r="Z382" i="34"/>
  <c r="Q382" i="34"/>
  <c r="A382" i="34"/>
  <c r="R450" i="34"/>
  <c r="Z450" i="34"/>
  <c r="P450" i="34"/>
  <c r="W450" i="34"/>
  <c r="Q450" i="34"/>
  <c r="A450" i="34"/>
  <c r="P445" i="34"/>
  <c r="W445" i="34"/>
  <c r="Q445" i="34"/>
  <c r="R445" i="34"/>
  <c r="Z445" i="34"/>
  <c r="A445" i="34"/>
  <c r="R436" i="34"/>
  <c r="Z436" i="34"/>
  <c r="P436" i="34"/>
  <c r="W436" i="34"/>
  <c r="Q436" i="34"/>
  <c r="A436" i="34"/>
  <c r="R432" i="34"/>
  <c r="Z432" i="34"/>
  <c r="P432" i="34"/>
  <c r="W432" i="34"/>
  <c r="Q432" i="34"/>
  <c r="A432" i="34"/>
  <c r="P413" i="34"/>
  <c r="W413" i="34"/>
  <c r="Q413" i="34"/>
  <c r="R413" i="34"/>
  <c r="Z413" i="34"/>
  <c r="A413" i="34"/>
  <c r="P411" i="34"/>
  <c r="W411" i="34"/>
  <c r="Q411" i="34"/>
  <c r="R411" i="34"/>
  <c r="Z411" i="34"/>
  <c r="A411" i="34"/>
  <c r="P399" i="34"/>
  <c r="W399" i="34"/>
  <c r="Q399" i="34"/>
  <c r="R399" i="34"/>
  <c r="Z399" i="34"/>
  <c r="A399" i="34"/>
  <c r="R393" i="34"/>
  <c r="P393" i="34"/>
  <c r="W393" i="34"/>
  <c r="Z393" i="34"/>
  <c r="Q393" i="34"/>
  <c r="A393" i="34"/>
  <c r="R387" i="34"/>
  <c r="P387" i="34"/>
  <c r="W387" i="34"/>
  <c r="Z387" i="34"/>
  <c r="Q387" i="34"/>
  <c r="A387" i="34"/>
  <c r="Z362" i="34"/>
  <c r="P362" i="34"/>
  <c r="W362" i="34"/>
  <c r="Q362" i="34"/>
  <c r="R362" i="34"/>
  <c r="A362" i="34"/>
  <c r="Q353" i="34"/>
  <c r="R353" i="34"/>
  <c r="Z353" i="34"/>
  <c r="P353" i="34"/>
  <c r="W353" i="34"/>
  <c r="A353" i="34"/>
  <c r="Z253" i="34"/>
  <c r="P253" i="34"/>
  <c r="W253" i="34"/>
  <c r="Q253" i="34"/>
  <c r="R253" i="34"/>
  <c r="A253" i="34"/>
  <c r="Z226" i="34"/>
  <c r="P226" i="34"/>
  <c r="W226" i="34"/>
  <c r="Q226" i="34"/>
  <c r="R226" i="34"/>
  <c r="A226" i="34"/>
  <c r="R377" i="34"/>
  <c r="P377" i="34"/>
  <c r="W377" i="34"/>
  <c r="Z377" i="34"/>
  <c r="Q377" i="34"/>
  <c r="A377" i="34"/>
  <c r="Z291" i="34"/>
  <c r="P291" i="34"/>
  <c r="W291" i="34"/>
  <c r="Q291" i="34"/>
  <c r="R291" i="34"/>
  <c r="A291" i="34"/>
  <c r="Z283" i="34"/>
  <c r="P283" i="34"/>
  <c r="W283" i="34"/>
  <c r="Q283" i="34"/>
  <c r="R283" i="34"/>
  <c r="A283" i="34"/>
  <c r="R241" i="34"/>
  <c r="P241" i="34"/>
  <c r="Q241" i="34"/>
  <c r="Z241" i="34"/>
  <c r="W241" i="34"/>
  <c r="A241" i="34"/>
  <c r="P238" i="34"/>
  <c r="W238" i="34"/>
  <c r="R238" i="34"/>
  <c r="Z238" i="34"/>
  <c r="Q238" i="34"/>
  <c r="A238" i="34"/>
  <c r="P209" i="34"/>
  <c r="W209" i="34"/>
  <c r="Q209" i="34"/>
  <c r="R209" i="34"/>
  <c r="Z209" i="34"/>
  <c r="A209" i="34"/>
  <c r="P202" i="34"/>
  <c r="W202" i="34"/>
  <c r="R202" i="34"/>
  <c r="Z202" i="34"/>
  <c r="Q202" i="34"/>
  <c r="A202" i="34"/>
  <c r="Z198" i="34"/>
  <c r="P198" i="34"/>
  <c r="W198" i="34"/>
  <c r="R198" i="34"/>
  <c r="Q198" i="34"/>
  <c r="A198" i="34"/>
  <c r="R185" i="34"/>
  <c r="Q185" i="34"/>
  <c r="Z185" i="34"/>
  <c r="W185" i="34"/>
  <c r="P185" i="34"/>
  <c r="A185" i="34"/>
  <c r="P174" i="34"/>
  <c r="W174" i="34"/>
  <c r="R174" i="34"/>
  <c r="Z174" i="34"/>
  <c r="Q174" i="34"/>
  <c r="A174" i="34"/>
  <c r="Q872" i="34"/>
  <c r="R872" i="34"/>
  <c r="Z872" i="34"/>
  <c r="P872" i="34"/>
  <c r="W872" i="34"/>
  <c r="A872" i="34"/>
  <c r="Q880" i="34"/>
  <c r="R880" i="34"/>
  <c r="Z880" i="34"/>
  <c r="P880" i="34"/>
  <c r="W880" i="34"/>
  <c r="A880" i="34"/>
  <c r="R798" i="34"/>
  <c r="P798" i="34"/>
  <c r="W798" i="34"/>
  <c r="Z798" i="34"/>
  <c r="Q798" i="34"/>
  <c r="A798" i="34"/>
  <c r="P793" i="34"/>
  <c r="W793" i="34"/>
  <c r="R793" i="34"/>
  <c r="Q793" i="34"/>
  <c r="Z793" i="34"/>
  <c r="A793" i="34"/>
  <c r="R796" i="34"/>
  <c r="P796" i="34"/>
  <c r="W796" i="34"/>
  <c r="Z796" i="34"/>
  <c r="Q796" i="34"/>
  <c r="A796" i="34"/>
  <c r="Z261" i="34"/>
  <c r="P261" i="34"/>
  <c r="W261" i="34"/>
  <c r="Q261" i="34"/>
  <c r="R261" i="34"/>
  <c r="A261" i="34"/>
  <c r="P204" i="34"/>
  <c r="W204" i="34"/>
  <c r="R204" i="34"/>
  <c r="Z204" i="34"/>
  <c r="Q204" i="34"/>
  <c r="A204" i="34"/>
  <c r="R163" i="34"/>
  <c r="Z163" i="34"/>
  <c r="P163" i="34"/>
  <c r="W163" i="34"/>
  <c r="Q163" i="34"/>
  <c r="A163" i="34"/>
  <c r="R167" i="34"/>
  <c r="Z167" i="34"/>
  <c r="P167" i="34"/>
  <c r="W167" i="34"/>
  <c r="Q167" i="34"/>
  <c r="A167" i="34"/>
  <c r="R171" i="34"/>
  <c r="P171" i="34"/>
  <c r="W171" i="34"/>
  <c r="Z171" i="34"/>
  <c r="Q171" i="34"/>
  <c r="A171" i="34"/>
  <c r="R15" i="34"/>
  <c r="P15" i="34"/>
  <c r="Q15" i="34"/>
  <c r="R2928" i="34"/>
  <c r="R2930" i="34"/>
  <c r="P2930" i="34"/>
  <c r="Q2930" i="34"/>
  <c r="P2928" i="34"/>
  <c r="Q2928" i="34"/>
  <c r="Q3271" i="34"/>
  <c r="R3271" i="34"/>
  <c r="P3271" i="34"/>
  <c r="Q3239" i="34"/>
  <c r="R3239" i="34"/>
  <c r="P3239" i="34"/>
  <c r="P3237" i="34"/>
  <c r="Q3237" i="34"/>
  <c r="R3238" i="34"/>
  <c r="P3238" i="34"/>
  <c r="R3237" i="34"/>
  <c r="Q3238" i="34"/>
  <c r="P2895" i="34"/>
  <c r="R2891" i="34"/>
  <c r="R3000" i="34"/>
  <c r="Q2947" i="34"/>
  <c r="P2887" i="34"/>
  <c r="R2883" i="34"/>
  <c r="P2879" i="34"/>
  <c r="R2875" i="34"/>
  <c r="P2871" i="34"/>
  <c r="R2867" i="34"/>
  <c r="P2863" i="34"/>
  <c r="P3340" i="34"/>
  <c r="R3344" i="34"/>
  <c r="P3348" i="34"/>
  <c r="R3150" i="34"/>
  <c r="P3150" i="34"/>
  <c r="R3158" i="34"/>
  <c r="P3158" i="34"/>
  <c r="R3166" i="34"/>
  <c r="P3166" i="34"/>
  <c r="R3174" i="34"/>
  <c r="P3174" i="34"/>
  <c r="Q3231" i="34"/>
  <c r="Q3123" i="34"/>
  <c r="Q3131" i="34"/>
  <c r="Q3139" i="34"/>
  <c r="R3218" i="34"/>
  <c r="P3218" i="34"/>
  <c r="R3314" i="34"/>
  <c r="P3314" i="34"/>
  <c r="Q3277" i="34"/>
  <c r="Q3285" i="34"/>
  <c r="Q3293" i="34"/>
  <c r="Q3301" i="34"/>
  <c r="Q3309" i="34"/>
  <c r="R3010" i="34"/>
  <c r="P3010" i="34"/>
  <c r="R3056" i="34"/>
  <c r="Q3393" i="34"/>
  <c r="P3393" i="34"/>
  <c r="Q3021" i="34"/>
  <c r="P3068" i="34"/>
  <c r="R3072" i="34"/>
  <c r="P3076" i="34"/>
  <c r="R3080" i="34"/>
  <c r="P3084" i="34"/>
  <c r="R3088" i="34"/>
  <c r="P3092" i="34"/>
  <c r="R3096" i="34"/>
  <c r="P3180" i="34"/>
  <c r="R3194" i="34"/>
  <c r="P3194" i="34"/>
  <c r="R3202" i="34"/>
  <c r="P3202" i="34"/>
  <c r="Q3117" i="34"/>
  <c r="R3268" i="34"/>
  <c r="P3264" i="34"/>
  <c r="R3260" i="34"/>
  <c r="P3256" i="34"/>
  <c r="R3252" i="34"/>
  <c r="P3248" i="34"/>
  <c r="R3244" i="34"/>
  <c r="P3240" i="34"/>
  <c r="R3208" i="34"/>
  <c r="P3204" i="34"/>
  <c r="R3108" i="34"/>
  <c r="P3104" i="34"/>
  <c r="R3100" i="34"/>
  <c r="Q3059" i="34"/>
  <c r="R3046" i="34"/>
  <c r="P3046" i="34"/>
  <c r="R3040" i="34"/>
  <c r="P3036" i="34"/>
  <c r="Q3027" i="34"/>
  <c r="R3332" i="34"/>
  <c r="P3328" i="34"/>
  <c r="Q3319" i="34"/>
  <c r="Q2898" i="34"/>
  <c r="P2898" i="34"/>
  <c r="Q2890" i="34"/>
  <c r="Q2999" i="34"/>
  <c r="Q2882" i="34"/>
  <c r="Q2874" i="34"/>
  <c r="Q2866" i="34"/>
  <c r="Q3341" i="34"/>
  <c r="Q3349" i="34"/>
  <c r="Q3147" i="34"/>
  <c r="Q3155" i="34"/>
  <c r="Q3163" i="34"/>
  <c r="Q3171" i="34"/>
  <c r="Q3179" i="34"/>
  <c r="R3224" i="34"/>
  <c r="P3228" i="34"/>
  <c r="R3232" i="34"/>
  <c r="R3350" i="34"/>
  <c r="P3350" i="34"/>
  <c r="R3124" i="34"/>
  <c r="P3128" i="34"/>
  <c r="R3132" i="34"/>
  <c r="P3136" i="34"/>
  <c r="R3140" i="34"/>
  <c r="P3144" i="34"/>
  <c r="Q3215" i="34"/>
  <c r="Q3223" i="34"/>
  <c r="R3278" i="34"/>
  <c r="P3278" i="34"/>
  <c r="R3286" i="34"/>
  <c r="P3286" i="34"/>
  <c r="R3294" i="34"/>
  <c r="P3294" i="34"/>
  <c r="R3302" i="34"/>
  <c r="P3302" i="34"/>
  <c r="R3310" i="34"/>
  <c r="P3310" i="34"/>
  <c r="R3012" i="34"/>
  <c r="R3018" i="34"/>
  <c r="P3018" i="34"/>
  <c r="P3236" i="34"/>
  <c r="Q3057" i="34"/>
  <c r="Q3069" i="34"/>
  <c r="Q3077" i="34"/>
  <c r="Q3085" i="34"/>
  <c r="Q3093" i="34"/>
  <c r="Q3181" i="34"/>
  <c r="Q3191" i="34"/>
  <c r="Q2895" i="34"/>
  <c r="R2947" i="34"/>
  <c r="P2947" i="34"/>
  <c r="Q2887" i="34"/>
  <c r="Q2879" i="34"/>
  <c r="Q2871" i="34"/>
  <c r="Q2863" i="34"/>
  <c r="Q3340" i="34"/>
  <c r="Q3348" i="34"/>
  <c r="Q3150" i="34"/>
  <c r="Q3158" i="34"/>
  <c r="Q3166" i="34"/>
  <c r="Q3174" i="34"/>
  <c r="P3189" i="34"/>
  <c r="R3231" i="34"/>
  <c r="P3231" i="34"/>
  <c r="R3123" i="34"/>
  <c r="P3123" i="34"/>
  <c r="R3131" i="34"/>
  <c r="P3131" i="34"/>
  <c r="R3139" i="34"/>
  <c r="P3139" i="34"/>
  <c r="P3185" i="34"/>
  <c r="Q3218" i="34"/>
  <c r="Q3314" i="34"/>
  <c r="P3273" i="34"/>
  <c r="R3277" i="34"/>
  <c r="P3281" i="34"/>
  <c r="R3285" i="34"/>
  <c r="P3289" i="34"/>
  <c r="R3293" i="34"/>
  <c r="P3297" i="34"/>
  <c r="R3301" i="34"/>
  <c r="P3305" i="34"/>
  <c r="R3309" i="34"/>
  <c r="Q3010" i="34"/>
  <c r="P3025" i="34"/>
  <c r="R3393" i="34"/>
  <c r="R3021" i="34"/>
  <c r="Q3068" i="34"/>
  <c r="Q3076" i="34"/>
  <c r="Q3084" i="34"/>
  <c r="Q3092" i="34"/>
  <c r="Q3180" i="34"/>
  <c r="Q3194" i="34"/>
  <c r="Q3202" i="34"/>
  <c r="R3117" i="34"/>
  <c r="P3113" i="34"/>
  <c r="Q3264" i="34"/>
  <c r="Q3256" i="34"/>
  <c r="Q3248" i="34"/>
  <c r="Q3240" i="34"/>
  <c r="Q3204" i="34"/>
  <c r="Q3104" i="34"/>
  <c r="R3059" i="34"/>
  <c r="P3059" i="34"/>
  <c r="Q3046" i="34"/>
  <c r="Q3036" i="34"/>
  <c r="R3027" i="34"/>
  <c r="P3027" i="34"/>
  <c r="P3337" i="34"/>
  <c r="Q3328" i="34"/>
  <c r="R3319" i="34"/>
  <c r="P3319" i="34"/>
  <c r="R2898" i="34"/>
  <c r="R2890" i="34"/>
  <c r="P2890" i="34"/>
  <c r="R2999" i="34"/>
  <c r="P2999" i="34"/>
  <c r="R2882" i="34"/>
  <c r="P2882" i="34"/>
  <c r="R2874" i="34"/>
  <c r="P2874" i="34"/>
  <c r="R2866" i="34"/>
  <c r="P2866" i="34"/>
  <c r="R3341" i="34"/>
  <c r="P3345" i="34"/>
  <c r="R3349" i="34"/>
  <c r="R3147" i="34"/>
  <c r="P3147" i="34"/>
  <c r="R3155" i="34"/>
  <c r="P3155" i="34"/>
  <c r="R3163" i="34"/>
  <c r="P3163" i="34"/>
  <c r="R3171" i="34"/>
  <c r="P3171" i="34"/>
  <c r="R3179" i="34"/>
  <c r="P3179" i="34"/>
  <c r="Q3228" i="34"/>
  <c r="Q3350" i="34"/>
  <c r="Q3128" i="34"/>
  <c r="Q3136" i="34"/>
  <c r="Q3144" i="34"/>
  <c r="R3215" i="34"/>
  <c r="P3215" i="34"/>
  <c r="R3223" i="34"/>
  <c r="P3223" i="34"/>
  <c r="P3269" i="34"/>
  <c r="Q3278" i="34"/>
  <c r="Q3286" i="34"/>
  <c r="Q3294" i="34"/>
  <c r="Q3302" i="34"/>
  <c r="Q3310" i="34"/>
  <c r="Q3018" i="34"/>
  <c r="Q3236" i="34"/>
  <c r="R3057" i="34"/>
  <c r="P3065" i="34"/>
  <c r="R3069" i="34"/>
  <c r="P3073" i="34"/>
  <c r="R3077" i="34"/>
  <c r="P3081" i="34"/>
  <c r="R3085" i="34"/>
  <c r="P3089" i="34"/>
  <c r="R3093" i="34"/>
  <c r="P3097" i="34"/>
  <c r="R3181" i="34"/>
  <c r="R3191" i="34"/>
  <c r="P3191" i="34"/>
  <c r="P2899" i="34"/>
  <c r="R2899" i="34"/>
  <c r="R2895" i="34"/>
  <c r="P2891" i="34"/>
  <c r="P3000" i="34"/>
  <c r="Q2943" i="34"/>
  <c r="R2887" i="34"/>
  <c r="P2883" i="34"/>
  <c r="R2879" i="34"/>
  <c r="P2875" i="34"/>
  <c r="R2871" i="34"/>
  <c r="P2867" i="34"/>
  <c r="R2863" i="34"/>
  <c r="R3340" i="34"/>
  <c r="P3344" i="34"/>
  <c r="R3348" i="34"/>
  <c r="R3146" i="34"/>
  <c r="P3146" i="34"/>
  <c r="R3154" i="34"/>
  <c r="P3154" i="34"/>
  <c r="R3162" i="34"/>
  <c r="P3162" i="34"/>
  <c r="R3170" i="34"/>
  <c r="P3170" i="34"/>
  <c r="R3178" i="34"/>
  <c r="P3178" i="34"/>
  <c r="Q3189" i="34"/>
  <c r="Q3227" i="34"/>
  <c r="Q3235" i="34"/>
  <c r="Q3127" i="34"/>
  <c r="Q3135" i="34"/>
  <c r="Q3143" i="34"/>
  <c r="Q3185" i="34"/>
  <c r="R3214" i="34"/>
  <c r="P3214" i="34"/>
  <c r="R3222" i="34"/>
  <c r="P3222" i="34"/>
  <c r="Q3203" i="34"/>
  <c r="Q3273" i="34"/>
  <c r="Q3281" i="34"/>
  <c r="Q3289" i="34"/>
  <c r="Q3297" i="34"/>
  <c r="Q3305" i="34"/>
  <c r="Q3043" i="34"/>
  <c r="Q3025" i="34"/>
  <c r="P3056" i="34"/>
  <c r="R3068" i="34"/>
  <c r="P3072" i="34"/>
  <c r="R3076" i="34"/>
  <c r="P3080" i="34"/>
  <c r="R3084" i="34"/>
  <c r="P3088" i="34"/>
  <c r="R3092" i="34"/>
  <c r="P3096" i="34"/>
  <c r="R3180" i="34"/>
  <c r="R3190" i="34"/>
  <c r="P3190" i="34"/>
  <c r="R3198" i="34"/>
  <c r="P3198" i="34"/>
  <c r="Q3113" i="34"/>
  <c r="P3268" i="34"/>
  <c r="R3264" i="34"/>
  <c r="P3260" i="34"/>
  <c r="R3256" i="34"/>
  <c r="P3252" i="34"/>
  <c r="R3248" i="34"/>
  <c r="P3244" i="34"/>
  <c r="R3240" i="34"/>
  <c r="P3208" i="34"/>
  <c r="R3204" i="34"/>
  <c r="P3108" i="34"/>
  <c r="R3104" i="34"/>
  <c r="P3100" i="34"/>
  <c r="R3050" i="34"/>
  <c r="P3050" i="34"/>
  <c r="P3040" i="34"/>
  <c r="R3036" i="34"/>
  <c r="Q3031" i="34"/>
  <c r="R3014" i="34"/>
  <c r="P3014" i="34"/>
  <c r="Q3337" i="34"/>
  <c r="P3332" i="34"/>
  <c r="R3328" i="34"/>
  <c r="Q3323" i="34"/>
  <c r="Q2894" i="34"/>
  <c r="Q3003" i="34"/>
  <c r="R2946" i="34"/>
  <c r="P2946" i="34"/>
  <c r="Q2886" i="34"/>
  <c r="Q2878" i="34"/>
  <c r="Q2870" i="34"/>
  <c r="Q2862" i="34"/>
  <c r="Q3345" i="34"/>
  <c r="Q3151" i="34"/>
  <c r="Q3159" i="34"/>
  <c r="Q3167" i="34"/>
  <c r="Q3175" i="34"/>
  <c r="P3224" i="34"/>
  <c r="R3228" i="34"/>
  <c r="P3232" i="34"/>
  <c r="P3124" i="34"/>
  <c r="R3128" i="34"/>
  <c r="P3132" i="34"/>
  <c r="R3136" i="34"/>
  <c r="P3140" i="34"/>
  <c r="R3144" i="34"/>
  <c r="R3186" i="34"/>
  <c r="P3186" i="34"/>
  <c r="Q3219" i="34"/>
  <c r="Q3315" i="34"/>
  <c r="Q3269" i="34"/>
  <c r="R3274" i="34"/>
  <c r="P3274" i="34"/>
  <c r="R3282" i="34"/>
  <c r="P3282" i="34"/>
  <c r="R3290" i="34"/>
  <c r="P3290" i="34"/>
  <c r="R3298" i="34"/>
  <c r="P3298" i="34"/>
  <c r="R3306" i="34"/>
  <c r="P3306" i="34"/>
  <c r="P3012" i="34"/>
  <c r="R3026" i="34"/>
  <c r="P3026" i="34"/>
  <c r="R3236" i="34"/>
  <c r="Q3065" i="34"/>
  <c r="Q3073" i="34"/>
  <c r="Q3081" i="34"/>
  <c r="Q3089" i="34"/>
  <c r="Q3097" i="34"/>
  <c r="Q3195" i="34"/>
  <c r="Q2899" i="34"/>
  <c r="Q2891" i="34"/>
  <c r="Q3000" i="34"/>
  <c r="R2943" i="34"/>
  <c r="P2943" i="34"/>
  <c r="Q2883" i="34"/>
  <c r="Q2875" i="34"/>
  <c r="Q2867" i="34"/>
  <c r="Q3344" i="34"/>
  <c r="Q3146" i="34"/>
  <c r="Q3154" i="34"/>
  <c r="Q3162" i="34"/>
  <c r="Q3170" i="34"/>
  <c r="Q3178" i="34"/>
  <c r="R3189" i="34"/>
  <c r="R3227" i="34"/>
  <c r="P3227" i="34"/>
  <c r="R3235" i="34"/>
  <c r="P3235" i="34"/>
  <c r="R3127" i="34"/>
  <c r="P3127" i="34"/>
  <c r="R3135" i="34"/>
  <c r="P3135" i="34"/>
  <c r="R3143" i="34"/>
  <c r="P3143" i="34"/>
  <c r="R3185" i="34"/>
  <c r="Q3214" i="34"/>
  <c r="Q3222" i="34"/>
  <c r="R3203" i="34"/>
  <c r="P3203" i="34"/>
  <c r="R3273" i="34"/>
  <c r="P3277" i="34"/>
  <c r="R3281" i="34"/>
  <c r="P3285" i="34"/>
  <c r="R3289" i="34"/>
  <c r="P3293" i="34"/>
  <c r="R3297" i="34"/>
  <c r="P3301" i="34"/>
  <c r="R3305" i="34"/>
  <c r="P3309" i="34"/>
  <c r="R3043" i="34"/>
  <c r="P3043" i="34"/>
  <c r="R3025" i="34"/>
  <c r="Q3056" i="34"/>
  <c r="P3021" i="34"/>
  <c r="Q3072" i="34"/>
  <c r="Q3080" i="34"/>
  <c r="Q3088" i="34"/>
  <c r="Q3096" i="34"/>
  <c r="Q3190" i="34"/>
  <c r="Q3198" i="34"/>
  <c r="P3117" i="34"/>
  <c r="R3113" i="34"/>
  <c r="Q3268" i="34"/>
  <c r="Q3260" i="34"/>
  <c r="Q3252" i="34"/>
  <c r="Q3244" i="34"/>
  <c r="Q3208" i="34"/>
  <c r="Q3108" i="34"/>
  <c r="Q3100" i="34"/>
  <c r="Q3050" i="34"/>
  <c r="Q3040" i="34"/>
  <c r="R3031" i="34"/>
  <c r="P3031" i="34"/>
  <c r="Q3014" i="34"/>
  <c r="R3337" i="34"/>
  <c r="Q3332" i="34"/>
  <c r="R3323" i="34"/>
  <c r="P3323" i="34"/>
  <c r="R2894" i="34"/>
  <c r="P2894" i="34"/>
  <c r="R3003" i="34"/>
  <c r="P3003" i="34"/>
  <c r="Q2946" i="34"/>
  <c r="R2886" i="34"/>
  <c r="P2886" i="34"/>
  <c r="R2878" i="34"/>
  <c r="P2878" i="34"/>
  <c r="R2870" i="34"/>
  <c r="P2870" i="34"/>
  <c r="R2862" i="34"/>
  <c r="P2862" i="34"/>
  <c r="P3341" i="34"/>
  <c r="R3345" i="34"/>
  <c r="P3349" i="34"/>
  <c r="R3151" i="34"/>
  <c r="P3151" i="34"/>
  <c r="R3159" i="34"/>
  <c r="P3159" i="34"/>
  <c r="R3167" i="34"/>
  <c r="P3167" i="34"/>
  <c r="R3175" i="34"/>
  <c r="P3175" i="34"/>
  <c r="Q3224" i="34"/>
  <c r="Q3232" i="34"/>
  <c r="Q3124" i="34"/>
  <c r="Q3132" i="34"/>
  <c r="Q3140" i="34"/>
  <c r="Q3186" i="34"/>
  <c r="R3219" i="34"/>
  <c r="P3219" i="34"/>
  <c r="R3315" i="34"/>
  <c r="P3315" i="34"/>
  <c r="R3269" i="34"/>
  <c r="Q3274" i="34"/>
  <c r="Q3282" i="34"/>
  <c r="Q3290" i="34"/>
  <c r="Q3298" i="34"/>
  <c r="Q3306" i="34"/>
  <c r="Q3012" i="34"/>
  <c r="Q3026" i="34"/>
  <c r="P3057" i="34"/>
  <c r="R3065" i="34"/>
  <c r="P3069" i="34"/>
  <c r="R3073" i="34"/>
  <c r="P3077" i="34"/>
  <c r="R3081" i="34"/>
  <c r="P3085" i="34"/>
  <c r="R3089" i="34"/>
  <c r="P3093" i="34"/>
  <c r="R3097" i="34"/>
  <c r="P3181" i="34"/>
  <c r="R3195" i="34"/>
  <c r="Q3199" i="34"/>
  <c r="R3120" i="34"/>
  <c r="P3116" i="34"/>
  <c r="R3112" i="34"/>
  <c r="Q3267" i="34"/>
  <c r="Q3259" i="34"/>
  <c r="Q3251" i="34"/>
  <c r="Q3243" i="34"/>
  <c r="Q3207" i="34"/>
  <c r="Q3107" i="34"/>
  <c r="R3062" i="34"/>
  <c r="P3062" i="34"/>
  <c r="Q3053" i="34"/>
  <c r="Q3045" i="34"/>
  <c r="Q3039" i="34"/>
  <c r="R3030" i="34"/>
  <c r="P3030" i="34"/>
  <c r="Q3017" i="34"/>
  <c r="R3336" i="34"/>
  <c r="Q3331" i="34"/>
  <c r="R3322" i="34"/>
  <c r="P3322" i="34"/>
  <c r="R2893" i="34"/>
  <c r="P2893" i="34"/>
  <c r="R3002" i="34"/>
  <c r="P3002" i="34"/>
  <c r="Q2949" i="34"/>
  <c r="R2885" i="34"/>
  <c r="P2885" i="34"/>
  <c r="R2877" i="34"/>
  <c r="P2877" i="34"/>
  <c r="R2869" i="34"/>
  <c r="P2869" i="34"/>
  <c r="R2861" i="34"/>
  <c r="P2861" i="34"/>
  <c r="R3342" i="34"/>
  <c r="P3342" i="34"/>
  <c r="P3064" i="34"/>
  <c r="R3148" i="34"/>
  <c r="P3152" i="34"/>
  <c r="R3156" i="34"/>
  <c r="P3160" i="34"/>
  <c r="R3164" i="34"/>
  <c r="P3168" i="34"/>
  <c r="R3172" i="34"/>
  <c r="P3176" i="34"/>
  <c r="Q3229" i="34"/>
  <c r="Q3121" i="34"/>
  <c r="Q3129" i="34"/>
  <c r="Q3137" i="34"/>
  <c r="Q3145" i="34"/>
  <c r="P3212" i="34"/>
  <c r="R3216" i="34"/>
  <c r="P3220" i="34"/>
  <c r="R3312" i="34"/>
  <c r="P3316" i="34"/>
  <c r="Q3275" i="34"/>
  <c r="Q3283" i="34"/>
  <c r="Q3291" i="34"/>
  <c r="Q3299" i="34"/>
  <c r="Q3307" i="34"/>
  <c r="R3034" i="34"/>
  <c r="P3034" i="34"/>
  <c r="R3054" i="34"/>
  <c r="P3054" i="34"/>
  <c r="R3391" i="34"/>
  <c r="R3058" i="34"/>
  <c r="P3058" i="34"/>
  <c r="R3070" i="34"/>
  <c r="P3070" i="34"/>
  <c r="R3078" i="34"/>
  <c r="P3078" i="34"/>
  <c r="R3086" i="34"/>
  <c r="P3086" i="34"/>
  <c r="R3094" i="34"/>
  <c r="P3094" i="34"/>
  <c r="R3182" i="34"/>
  <c r="P3182" i="34"/>
  <c r="R3192" i="34"/>
  <c r="P3196" i="34"/>
  <c r="R3200" i="34"/>
  <c r="Q3119" i="34"/>
  <c r="R3022" i="34"/>
  <c r="P3022" i="34"/>
  <c r="R3262" i="34"/>
  <c r="P3262" i="34"/>
  <c r="R3254" i="34"/>
  <c r="P3254" i="34"/>
  <c r="R3246" i="34"/>
  <c r="P3246" i="34"/>
  <c r="R3210" i="34"/>
  <c r="P3210" i="34"/>
  <c r="R3110" i="34"/>
  <c r="P3110" i="34"/>
  <c r="R3102" i="34"/>
  <c r="P3102" i="34"/>
  <c r="Q3061" i="34"/>
  <c r="P3052" i="34"/>
  <c r="R3048" i="34"/>
  <c r="P3044" i="34"/>
  <c r="Q3029" i="34"/>
  <c r="P3016" i="34"/>
  <c r="R3334" i="34"/>
  <c r="P3334" i="34"/>
  <c r="Q3321" i="34"/>
  <c r="R2900" i="34"/>
  <c r="Q2892" i="34"/>
  <c r="Q3001" i="34"/>
  <c r="P2948" i="34"/>
  <c r="R2944" i="34"/>
  <c r="Q2884" i="34"/>
  <c r="Q2876" i="34"/>
  <c r="Q2868" i="34"/>
  <c r="Q2860" i="34"/>
  <c r="Q3335" i="34"/>
  <c r="Q3347" i="34"/>
  <c r="Q3153" i="34"/>
  <c r="Q3161" i="34"/>
  <c r="Q3169" i="34"/>
  <c r="Q3177" i="34"/>
  <c r="P3188" i="34"/>
  <c r="R3230" i="34"/>
  <c r="P3230" i="34"/>
  <c r="R3122" i="34"/>
  <c r="P3122" i="34"/>
  <c r="R3130" i="34"/>
  <c r="P3130" i="34"/>
  <c r="R3138" i="34"/>
  <c r="P3138" i="34"/>
  <c r="P3184" i="34"/>
  <c r="Q3213" i="34"/>
  <c r="R3199" i="34"/>
  <c r="P3199" i="34"/>
  <c r="Q3116" i="34"/>
  <c r="R3267" i="34"/>
  <c r="P3267" i="34"/>
  <c r="R3259" i="34"/>
  <c r="P3259" i="34"/>
  <c r="R3251" i="34"/>
  <c r="P3251" i="34"/>
  <c r="R3243" i="34"/>
  <c r="P3243" i="34"/>
  <c r="R3207" i="34"/>
  <c r="P3207" i="34"/>
  <c r="R3107" i="34"/>
  <c r="P3107" i="34"/>
  <c r="Q3062" i="34"/>
  <c r="R3053" i="34"/>
  <c r="P3049" i="34"/>
  <c r="R3045" i="34"/>
  <c r="R3039" i="34"/>
  <c r="P3039" i="34"/>
  <c r="Q3030" i="34"/>
  <c r="R3017" i="34"/>
  <c r="P3013" i="34"/>
  <c r="R3331" i="34"/>
  <c r="P3331" i="34"/>
  <c r="Q3322" i="34"/>
  <c r="Q2893" i="34"/>
  <c r="Q3002" i="34"/>
  <c r="R2949" i="34"/>
  <c r="P2945" i="34"/>
  <c r="Q2885" i="34"/>
  <c r="Q2877" i="34"/>
  <c r="Q2869" i="34"/>
  <c r="Q2861" i="34"/>
  <c r="Q3342" i="34"/>
  <c r="Q3064" i="34"/>
  <c r="Q3152" i="34"/>
  <c r="Q3160" i="34"/>
  <c r="Q3168" i="34"/>
  <c r="Q3176" i="34"/>
  <c r="P3225" i="34"/>
  <c r="R3229" i="34"/>
  <c r="P3233" i="34"/>
  <c r="R3121" i="34"/>
  <c r="P3125" i="34"/>
  <c r="R3129" i="34"/>
  <c r="P3133" i="34"/>
  <c r="R3137" i="34"/>
  <c r="P3141" i="34"/>
  <c r="R3145" i="34"/>
  <c r="Q3212" i="34"/>
  <c r="Q3220" i="34"/>
  <c r="Q3316" i="34"/>
  <c r="R3275" i="34"/>
  <c r="P3275" i="34"/>
  <c r="R3283" i="34"/>
  <c r="P3283" i="34"/>
  <c r="R3291" i="34"/>
  <c r="P3291" i="34"/>
  <c r="R3299" i="34"/>
  <c r="P3299" i="34"/>
  <c r="R3307" i="34"/>
  <c r="P3307" i="34"/>
  <c r="Q3034" i="34"/>
  <c r="Q3054" i="34"/>
  <c r="Q3058" i="34"/>
  <c r="Q3070" i="34"/>
  <c r="Q3078" i="34"/>
  <c r="Q3086" i="34"/>
  <c r="Q3094" i="34"/>
  <c r="Q3182" i="34"/>
  <c r="Q3196" i="34"/>
  <c r="R3119" i="34"/>
  <c r="P3119" i="34"/>
  <c r="Q3022" i="34"/>
  <c r="Q3262" i="34"/>
  <c r="Q3254" i="34"/>
  <c r="Q3246" i="34"/>
  <c r="Q3210" i="34"/>
  <c r="Q3110" i="34"/>
  <c r="Q3102" i="34"/>
  <c r="R3061" i="34"/>
  <c r="Q3052" i="34"/>
  <c r="Q3044" i="34"/>
  <c r="P3033" i="34"/>
  <c r="R3029" i="34"/>
  <c r="Q3016" i="34"/>
  <c r="Q3334" i="34"/>
  <c r="P3325" i="34"/>
  <c r="R3321" i="34"/>
  <c r="P3317" i="34"/>
  <c r="P2896" i="34"/>
  <c r="R2892" i="34"/>
  <c r="R3001" i="34"/>
  <c r="Q2948" i="34"/>
  <c r="P2888" i="34"/>
  <c r="R2884" i="34"/>
  <c r="P2880" i="34"/>
  <c r="R2876" i="34"/>
  <c r="P2872" i="34"/>
  <c r="R2868" i="34"/>
  <c r="P2864" i="34"/>
  <c r="R2860" i="34"/>
  <c r="R3335" i="34"/>
  <c r="P3335" i="34"/>
  <c r="R3347" i="34"/>
  <c r="P3347" i="34"/>
  <c r="P3149" i="34"/>
  <c r="R3153" i="34"/>
  <c r="P3157" i="34"/>
  <c r="R3161" i="34"/>
  <c r="P3165" i="34"/>
  <c r="R3169" i="34"/>
  <c r="P3173" i="34"/>
  <c r="R3177" i="34"/>
  <c r="Q3188" i="34"/>
  <c r="Q3230" i="34"/>
  <c r="Q3122" i="34"/>
  <c r="Q3130" i="34"/>
  <c r="Q3138" i="34"/>
  <c r="Q3184" i="34"/>
  <c r="R3213" i="34"/>
  <c r="P3217" i="34"/>
  <c r="P3120" i="34"/>
  <c r="R3116" i="34"/>
  <c r="P3112" i="34"/>
  <c r="Q3263" i="34"/>
  <c r="Q3255" i="34"/>
  <c r="Q3247" i="34"/>
  <c r="Q3211" i="34"/>
  <c r="Q3111" i="34"/>
  <c r="Q3103" i="34"/>
  <c r="Q3049" i="34"/>
  <c r="Q3035" i="34"/>
  <c r="Q3013" i="34"/>
  <c r="P3336" i="34"/>
  <c r="R3326" i="34"/>
  <c r="P3326" i="34"/>
  <c r="R3318" i="34"/>
  <c r="P3318" i="34"/>
  <c r="R2897" i="34"/>
  <c r="P2897" i="34"/>
  <c r="Q2945" i="34"/>
  <c r="R2889" i="34"/>
  <c r="P2889" i="34"/>
  <c r="R2881" i="34"/>
  <c r="P2881" i="34"/>
  <c r="R2873" i="34"/>
  <c r="P2873" i="34"/>
  <c r="R2865" i="34"/>
  <c r="P2865" i="34"/>
  <c r="R3346" i="34"/>
  <c r="P3346" i="34"/>
  <c r="R3064" i="34"/>
  <c r="P3148" i="34"/>
  <c r="R3152" i="34"/>
  <c r="P3156" i="34"/>
  <c r="R3160" i="34"/>
  <c r="P3164" i="34"/>
  <c r="R3168" i="34"/>
  <c r="P3172" i="34"/>
  <c r="R3176" i="34"/>
  <c r="Q3187" i="34"/>
  <c r="Q3225" i="34"/>
  <c r="Q3233" i="34"/>
  <c r="Q3125" i="34"/>
  <c r="Q3133" i="34"/>
  <c r="Q3141" i="34"/>
  <c r="R3212" i="34"/>
  <c r="P3216" i="34"/>
  <c r="R3220" i="34"/>
  <c r="P3312" i="34"/>
  <c r="R3316" i="34"/>
  <c r="R3270" i="34"/>
  <c r="P3270" i="34"/>
  <c r="Q3279" i="34"/>
  <c r="Q3287" i="34"/>
  <c r="Q3295" i="34"/>
  <c r="Q3303" i="34"/>
  <c r="Q3311" i="34"/>
  <c r="Q3019" i="34"/>
  <c r="R3066" i="34"/>
  <c r="P3066" i="34"/>
  <c r="R3074" i="34"/>
  <c r="P3074" i="34"/>
  <c r="R3082" i="34"/>
  <c r="P3082" i="34"/>
  <c r="R3090" i="34"/>
  <c r="P3090" i="34"/>
  <c r="R3098" i="34"/>
  <c r="P3098" i="34"/>
  <c r="P3192" i="34"/>
  <c r="R3196" i="34"/>
  <c r="P3200" i="34"/>
  <c r="Q3115" i="34"/>
  <c r="R3266" i="34"/>
  <c r="P3266" i="34"/>
  <c r="R3258" i="34"/>
  <c r="P3258" i="34"/>
  <c r="R3250" i="34"/>
  <c r="P3250" i="34"/>
  <c r="R3242" i="34"/>
  <c r="P3242" i="34"/>
  <c r="R3206" i="34"/>
  <c r="P3206" i="34"/>
  <c r="R3106" i="34"/>
  <c r="P3106" i="34"/>
  <c r="R3052" i="34"/>
  <c r="P3048" i="34"/>
  <c r="R3044" i="34"/>
  <c r="R3038" i="34"/>
  <c r="P3038" i="34"/>
  <c r="Q3033" i="34"/>
  <c r="R3016" i="34"/>
  <c r="Q3339" i="34"/>
  <c r="R3330" i="34"/>
  <c r="P3330" i="34"/>
  <c r="Q3325" i="34"/>
  <c r="Q3317" i="34"/>
  <c r="Q2896" i="34"/>
  <c r="R2948" i="34"/>
  <c r="P2944" i="34"/>
  <c r="Q2888" i="34"/>
  <c r="Q2880" i="34"/>
  <c r="Q2872" i="34"/>
  <c r="Q2864" i="34"/>
  <c r="Q3343" i="34"/>
  <c r="Q3023" i="34"/>
  <c r="Q3149" i="34"/>
  <c r="Q3157" i="34"/>
  <c r="Q3165" i="34"/>
  <c r="Q3173" i="34"/>
  <c r="R3188" i="34"/>
  <c r="R3226" i="34"/>
  <c r="P3226" i="34"/>
  <c r="R3234" i="34"/>
  <c r="P3234" i="34"/>
  <c r="R3126" i="34"/>
  <c r="P3126" i="34"/>
  <c r="R3134" i="34"/>
  <c r="P3134" i="34"/>
  <c r="R3142" i="34"/>
  <c r="P3142" i="34"/>
  <c r="R3184" i="34"/>
  <c r="Q3217" i="34"/>
  <c r="P3195" i="34"/>
  <c r="Q3120" i="34"/>
  <c r="Q3112" i="34"/>
  <c r="R3263" i="34"/>
  <c r="P3263" i="34"/>
  <c r="R3255" i="34"/>
  <c r="P3255" i="34"/>
  <c r="R3247" i="34"/>
  <c r="P3247" i="34"/>
  <c r="R3211" i="34"/>
  <c r="P3211" i="34"/>
  <c r="R3111" i="34"/>
  <c r="P3111" i="34"/>
  <c r="R3103" i="34"/>
  <c r="P3103" i="34"/>
  <c r="P3053" i="34"/>
  <c r="R3049" i="34"/>
  <c r="P3045" i="34"/>
  <c r="R3035" i="34"/>
  <c r="P3035" i="34"/>
  <c r="P3017" i="34"/>
  <c r="R3013" i="34"/>
  <c r="Q3336" i="34"/>
  <c r="Q3326" i="34"/>
  <c r="Q3318" i="34"/>
  <c r="Q2897" i="34"/>
  <c r="P2949" i="34"/>
  <c r="R2945" i="34"/>
  <c r="Q2889" i="34"/>
  <c r="Q2881" i="34"/>
  <c r="Q2873" i="34"/>
  <c r="Q2865" i="34"/>
  <c r="Q3346" i="34"/>
  <c r="Q3148" i="34"/>
  <c r="Q3156" i="34"/>
  <c r="Q3164" i="34"/>
  <c r="Q3172" i="34"/>
  <c r="R3187" i="34"/>
  <c r="P3187" i="34"/>
  <c r="R3225" i="34"/>
  <c r="P3229" i="34"/>
  <c r="R3233" i="34"/>
  <c r="P3121" i="34"/>
  <c r="R3125" i="34"/>
  <c r="P3129" i="34"/>
  <c r="R3133" i="34"/>
  <c r="P3137" i="34"/>
  <c r="R3141" i="34"/>
  <c r="P3145" i="34"/>
  <c r="Q3216" i="34"/>
  <c r="Q3312" i="34"/>
  <c r="Q3270" i="34"/>
  <c r="R3279" i="34"/>
  <c r="P3279" i="34"/>
  <c r="R3287" i="34"/>
  <c r="P3287" i="34"/>
  <c r="R3295" i="34"/>
  <c r="P3295" i="34"/>
  <c r="R3303" i="34"/>
  <c r="P3303" i="34"/>
  <c r="R3311" i="34"/>
  <c r="P3311" i="34"/>
  <c r="R3019" i="34"/>
  <c r="P3019" i="34"/>
  <c r="Q3391" i="34"/>
  <c r="P3391" i="34"/>
  <c r="Q3066" i="34"/>
  <c r="Q3074" i="34"/>
  <c r="Q3082" i="34"/>
  <c r="Q3090" i="34"/>
  <c r="Q3098" i="34"/>
  <c r="Q3192" i="34"/>
  <c r="Q3200" i="34"/>
  <c r="R3115" i="34"/>
  <c r="P3115" i="34"/>
  <c r="Q3266" i="34"/>
  <c r="Q3258" i="34"/>
  <c r="Q3250" i="34"/>
  <c r="Q3242" i="34"/>
  <c r="Q3206" i="34"/>
  <c r="Q3106" i="34"/>
  <c r="P3061" i="34"/>
  <c r="Q3048" i="34"/>
  <c r="Q3038" i="34"/>
  <c r="R3033" i="34"/>
  <c r="P3029" i="34"/>
  <c r="R3339" i="34"/>
  <c r="P3339" i="34"/>
  <c r="Q3330" i="34"/>
  <c r="R3325" i="34"/>
  <c r="P3321" i="34"/>
  <c r="R3317" i="34"/>
  <c r="P2900" i="34"/>
  <c r="Q2900" i="34"/>
  <c r="R2896" i="34"/>
  <c r="P2892" i="34"/>
  <c r="P3001" i="34"/>
  <c r="Q2944" i="34"/>
  <c r="R2888" i="34"/>
  <c r="P2884" i="34"/>
  <c r="R2880" i="34"/>
  <c r="P2876" i="34"/>
  <c r="R2872" i="34"/>
  <c r="P2868" i="34"/>
  <c r="R2864" i="34"/>
  <c r="P2860" i="34"/>
  <c r="R3343" i="34"/>
  <c r="P3343" i="34"/>
  <c r="R3023" i="34"/>
  <c r="P3023" i="34"/>
  <c r="R3149" i="34"/>
  <c r="P3153" i="34"/>
  <c r="R3157" i="34"/>
  <c r="P3161" i="34"/>
  <c r="R3165" i="34"/>
  <c r="P3169" i="34"/>
  <c r="R3173" i="34"/>
  <c r="P3177" i="34"/>
  <c r="Q3226" i="34"/>
  <c r="Q3234" i="34"/>
  <c r="Q3126" i="34"/>
  <c r="Q3134" i="34"/>
  <c r="Q3142" i="34"/>
  <c r="P3213" i="34"/>
  <c r="R3217" i="34"/>
  <c r="R3221" i="34"/>
  <c r="P3313" i="34"/>
  <c r="Q3272" i="34"/>
  <c r="Q3280" i="34"/>
  <c r="Q3288" i="34"/>
  <c r="Q3296" i="34"/>
  <c r="Q3304" i="34"/>
  <c r="R3011" i="34"/>
  <c r="P3011" i="34"/>
  <c r="R3041" i="34"/>
  <c r="Q3024" i="34"/>
  <c r="Q3392" i="34"/>
  <c r="R3067" i="34"/>
  <c r="P3067" i="34"/>
  <c r="R3075" i="34"/>
  <c r="P3075" i="34"/>
  <c r="R3083" i="34"/>
  <c r="P3083" i="34"/>
  <c r="R3091" i="34"/>
  <c r="P3091" i="34"/>
  <c r="R3099" i="34"/>
  <c r="P3099" i="34"/>
  <c r="P3193" i="34"/>
  <c r="R3197" i="34"/>
  <c r="P3201" i="34"/>
  <c r="Q3114" i="34"/>
  <c r="P3265" i="34"/>
  <c r="R3261" i="34"/>
  <c r="P3257" i="34"/>
  <c r="R3253" i="34"/>
  <c r="P3249" i="34"/>
  <c r="R3245" i="34"/>
  <c r="P3241" i="34"/>
  <c r="R3209" i="34"/>
  <c r="P3205" i="34"/>
  <c r="R3109" i="34"/>
  <c r="P3105" i="34"/>
  <c r="R3101" i="34"/>
  <c r="Q3060" i="34"/>
  <c r="R3047" i="34"/>
  <c r="P3047" i="34"/>
  <c r="P3037" i="34"/>
  <c r="Q3028" i="34"/>
  <c r="Q3338" i="34"/>
  <c r="R3333" i="34"/>
  <c r="P3329" i="34"/>
  <c r="Q3320" i="34"/>
  <c r="Q3313" i="34"/>
  <c r="Q3327" i="34"/>
  <c r="R3272" i="34"/>
  <c r="P3276" i="34"/>
  <c r="R3280" i="34"/>
  <c r="P3284" i="34"/>
  <c r="R3288" i="34"/>
  <c r="P3292" i="34"/>
  <c r="R3296" i="34"/>
  <c r="P3300" i="34"/>
  <c r="R3304" i="34"/>
  <c r="P3308" i="34"/>
  <c r="R3024" i="34"/>
  <c r="Q3055" i="34"/>
  <c r="P3020" i="34"/>
  <c r="Q3071" i="34"/>
  <c r="Q3079" i="34"/>
  <c r="Q3087" i="34"/>
  <c r="Q3095" i="34"/>
  <c r="Q3183" i="34"/>
  <c r="Q3193" i="34"/>
  <c r="Q3201" i="34"/>
  <c r="R3118" i="34"/>
  <c r="P3118" i="34"/>
  <c r="Q3063" i="34"/>
  <c r="Q3265" i="34"/>
  <c r="Q3257" i="34"/>
  <c r="Q3249" i="34"/>
  <c r="Q3241" i="34"/>
  <c r="Q3205" i="34"/>
  <c r="Q3105" i="34"/>
  <c r="R3060" i="34"/>
  <c r="Q3051" i="34"/>
  <c r="R3042" i="34"/>
  <c r="P3042" i="34"/>
  <c r="Q3037" i="34"/>
  <c r="P3032" i="34"/>
  <c r="R3028" i="34"/>
  <c r="Q3015" i="34"/>
  <c r="Q3329" i="34"/>
  <c r="P3324" i="34"/>
  <c r="R3320" i="34"/>
  <c r="P3221" i="34"/>
  <c r="R3313" i="34"/>
  <c r="R3327" i="34"/>
  <c r="P3327" i="34"/>
  <c r="Q3276" i="34"/>
  <c r="Q3284" i="34"/>
  <c r="Q3292" i="34"/>
  <c r="Q3300" i="34"/>
  <c r="Q3308" i="34"/>
  <c r="P3041" i="34"/>
  <c r="R3055" i="34"/>
  <c r="P3055" i="34"/>
  <c r="P3392" i="34"/>
  <c r="Q3020" i="34"/>
  <c r="R3071" i="34"/>
  <c r="P3071" i="34"/>
  <c r="R3079" i="34"/>
  <c r="P3079" i="34"/>
  <c r="R3087" i="34"/>
  <c r="P3087" i="34"/>
  <c r="R3095" i="34"/>
  <c r="P3095" i="34"/>
  <c r="R3183" i="34"/>
  <c r="P3183" i="34"/>
  <c r="R3193" i="34"/>
  <c r="P3197" i="34"/>
  <c r="R3201" i="34"/>
  <c r="Q3118" i="34"/>
  <c r="R3063" i="34"/>
  <c r="P3063" i="34"/>
  <c r="R3265" i="34"/>
  <c r="P3261" i="34"/>
  <c r="R3257" i="34"/>
  <c r="P3253" i="34"/>
  <c r="R3249" i="34"/>
  <c r="P3245" i="34"/>
  <c r="R3241" i="34"/>
  <c r="P3209" i="34"/>
  <c r="R3205" i="34"/>
  <c r="P3109" i="34"/>
  <c r="R3105" i="34"/>
  <c r="P3101" i="34"/>
  <c r="R3051" i="34"/>
  <c r="P3051" i="34"/>
  <c r="Q3042" i="34"/>
  <c r="R3037" i="34"/>
  <c r="Q3032" i="34"/>
  <c r="R3015" i="34"/>
  <c r="P3015" i="34"/>
  <c r="P3333" i="34"/>
  <c r="R3329" i="34"/>
  <c r="Q3324" i="34"/>
  <c r="Q3221" i="34"/>
  <c r="P3272" i="34"/>
  <c r="R3276" i="34"/>
  <c r="P3280" i="34"/>
  <c r="R3284" i="34"/>
  <c r="P3288" i="34"/>
  <c r="R3292" i="34"/>
  <c r="P3296" i="34"/>
  <c r="R3300" i="34"/>
  <c r="P3304" i="34"/>
  <c r="R3308" i="34"/>
  <c r="Q3011" i="34"/>
  <c r="Q3041" i="34"/>
  <c r="P3024" i="34"/>
  <c r="R3392" i="34"/>
  <c r="R3020" i="34"/>
  <c r="Q3067" i="34"/>
  <c r="Q3075" i="34"/>
  <c r="Q3083" i="34"/>
  <c r="Q3091" i="34"/>
  <c r="Q3099" i="34"/>
  <c r="Q3197" i="34"/>
  <c r="R3114" i="34"/>
  <c r="P3114" i="34"/>
  <c r="Q3261" i="34"/>
  <c r="Q3253" i="34"/>
  <c r="Q3245" i="34"/>
  <c r="Q3209" i="34"/>
  <c r="Q3109" i="34"/>
  <c r="Q3101" i="34"/>
  <c r="P3060" i="34"/>
  <c r="Q3047" i="34"/>
  <c r="R3032" i="34"/>
  <c r="P3028" i="34"/>
  <c r="R3338" i="34"/>
  <c r="P3338" i="34"/>
  <c r="Q3333" i="34"/>
  <c r="R3324" i="34"/>
  <c r="P3320" i="34"/>
  <c r="Q3389" i="34"/>
  <c r="R2978" i="34"/>
  <c r="P2978" i="34"/>
  <c r="P3389" i="34"/>
  <c r="Q2978" i="34"/>
  <c r="R3389" i="34"/>
  <c r="Q2937" i="34"/>
  <c r="R2998" i="34"/>
  <c r="P2998" i="34"/>
  <c r="Q2927" i="34"/>
  <c r="Q2983" i="34"/>
  <c r="R2942" i="34"/>
  <c r="P2942" i="34"/>
  <c r="P2960" i="34"/>
  <c r="R2964" i="34"/>
  <c r="R2980" i="34"/>
  <c r="P2984" i="34"/>
  <c r="R2988" i="34"/>
  <c r="R3390" i="34"/>
  <c r="Q2959" i="34"/>
  <c r="R2976" i="34"/>
  <c r="Q2991" i="34"/>
  <c r="R2937" i="34"/>
  <c r="Q2998" i="34"/>
  <c r="R2927" i="34"/>
  <c r="P2927" i="34"/>
  <c r="R2983" i="34"/>
  <c r="P2983" i="34"/>
  <c r="Q2942" i="34"/>
  <c r="P2929" i="34"/>
  <c r="Q2960" i="34"/>
  <c r="P2973" i="34"/>
  <c r="Q2984" i="34"/>
  <c r="P2941" i="34"/>
  <c r="R2959" i="34"/>
  <c r="P2959" i="34"/>
  <c r="R2991" i="34"/>
  <c r="P2991" i="34"/>
  <c r="P3388" i="34"/>
  <c r="Q2963" i="34"/>
  <c r="R2938" i="34"/>
  <c r="P2938" i="34"/>
  <c r="Q2995" i="34"/>
  <c r="Q2929" i="34"/>
  <c r="R2934" i="34"/>
  <c r="P2934" i="34"/>
  <c r="R2960" i="34"/>
  <c r="P2964" i="34"/>
  <c r="Q2973" i="34"/>
  <c r="P2980" i="34"/>
  <c r="R2984" i="34"/>
  <c r="P2988" i="34"/>
  <c r="P3390" i="34"/>
  <c r="Q2941" i="34"/>
  <c r="P2976" i="34"/>
  <c r="R3388" i="34"/>
  <c r="P2937" i="34"/>
  <c r="R2963" i="34"/>
  <c r="P2963" i="34"/>
  <c r="Q2938" i="34"/>
  <c r="R2995" i="34"/>
  <c r="P2995" i="34"/>
  <c r="R2929" i="34"/>
  <c r="Q2934" i="34"/>
  <c r="Q2964" i="34"/>
  <c r="R2973" i="34"/>
  <c r="Q2980" i="34"/>
  <c r="Q2988" i="34"/>
  <c r="Q3390" i="34"/>
  <c r="R2941" i="34"/>
  <c r="Q2976" i="34"/>
  <c r="Q3388" i="34"/>
  <c r="Q2935" i="34"/>
  <c r="P2992" i="34"/>
  <c r="R2996" i="34"/>
  <c r="Q2925" i="34"/>
  <c r="Q2931" i="34"/>
  <c r="Q2957" i="34"/>
  <c r="Q2965" i="34"/>
  <c r="R2974" i="34"/>
  <c r="P2974" i="34"/>
  <c r="Q2981" i="34"/>
  <c r="Q2989" i="34"/>
  <c r="R2994" i="34"/>
  <c r="P2994" i="34"/>
  <c r="R2972" i="34"/>
  <c r="Q2987" i="34"/>
  <c r="P2936" i="34"/>
  <c r="R2940" i="34"/>
  <c r="Q2997" i="34"/>
  <c r="P2932" i="34"/>
  <c r="R2935" i="34"/>
  <c r="P2935" i="34"/>
  <c r="Q2992" i="34"/>
  <c r="R2925" i="34"/>
  <c r="R2931" i="34"/>
  <c r="P2931" i="34"/>
  <c r="R2957" i="34"/>
  <c r="P2961" i="34"/>
  <c r="R2965" i="34"/>
  <c r="Q2974" i="34"/>
  <c r="R2981" i="34"/>
  <c r="P2985" i="34"/>
  <c r="R2989" i="34"/>
  <c r="P2977" i="34"/>
  <c r="Q2994" i="34"/>
  <c r="P2933" i="34"/>
  <c r="R2987" i="34"/>
  <c r="P2987" i="34"/>
  <c r="Q2936" i="34"/>
  <c r="P2993" i="34"/>
  <c r="R2997" i="34"/>
  <c r="Q2932" i="34"/>
  <c r="Q2939" i="34"/>
  <c r="R2992" i="34"/>
  <c r="P2996" i="34"/>
  <c r="Q2961" i="34"/>
  <c r="Q2985" i="34"/>
  <c r="Q2977" i="34"/>
  <c r="Q2933" i="34"/>
  <c r="P2972" i="34"/>
  <c r="R2936" i="34"/>
  <c r="P2940" i="34"/>
  <c r="Q2993" i="34"/>
  <c r="R2926" i="34"/>
  <c r="P2926" i="34"/>
  <c r="R2932" i="34"/>
  <c r="R2939" i="34"/>
  <c r="P2939" i="34"/>
  <c r="Q2996" i="34"/>
  <c r="P2925" i="34"/>
  <c r="P2957" i="34"/>
  <c r="R2961" i="34"/>
  <c r="P2965" i="34"/>
  <c r="P2981" i="34"/>
  <c r="R2985" i="34"/>
  <c r="P2989" i="34"/>
  <c r="R2977" i="34"/>
  <c r="R2933" i="34"/>
  <c r="Q2972" i="34"/>
  <c r="Q2940" i="34"/>
  <c r="R2993" i="34"/>
  <c r="P2997" i="34"/>
  <c r="Q2926" i="34"/>
  <c r="Q2958" i="34"/>
  <c r="R2971" i="34"/>
  <c r="P2971" i="34"/>
  <c r="Q2982" i="34"/>
  <c r="Q2990" i="34"/>
  <c r="R2962" i="34"/>
  <c r="P2962" i="34"/>
  <c r="Q2975" i="34"/>
  <c r="R2986" i="34"/>
  <c r="P2986" i="34"/>
  <c r="Q2979" i="34"/>
  <c r="Q2962" i="34"/>
  <c r="R2975" i="34"/>
  <c r="P2975" i="34"/>
  <c r="Q2986" i="34"/>
  <c r="R2979" i="34"/>
  <c r="P2979" i="34"/>
  <c r="R2958" i="34"/>
  <c r="P2958" i="34"/>
  <c r="Q2971" i="34"/>
  <c r="R2982" i="34"/>
  <c r="P2982" i="34"/>
  <c r="R2990" i="34"/>
  <c r="P2990" i="34"/>
  <c r="Q3371" i="34"/>
  <c r="Q3379" i="34"/>
  <c r="R3387" i="34"/>
  <c r="Q3009" i="34"/>
  <c r="P3354" i="34"/>
  <c r="R3358" i="34"/>
  <c r="P3362" i="34"/>
  <c r="R2924" i="34"/>
  <c r="R2903" i="34"/>
  <c r="Q2907" i="34"/>
  <c r="Q2915" i="34"/>
  <c r="R2920" i="34"/>
  <c r="R3368" i="34"/>
  <c r="P3368" i="34"/>
  <c r="R3376" i="34"/>
  <c r="P3376" i="34"/>
  <c r="R3384" i="34"/>
  <c r="P3384" i="34"/>
  <c r="Q2951" i="34"/>
  <c r="R3006" i="34"/>
  <c r="P3006" i="34"/>
  <c r="R3355" i="34"/>
  <c r="Q3359" i="34"/>
  <c r="R2970" i="34"/>
  <c r="P2970" i="34"/>
  <c r="P2908" i="34"/>
  <c r="R2912" i="34"/>
  <c r="P2916" i="34"/>
  <c r="Q2921" i="34"/>
  <c r="Q3373" i="34"/>
  <c r="Q3381" i="34"/>
  <c r="R2952" i="34"/>
  <c r="P2956" i="34"/>
  <c r="P3352" i="34"/>
  <c r="R3360" i="34"/>
  <c r="P3360" i="34"/>
  <c r="Q2967" i="34"/>
  <c r="Q2909" i="34"/>
  <c r="Q2917" i="34"/>
  <c r="R2922" i="34"/>
  <c r="P2922" i="34"/>
  <c r="P3366" i="34"/>
  <c r="R3370" i="34"/>
  <c r="P3374" i="34"/>
  <c r="R3378" i="34"/>
  <c r="P3382" i="34"/>
  <c r="R3386" i="34"/>
  <c r="Q2953" i="34"/>
  <c r="P3004" i="34"/>
  <c r="R3008" i="34"/>
  <c r="Q3361" i="34"/>
  <c r="P2968" i="34"/>
  <c r="R2906" i="34"/>
  <c r="R2914" i="34"/>
  <c r="P2914" i="34"/>
  <c r="Q2923" i="34"/>
  <c r="P3367" i="34"/>
  <c r="R3371" i="34"/>
  <c r="P3375" i="34"/>
  <c r="R3379" i="34"/>
  <c r="P3383" i="34"/>
  <c r="P3005" i="34"/>
  <c r="R3009" i="34"/>
  <c r="Q3354" i="34"/>
  <c r="Q3362" i="34"/>
  <c r="P2969" i="34"/>
  <c r="P2907" i="34"/>
  <c r="R2915" i="34"/>
  <c r="P2915" i="34"/>
  <c r="Q3368" i="34"/>
  <c r="Q3376" i="34"/>
  <c r="Q3384" i="34"/>
  <c r="R2951" i="34"/>
  <c r="P2951" i="34"/>
  <c r="Q3006" i="34"/>
  <c r="P3355" i="34"/>
  <c r="R3359" i="34"/>
  <c r="P3363" i="34"/>
  <c r="Q2970" i="34"/>
  <c r="Q2908" i="34"/>
  <c r="Q2916" i="34"/>
  <c r="R2921" i="34"/>
  <c r="R3373" i="34"/>
  <c r="P3373" i="34"/>
  <c r="R3381" i="34"/>
  <c r="P3381" i="34"/>
  <c r="Q2956" i="34"/>
  <c r="Q3352" i="34"/>
  <c r="P3356" i="34"/>
  <c r="Q3360" i="34"/>
  <c r="R2967" i="34"/>
  <c r="P2967" i="34"/>
  <c r="Q2905" i="34"/>
  <c r="P2905" i="34"/>
  <c r="P2913" i="34"/>
  <c r="R2917" i="34"/>
  <c r="Q2922" i="34"/>
  <c r="Q3366" i="34"/>
  <c r="Q3374" i="34"/>
  <c r="Q3382" i="34"/>
  <c r="R2953" i="34"/>
  <c r="Q3004" i="34"/>
  <c r="Q3353" i="34"/>
  <c r="P3353" i="34"/>
  <c r="R3361" i="34"/>
  <c r="P3361" i="34"/>
  <c r="Q2968" i="34"/>
  <c r="P2906" i="34"/>
  <c r="P2910" i="34"/>
  <c r="Q2914" i="34"/>
  <c r="R2923" i="34"/>
  <c r="P2923" i="34"/>
  <c r="Q3367" i="34"/>
  <c r="Q3375" i="34"/>
  <c r="Q3383" i="34"/>
  <c r="R2954" i="34"/>
  <c r="P2954" i="34"/>
  <c r="Q3005" i="34"/>
  <c r="P3358" i="34"/>
  <c r="R3362" i="34"/>
  <c r="P2924" i="34"/>
  <c r="Q2969" i="34"/>
  <c r="P2903" i="34"/>
  <c r="R2907" i="34"/>
  <c r="Q2911" i="34"/>
  <c r="R2950" i="34"/>
  <c r="P2950" i="34"/>
  <c r="P2920" i="34"/>
  <c r="R3372" i="34"/>
  <c r="P3372" i="34"/>
  <c r="R3380" i="34"/>
  <c r="P3380" i="34"/>
  <c r="Q2955" i="34"/>
  <c r="Q3351" i="34"/>
  <c r="Q3355" i="34"/>
  <c r="Q3363" i="34"/>
  <c r="R2966" i="34"/>
  <c r="P2966" i="34"/>
  <c r="P2904" i="34"/>
  <c r="R2908" i="34"/>
  <c r="P2912" i="34"/>
  <c r="R2916" i="34"/>
  <c r="Q3369" i="34"/>
  <c r="Q3377" i="34"/>
  <c r="Q3385" i="34"/>
  <c r="P2952" i="34"/>
  <c r="R2956" i="34"/>
  <c r="Q3007" i="34"/>
  <c r="R3352" i="34"/>
  <c r="R3356" i="34"/>
  <c r="Q3356" i="34"/>
  <c r="R3364" i="34"/>
  <c r="P3364" i="34"/>
  <c r="R2901" i="34"/>
  <c r="Q2901" i="34"/>
  <c r="R2909" i="34"/>
  <c r="Q2913" i="34"/>
  <c r="R2918" i="34"/>
  <c r="P2918" i="34"/>
  <c r="R3366" i="34"/>
  <c r="P3370" i="34"/>
  <c r="R3374" i="34"/>
  <c r="P3378" i="34"/>
  <c r="R3382" i="34"/>
  <c r="P3386" i="34"/>
  <c r="R3004" i="34"/>
  <c r="P3008" i="34"/>
  <c r="R3353" i="34"/>
  <c r="Q3357" i="34"/>
  <c r="Q3365" i="34"/>
  <c r="R2968" i="34"/>
  <c r="Q2902" i="34"/>
  <c r="P2902" i="34"/>
  <c r="R2910" i="34"/>
  <c r="Q2910" i="34"/>
  <c r="Q2919" i="34"/>
  <c r="R3367" i="34"/>
  <c r="P3371" i="34"/>
  <c r="R3375" i="34"/>
  <c r="P3379" i="34"/>
  <c r="R3383" i="34"/>
  <c r="Q3387" i="34"/>
  <c r="P3387" i="34"/>
  <c r="Q2954" i="34"/>
  <c r="R3005" i="34"/>
  <c r="P3009" i="34"/>
  <c r="R3354" i="34"/>
  <c r="Q3358" i="34"/>
  <c r="Q2924" i="34"/>
  <c r="R2969" i="34"/>
  <c r="Q2903" i="34"/>
  <c r="R2911" i="34"/>
  <c r="P2911" i="34"/>
  <c r="Q2950" i="34"/>
  <c r="Q2920" i="34"/>
  <c r="Q3372" i="34"/>
  <c r="Q3380" i="34"/>
  <c r="R2955" i="34"/>
  <c r="P2955" i="34"/>
  <c r="R3351" i="34"/>
  <c r="P3351" i="34"/>
  <c r="P3359" i="34"/>
  <c r="R3363" i="34"/>
  <c r="Q2966" i="34"/>
  <c r="R2904" i="34"/>
  <c r="Q2904" i="34"/>
  <c r="Q2912" i="34"/>
  <c r="P2921" i="34"/>
  <c r="R3369" i="34"/>
  <c r="P3369" i="34"/>
  <c r="R3377" i="34"/>
  <c r="P3377" i="34"/>
  <c r="R3385" i="34"/>
  <c r="P3385" i="34"/>
  <c r="Q2952" i="34"/>
  <c r="R3007" i="34"/>
  <c r="P3007" i="34"/>
  <c r="Q3364" i="34"/>
  <c r="P2901" i="34"/>
  <c r="R2905" i="34"/>
  <c r="P2909" i="34"/>
  <c r="R2913" i="34"/>
  <c r="P2917" i="34"/>
  <c r="Q2918" i="34"/>
  <c r="Q3370" i="34"/>
  <c r="Q3378" i="34"/>
  <c r="Q3386" i="34"/>
  <c r="P2953" i="34"/>
  <c r="Q3008" i="34"/>
  <c r="R3357" i="34"/>
  <c r="P3357" i="34"/>
  <c r="R3365" i="34"/>
  <c r="P3365" i="34"/>
  <c r="R2902" i="34"/>
  <c r="Q2906" i="34"/>
  <c r="R2919" i="34"/>
  <c r="P291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6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2" i="70"/>
  <c r="B468" i="34" l="1"/>
  <c r="B469" i="34"/>
  <c r="B485" i="34"/>
  <c r="B527" i="34"/>
  <c r="B528" i="34"/>
  <c r="B537" i="34"/>
  <c r="B323" i="34"/>
  <c r="B358" i="34"/>
  <c r="B658" i="34"/>
  <c r="B659" i="34"/>
  <c r="B660" i="34"/>
  <c r="Z358" i="34" l="1"/>
  <c r="P358" i="34"/>
  <c r="W358" i="34"/>
  <c r="Q358" i="34"/>
  <c r="R358" i="34"/>
  <c r="A358" i="34"/>
  <c r="Z527" i="34"/>
  <c r="P527" i="34"/>
  <c r="W527" i="34"/>
  <c r="Q527" i="34"/>
  <c r="R527" i="34"/>
  <c r="A527" i="34"/>
  <c r="R660" i="34"/>
  <c r="Z660" i="34"/>
  <c r="P660" i="34"/>
  <c r="W660" i="34"/>
  <c r="Q660" i="34"/>
  <c r="A660" i="34"/>
  <c r="R323" i="34"/>
  <c r="P323" i="34"/>
  <c r="Q323" i="34"/>
  <c r="Z323" i="34"/>
  <c r="W323" i="34"/>
  <c r="A323" i="34"/>
  <c r="Z485" i="34"/>
  <c r="P485" i="34"/>
  <c r="W485" i="34"/>
  <c r="Q485" i="34"/>
  <c r="R485" i="34"/>
  <c r="A485" i="34"/>
  <c r="P659" i="34"/>
  <c r="W659" i="34"/>
  <c r="Q659" i="34"/>
  <c r="R659" i="34"/>
  <c r="Z659" i="34"/>
  <c r="A659" i="34"/>
  <c r="Z537" i="34"/>
  <c r="P537" i="34"/>
  <c r="W537" i="34"/>
  <c r="Q537" i="34"/>
  <c r="R537" i="34"/>
  <c r="A537" i="34"/>
  <c r="P469" i="34"/>
  <c r="W469" i="34"/>
  <c r="Q469" i="34"/>
  <c r="R469" i="34"/>
  <c r="Z469" i="34"/>
  <c r="A469" i="34"/>
  <c r="R658" i="34"/>
  <c r="Z658" i="34"/>
  <c r="P658" i="34"/>
  <c r="W658" i="34"/>
  <c r="Q658" i="34"/>
  <c r="A658" i="34"/>
  <c r="Q528" i="34"/>
  <c r="R528" i="34"/>
  <c r="Z528" i="34"/>
  <c r="P528" i="34"/>
  <c r="W528" i="34"/>
  <c r="A528" i="34"/>
  <c r="R468" i="34"/>
  <c r="Z468" i="34"/>
  <c r="P468" i="34"/>
  <c r="W468" i="34"/>
  <c r="Q468" i="34"/>
  <c r="A468" i="34"/>
  <c r="B39" i="34"/>
  <c r="B40" i="34"/>
  <c r="B85" i="34"/>
  <c r="B117" i="34"/>
  <c r="B440" i="34"/>
  <c r="B465" i="34"/>
  <c r="B466" i="34"/>
  <c r="B467" i="34"/>
  <c r="B526" i="34"/>
  <c r="B536" i="34"/>
  <c r="B544" i="34"/>
  <c r="B545" i="34"/>
  <c r="B546" i="34"/>
  <c r="B566" i="34"/>
  <c r="B587" i="34"/>
  <c r="B592" i="34"/>
  <c r="B29" i="34"/>
  <c r="B507" i="34"/>
  <c r="B78" i="34"/>
  <c r="B477" i="34"/>
  <c r="B158" i="34"/>
  <c r="B157" i="34"/>
  <c r="B944" i="34"/>
  <c r="B949" i="34"/>
  <c r="B916" i="34"/>
  <c r="B910" i="34"/>
  <c r="B882" i="34"/>
  <c r="B788" i="34"/>
  <c r="B745" i="34"/>
  <c r="B739" i="34"/>
  <c r="B632" i="34"/>
  <c r="B543" i="34"/>
  <c r="B452" i="34"/>
  <c r="B453" i="34"/>
  <c r="B522" i="34"/>
  <c r="B542" i="34"/>
  <c r="B153" i="34"/>
  <c r="B154" i="34"/>
  <c r="B155" i="34"/>
  <c r="B328" i="34"/>
  <c r="B329" i="34"/>
  <c r="B771" i="34"/>
  <c r="B781" i="34"/>
  <c r="B417" i="34"/>
  <c r="B418" i="34"/>
  <c r="B547" i="34"/>
  <c r="B588" i="34"/>
  <c r="B694" i="34"/>
  <c r="B715" i="34"/>
  <c r="B357" i="34"/>
  <c r="B300" i="34"/>
  <c r="B301" i="34"/>
  <c r="B287" i="34"/>
  <c r="B297" i="34"/>
  <c r="B178" i="34"/>
  <c r="B179" i="34"/>
  <c r="B211" i="34"/>
  <c r="B218" i="34"/>
  <c r="B176" i="34"/>
  <c r="B177" i="34"/>
  <c r="B81" i="34"/>
  <c r="B84" i="34"/>
  <c r="B116" i="34"/>
  <c r="B124" i="34"/>
  <c r="B125" i="34"/>
  <c r="B389" i="34"/>
  <c r="B390" i="34"/>
  <c r="B460" i="34"/>
  <c r="B523" i="34"/>
  <c r="B524" i="34"/>
  <c r="B525" i="34"/>
  <c r="B152" i="34"/>
  <c r="B318" i="34"/>
  <c r="B375" i="34"/>
  <c r="B416" i="34"/>
  <c r="B454" i="34"/>
  <c r="B464" i="34"/>
  <c r="B312" i="34"/>
  <c r="B313" i="34"/>
  <c r="B319" i="34"/>
  <c r="P313" i="34" l="1"/>
  <c r="W313" i="34"/>
  <c r="R313" i="34"/>
  <c r="Z313" i="34"/>
  <c r="Q313" i="34"/>
  <c r="A313" i="34"/>
  <c r="R416" i="34"/>
  <c r="Z416" i="34"/>
  <c r="P416" i="34"/>
  <c r="W416" i="34"/>
  <c r="Q416" i="34"/>
  <c r="A416" i="34"/>
  <c r="Z525" i="34"/>
  <c r="P525" i="34"/>
  <c r="W525" i="34"/>
  <c r="Q525" i="34"/>
  <c r="R525" i="34"/>
  <c r="A525" i="34"/>
  <c r="P390" i="34"/>
  <c r="W390" i="34"/>
  <c r="R390" i="34"/>
  <c r="Z390" i="34"/>
  <c r="Q390" i="34"/>
  <c r="A390" i="34"/>
  <c r="P116" i="34"/>
  <c r="W116" i="34"/>
  <c r="Q116" i="34"/>
  <c r="R116" i="34"/>
  <c r="Z116" i="34"/>
  <c r="A116" i="34"/>
  <c r="P176" i="34"/>
  <c r="W176" i="34"/>
  <c r="R176" i="34"/>
  <c r="Z176" i="34"/>
  <c r="Q176" i="34"/>
  <c r="A176" i="34"/>
  <c r="P178" i="34"/>
  <c r="W178" i="34"/>
  <c r="R178" i="34"/>
  <c r="Z178" i="34"/>
  <c r="Q178" i="34"/>
  <c r="A178" i="34"/>
  <c r="Q300" i="34"/>
  <c r="R300" i="34"/>
  <c r="P300" i="34"/>
  <c r="W300" i="34"/>
  <c r="Z300" i="34"/>
  <c r="A300" i="34"/>
  <c r="Q588" i="34"/>
  <c r="R588" i="34"/>
  <c r="Z588" i="34"/>
  <c r="P588" i="34"/>
  <c r="W588" i="34"/>
  <c r="A588" i="34"/>
  <c r="P781" i="34"/>
  <c r="W781" i="34"/>
  <c r="R781" i="34"/>
  <c r="Q781" i="34"/>
  <c r="Z781" i="34"/>
  <c r="A781" i="34"/>
  <c r="R155" i="34"/>
  <c r="Z155" i="34"/>
  <c r="P155" i="34"/>
  <c r="W155" i="34"/>
  <c r="Q155" i="34"/>
  <c r="A155" i="34"/>
  <c r="Q522" i="34"/>
  <c r="R522" i="34"/>
  <c r="Z522" i="34"/>
  <c r="P522" i="34"/>
  <c r="W522" i="34"/>
  <c r="A522" i="34"/>
  <c r="R632" i="34"/>
  <c r="P632" i="34"/>
  <c r="W632" i="34"/>
  <c r="Q632" i="34"/>
  <c r="Z632" i="34"/>
  <c r="A632" i="34"/>
  <c r="Q882" i="34"/>
  <c r="R882" i="34"/>
  <c r="Z882" i="34"/>
  <c r="P882" i="34"/>
  <c r="W882" i="34"/>
  <c r="A882" i="34"/>
  <c r="Q944" i="34"/>
  <c r="R944" i="34"/>
  <c r="P944" i="34"/>
  <c r="W944" i="34"/>
  <c r="Z944" i="34"/>
  <c r="A944" i="34"/>
  <c r="P78" i="34"/>
  <c r="W78" i="34"/>
  <c r="Q78" i="34"/>
  <c r="R78" i="34"/>
  <c r="Z78" i="34"/>
  <c r="A78" i="34"/>
  <c r="Z587" i="34"/>
  <c r="P587" i="34"/>
  <c r="W587" i="34"/>
  <c r="Q587" i="34"/>
  <c r="R587" i="34"/>
  <c r="A587" i="34"/>
  <c r="Q544" i="34"/>
  <c r="R544" i="34"/>
  <c r="Z544" i="34"/>
  <c r="P544" i="34"/>
  <c r="W544" i="34"/>
  <c r="A544" i="34"/>
  <c r="R466" i="34"/>
  <c r="Z466" i="34"/>
  <c r="P466" i="34"/>
  <c r="W466" i="34"/>
  <c r="Q466" i="34"/>
  <c r="A466" i="34"/>
  <c r="R85" i="34"/>
  <c r="Z85" i="34"/>
  <c r="P85" i="34"/>
  <c r="W85" i="34"/>
  <c r="Q85" i="34"/>
  <c r="A85" i="34"/>
  <c r="R464" i="34"/>
  <c r="Z464" i="34"/>
  <c r="P464" i="34"/>
  <c r="W464" i="34"/>
  <c r="Q464" i="34"/>
  <c r="A464" i="34"/>
  <c r="R312" i="34"/>
  <c r="P312" i="34"/>
  <c r="W312" i="34"/>
  <c r="Z312" i="34"/>
  <c r="Q312" i="34"/>
  <c r="A312" i="34"/>
  <c r="R375" i="34"/>
  <c r="P375" i="34"/>
  <c r="W375" i="34"/>
  <c r="Z375" i="34"/>
  <c r="Q375" i="34"/>
  <c r="A375" i="34"/>
  <c r="Q524" i="34"/>
  <c r="R524" i="34"/>
  <c r="Z524" i="34"/>
  <c r="P524" i="34"/>
  <c r="W524" i="34"/>
  <c r="A524" i="34"/>
  <c r="R389" i="34"/>
  <c r="P389" i="34"/>
  <c r="W389" i="34"/>
  <c r="Z389" i="34"/>
  <c r="Q389" i="34"/>
  <c r="A389" i="34"/>
  <c r="P84" i="34"/>
  <c r="W84" i="34"/>
  <c r="Q84" i="34"/>
  <c r="R84" i="34"/>
  <c r="Z84" i="34"/>
  <c r="A84" i="34"/>
  <c r="R218" i="34"/>
  <c r="P218" i="34"/>
  <c r="Q218" i="34"/>
  <c r="Z218" i="34"/>
  <c r="W218" i="34"/>
  <c r="A218" i="34"/>
  <c r="Z297" i="34"/>
  <c r="P297" i="34"/>
  <c r="W297" i="34"/>
  <c r="Q297" i="34"/>
  <c r="R297" i="34"/>
  <c r="A297" i="34"/>
  <c r="Q357" i="34"/>
  <c r="R357" i="34"/>
  <c r="Z357" i="34"/>
  <c r="P357" i="34"/>
  <c r="W357" i="34"/>
  <c r="A357" i="34"/>
  <c r="Z547" i="34"/>
  <c r="P547" i="34"/>
  <c r="W547" i="34"/>
  <c r="Q547" i="34"/>
  <c r="R547" i="34"/>
  <c r="A547" i="34"/>
  <c r="P771" i="34"/>
  <c r="W771" i="34"/>
  <c r="R771" i="34"/>
  <c r="Z771" i="34"/>
  <c r="Q771" i="34"/>
  <c r="A771" i="34"/>
  <c r="P154" i="34"/>
  <c r="W154" i="34"/>
  <c r="Q154" i="34"/>
  <c r="R154" i="34"/>
  <c r="Z154" i="34"/>
  <c r="A154" i="34"/>
  <c r="P453" i="34"/>
  <c r="W453" i="34"/>
  <c r="Q453" i="34"/>
  <c r="R453" i="34"/>
  <c r="Z453" i="34"/>
  <c r="A453" i="34"/>
  <c r="P739" i="34"/>
  <c r="W739" i="34"/>
  <c r="Q739" i="34"/>
  <c r="R739" i="34"/>
  <c r="Z739" i="34"/>
  <c r="A739" i="34"/>
  <c r="Q910" i="34"/>
  <c r="R910" i="34"/>
  <c r="Z910" i="34"/>
  <c r="P910" i="34"/>
  <c r="W910" i="34"/>
  <c r="A910" i="34"/>
  <c r="R157" i="34"/>
  <c r="Z157" i="34"/>
  <c r="P157" i="34"/>
  <c r="W157" i="34"/>
  <c r="Q157" i="34"/>
  <c r="A157" i="34"/>
  <c r="Z507" i="34"/>
  <c r="P507" i="34"/>
  <c r="W507" i="34"/>
  <c r="Q507" i="34"/>
  <c r="R507" i="34"/>
  <c r="A507" i="34"/>
  <c r="Q566" i="34"/>
  <c r="R566" i="34"/>
  <c r="Z566" i="34"/>
  <c r="P566" i="34"/>
  <c r="W566" i="34"/>
  <c r="A566" i="34"/>
  <c r="Q536" i="34"/>
  <c r="R536" i="34"/>
  <c r="Z536" i="34"/>
  <c r="P536" i="34"/>
  <c r="W536" i="34"/>
  <c r="A536" i="34"/>
  <c r="P465" i="34"/>
  <c r="W465" i="34"/>
  <c r="Q465" i="34"/>
  <c r="R465" i="34"/>
  <c r="Z465" i="34"/>
  <c r="A465" i="34"/>
  <c r="P40" i="34"/>
  <c r="W40" i="34"/>
  <c r="Q40" i="34"/>
  <c r="R40" i="34"/>
  <c r="Z40" i="34"/>
  <c r="A40" i="34"/>
  <c r="R318" i="34"/>
  <c r="P318" i="34"/>
  <c r="W318" i="34"/>
  <c r="Q318" i="34"/>
  <c r="Z318" i="34"/>
  <c r="A318" i="34"/>
  <c r="Z523" i="34"/>
  <c r="P523" i="34"/>
  <c r="W523" i="34"/>
  <c r="Q523" i="34"/>
  <c r="R523" i="34"/>
  <c r="A523" i="34"/>
  <c r="R125" i="34"/>
  <c r="Z125" i="34"/>
  <c r="P125" i="34"/>
  <c r="W125" i="34"/>
  <c r="Q125" i="34"/>
  <c r="A125" i="34"/>
  <c r="R81" i="34"/>
  <c r="Z81" i="34"/>
  <c r="P81" i="34"/>
  <c r="W81" i="34"/>
  <c r="Q81" i="34"/>
  <c r="A81" i="34"/>
  <c r="P211" i="34"/>
  <c r="W211" i="34"/>
  <c r="Q211" i="34"/>
  <c r="R211" i="34"/>
  <c r="Z211" i="34"/>
  <c r="A211" i="34"/>
  <c r="Z287" i="34"/>
  <c r="P287" i="34"/>
  <c r="W287" i="34"/>
  <c r="Q287" i="34"/>
  <c r="R287" i="34"/>
  <c r="A287" i="34"/>
  <c r="P715" i="34"/>
  <c r="W715" i="34"/>
  <c r="Q715" i="34"/>
  <c r="R715" i="34"/>
  <c r="Z715" i="34"/>
  <c r="A715" i="34"/>
  <c r="R418" i="34"/>
  <c r="Z418" i="34"/>
  <c r="P418" i="34"/>
  <c r="W418" i="34"/>
  <c r="Q418" i="34"/>
  <c r="A418" i="34"/>
  <c r="Q329" i="34"/>
  <c r="R329" i="34"/>
  <c r="Z329" i="34"/>
  <c r="P329" i="34"/>
  <c r="W329" i="34"/>
  <c r="A329" i="34"/>
  <c r="R153" i="34"/>
  <c r="Z153" i="34"/>
  <c r="P153" i="34"/>
  <c r="W153" i="34"/>
  <c r="Q153" i="34"/>
  <c r="A153" i="34"/>
  <c r="R452" i="34"/>
  <c r="Z452" i="34"/>
  <c r="P452" i="34"/>
  <c r="W452" i="34"/>
  <c r="Q452" i="34"/>
  <c r="A452" i="34"/>
  <c r="P745" i="34"/>
  <c r="W745" i="34"/>
  <c r="Q745" i="34"/>
  <c r="R745" i="34"/>
  <c r="Z745" i="34"/>
  <c r="A745" i="34"/>
  <c r="Q916" i="34"/>
  <c r="R916" i="34"/>
  <c r="Z916" i="34"/>
  <c r="P916" i="34"/>
  <c r="W916" i="34"/>
  <c r="A916" i="34"/>
  <c r="P158" i="34"/>
  <c r="W158" i="34"/>
  <c r="Q158" i="34"/>
  <c r="R158" i="34"/>
  <c r="Z158" i="34"/>
  <c r="A158" i="34"/>
  <c r="R29" i="34"/>
  <c r="Z29" i="34"/>
  <c r="P29" i="34"/>
  <c r="W29" i="34"/>
  <c r="Q29" i="34"/>
  <c r="A29" i="34"/>
  <c r="Q546" i="34"/>
  <c r="R546" i="34"/>
  <c r="Z546" i="34"/>
  <c r="P546" i="34"/>
  <c r="W546" i="34"/>
  <c r="A546" i="34"/>
  <c r="Q526" i="34"/>
  <c r="R526" i="34"/>
  <c r="Z526" i="34"/>
  <c r="P526" i="34"/>
  <c r="W526" i="34"/>
  <c r="A526" i="34"/>
  <c r="R440" i="34"/>
  <c r="Z440" i="34"/>
  <c r="P440" i="34"/>
  <c r="W440" i="34"/>
  <c r="Q440" i="34"/>
  <c r="A440" i="34"/>
  <c r="R39" i="34"/>
  <c r="Z39" i="34"/>
  <c r="P39" i="34"/>
  <c r="W39" i="34"/>
  <c r="Q39" i="34"/>
  <c r="A39" i="34"/>
  <c r="R319" i="34"/>
  <c r="P319" i="34"/>
  <c r="Q319" i="34"/>
  <c r="Z319" i="34"/>
  <c r="W319" i="34"/>
  <c r="A319" i="34"/>
  <c r="R454" i="34"/>
  <c r="Z454" i="34"/>
  <c r="P454" i="34"/>
  <c r="W454" i="34"/>
  <c r="Q454" i="34"/>
  <c r="A454" i="34"/>
  <c r="P152" i="34"/>
  <c r="W152" i="34"/>
  <c r="Q152" i="34"/>
  <c r="R152" i="34"/>
  <c r="Z152" i="34"/>
  <c r="A152" i="34"/>
  <c r="R460" i="34"/>
  <c r="Z460" i="34"/>
  <c r="P460" i="34"/>
  <c r="W460" i="34"/>
  <c r="Q460" i="34"/>
  <c r="A460" i="34"/>
  <c r="P124" i="34"/>
  <c r="W124" i="34"/>
  <c r="Q124" i="34"/>
  <c r="R124" i="34"/>
  <c r="Z124" i="34"/>
  <c r="A124" i="34"/>
  <c r="R177" i="34"/>
  <c r="P177" i="34"/>
  <c r="W177" i="34"/>
  <c r="Z177" i="34"/>
  <c r="Q177" i="34"/>
  <c r="A177" i="34"/>
  <c r="R179" i="34"/>
  <c r="Q179" i="34"/>
  <c r="Z179" i="34"/>
  <c r="W179" i="34"/>
  <c r="P179" i="34"/>
  <c r="A179" i="34"/>
  <c r="P301" i="34"/>
  <c r="W301" i="34"/>
  <c r="R301" i="34"/>
  <c r="Z301" i="34"/>
  <c r="Q301" i="34"/>
  <c r="A301" i="34"/>
  <c r="R694" i="34"/>
  <c r="Z694" i="34"/>
  <c r="P694" i="34"/>
  <c r="W694" i="34"/>
  <c r="Q694" i="34"/>
  <c r="A694" i="34"/>
  <c r="P417" i="34"/>
  <c r="W417" i="34"/>
  <c r="Q417" i="34"/>
  <c r="R417" i="34"/>
  <c r="Z417" i="34"/>
  <c r="A417" i="34"/>
  <c r="Z328" i="34"/>
  <c r="P328" i="34"/>
  <c r="W328" i="34"/>
  <c r="Q328" i="34"/>
  <c r="R328" i="34"/>
  <c r="A328" i="34"/>
  <c r="Q542" i="34"/>
  <c r="R542" i="34"/>
  <c r="Z542" i="34"/>
  <c r="P542" i="34"/>
  <c r="W542" i="34"/>
  <c r="A542" i="34"/>
  <c r="Z543" i="34"/>
  <c r="P543" i="34"/>
  <c r="W543" i="34"/>
  <c r="Q543" i="34"/>
  <c r="R543" i="34"/>
  <c r="A543" i="34"/>
  <c r="R788" i="34"/>
  <c r="P788" i="34"/>
  <c r="W788" i="34"/>
  <c r="Z788" i="34"/>
  <c r="Q788" i="34"/>
  <c r="A788" i="34"/>
  <c r="P949" i="34"/>
  <c r="W949" i="34"/>
  <c r="R949" i="34"/>
  <c r="Z949" i="34"/>
  <c r="Q949" i="34"/>
  <c r="A949" i="34"/>
  <c r="Z477" i="34"/>
  <c r="Q477" i="34"/>
  <c r="R477" i="34"/>
  <c r="P477" i="34"/>
  <c r="W477" i="34"/>
  <c r="A477" i="34"/>
  <c r="Q592" i="34"/>
  <c r="R592" i="34"/>
  <c r="Z592" i="34"/>
  <c r="P592" i="34"/>
  <c r="W592" i="34"/>
  <c r="A592" i="34"/>
  <c r="Z545" i="34"/>
  <c r="P545" i="34"/>
  <c r="W545" i="34"/>
  <c r="Q545" i="34"/>
  <c r="R545" i="34"/>
  <c r="A545" i="34"/>
  <c r="P467" i="34"/>
  <c r="W467" i="34"/>
  <c r="Q467" i="34"/>
  <c r="R467" i="34"/>
  <c r="Z467" i="34"/>
  <c r="A467" i="34"/>
  <c r="R117" i="34"/>
  <c r="Z117" i="34"/>
  <c r="P117" i="34"/>
  <c r="W117" i="34"/>
  <c r="Q117" i="34"/>
  <c r="A117" i="34"/>
  <c r="B351" i="34"/>
  <c r="B281" i="34"/>
  <c r="B278" i="34"/>
  <c r="B277" i="34"/>
  <c r="B243" i="34"/>
  <c r="B242" i="34"/>
  <c r="B162" i="34"/>
  <c r="B161" i="34"/>
  <c r="B950" i="34"/>
  <c r="B909" i="34"/>
  <c r="B908" i="34"/>
  <c r="B655" i="34"/>
  <c r="B420" i="34"/>
  <c r="B419" i="34"/>
  <c r="B280" i="34"/>
  <c r="B288" i="34"/>
  <c r="B298" i="34"/>
  <c r="P419" i="34" l="1"/>
  <c r="W419" i="34"/>
  <c r="Q419" i="34"/>
  <c r="R419" i="34"/>
  <c r="Z419" i="34"/>
  <c r="A419" i="34"/>
  <c r="P242" i="34"/>
  <c r="W242" i="34"/>
  <c r="Q242" i="34"/>
  <c r="R242" i="34"/>
  <c r="Z242" i="34"/>
  <c r="A242" i="34"/>
  <c r="P655" i="34"/>
  <c r="W655" i="34"/>
  <c r="Q655" i="34"/>
  <c r="R655" i="34"/>
  <c r="Z655" i="34"/>
  <c r="A655" i="34"/>
  <c r="R161" i="34"/>
  <c r="Z161" i="34"/>
  <c r="P161" i="34"/>
  <c r="W161" i="34"/>
  <c r="Q161" i="34"/>
  <c r="A161" i="34"/>
  <c r="Z277" i="34"/>
  <c r="P277" i="34"/>
  <c r="W277" i="34"/>
  <c r="Q277" i="34"/>
  <c r="R277" i="34"/>
  <c r="A277" i="34"/>
  <c r="Z909" i="34"/>
  <c r="P909" i="34"/>
  <c r="W909" i="34"/>
  <c r="Q909" i="34"/>
  <c r="R909" i="34"/>
  <c r="A909" i="34"/>
  <c r="Q288" i="34"/>
  <c r="R288" i="34"/>
  <c r="Z288" i="34"/>
  <c r="P288" i="34"/>
  <c r="W288" i="34"/>
  <c r="A288" i="34"/>
  <c r="Q280" i="34"/>
  <c r="R280" i="34"/>
  <c r="Z280" i="34"/>
  <c r="P280" i="34"/>
  <c r="W280" i="34"/>
  <c r="A280" i="34"/>
  <c r="Q908" i="34"/>
  <c r="R908" i="34"/>
  <c r="Z908" i="34"/>
  <c r="P908" i="34"/>
  <c r="W908" i="34"/>
  <c r="A908" i="34"/>
  <c r="P162" i="34"/>
  <c r="W162" i="34"/>
  <c r="Q162" i="34"/>
  <c r="R162" i="34"/>
  <c r="Z162" i="34"/>
  <c r="A162" i="34"/>
  <c r="Q278" i="34"/>
  <c r="R278" i="34"/>
  <c r="Z278" i="34"/>
  <c r="P278" i="34"/>
  <c r="W278" i="34"/>
  <c r="A278" i="34"/>
  <c r="Z281" i="34"/>
  <c r="P281" i="34"/>
  <c r="W281" i="34"/>
  <c r="Q281" i="34"/>
  <c r="R281" i="34"/>
  <c r="A281" i="34"/>
  <c r="Q298" i="34"/>
  <c r="R298" i="34"/>
  <c r="Z298" i="34"/>
  <c r="P298" i="34"/>
  <c r="W298" i="34"/>
  <c r="A298" i="34"/>
  <c r="R420" i="34"/>
  <c r="Z420" i="34"/>
  <c r="P420" i="34"/>
  <c r="W420" i="34"/>
  <c r="Q420" i="34"/>
  <c r="A420" i="34"/>
  <c r="R950" i="34"/>
  <c r="P950" i="34"/>
  <c r="W950" i="34"/>
  <c r="Z950" i="34"/>
  <c r="Q950" i="34"/>
  <c r="A950" i="34"/>
  <c r="R243" i="34"/>
  <c r="P243" i="34"/>
  <c r="Q243" i="34"/>
  <c r="Z243" i="34"/>
  <c r="W243" i="34"/>
  <c r="A243" i="34"/>
  <c r="Q351" i="34"/>
  <c r="R351" i="34"/>
  <c r="Z351" i="34"/>
  <c r="P351" i="34"/>
  <c r="W351" i="34"/>
  <c r="A351" i="34"/>
  <c r="A14" i="71"/>
  <c r="E37" i="71" s="1"/>
  <c r="A19" i="71"/>
  <c r="A20" i="71"/>
  <c r="A17" i="71"/>
  <c r="B656" i="34"/>
  <c r="A18" i="71"/>
  <c r="B338" i="34"/>
  <c r="A16" i="71"/>
  <c r="A15" i="71"/>
  <c r="R656" i="34" l="1"/>
  <c r="Z656" i="34"/>
  <c r="P656" i="34"/>
  <c r="W656" i="34"/>
  <c r="Q656" i="34"/>
  <c r="A656" i="34"/>
  <c r="Z338" i="34"/>
  <c r="P338" i="34"/>
  <c r="W338" i="34"/>
  <c r="Q338" i="34"/>
  <c r="R338" i="34"/>
  <c r="A338" i="34"/>
  <c r="A36" i="71"/>
  <c r="H2" i="71"/>
  <c r="E6" i="43" l="1"/>
  <c r="O8" i="43"/>
  <c r="N8" i="43"/>
  <c r="D13" i="15" l="1"/>
  <c r="C13" i="15"/>
  <c r="B439" i="34"/>
  <c r="B792" i="34"/>
  <c r="B881" i="34"/>
  <c r="B136" i="34"/>
  <c r="B148" i="34"/>
  <c r="B181" i="34"/>
  <c r="B240" i="34"/>
  <c r="B258" i="34"/>
  <c r="B276" i="34"/>
  <c r="B334" i="34"/>
  <c r="B385" i="34"/>
  <c r="B79" i="34"/>
  <c r="Z334" i="34" l="1"/>
  <c r="P334" i="34"/>
  <c r="W334" i="34"/>
  <c r="Q334" i="34"/>
  <c r="R334" i="34"/>
  <c r="A334" i="34"/>
  <c r="R181" i="34"/>
  <c r="Q181" i="34"/>
  <c r="Z181" i="34"/>
  <c r="W181" i="34"/>
  <c r="P181" i="34"/>
  <c r="A181" i="34"/>
  <c r="R792" i="34"/>
  <c r="P792" i="34"/>
  <c r="W792" i="34"/>
  <c r="Z792" i="34"/>
  <c r="Q792" i="34"/>
  <c r="A792" i="34"/>
  <c r="Q276" i="34"/>
  <c r="R276" i="34"/>
  <c r="Z276" i="34"/>
  <c r="P276" i="34"/>
  <c r="W276" i="34"/>
  <c r="A276" i="34"/>
  <c r="P148" i="34"/>
  <c r="W148" i="34"/>
  <c r="Q148" i="34"/>
  <c r="R148" i="34"/>
  <c r="Z148" i="34"/>
  <c r="A148" i="34"/>
  <c r="P439" i="34"/>
  <c r="W439" i="34"/>
  <c r="Q439" i="34"/>
  <c r="R439" i="34"/>
  <c r="Z439" i="34"/>
  <c r="A439" i="34"/>
  <c r="R79" i="34"/>
  <c r="Z79" i="34"/>
  <c r="P79" i="34"/>
  <c r="W79" i="34"/>
  <c r="Q79" i="34"/>
  <c r="A79" i="34"/>
  <c r="Q258" i="34"/>
  <c r="R258" i="34"/>
  <c r="Z258" i="34"/>
  <c r="P258" i="34"/>
  <c r="W258" i="34"/>
  <c r="A258" i="34"/>
  <c r="P136" i="34"/>
  <c r="W136" i="34"/>
  <c r="Q136" i="34"/>
  <c r="R136" i="34"/>
  <c r="Z136" i="34"/>
  <c r="A136" i="34"/>
  <c r="R385" i="34"/>
  <c r="P385" i="34"/>
  <c r="W385" i="34"/>
  <c r="Z385" i="34"/>
  <c r="Q385" i="34"/>
  <c r="A385" i="34"/>
  <c r="P240" i="34"/>
  <c r="W240" i="34"/>
  <c r="Q240" i="34"/>
  <c r="R240" i="34"/>
  <c r="Z240" i="34"/>
  <c r="A240" i="34"/>
  <c r="Z881" i="34"/>
  <c r="P881" i="34"/>
  <c r="W881" i="34"/>
  <c r="Q881" i="34"/>
  <c r="R881" i="34"/>
  <c r="A881" i="34"/>
  <c r="B476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476" i="34" l="1"/>
  <c r="Z476" i="34"/>
  <c r="W476" i="34"/>
  <c r="P476" i="34"/>
  <c r="R476" i="34"/>
  <c r="A476" i="34"/>
  <c r="A28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41" i="68"/>
  <c r="A42" i="68"/>
  <c r="F20" i="68"/>
  <c r="C20" i="68"/>
  <c r="A12" i="68"/>
  <c r="A8" i="68"/>
  <c r="A13" i="68"/>
  <c r="D20" i="68"/>
  <c r="E13" i="68"/>
  <c r="E11" i="68"/>
  <c r="E29" i="68" l="1"/>
  <c r="G20" i="68" s="1"/>
  <c r="A10" i="68"/>
  <c r="K20" i="64"/>
  <c r="H20" i="68" l="1"/>
  <c r="F21" i="68" s="1"/>
  <c r="L20" i="64"/>
  <c r="G21" i="68" l="1"/>
  <c r="H21" i="68" s="1"/>
  <c r="F22" i="68" s="1"/>
  <c r="B3394" i="34"/>
  <c r="B3395" i="34"/>
  <c r="B3396" i="34"/>
  <c r="B3397" i="34"/>
  <c r="B3398" i="34"/>
  <c r="B3399" i="34"/>
  <c r="G22" i="68" l="1"/>
  <c r="H22" i="68" s="1"/>
  <c r="F23" i="68" s="1"/>
  <c r="Q3397" i="34"/>
  <c r="R3397" i="34"/>
  <c r="Z3397" i="34"/>
  <c r="P3397" i="34"/>
  <c r="R3396" i="34"/>
  <c r="Z3396" i="34"/>
  <c r="P3396" i="34"/>
  <c r="Q3396" i="34"/>
  <c r="P3399" i="34"/>
  <c r="Q3399" i="34"/>
  <c r="R3399" i="34"/>
  <c r="Z3399" i="34"/>
  <c r="P3395" i="34"/>
  <c r="Q3395" i="34"/>
  <c r="R3395" i="34"/>
  <c r="Z3395" i="34"/>
  <c r="P3398" i="34"/>
  <c r="R3398" i="34"/>
  <c r="Z3398" i="34"/>
  <c r="Q3398" i="34"/>
  <c r="P3394" i="34"/>
  <c r="R3394" i="34"/>
  <c r="Z3394" i="34"/>
  <c r="Q3394" i="34"/>
  <c r="A3396" i="34"/>
  <c r="A3395" i="34"/>
  <c r="A3394" i="34"/>
  <c r="A3397" i="34"/>
  <c r="A3398" i="34"/>
  <c r="A3399" i="34"/>
  <c r="I6" i="43"/>
  <c r="G23" i="68" l="1"/>
  <c r="H23" i="68" s="1"/>
  <c r="F24" i="68" s="1"/>
  <c r="G104" i="55" a="1"/>
  <c r="G104" i="55" s="1"/>
  <c r="I41" i="55" a="1"/>
  <c r="I41" i="55" s="1"/>
  <c r="I99" i="55" a="1"/>
  <c r="I99" i="55" s="1"/>
  <c r="I74" i="55" a="1"/>
  <c r="I74" i="55" s="1"/>
  <c r="I177" i="55" a="1"/>
  <c r="I177" i="55" s="1"/>
  <c r="I311" i="55" a="1"/>
  <c r="I311" i="55" s="1"/>
  <c r="I85" i="55" a="1"/>
  <c r="I85" i="55" s="1"/>
  <c r="I59" i="55" a="1"/>
  <c r="I59" i="55" s="1"/>
  <c r="I120" i="55" a="1"/>
  <c r="I120" i="55" s="1"/>
  <c r="I185" i="55" a="1"/>
  <c r="I185" i="55" s="1"/>
  <c r="I104" i="55" a="1"/>
  <c r="I104" i="55" s="1"/>
  <c r="G43" i="55" a="1"/>
  <c r="G43" i="55" s="1"/>
  <c r="G354" i="55" a="1"/>
  <c r="G354" i="55" s="1"/>
  <c r="G261" i="55" a="1"/>
  <c r="G261" i="55" s="1"/>
  <c r="G141" i="55" a="1"/>
  <c r="G141" i="55" s="1"/>
  <c r="G209" i="55" a="1"/>
  <c r="G209" i="55" s="1"/>
  <c r="I97" i="55" a="1"/>
  <c r="I97" i="55" s="1"/>
  <c r="I167" i="55" a="1"/>
  <c r="I167" i="55" s="1"/>
  <c r="I352" i="55" a="1"/>
  <c r="I352" i="55" s="1"/>
  <c r="I61" i="55" a="1"/>
  <c r="I61" i="55" s="1"/>
  <c r="I369" i="55" a="1"/>
  <c r="I369" i="55" s="1"/>
  <c r="I386" i="55" a="1"/>
  <c r="I386" i="55" s="1"/>
  <c r="I328" i="55" a="1"/>
  <c r="I328" i="55" s="1"/>
  <c r="I240" i="55" a="1"/>
  <c r="I240" i="55" s="1"/>
  <c r="I181" i="55" a="1"/>
  <c r="I181" i="55" s="1"/>
  <c r="I218" i="55" a="1"/>
  <c r="I218" i="55" s="1"/>
  <c r="G77" i="55" a="1"/>
  <c r="G77" i="55" s="1"/>
  <c r="G200" i="55" a="1"/>
  <c r="G200" i="55" s="1"/>
  <c r="G243" i="55" a="1"/>
  <c r="G243" i="55" s="1"/>
  <c r="G70" i="55" a="1"/>
  <c r="G70" i="55" s="1"/>
  <c r="G246" i="55" a="1"/>
  <c r="G246" i="55" s="1"/>
  <c r="I375" i="55" a="1"/>
  <c r="I375" i="55" s="1"/>
  <c r="I43" i="55" a="1"/>
  <c r="I43" i="55" s="1"/>
  <c r="I354" i="55" a="1"/>
  <c r="I354" i="55" s="1"/>
  <c r="I261" i="55" a="1"/>
  <c r="I261" i="55" s="1"/>
  <c r="I141" i="55" a="1"/>
  <c r="I141" i="55" s="1"/>
  <c r="I209" i="55" a="1"/>
  <c r="I209" i="55" s="1"/>
  <c r="G375" i="55" a="1"/>
  <c r="G375" i="55" s="1"/>
  <c r="I77" i="55" a="1"/>
  <c r="I77" i="55" s="1"/>
  <c r="I200" i="55" a="1"/>
  <c r="I200" i="55" s="1"/>
  <c r="I243" i="55" a="1"/>
  <c r="I243" i="55" s="1"/>
  <c r="I70" i="55" a="1"/>
  <c r="I70" i="55" s="1"/>
  <c r="I179" i="55" a="1"/>
  <c r="I179" i="55" s="1"/>
  <c r="I102" i="55" a="1"/>
  <c r="I102" i="55" s="1"/>
  <c r="I282" i="55" a="1"/>
  <c r="I282" i="55" s="1"/>
  <c r="I112" i="55" a="1"/>
  <c r="I112" i="55" s="1"/>
  <c r="I195" i="55" a="1"/>
  <c r="I195" i="55" s="1"/>
  <c r="G218" i="55" a="1"/>
  <c r="G218" i="55" s="1"/>
  <c r="G97" i="55" a="1"/>
  <c r="G97" i="55" s="1"/>
  <c r="G167" i="55" a="1"/>
  <c r="G167" i="55" s="1"/>
  <c r="G352" i="55" a="1"/>
  <c r="G352" i="55" s="1"/>
  <c r="G41" i="55" a="1"/>
  <c r="G41" i="55" s="1"/>
  <c r="G311" i="55" a="1"/>
  <c r="G311" i="55" s="1"/>
  <c r="G386" i="55" a="1"/>
  <c r="G386" i="55" s="1"/>
  <c r="G59" i="55" a="1"/>
  <c r="G59" i="55" s="1"/>
  <c r="G185" i="55" a="1"/>
  <c r="G185" i="55" s="1"/>
  <c r="I54" i="55" a="1"/>
  <c r="I54" i="55" s="1"/>
  <c r="I189" i="55" a="1"/>
  <c r="I189" i="55" s="1"/>
  <c r="G180" i="55" a="1"/>
  <c r="G180" i="55" s="1"/>
  <c r="G221" i="55" a="1"/>
  <c r="G221" i="55" s="1"/>
  <c r="G245" i="55" a="1"/>
  <c r="G245" i="55" s="1"/>
  <c r="G391" i="55" a="1"/>
  <c r="G391" i="55" s="1"/>
  <c r="G108" i="55" a="1"/>
  <c r="G108" i="55" s="1"/>
  <c r="I14" i="55" a="1"/>
  <c r="I14" i="55" s="1"/>
  <c r="G40" i="55" a="1"/>
  <c r="G40" i="55" s="1"/>
  <c r="G300" i="55" a="1"/>
  <c r="G300" i="55" s="1"/>
  <c r="I164" i="55" a="1"/>
  <c r="I164" i="55" s="1"/>
  <c r="I392" i="55" a="1"/>
  <c r="I392" i="55" s="1"/>
  <c r="I47" i="55" a="1"/>
  <c r="I47" i="55" s="1"/>
  <c r="G135" i="55" a="1"/>
  <c r="G135" i="55" s="1"/>
  <c r="I135" i="55" a="1"/>
  <c r="I135" i="55" s="1"/>
  <c r="G22" i="55" a="1"/>
  <c r="G22" i="55" s="1"/>
  <c r="G99" i="55" a="1"/>
  <c r="G99" i="55" s="1"/>
  <c r="G61" i="55" a="1"/>
  <c r="G61" i="55" s="1"/>
  <c r="G282" i="55" a="1"/>
  <c r="G282" i="55" s="1"/>
  <c r="G240" i="55" a="1"/>
  <c r="G240" i="55" s="1"/>
  <c r="I329" i="55" a="1"/>
  <c r="I329" i="55" s="1"/>
  <c r="I180" i="55" a="1"/>
  <c r="I180" i="55" s="1"/>
  <c r="I221" i="55" a="1"/>
  <c r="I221" i="55" s="1"/>
  <c r="I245" i="55" a="1"/>
  <c r="I245" i="55" s="1"/>
  <c r="I391" i="55" a="1"/>
  <c r="I391" i="55" s="1"/>
  <c r="I108" i="55" a="1"/>
  <c r="I108" i="55" s="1"/>
  <c r="G257" i="55" a="1"/>
  <c r="G257" i="55" s="1"/>
  <c r="G290" i="55" a="1"/>
  <c r="G290" i="55" s="1"/>
  <c r="G196" i="55" a="1"/>
  <c r="G196" i="55" s="1"/>
  <c r="G294" i="55" a="1"/>
  <c r="G294" i="55" s="1"/>
  <c r="G126" i="55" a="1"/>
  <c r="G126" i="55" s="1"/>
  <c r="G284" i="55" a="1"/>
  <c r="G284" i="55" s="1"/>
  <c r="G148" i="55" a="1"/>
  <c r="G148" i="55" s="1"/>
  <c r="G314" i="55" a="1"/>
  <c r="G314" i="55" s="1"/>
  <c r="G210" i="55" a="1"/>
  <c r="G210" i="55" s="1"/>
  <c r="I149" i="55" a="1"/>
  <c r="I149" i="55" s="1"/>
  <c r="I338" i="55" a="1"/>
  <c r="I338" i="55" s="1"/>
  <c r="I20" i="55" a="1"/>
  <c r="I20" i="55" s="1"/>
  <c r="G74" i="55" a="1"/>
  <c r="G74" i="55" s="1"/>
  <c r="G179" i="55" a="1"/>
  <c r="G179" i="55" s="1"/>
  <c r="G102" i="55" a="1"/>
  <c r="G102" i="55" s="1"/>
  <c r="G328" i="55" a="1"/>
  <c r="G328" i="55" s="1"/>
  <c r="G181" i="55" a="1"/>
  <c r="G181" i="55" s="1"/>
  <c r="I257" i="55" a="1"/>
  <c r="I257" i="55" s="1"/>
  <c r="I290" i="55" a="1"/>
  <c r="I290" i="55" s="1"/>
  <c r="I196" i="55" a="1"/>
  <c r="I196" i="55" s="1"/>
  <c r="I294" i="55" a="1"/>
  <c r="I294" i="55" s="1"/>
  <c r="I126" i="55" a="1"/>
  <c r="I126" i="55" s="1"/>
  <c r="I284" i="55" a="1"/>
  <c r="I284" i="55" s="1"/>
  <c r="I246" i="55" a="1"/>
  <c r="I246" i="55" s="1"/>
  <c r="G367" i="55" a="1"/>
  <c r="G367" i="55" s="1"/>
  <c r="G164" i="55" a="1"/>
  <c r="G164" i="55" s="1"/>
  <c r="G392" i="55" a="1"/>
  <c r="G392" i="55" s="1"/>
  <c r="G47" i="55" a="1"/>
  <c r="G47" i="55" s="1"/>
  <c r="I40" i="55" a="1"/>
  <c r="I40" i="55" s="1"/>
  <c r="G233" i="55" a="1"/>
  <c r="G233" i="55" s="1"/>
  <c r="I233" i="55" a="1"/>
  <c r="I233" i="55" s="1"/>
  <c r="G28" i="55" a="1"/>
  <c r="G28" i="55" s="1"/>
  <c r="G177" i="55" a="1"/>
  <c r="G177" i="55" s="1"/>
  <c r="G369" i="55" a="1"/>
  <c r="G369" i="55" s="1"/>
  <c r="G85" i="55" a="1"/>
  <c r="G85" i="55" s="1"/>
  <c r="K85" i="55" s="1"/>
  <c r="G112" i="55" a="1"/>
  <c r="G112" i="55" s="1"/>
  <c r="G120" i="55" a="1"/>
  <c r="G120" i="55" s="1"/>
  <c r="K120" i="55" s="1"/>
  <c r="G195" i="55" a="1"/>
  <c r="G195" i="55" s="1"/>
  <c r="I367" i="55" a="1"/>
  <c r="I367" i="55" s="1"/>
  <c r="G329" i="55" a="1"/>
  <c r="G329" i="55" s="1"/>
  <c r="G54" i="55" a="1"/>
  <c r="G54" i="55" s="1"/>
  <c r="G189" i="55" a="1"/>
  <c r="G189" i="55" s="1"/>
  <c r="G14" i="55" a="1"/>
  <c r="G14" i="55" s="1"/>
  <c r="G149" i="55" a="1"/>
  <c r="G149" i="55" s="1"/>
  <c r="G338" i="55" a="1"/>
  <c r="G338" i="55" s="1"/>
  <c r="I300" i="55" a="1"/>
  <c r="I300" i="55" s="1"/>
  <c r="I148" i="55" a="1"/>
  <c r="I148" i="55" s="1"/>
  <c r="I314" i="55" a="1"/>
  <c r="I314" i="55" s="1"/>
  <c r="I210" i="55" a="1"/>
  <c r="I210" i="55" s="1"/>
  <c r="G321" i="55" a="1"/>
  <c r="G321" i="55" s="1"/>
  <c r="G271" i="55" a="1"/>
  <c r="G271" i="55" s="1"/>
  <c r="I321" i="55" a="1"/>
  <c r="I321" i="55" s="1"/>
  <c r="I271" i="55" a="1"/>
  <c r="I271" i="55" s="1"/>
  <c r="G21" i="55" a="1"/>
  <c r="G21" i="55" s="1"/>
  <c r="G20" i="55" a="1"/>
  <c r="G20" i="55" s="1"/>
  <c r="I22" i="55" a="1"/>
  <c r="I22" i="55" s="1"/>
  <c r="I21" i="55" a="1"/>
  <c r="I21" i="55" s="1"/>
  <c r="I28" i="55" a="1"/>
  <c r="I28" i="55" s="1"/>
  <c r="A27" i="12"/>
  <c r="E141" i="43" l="1"/>
  <c r="G142" i="43"/>
  <c r="A140" i="43"/>
  <c r="B141" i="43"/>
  <c r="C141" i="43"/>
  <c r="F140" i="43"/>
  <c r="G141" i="43"/>
  <c r="A142" i="43"/>
  <c r="H142" i="43" s="1"/>
  <c r="D141" i="43"/>
  <c r="E142" i="43"/>
  <c r="A141" i="43"/>
  <c r="B142" i="43"/>
  <c r="C142" i="43"/>
  <c r="F141" i="43"/>
  <c r="B140" i="43"/>
  <c r="C140" i="43"/>
  <c r="D142" i="43"/>
  <c r="F142" i="43"/>
  <c r="G140" i="43"/>
  <c r="D140" i="43"/>
  <c r="E140" i="43"/>
  <c r="A135" i="43"/>
  <c r="D136" i="43"/>
  <c r="D135" i="43"/>
  <c r="E134" i="43"/>
  <c r="G137" i="43"/>
  <c r="A139" i="43"/>
  <c r="G139" i="43"/>
  <c r="E138" i="43"/>
  <c r="B135" i="43"/>
  <c r="C134" i="43"/>
  <c r="A134" i="43"/>
  <c r="A136" i="43"/>
  <c r="C138" i="43"/>
  <c r="G134" i="43"/>
  <c r="E139" i="43"/>
  <c r="D137" i="43"/>
  <c r="B136" i="43"/>
  <c r="B138" i="43"/>
  <c r="B139" i="43"/>
  <c r="C135" i="43"/>
  <c r="F137" i="43"/>
  <c r="C139" i="43"/>
  <c r="G138" i="43"/>
  <c r="B134" i="43"/>
  <c r="F135" i="43"/>
  <c r="E136" i="43"/>
  <c r="F138" i="43"/>
  <c r="F136" i="43"/>
  <c r="D139" i="43"/>
  <c r="G135" i="43"/>
  <c r="G136" i="43"/>
  <c r="A138" i="43"/>
  <c r="D138" i="43"/>
  <c r="A137" i="43"/>
  <c r="F134" i="43"/>
  <c r="E135" i="43"/>
  <c r="C137" i="43"/>
  <c r="E137" i="43"/>
  <c r="C136" i="43"/>
  <c r="D134" i="43"/>
  <c r="F139" i="43"/>
  <c r="B137" i="43"/>
  <c r="G67" i="43"/>
  <c r="G68" i="43"/>
  <c r="G66" i="43"/>
  <c r="G24" i="68"/>
  <c r="H24" i="68" s="1"/>
  <c r="F25" i="68" s="1"/>
  <c r="D115" i="43"/>
  <c r="A122" i="43"/>
  <c r="A124" i="43"/>
  <c r="F123" i="43"/>
  <c r="F125" i="43"/>
  <c r="D125" i="43"/>
  <c r="D127" i="43"/>
  <c r="D129" i="43"/>
  <c r="D131" i="43"/>
  <c r="G128" i="43"/>
  <c r="G130" i="43"/>
  <c r="E130" i="43"/>
  <c r="E132" i="43"/>
  <c r="C132" i="43"/>
  <c r="A115" i="43"/>
  <c r="E117" i="43"/>
  <c r="A119" i="43"/>
  <c r="A117" i="43"/>
  <c r="D118" i="43"/>
  <c r="F118" i="43"/>
  <c r="B120" i="43"/>
  <c r="D120" i="43"/>
  <c r="G121" i="43"/>
  <c r="D124" i="43"/>
  <c r="G125" i="43"/>
  <c r="A133" i="43"/>
  <c r="B115" i="43"/>
  <c r="B117" i="43"/>
  <c r="G116" i="43"/>
  <c r="G118" i="43"/>
  <c r="E118" i="43"/>
  <c r="E120" i="43"/>
  <c r="E122" i="43"/>
  <c r="E124" i="43"/>
  <c r="F130" i="43"/>
  <c r="B132" i="43"/>
  <c r="D132" i="43"/>
  <c r="G133" i="43"/>
  <c r="E116" i="43"/>
  <c r="C116" i="43"/>
  <c r="C118" i="43"/>
  <c r="C120" i="43"/>
  <c r="C122" i="43"/>
  <c r="F119" i="43"/>
  <c r="F121" i="43"/>
  <c r="D121" i="43"/>
  <c r="D123" i="43"/>
  <c r="B123" i="43"/>
  <c r="B125" i="43"/>
  <c r="B127" i="43"/>
  <c r="B129" i="43"/>
  <c r="E126" i="43"/>
  <c r="E128" i="43"/>
  <c r="C128" i="43"/>
  <c r="C130" i="43"/>
  <c r="A130" i="43"/>
  <c r="A132" i="43"/>
  <c r="C115" i="43"/>
  <c r="F116" i="43"/>
  <c r="G123" i="43"/>
  <c r="C125" i="43"/>
  <c r="E125" i="43"/>
  <c r="A127" i="43"/>
  <c r="C127" i="43"/>
  <c r="F128" i="43"/>
  <c r="C131" i="43"/>
  <c r="F132" i="43"/>
  <c r="E121" i="43"/>
  <c r="A123" i="43"/>
  <c r="C123" i="43"/>
  <c r="F124" i="43"/>
  <c r="A125" i="43"/>
  <c r="D126" i="43"/>
  <c r="A129" i="43"/>
  <c r="D130" i="43"/>
  <c r="D128" i="43"/>
  <c r="G129" i="43"/>
  <c r="B130" i="43"/>
  <c r="E131" i="43"/>
  <c r="G131" i="43"/>
  <c r="C133" i="43"/>
  <c r="A116" i="43"/>
  <c r="A118" i="43"/>
  <c r="A120" i="43"/>
  <c r="D117" i="43"/>
  <c r="D119" i="43"/>
  <c r="B119" i="43"/>
  <c r="B121" i="43"/>
  <c r="G120" i="43"/>
  <c r="G122" i="43"/>
  <c r="G124" i="43"/>
  <c r="G126" i="43"/>
  <c r="D133" i="43"/>
  <c r="B116" i="43"/>
  <c r="D116" i="43"/>
  <c r="G117" i="43"/>
  <c r="B118" i="43"/>
  <c r="E119" i="43"/>
  <c r="B122" i="43"/>
  <c r="E123" i="43"/>
  <c r="B131" i="43"/>
  <c r="B133" i="43"/>
  <c r="G132" i="43"/>
  <c r="E115" i="43"/>
  <c r="G115" i="43"/>
  <c r="C117" i="43"/>
  <c r="G119" i="43"/>
  <c r="C121" i="43"/>
  <c r="C119" i="43"/>
  <c r="F120" i="43"/>
  <c r="A121" i="43"/>
  <c r="D122" i="43"/>
  <c r="F122" i="43"/>
  <c r="B124" i="43"/>
  <c r="F126" i="43"/>
  <c r="B128" i="43"/>
  <c r="B126" i="43"/>
  <c r="E127" i="43"/>
  <c r="G127" i="43"/>
  <c r="C129" i="43"/>
  <c r="E129" i="43"/>
  <c r="A131" i="43"/>
  <c r="E133" i="43"/>
  <c r="F115" i="43"/>
  <c r="F117" i="43"/>
  <c r="C124" i="43"/>
  <c r="C126" i="43"/>
  <c r="A126" i="43"/>
  <c r="A128" i="43"/>
  <c r="F127" i="43"/>
  <c r="F129" i="43"/>
  <c r="F131" i="43"/>
  <c r="F133" i="43"/>
  <c r="G96" i="43"/>
  <c r="C101" i="43"/>
  <c r="F105" i="43"/>
  <c r="A65" i="43"/>
  <c r="D69" i="43"/>
  <c r="B87" i="43"/>
  <c r="G104" i="43"/>
  <c r="E81" i="43"/>
  <c r="C99" i="43"/>
  <c r="E84" i="43"/>
  <c r="C102" i="43"/>
  <c r="A79" i="43"/>
  <c r="F96" i="43"/>
  <c r="D73" i="43"/>
  <c r="B91" i="43"/>
  <c r="E85" i="43"/>
  <c r="D71" i="43"/>
  <c r="B89" i="43"/>
  <c r="G65" i="43"/>
  <c r="E83" i="43"/>
  <c r="E73" i="43"/>
  <c r="C91" i="43"/>
  <c r="A68" i="43"/>
  <c r="F85" i="43"/>
  <c r="C94" i="43"/>
  <c r="A71" i="43"/>
  <c r="F88" i="43"/>
  <c r="D65" i="43"/>
  <c r="B83" i="43"/>
  <c r="G100" i="43"/>
  <c r="E77" i="43"/>
  <c r="C95" i="43"/>
  <c r="A72" i="43"/>
  <c r="G98" i="43"/>
  <c r="E75" i="43"/>
  <c r="C93" i="43"/>
  <c r="A70" i="43"/>
  <c r="F87" i="43"/>
  <c r="D105" i="43"/>
  <c r="B82" i="43"/>
  <c r="G99" i="43"/>
  <c r="E76" i="43"/>
  <c r="B85" i="43"/>
  <c r="G102" i="43"/>
  <c r="E79" i="43"/>
  <c r="C97" i="43"/>
  <c r="A74" i="43"/>
  <c r="F91" i="43"/>
  <c r="D68" i="43"/>
  <c r="B86" i="43"/>
  <c r="G103" i="43"/>
  <c r="F89" i="43"/>
  <c r="D66" i="43"/>
  <c r="B84" i="43"/>
  <c r="G101" i="43"/>
  <c r="E78" i="43"/>
  <c r="C96" i="43"/>
  <c r="A73" i="43"/>
  <c r="F90" i="43"/>
  <c r="D67" i="43"/>
  <c r="A76" i="43"/>
  <c r="F93" i="43"/>
  <c r="D70" i="43"/>
  <c r="B88" i="43"/>
  <c r="G105" i="43"/>
  <c r="E82" i="43"/>
  <c r="C100" i="43"/>
  <c r="A77" i="43"/>
  <c r="F94" i="43"/>
  <c r="E80" i="43"/>
  <c r="C98" i="43"/>
  <c r="A75" i="43"/>
  <c r="F92" i="43"/>
  <c r="D100" i="43"/>
  <c r="D103" i="43"/>
  <c r="E74" i="43"/>
  <c r="F86" i="43"/>
  <c r="A67" i="43"/>
  <c r="B79" i="43"/>
  <c r="E104" i="43"/>
  <c r="E66" i="43"/>
  <c r="F78" i="43"/>
  <c r="G90" i="43"/>
  <c r="B71" i="43"/>
  <c r="C83" i="43"/>
  <c r="D95" i="43"/>
  <c r="D98" i="43"/>
  <c r="G73" i="43"/>
  <c r="E91" i="43"/>
  <c r="C68" i="43"/>
  <c r="A86" i="43"/>
  <c r="E94" i="43"/>
  <c r="C71" i="43"/>
  <c r="A89" i="43"/>
  <c r="F65" i="43"/>
  <c r="D83" i="43"/>
  <c r="B101" i="43"/>
  <c r="G77" i="43"/>
  <c r="E95" i="43"/>
  <c r="C72" i="43"/>
  <c r="B99" i="43"/>
  <c r="G75" i="43"/>
  <c r="E93" i="43"/>
  <c r="C70" i="43"/>
  <c r="A88" i="43"/>
  <c r="A78" i="43"/>
  <c r="F95" i="43"/>
  <c r="D72" i="43"/>
  <c r="B90" i="43"/>
  <c r="F98" i="43"/>
  <c r="D75" i="43"/>
  <c r="B93" i="43"/>
  <c r="G69" i="43"/>
  <c r="E87" i="43"/>
  <c r="C105" i="43"/>
  <c r="A82" i="43"/>
  <c r="F99" i="43"/>
  <c r="D76" i="43"/>
  <c r="C103" i="43"/>
  <c r="A80" i="43"/>
  <c r="F97" i="43"/>
  <c r="D74" i="43"/>
  <c r="B92" i="43"/>
  <c r="E86" i="43"/>
  <c r="C104" i="43"/>
  <c r="A81" i="43"/>
  <c r="E89" i="43"/>
  <c r="C66" i="43"/>
  <c r="A84" i="43"/>
  <c r="F101" i="43"/>
  <c r="D78" i="43"/>
  <c r="B96" i="43"/>
  <c r="G72" i="43"/>
  <c r="E90" i="43"/>
  <c r="C67" i="43"/>
  <c r="B94" i="43"/>
  <c r="G70" i="43"/>
  <c r="E88" i="43"/>
  <c r="C65" i="43"/>
  <c r="A83" i="43"/>
  <c r="F100" i="43"/>
  <c r="D77" i="43"/>
  <c r="B95" i="43"/>
  <c r="G71" i="43"/>
  <c r="D80" i="43"/>
  <c r="B98" i="43"/>
  <c r="G74" i="43"/>
  <c r="E92" i="43"/>
  <c r="C69" i="43"/>
  <c r="A87" i="43"/>
  <c r="F104" i="43"/>
  <c r="D81" i="43"/>
  <c r="F103" i="43"/>
  <c r="A85" i="43"/>
  <c r="F102" i="43"/>
  <c r="D79" i="43"/>
  <c r="B97" i="43"/>
  <c r="B77" i="43"/>
  <c r="B80" i="43"/>
  <c r="C92" i="43"/>
  <c r="D104" i="43"/>
  <c r="F84" i="43"/>
  <c r="B69" i="43"/>
  <c r="C81" i="43"/>
  <c r="C84" i="43"/>
  <c r="D96" i="43"/>
  <c r="E67" i="43"/>
  <c r="G88" i="43"/>
  <c r="A101" i="43"/>
  <c r="B72" i="43"/>
  <c r="B75" i="43"/>
  <c r="C78" i="43"/>
  <c r="A96" i="43"/>
  <c r="F72" i="43"/>
  <c r="D90" i="43"/>
  <c r="A99" i="43"/>
  <c r="F75" i="43"/>
  <c r="D93" i="43"/>
  <c r="B70" i="43"/>
  <c r="G87" i="43"/>
  <c r="E105" i="43"/>
  <c r="C82" i="43"/>
  <c r="A100" i="43"/>
  <c r="F76" i="43"/>
  <c r="E103" i="43"/>
  <c r="C80" i="43"/>
  <c r="A98" i="43"/>
  <c r="F74" i="43"/>
  <c r="D92" i="43"/>
  <c r="D82" i="43"/>
  <c r="B100" i="43"/>
  <c r="G76" i="43"/>
  <c r="D85" i="43"/>
  <c r="B103" i="43"/>
  <c r="G79" i="43"/>
  <c r="E97" i="43"/>
  <c r="C74" i="43"/>
  <c r="A92" i="43"/>
  <c r="F68" i="43"/>
  <c r="D86" i="43"/>
  <c r="B104" i="43"/>
  <c r="A90" i="43"/>
  <c r="F66" i="43"/>
  <c r="D84" i="43"/>
  <c r="B102" i="43"/>
  <c r="G78" i="43"/>
  <c r="E96" i="43"/>
  <c r="C73" i="43"/>
  <c r="A91" i="43"/>
  <c r="F67" i="43"/>
  <c r="C76" i="43"/>
  <c r="A94" i="43"/>
  <c r="F70" i="43"/>
  <c r="D88" i="43"/>
  <c r="B65" i="43"/>
  <c r="G82" i="43"/>
  <c r="E100" i="43"/>
  <c r="C77" i="43"/>
  <c r="A95" i="43"/>
  <c r="G80" i="43"/>
  <c r="E98" i="43"/>
  <c r="C75" i="43"/>
  <c r="A93" i="43"/>
  <c r="F69" i="43"/>
  <c r="D87" i="43"/>
  <c r="B105" i="43"/>
  <c r="G81" i="43"/>
  <c r="E99" i="43"/>
  <c r="B67" i="43"/>
  <c r="G84" i="43"/>
  <c r="E102" i="43"/>
  <c r="C79" i="43"/>
  <c r="A97" i="43"/>
  <c r="F73" i="43"/>
  <c r="D91" i="43"/>
  <c r="B68" i="43"/>
  <c r="G85" i="43"/>
  <c r="F71" i="43"/>
  <c r="D89" i="43"/>
  <c r="B66" i="43"/>
  <c r="G83" i="43"/>
  <c r="E101" i="43"/>
  <c r="F82" i="43"/>
  <c r="G94" i="43"/>
  <c r="G97" i="43"/>
  <c r="A69" i="43"/>
  <c r="B81" i="43"/>
  <c r="D102" i="43"/>
  <c r="G86" i="43"/>
  <c r="G89" i="43"/>
  <c r="A102" i="43"/>
  <c r="B73" i="43"/>
  <c r="D94" i="43"/>
  <c r="E65" i="43"/>
  <c r="F77" i="43"/>
  <c r="F80" i="43"/>
  <c r="G92" i="43"/>
  <c r="F81" i="43"/>
  <c r="F79" i="43"/>
  <c r="E68" i="43"/>
  <c r="C89" i="43"/>
  <c r="B78" i="43"/>
  <c r="B76" i="43"/>
  <c r="E69" i="43"/>
  <c r="D99" i="43"/>
  <c r="D97" i="43"/>
  <c r="C86" i="43"/>
  <c r="A66" i="43"/>
  <c r="G95" i="43"/>
  <c r="G93" i="43"/>
  <c r="C87" i="43"/>
  <c r="C85" i="43"/>
  <c r="B74" i="43"/>
  <c r="A104" i="43"/>
  <c r="F83" i="43"/>
  <c r="E72" i="43"/>
  <c r="E70" i="43"/>
  <c r="A105" i="43"/>
  <c r="A103" i="43"/>
  <c r="G91" i="43"/>
  <c r="E71" i="43"/>
  <c r="D101" i="43"/>
  <c r="C90" i="43"/>
  <c r="C88" i="43"/>
  <c r="F62" i="43"/>
  <c r="F63" i="43"/>
  <c r="F64" i="43"/>
  <c r="G62" i="43"/>
  <c r="G63" i="43"/>
  <c r="G64" i="43"/>
  <c r="C111" i="43"/>
  <c r="F108" i="43"/>
  <c r="F110" i="43"/>
  <c r="E107" i="43"/>
  <c r="A108" i="43"/>
  <c r="C113" i="43"/>
  <c r="B111" i="43"/>
  <c r="G109" i="43"/>
  <c r="G106" i="43"/>
  <c r="D108" i="43"/>
  <c r="A110" i="43"/>
  <c r="B112" i="43"/>
  <c r="C43" i="43"/>
  <c r="B44" i="43"/>
  <c r="B48" i="43"/>
  <c r="B49" i="43"/>
  <c r="F50" i="43"/>
  <c r="B43" i="43"/>
  <c r="B53" i="43"/>
  <c r="F54" i="43"/>
  <c r="B55" i="43"/>
  <c r="A47" i="43"/>
  <c r="A48" i="43"/>
  <c r="E49" i="43"/>
  <c r="B59" i="43"/>
  <c r="B60" i="43"/>
  <c r="C52" i="43"/>
  <c r="C53" i="43"/>
  <c r="B45" i="43"/>
  <c r="F46" i="43"/>
  <c r="B47" i="43"/>
  <c r="C57" i="43"/>
  <c r="C58" i="43"/>
  <c r="G59" i="43"/>
  <c r="B51" i="43"/>
  <c r="B52" i="43"/>
  <c r="C62" i="43"/>
  <c r="C64" i="43"/>
  <c r="B56" i="43"/>
  <c r="B57" i="43"/>
  <c r="F58" i="43"/>
  <c r="B61" i="43"/>
  <c r="B63" i="43"/>
  <c r="G45" i="43"/>
  <c r="G46" i="43"/>
  <c r="D48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D64" i="43"/>
  <c r="G108" i="43"/>
  <c r="D110" i="43"/>
  <c r="D109" i="43"/>
  <c r="F107" i="43"/>
  <c r="G113" i="43"/>
  <c r="A106" i="43"/>
  <c r="E109" i="43"/>
  <c r="A112" i="43"/>
  <c r="F106" i="43"/>
  <c r="F113" i="43"/>
  <c r="C108" i="43"/>
  <c r="C110" i="43"/>
  <c r="G111" i="43"/>
  <c r="E111" i="43"/>
  <c r="C106" i="43"/>
  <c r="D106" i="43"/>
  <c r="D113" i="43"/>
  <c r="B109" i="43"/>
  <c r="D43" i="43"/>
  <c r="C46" i="43"/>
  <c r="G47" i="43"/>
  <c r="C48" i="43"/>
  <c r="D45" i="43"/>
  <c r="D46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C60" i="43"/>
  <c r="C61" i="43"/>
  <c r="A44" i="43"/>
  <c r="E45" i="43"/>
  <c r="A46" i="43"/>
  <c r="A50" i="43"/>
  <c r="A51" i="43"/>
  <c r="C107" i="43"/>
  <c r="F109" i="43"/>
  <c r="F114" i="43"/>
  <c r="B106" i="43"/>
  <c r="E108" i="43"/>
  <c r="A107" i="43"/>
  <c r="E113" i="43"/>
  <c r="E114" i="43"/>
  <c r="C114" i="43"/>
  <c r="A109" i="43"/>
  <c r="B110" i="43"/>
  <c r="G110" i="43"/>
  <c r="D107" i="43"/>
  <c r="A114" i="43"/>
  <c r="B113" i="43"/>
  <c r="F55" i="43"/>
  <c r="F56" i="43"/>
  <c r="F60" i="43"/>
  <c r="F61" i="43"/>
  <c r="C63" i="43"/>
  <c r="F43" i="43"/>
  <c r="E44" i="43"/>
  <c r="B46" i="43"/>
  <c r="E48" i="43"/>
  <c r="B50" i="43"/>
  <c r="E5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D58" i="43"/>
  <c r="D59" i="43"/>
  <c r="A61" i="43"/>
  <c r="D63" i="43"/>
  <c r="G107" i="43"/>
  <c r="D114" i="43"/>
  <c r="D111" i="43"/>
  <c r="C112" i="43"/>
  <c r="F111" i="43"/>
  <c r="G112" i="43"/>
  <c r="G114" i="43"/>
  <c r="A111" i="43"/>
  <c r="A113" i="43"/>
  <c r="F112" i="43"/>
  <c r="C109" i="43"/>
  <c r="E110" i="43"/>
  <c r="E112" i="43"/>
  <c r="B114" i="43"/>
  <c r="D112" i="43"/>
  <c r="B107" i="43"/>
  <c r="E106" i="43"/>
  <c r="B108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G58" i="43"/>
  <c r="D60" i="43"/>
  <c r="G60" i="43"/>
  <c r="A52" i="43"/>
  <c r="E53" i="43"/>
  <c r="A54" i="43"/>
  <c r="B64" i="43"/>
  <c r="A58" i="43"/>
  <c r="A59" i="43"/>
  <c r="A63" i="43"/>
  <c r="A64" i="43"/>
  <c r="G43" i="43"/>
  <c r="F47" i="43"/>
  <c r="F48" i="43"/>
  <c r="F52" i="43"/>
  <c r="F53" i="43"/>
  <c r="C55" i="43"/>
  <c r="E46" i="43"/>
  <c r="E47" i="43"/>
  <c r="F57" i="43"/>
  <c r="C59" i="43"/>
  <c r="F59" i="43"/>
  <c r="E51" i="43"/>
  <c r="E52" i="43"/>
  <c r="B54" i="43"/>
  <c r="E56" i="43"/>
  <c r="B58" i="43"/>
  <c r="E58" i="43"/>
  <c r="E62" i="43"/>
  <c r="E63" i="43"/>
  <c r="H11" i="43"/>
  <c r="K14" i="55"/>
  <c r="K164" i="55"/>
  <c r="K149" i="55"/>
  <c r="K181" i="55"/>
  <c r="K311" i="55"/>
  <c r="K329" i="55"/>
  <c r="K99" i="55"/>
  <c r="K369" i="55"/>
  <c r="K47" i="55"/>
  <c r="K328" i="55"/>
  <c r="K185" i="55"/>
  <c r="K386" i="55"/>
  <c r="K314" i="55"/>
  <c r="K209" i="55"/>
  <c r="K261" i="55"/>
  <c r="K141" i="55"/>
  <c r="K245" i="55"/>
  <c r="K20" i="55"/>
  <c r="K392" i="55"/>
  <c r="K61" i="55"/>
  <c r="K112" i="55"/>
  <c r="K177" i="55"/>
  <c r="K189" i="55"/>
  <c r="K195" i="55"/>
  <c r="K179" i="55"/>
  <c r="K74" i="55"/>
  <c r="K240" i="55"/>
  <c r="K338" i="55"/>
  <c r="K167" i="55"/>
  <c r="K352" i="55"/>
  <c r="K97" i="55"/>
  <c r="K282" i="55"/>
  <c r="K218" i="55"/>
  <c r="K21" i="55"/>
  <c r="K102" i="55"/>
  <c r="K54" i="55"/>
  <c r="K41" i="55"/>
  <c r="K375" i="55"/>
  <c r="K59" i="55"/>
  <c r="K271" i="55"/>
  <c r="K148" i="55"/>
  <c r="K257" i="55"/>
  <c r="K40" i="55"/>
  <c r="K108" i="55"/>
  <c r="K200" i="55"/>
  <c r="K354" i="55"/>
  <c r="K210" i="55"/>
  <c r="K284" i="55"/>
  <c r="K294" i="55"/>
  <c r="K22" i="55"/>
  <c r="K391" i="55"/>
  <c r="K246" i="55"/>
  <c r="K43" i="55"/>
  <c r="K104" i="55"/>
  <c r="K367" i="55"/>
  <c r="K126" i="55"/>
  <c r="K196" i="55"/>
  <c r="K70" i="55"/>
  <c r="K77" i="55"/>
  <c r="K321" i="55"/>
  <c r="K28" i="55"/>
  <c r="K233" i="55"/>
  <c r="K290" i="55"/>
  <c r="K135" i="55"/>
  <c r="K300" i="55"/>
  <c r="K221" i="55"/>
  <c r="K180" i="55"/>
  <c r="K243" i="55"/>
  <c r="A12" i="43"/>
  <c r="G147" i="43" s="1"/>
  <c r="G23" i="55" a="1"/>
  <c r="G23" i="55" s="1"/>
  <c r="G27" i="55" a="1"/>
  <c r="G27" i="55" s="1"/>
  <c r="A17" i="55"/>
  <c r="B16" i="55"/>
  <c r="A16" i="55" s="1"/>
  <c r="B13" i="55"/>
  <c r="B12" i="55"/>
  <c r="E17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G25" i="68" l="1"/>
  <c r="H25" i="68" s="1"/>
  <c r="F26" i="68" s="1"/>
  <c r="A61" i="60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46" i="43"/>
  <c r="K18" i="34"/>
  <c r="K17" i="34"/>
  <c r="K14" i="34"/>
  <c r="K10" i="34"/>
  <c r="G26" i="68" l="1"/>
  <c r="H26" i="68" s="1"/>
  <c r="F27" i="68" s="1"/>
  <c r="G27" i="68" s="1"/>
  <c r="A254" i="60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B10" i="34"/>
  <c r="B11" i="34"/>
  <c r="B12" i="34"/>
  <c r="B13" i="34"/>
  <c r="A13" i="34" s="1"/>
  <c r="B19" i="34"/>
  <c r="B14" i="34"/>
  <c r="A14" i="34" s="1"/>
  <c r="B16" i="34"/>
  <c r="A16" i="34" s="1"/>
  <c r="B17" i="34"/>
  <c r="A17" i="34" s="1"/>
  <c r="B18" i="34"/>
  <c r="A18" i="34" s="1"/>
  <c r="A19" i="34" l="1"/>
  <c r="Z19" i="34"/>
  <c r="W19" i="34"/>
  <c r="R19" i="34"/>
  <c r="P19" i="34"/>
  <c r="Q19" i="34"/>
  <c r="G29" i="68"/>
  <c r="H27" i="68"/>
  <c r="R18" i="34"/>
  <c r="Z18" i="34"/>
  <c r="P18" i="34"/>
  <c r="Q18" i="34"/>
  <c r="P17" i="34"/>
  <c r="Q17" i="34"/>
  <c r="R17" i="34"/>
  <c r="Z17" i="34"/>
  <c r="P13" i="34"/>
  <c r="Q13" i="34"/>
  <c r="R13" i="34"/>
  <c r="Z13" i="34"/>
  <c r="Q16" i="34"/>
  <c r="R16" i="34"/>
  <c r="Z16" i="34"/>
  <c r="P16" i="34"/>
  <c r="P14" i="34"/>
  <c r="Q14" i="34"/>
  <c r="R14" i="34"/>
  <c r="Z14" i="34"/>
  <c r="A12" i="34"/>
  <c r="Q12" i="34"/>
  <c r="R12" i="34"/>
  <c r="Z12" i="34"/>
  <c r="P12" i="34"/>
  <c r="P11" i="34"/>
  <c r="A11" i="34"/>
  <c r="P10" i="34"/>
  <c r="A84" i="42" s="1"/>
  <c r="Q11" i="34"/>
  <c r="R11" i="34"/>
  <c r="Z11" i="34"/>
  <c r="Z10" i="34"/>
  <c r="Q10" i="34"/>
  <c r="R10" i="34"/>
  <c r="D28" i="12"/>
  <c r="C28" i="12"/>
  <c r="H83" i="42" l="1"/>
  <c r="C83" i="42"/>
  <c r="B83" i="42"/>
  <c r="E84" i="42"/>
  <c r="I84" i="42" s="1"/>
  <c r="D83" i="42"/>
  <c r="G84" i="42"/>
  <c r="F84" i="42"/>
  <c r="A63" i="42"/>
  <c r="H84" i="42"/>
  <c r="C84" i="42"/>
  <c r="B84" i="42"/>
  <c r="E83" i="42"/>
  <c r="D84" i="42"/>
  <c r="G83" i="42"/>
  <c r="F83" i="42"/>
  <c r="A83" i="42"/>
  <c r="H81" i="42"/>
  <c r="H79" i="42"/>
  <c r="H77" i="42"/>
  <c r="H75" i="42"/>
  <c r="H73" i="42"/>
  <c r="H71" i="42"/>
  <c r="H69" i="42"/>
  <c r="H67" i="42"/>
  <c r="H65" i="42"/>
  <c r="H63" i="42"/>
  <c r="G82" i="42"/>
  <c r="G80" i="42"/>
  <c r="G78" i="42"/>
  <c r="G76" i="42"/>
  <c r="G74" i="42"/>
  <c r="G72" i="42"/>
  <c r="G70" i="42"/>
  <c r="G68" i="42"/>
  <c r="G66" i="42"/>
  <c r="G64" i="42"/>
  <c r="F81" i="42"/>
  <c r="F79" i="42"/>
  <c r="F77" i="42"/>
  <c r="F75" i="42"/>
  <c r="F73" i="42"/>
  <c r="F71" i="42"/>
  <c r="F69" i="42"/>
  <c r="F67" i="42"/>
  <c r="F65" i="42"/>
  <c r="F63" i="42"/>
  <c r="E82" i="42"/>
  <c r="E80" i="42"/>
  <c r="E78" i="42"/>
  <c r="E76" i="42"/>
  <c r="E74" i="42"/>
  <c r="E72" i="42"/>
  <c r="E70" i="42"/>
  <c r="E68" i="42"/>
  <c r="E66" i="42"/>
  <c r="E64" i="42"/>
  <c r="D81" i="42"/>
  <c r="D79" i="42"/>
  <c r="D77" i="42"/>
  <c r="D75" i="42"/>
  <c r="D73" i="42"/>
  <c r="D71" i="42"/>
  <c r="D69" i="42"/>
  <c r="D67" i="42"/>
  <c r="D65" i="42"/>
  <c r="D63" i="42"/>
  <c r="C82" i="42"/>
  <c r="C80" i="42"/>
  <c r="C78" i="42"/>
  <c r="C76" i="42"/>
  <c r="C74" i="42"/>
  <c r="C72" i="42"/>
  <c r="C70" i="42"/>
  <c r="C68" i="42"/>
  <c r="C66" i="42"/>
  <c r="C64" i="42"/>
  <c r="B81" i="42"/>
  <c r="B79" i="42"/>
  <c r="B77" i="42"/>
  <c r="B75" i="42"/>
  <c r="B73" i="42"/>
  <c r="B71" i="42"/>
  <c r="B69" i="42"/>
  <c r="B67" i="42"/>
  <c r="B65" i="42"/>
  <c r="B63" i="42"/>
  <c r="A82" i="42"/>
  <c r="A80" i="42"/>
  <c r="A78" i="42"/>
  <c r="A76" i="42"/>
  <c r="A74" i="42"/>
  <c r="A72" i="42"/>
  <c r="A70" i="42"/>
  <c r="A68" i="42"/>
  <c r="A66" i="42"/>
  <c r="A64" i="42"/>
  <c r="H82" i="42"/>
  <c r="H80" i="42"/>
  <c r="H78" i="42"/>
  <c r="H76" i="42"/>
  <c r="H74" i="42"/>
  <c r="H72" i="42"/>
  <c r="H70" i="42"/>
  <c r="H68" i="42"/>
  <c r="H66" i="42"/>
  <c r="H64" i="42"/>
  <c r="G81" i="42"/>
  <c r="G79" i="42"/>
  <c r="G77" i="42"/>
  <c r="G75" i="42"/>
  <c r="G73" i="42"/>
  <c r="G71" i="42"/>
  <c r="G69" i="42"/>
  <c r="G67" i="42"/>
  <c r="G65" i="42"/>
  <c r="G63" i="42"/>
  <c r="F82" i="42"/>
  <c r="F80" i="42"/>
  <c r="F78" i="42"/>
  <c r="F76" i="42"/>
  <c r="F74" i="42"/>
  <c r="F72" i="42"/>
  <c r="F70" i="42"/>
  <c r="F68" i="42"/>
  <c r="F66" i="42"/>
  <c r="F64" i="42"/>
  <c r="E81" i="42"/>
  <c r="E79" i="42"/>
  <c r="E77" i="42"/>
  <c r="E75" i="42"/>
  <c r="E73" i="42"/>
  <c r="E71" i="42"/>
  <c r="E69" i="42"/>
  <c r="E67" i="42"/>
  <c r="E65" i="42"/>
  <c r="E63" i="42"/>
  <c r="D82" i="42"/>
  <c r="D80" i="42"/>
  <c r="D78" i="42"/>
  <c r="D76" i="42"/>
  <c r="D74" i="42"/>
  <c r="D72" i="42"/>
  <c r="D70" i="42"/>
  <c r="D68" i="42"/>
  <c r="D66" i="42"/>
  <c r="D64" i="42"/>
  <c r="C81" i="42"/>
  <c r="C79" i="42"/>
  <c r="C77" i="42"/>
  <c r="C75" i="42"/>
  <c r="C73" i="42"/>
  <c r="C71" i="42"/>
  <c r="C69" i="42"/>
  <c r="C67" i="42"/>
  <c r="C65" i="42"/>
  <c r="C63" i="42"/>
  <c r="B82" i="42"/>
  <c r="B80" i="42"/>
  <c r="B78" i="42"/>
  <c r="B76" i="42"/>
  <c r="B74" i="42"/>
  <c r="B72" i="42"/>
  <c r="B70" i="42"/>
  <c r="B68" i="42"/>
  <c r="B66" i="42"/>
  <c r="B64" i="42"/>
  <c r="A81" i="42"/>
  <c r="A79" i="42"/>
  <c r="A77" i="42"/>
  <c r="A75" i="42"/>
  <c r="A73" i="42"/>
  <c r="A71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18" i="80" l="1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F2" i="73"/>
  <c r="A54" i="73"/>
  <c r="D6" i="73"/>
  <c r="U8" i="43"/>
  <c r="I27" i="80" l="1"/>
  <c r="H27" i="80"/>
  <c r="C21" i="15"/>
  <c r="D21" i="15"/>
  <c r="C38" i="15"/>
  <c r="D38" i="15"/>
  <c r="C59" i="15" l="1"/>
  <c r="D43" i="15"/>
  <c r="D59" i="15" s="1"/>
  <c r="D61" i="15" l="1"/>
  <c r="B11" i="61"/>
  <c r="A560" i="60"/>
  <c r="A31" i="58"/>
  <c r="I13" i="58"/>
  <c r="C8" i="58"/>
  <c r="D7" i="56"/>
  <c r="C7" i="56"/>
  <c r="D5" i="56"/>
  <c r="I291" i="55" a="1"/>
  <c r="I291" i="55" s="1"/>
  <c r="G291" i="55" a="1"/>
  <c r="G291" i="55" s="1"/>
  <c r="I138" i="55" a="1"/>
  <c r="I138" i="55" s="1"/>
  <c r="G138" i="55" a="1"/>
  <c r="G138" i="55" s="1"/>
  <c r="I296" i="55" a="1"/>
  <c r="I296" i="55" s="1"/>
  <c r="G296" i="55" a="1"/>
  <c r="G296" i="55" s="1"/>
  <c r="I27" i="55" a="1"/>
  <c r="I27" i="55" s="1"/>
  <c r="I23" i="55" a="1"/>
  <c r="I23" i="55" s="1"/>
  <c r="I24" i="55" a="1"/>
  <c r="I24" i="55" s="1"/>
  <c r="G24" i="55" a="1"/>
  <c r="G24" i="55" s="1"/>
  <c r="G33" i="55" s="1"/>
  <c r="F17" i="55"/>
  <c r="F18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V7" i="34"/>
  <c r="V19" i="34" l="1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354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372" i="34"/>
  <c r="V373" i="34"/>
  <c r="V374" i="34"/>
  <c r="V375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401" i="34"/>
  <c r="V402" i="34"/>
  <c r="V403" i="34"/>
  <c r="V404" i="34"/>
  <c r="V405" i="34"/>
  <c r="V406" i="34"/>
  <c r="V407" i="34"/>
  <c r="V40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36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51" i="34"/>
  <c r="V452" i="34"/>
  <c r="V453" i="34"/>
  <c r="V454" i="34"/>
  <c r="V455" i="34"/>
  <c r="V456" i="34"/>
  <c r="V457" i="34"/>
  <c r="V458" i="34"/>
  <c r="V459" i="34"/>
  <c r="V460" i="34"/>
  <c r="V461" i="34"/>
  <c r="V462" i="34"/>
  <c r="V463" i="34"/>
  <c r="V464" i="34"/>
  <c r="V465" i="34"/>
  <c r="V466" i="34"/>
  <c r="V467" i="34"/>
  <c r="V468" i="34"/>
  <c r="V469" i="34"/>
  <c r="V470" i="34"/>
  <c r="V471" i="34"/>
  <c r="V472" i="34"/>
  <c r="V473" i="34"/>
  <c r="V474" i="34"/>
  <c r="V475" i="34"/>
  <c r="V476" i="34"/>
  <c r="V477" i="34"/>
  <c r="V478" i="34"/>
  <c r="V479" i="34"/>
  <c r="V480" i="34"/>
  <c r="V481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529" i="34"/>
  <c r="V530" i="34"/>
  <c r="V531" i="34"/>
  <c r="V532" i="34"/>
  <c r="V533" i="34"/>
  <c r="V534" i="34"/>
  <c r="V535" i="34"/>
  <c r="V536" i="34"/>
  <c r="V537" i="34"/>
  <c r="V538" i="34"/>
  <c r="V539" i="34"/>
  <c r="V540" i="34"/>
  <c r="V541" i="34"/>
  <c r="V542" i="34"/>
  <c r="V543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2" i="34"/>
  <c r="V713" i="34"/>
  <c r="V714" i="34"/>
  <c r="V715" i="34"/>
  <c r="V716" i="34"/>
  <c r="V717" i="34"/>
  <c r="V718" i="34"/>
  <c r="V719" i="34"/>
  <c r="V720" i="34"/>
  <c r="V721" i="34"/>
  <c r="V722" i="34"/>
  <c r="V723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7" i="34"/>
  <c r="V778" i="34"/>
  <c r="V779" i="34"/>
  <c r="V780" i="34"/>
  <c r="V582" i="34"/>
  <c r="V583" i="34"/>
  <c r="V584" i="34"/>
  <c r="V585" i="34"/>
  <c r="V586" i="34"/>
  <c r="V587" i="34"/>
  <c r="V588" i="34"/>
  <c r="V589" i="34"/>
  <c r="V590" i="34"/>
  <c r="V591" i="34"/>
  <c r="V592" i="34"/>
  <c r="V593" i="34"/>
  <c r="V594" i="34"/>
  <c r="V595" i="34"/>
  <c r="V596" i="34"/>
  <c r="V597" i="34"/>
  <c r="V598" i="34"/>
  <c r="V599" i="34"/>
  <c r="V600" i="34"/>
  <c r="V601" i="34"/>
  <c r="V602" i="34"/>
  <c r="V603" i="34"/>
  <c r="V604" i="34"/>
  <c r="V605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1007" i="34"/>
  <c r="V1008" i="34"/>
  <c r="V1009" i="34"/>
  <c r="V1010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47" i="34"/>
  <c r="V1148" i="34"/>
  <c r="V1149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198" i="34"/>
  <c r="V1199" i="34"/>
  <c r="V1200" i="34"/>
  <c r="V1201" i="34"/>
  <c r="V1202" i="34"/>
  <c r="V1203" i="34"/>
  <c r="V1204" i="34"/>
  <c r="V1205" i="34"/>
  <c r="V1206" i="34"/>
  <c r="V1207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208" i="34"/>
  <c r="V1209" i="34"/>
  <c r="V1210" i="34"/>
  <c r="V1211" i="34"/>
  <c r="V1212" i="34"/>
  <c r="V1346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3" i="34"/>
  <c r="V1364" i="34"/>
  <c r="V1365" i="34"/>
  <c r="V1366" i="34"/>
  <c r="V1367" i="34"/>
  <c r="V1371" i="34"/>
  <c r="V1411" i="34"/>
  <c r="V1430" i="34"/>
  <c r="V1459" i="34"/>
  <c r="V1460" i="34"/>
  <c r="V1461" i="34"/>
  <c r="V1462" i="34"/>
  <c r="V1463" i="34"/>
  <c r="V1464" i="34"/>
  <c r="V1465" i="34"/>
  <c r="V1466" i="34"/>
  <c r="V1467" i="34"/>
  <c r="V1468" i="34"/>
  <c r="V1469" i="34"/>
  <c r="V1470" i="34"/>
  <c r="V1471" i="34"/>
  <c r="V1472" i="34"/>
  <c r="V1473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8" i="34"/>
  <c r="V1489" i="34"/>
  <c r="V1490" i="34"/>
  <c r="V1491" i="34"/>
  <c r="V1492" i="34"/>
  <c r="V1493" i="34"/>
  <c r="V1494" i="34"/>
  <c r="V1512" i="34"/>
  <c r="V1540" i="34"/>
  <c r="V1547" i="34"/>
  <c r="V1551" i="34"/>
  <c r="V1572" i="34"/>
  <c r="V1591" i="34"/>
  <c r="V1629" i="34"/>
  <c r="V1630" i="34"/>
  <c r="V1631" i="34"/>
  <c r="V1632" i="34"/>
  <c r="V1638" i="34"/>
  <c r="V1639" i="34"/>
  <c r="V1640" i="34"/>
  <c r="V1641" i="34"/>
  <c r="V1642" i="34"/>
  <c r="V1643" i="34"/>
  <c r="V1644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20" i="34"/>
  <c r="V1740" i="34"/>
  <c r="V174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47" i="34"/>
  <c r="V1368" i="34"/>
  <c r="V1372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85" i="34"/>
  <c r="V1495" i="34"/>
  <c r="V1513" i="34"/>
  <c r="V1541" i="34"/>
  <c r="V1548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92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91" i="34"/>
  <c r="V1712" i="34"/>
  <c r="V1721" i="34"/>
  <c r="V1741" i="34"/>
  <c r="V1745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8" i="34"/>
  <c r="V1369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409" i="34"/>
  <c r="V1428" i="34"/>
  <c r="V1486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09" i="34"/>
  <c r="V1510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42" i="34"/>
  <c r="V1549" i="34"/>
  <c r="V1570" i="34"/>
  <c r="V1589" i="34"/>
  <c r="V1593" i="34"/>
  <c r="V1633" i="34"/>
  <c r="V1634" i="34"/>
  <c r="V1635" i="34"/>
  <c r="V1636" i="34"/>
  <c r="V1657" i="34"/>
  <c r="V1692" i="34"/>
  <c r="V1713" i="34"/>
  <c r="V1714" i="34"/>
  <c r="V1715" i="34"/>
  <c r="V1716" i="34"/>
  <c r="V1717" i="34"/>
  <c r="V1718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42" i="34"/>
  <c r="V1746" i="34"/>
  <c r="V1747" i="34"/>
  <c r="V1748" i="34"/>
  <c r="V1749" i="34"/>
  <c r="V1750" i="34"/>
  <c r="V1751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45" i="34"/>
  <c r="V1349" i="34"/>
  <c r="V1370" i="34"/>
  <c r="V1410" i="34"/>
  <c r="V1429" i="34"/>
  <c r="V1487" i="34"/>
  <c r="V1511" i="34"/>
  <c r="V1539" i="34"/>
  <c r="V1543" i="34"/>
  <c r="V1544" i="34"/>
  <c r="V1545" i="34"/>
  <c r="V1546" i="34"/>
  <c r="V1550" i="34"/>
  <c r="V1571" i="34"/>
  <c r="V1590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37" i="34"/>
  <c r="V1658" i="34"/>
  <c r="V1693" i="34"/>
  <c r="V1719" i="34"/>
  <c r="V1739" i="34"/>
  <c r="V1743" i="34"/>
  <c r="V1768" i="34"/>
  <c r="V1769" i="34"/>
  <c r="V1770" i="34"/>
  <c r="V1771" i="34"/>
  <c r="V1772" i="34"/>
  <c r="V1773" i="34"/>
  <c r="V1774" i="34"/>
  <c r="V1775" i="34"/>
  <c r="V1776" i="34"/>
  <c r="V1777" i="34"/>
  <c r="V1778" i="34"/>
  <c r="V1779" i="34"/>
  <c r="V1780" i="34"/>
  <c r="V1781" i="34"/>
  <c r="V1782" i="34"/>
  <c r="V1783" i="34"/>
  <c r="V1784" i="34"/>
  <c r="V1785" i="34"/>
  <c r="V1786" i="34"/>
  <c r="V1787" i="34"/>
  <c r="V1788" i="34"/>
  <c r="V1789" i="34"/>
  <c r="V1804" i="34"/>
  <c r="V1805" i="34"/>
  <c r="V1806" i="34"/>
  <c r="V1807" i="34"/>
  <c r="V1808" i="34"/>
  <c r="V1809" i="34"/>
  <c r="V1810" i="34"/>
  <c r="V1813" i="34"/>
  <c r="V1817" i="34"/>
  <c r="V1821" i="34"/>
  <c r="V1844" i="34"/>
  <c r="V1848" i="34"/>
  <c r="V1858" i="34"/>
  <c r="V1859" i="34"/>
  <c r="V1860" i="34"/>
  <c r="V1861" i="34"/>
  <c r="V1862" i="34"/>
  <c r="V1863" i="34"/>
  <c r="V1864" i="34"/>
  <c r="V1868" i="34"/>
  <c r="V1869" i="34"/>
  <c r="V1870" i="34"/>
  <c r="V1874" i="34"/>
  <c r="V1875" i="34"/>
  <c r="V1876" i="34"/>
  <c r="V1877" i="34"/>
  <c r="V1878" i="34"/>
  <c r="V1879" i="34"/>
  <c r="V1880" i="34"/>
  <c r="V1881" i="34"/>
  <c r="V1882" i="34"/>
  <c r="V1886" i="34"/>
  <c r="V1890" i="34"/>
  <c r="V1908" i="34"/>
  <c r="V1925" i="34"/>
  <c r="V1929" i="34"/>
  <c r="V1933" i="34"/>
  <c r="V1937" i="34"/>
  <c r="V1941" i="34"/>
  <c r="V1942" i="34"/>
  <c r="V1943" i="34"/>
  <c r="V1944" i="34"/>
  <c r="V1945" i="34"/>
  <c r="V1946" i="34"/>
  <c r="V1947" i="34"/>
  <c r="V1948" i="34"/>
  <c r="V1949" i="34"/>
  <c r="V1953" i="34"/>
  <c r="V1957" i="34"/>
  <c r="V1958" i="34"/>
  <c r="V1959" i="34"/>
  <c r="V1960" i="34"/>
  <c r="V1961" i="34"/>
  <c r="V1962" i="34"/>
  <c r="V1814" i="34"/>
  <c r="V1818" i="34"/>
  <c r="V1822" i="34"/>
  <c r="V1823" i="34"/>
  <c r="V1824" i="34"/>
  <c r="V1825" i="34"/>
  <c r="V1826" i="34"/>
  <c r="V1827" i="34"/>
  <c r="V1845" i="34"/>
  <c r="V1849" i="34"/>
  <c r="V1865" i="34"/>
  <c r="V1871" i="34"/>
  <c r="V1883" i="34"/>
  <c r="V1887" i="34"/>
  <c r="V1891" i="34"/>
  <c r="V1909" i="34"/>
  <c r="V1926" i="34"/>
  <c r="V1930" i="34"/>
  <c r="V1934" i="34"/>
  <c r="V1938" i="34"/>
  <c r="V1950" i="34"/>
  <c r="V1954" i="34"/>
  <c r="V1965" i="34"/>
  <c r="V1967" i="34"/>
  <c r="V1969" i="34"/>
  <c r="V1971" i="34"/>
  <c r="V1973" i="34"/>
  <c r="V1975" i="34"/>
  <c r="V1977" i="34"/>
  <c r="V1979" i="34"/>
  <c r="V1981" i="34"/>
  <c r="V1983" i="34"/>
  <c r="V1985" i="34"/>
  <c r="V1987" i="34"/>
  <c r="V1989" i="34"/>
  <c r="V1991" i="34"/>
  <c r="V1993" i="34"/>
  <c r="V1995" i="34"/>
  <c r="V1997" i="34"/>
  <c r="V1999" i="34"/>
  <c r="V2001" i="34"/>
  <c r="V2003" i="34"/>
  <c r="V2005" i="34"/>
  <c r="V2007" i="34"/>
  <c r="V2009" i="34"/>
  <c r="V2011" i="34"/>
  <c r="V2013" i="34"/>
  <c r="V2015" i="34"/>
  <c r="V2017" i="34"/>
  <c r="V2019" i="34"/>
  <c r="V2021" i="34"/>
  <c r="V2023" i="34"/>
  <c r="V2025" i="34"/>
  <c r="V2027" i="34"/>
  <c r="V2029" i="34"/>
  <c r="V2031" i="34"/>
  <c r="V2033" i="34"/>
  <c r="V2035" i="34"/>
  <c r="V2037" i="34"/>
  <c r="V2039" i="34"/>
  <c r="V2041" i="34"/>
  <c r="V2043" i="34"/>
  <c r="V2045" i="34"/>
  <c r="V2047" i="34"/>
  <c r="V2049" i="34"/>
  <c r="V2051" i="34"/>
  <c r="V2053" i="34"/>
  <c r="V2055" i="34"/>
  <c r="V2057" i="34"/>
  <c r="V2059" i="34"/>
  <c r="V2061" i="34"/>
  <c r="V2063" i="34"/>
  <c r="V2065" i="34"/>
  <c r="V2067" i="34"/>
  <c r="V2069" i="34"/>
  <c r="V2071" i="34"/>
  <c r="V2073" i="34"/>
  <c r="V2075" i="34"/>
  <c r="V2077" i="34"/>
  <c r="V2079" i="34"/>
  <c r="V2081" i="34"/>
  <c r="V2083" i="34"/>
  <c r="V2085" i="34"/>
  <c r="V2087" i="34"/>
  <c r="V2089" i="34"/>
  <c r="V2091" i="34"/>
  <c r="V2093" i="34"/>
  <c r="V2095" i="34"/>
  <c r="V2097" i="34"/>
  <c r="V2099" i="34"/>
  <c r="V2101" i="34"/>
  <c r="V2103" i="34"/>
  <c r="V2105" i="34"/>
  <c r="V2107" i="34"/>
  <c r="V2109" i="34"/>
  <c r="V2111" i="34"/>
  <c r="V1790" i="34"/>
  <c r="V1791" i="34"/>
  <c r="V1792" i="34"/>
  <c r="V1793" i="34"/>
  <c r="V1794" i="34"/>
  <c r="V1795" i="34"/>
  <c r="V1796" i="34"/>
  <c r="V1797" i="34"/>
  <c r="V1798" i="34"/>
  <c r="V1799" i="34"/>
  <c r="V1800" i="34"/>
  <c r="V1801" i="34"/>
  <c r="V1802" i="34"/>
  <c r="V1811" i="34"/>
  <c r="V1815" i="34"/>
  <c r="V1819" i="34"/>
  <c r="V1828" i="34"/>
  <c r="V1846" i="34"/>
  <c r="V1850" i="34"/>
  <c r="V1866" i="34"/>
  <c r="V1872" i="34"/>
  <c r="V1884" i="34"/>
  <c r="V1888" i="34"/>
  <c r="V1892" i="34"/>
  <c r="V1893" i="34"/>
  <c r="V1894" i="34"/>
  <c r="V1895" i="34"/>
  <c r="V1896" i="34"/>
  <c r="V1897" i="34"/>
  <c r="V1898" i="34"/>
  <c r="V1899" i="34"/>
  <c r="V1900" i="34"/>
  <c r="V1901" i="34"/>
  <c r="V1910" i="34"/>
  <c r="V1927" i="34"/>
  <c r="V1931" i="34"/>
  <c r="V1935" i="34"/>
  <c r="V1939" i="34"/>
  <c r="V1951" i="34"/>
  <c r="V1955" i="34"/>
  <c r="V1752" i="34"/>
  <c r="V1753" i="34"/>
  <c r="V1754" i="34"/>
  <c r="V1755" i="34"/>
  <c r="V1756" i="34"/>
  <c r="V1757" i="34"/>
  <c r="V1758" i="34"/>
  <c r="V1759" i="34"/>
  <c r="V1760" i="34"/>
  <c r="V1761" i="34"/>
  <c r="V1762" i="34"/>
  <c r="V1763" i="34"/>
  <c r="V1764" i="34"/>
  <c r="V1765" i="34"/>
  <c r="V1766" i="34"/>
  <c r="V1767" i="34"/>
  <c r="V1803" i="34"/>
  <c r="V1812" i="34"/>
  <c r="V1816" i="34"/>
  <c r="V1820" i="34"/>
  <c r="V1829" i="34"/>
  <c r="V1830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7" i="34"/>
  <c r="V1851" i="34"/>
  <c r="V1852" i="34"/>
  <c r="V1853" i="34"/>
  <c r="V1854" i="34"/>
  <c r="V1855" i="34"/>
  <c r="V1856" i="34"/>
  <c r="V1857" i="34"/>
  <c r="V1867" i="34"/>
  <c r="V1873" i="34"/>
  <c r="V1885" i="34"/>
  <c r="V1889" i="34"/>
  <c r="V1902" i="34"/>
  <c r="V1903" i="34"/>
  <c r="V1904" i="34"/>
  <c r="V1905" i="34"/>
  <c r="V1906" i="34"/>
  <c r="V1907" i="34"/>
  <c r="V1911" i="34"/>
  <c r="V1912" i="34"/>
  <c r="V1913" i="34"/>
  <c r="V1914" i="34"/>
  <c r="V1915" i="34"/>
  <c r="V1916" i="34"/>
  <c r="V1917" i="34"/>
  <c r="V1918" i="34"/>
  <c r="V1919" i="34"/>
  <c r="V1920" i="34"/>
  <c r="V1921" i="34"/>
  <c r="V1922" i="34"/>
  <c r="V1923" i="34"/>
  <c r="V1924" i="34"/>
  <c r="V1928" i="34"/>
  <c r="V1932" i="34"/>
  <c r="V1936" i="34"/>
  <c r="V1940" i="34"/>
  <c r="V1952" i="34"/>
  <c r="V1956" i="34"/>
  <c r="V1963" i="34"/>
  <c r="V1964" i="34"/>
  <c r="V1966" i="34"/>
  <c r="V1968" i="34"/>
  <c r="V1970" i="34"/>
  <c r="V1972" i="34"/>
  <c r="V1974" i="34"/>
  <c r="V1976" i="34"/>
  <c r="V1978" i="34"/>
  <c r="V1980" i="34"/>
  <c r="V1982" i="34"/>
  <c r="V1984" i="34"/>
  <c r="V1986" i="34"/>
  <c r="V1988" i="34"/>
  <c r="V1990" i="34"/>
  <c r="V1992" i="34"/>
  <c r="V1994" i="34"/>
  <c r="V1996" i="34"/>
  <c r="V1998" i="34"/>
  <c r="V2000" i="34"/>
  <c r="V2002" i="34"/>
  <c r="V2004" i="34"/>
  <c r="V2006" i="34"/>
  <c r="V2008" i="34"/>
  <c r="V2010" i="34"/>
  <c r="V2012" i="34"/>
  <c r="V2014" i="34"/>
  <c r="V2016" i="34"/>
  <c r="V2018" i="34"/>
  <c r="V2020" i="34"/>
  <c r="V2022" i="34"/>
  <c r="V2024" i="34"/>
  <c r="V2026" i="34"/>
  <c r="V2028" i="34"/>
  <c r="V2030" i="34"/>
  <c r="V2032" i="34"/>
  <c r="V2034" i="34"/>
  <c r="V2036" i="34"/>
  <c r="V2038" i="34"/>
  <c r="V2040" i="34"/>
  <c r="V2042" i="34"/>
  <c r="V2044" i="34"/>
  <c r="V2046" i="34"/>
  <c r="V2048" i="34"/>
  <c r="V2050" i="34"/>
  <c r="V2052" i="34"/>
  <c r="V2054" i="34"/>
  <c r="V2056" i="34"/>
  <c r="V2058" i="34"/>
  <c r="V2060" i="34"/>
  <c r="V2062" i="34"/>
  <c r="V2064" i="34"/>
  <c r="V2066" i="34"/>
  <c r="V2068" i="34"/>
  <c r="V2070" i="34"/>
  <c r="V2072" i="34"/>
  <c r="V2074" i="34"/>
  <c r="V2076" i="34"/>
  <c r="V2078" i="34"/>
  <c r="V2080" i="34"/>
  <c r="V2082" i="34"/>
  <c r="V2084" i="34"/>
  <c r="V2086" i="34"/>
  <c r="V2088" i="34"/>
  <c r="V2090" i="34"/>
  <c r="V2092" i="34"/>
  <c r="V2094" i="34"/>
  <c r="V2096" i="34"/>
  <c r="V2098" i="34"/>
  <c r="V2100" i="34"/>
  <c r="V2102" i="34"/>
  <c r="V2104" i="34"/>
  <c r="V2106" i="34"/>
  <c r="V2108" i="34"/>
  <c r="V2110" i="34"/>
  <c r="V2112" i="34"/>
  <c r="V2114" i="34"/>
  <c r="V2116" i="34"/>
  <c r="V2118" i="34"/>
  <c r="V2113" i="34"/>
  <c r="V2117" i="34"/>
  <c r="V2120" i="34"/>
  <c r="V2122" i="34"/>
  <c r="V2124" i="34"/>
  <c r="V2126" i="34"/>
  <c r="V2128" i="34"/>
  <c r="V2130" i="34"/>
  <c r="V2132" i="34"/>
  <c r="V2134" i="34"/>
  <c r="V2136" i="34"/>
  <c r="V2138" i="34"/>
  <c r="V2140" i="34"/>
  <c r="V2142" i="34"/>
  <c r="V2144" i="34"/>
  <c r="V2146" i="34"/>
  <c r="V2148" i="34"/>
  <c r="V2150" i="34"/>
  <c r="V2152" i="34"/>
  <c r="V2154" i="34"/>
  <c r="V2156" i="34"/>
  <c r="V2158" i="34"/>
  <c r="V2160" i="34"/>
  <c r="V2162" i="34"/>
  <c r="V2164" i="34"/>
  <c r="V2166" i="34"/>
  <c r="V2168" i="34"/>
  <c r="V2170" i="34"/>
  <c r="V2172" i="34"/>
  <c r="V2174" i="34"/>
  <c r="V2176" i="34"/>
  <c r="V2178" i="34"/>
  <c r="V2180" i="34"/>
  <c r="V2182" i="34"/>
  <c r="V2184" i="34"/>
  <c r="V2186" i="34"/>
  <c r="V2188" i="34"/>
  <c r="V2190" i="34"/>
  <c r="V2192" i="34"/>
  <c r="V2194" i="34"/>
  <c r="V2196" i="34"/>
  <c r="V2198" i="34"/>
  <c r="V2200" i="34"/>
  <c r="V2202" i="34"/>
  <c r="V2204" i="34"/>
  <c r="V2206" i="34"/>
  <c r="V2208" i="34"/>
  <c r="V2210" i="34"/>
  <c r="V2212" i="34"/>
  <c r="V2214" i="34"/>
  <c r="V2216" i="34"/>
  <c r="V2218" i="34"/>
  <c r="V2220" i="34"/>
  <c r="V2222" i="34"/>
  <c r="V2224" i="34"/>
  <c r="V2226" i="34"/>
  <c r="V2228" i="34"/>
  <c r="V2230" i="34"/>
  <c r="V2232" i="34"/>
  <c r="V2234" i="34"/>
  <c r="V2236" i="34"/>
  <c r="V2238" i="34"/>
  <c r="V2240" i="34"/>
  <c r="V2242" i="34"/>
  <c r="V2244" i="34"/>
  <c r="V2246" i="34"/>
  <c r="V2248" i="34"/>
  <c r="V2250" i="34"/>
  <c r="V2252" i="34"/>
  <c r="V2254" i="34"/>
  <c r="V2256" i="34"/>
  <c r="V2258" i="34"/>
  <c r="V2260" i="34"/>
  <c r="V2262" i="34"/>
  <c r="V2264" i="34"/>
  <c r="V2266" i="34"/>
  <c r="V2268" i="34"/>
  <c r="V2270" i="34"/>
  <c r="V2272" i="34"/>
  <c r="V2274" i="34"/>
  <c r="V2276" i="34"/>
  <c r="V2278" i="34"/>
  <c r="V2280" i="34"/>
  <c r="V2282" i="34"/>
  <c r="V2284" i="34"/>
  <c r="V2286" i="34"/>
  <c r="V2288" i="34"/>
  <c r="V2290" i="34"/>
  <c r="V2292" i="34"/>
  <c r="V2294" i="34"/>
  <c r="V2296" i="34"/>
  <c r="V2298" i="34"/>
  <c r="V2300" i="34"/>
  <c r="V2302" i="34"/>
  <c r="V2304" i="34"/>
  <c r="V2306" i="34"/>
  <c r="V2308" i="34"/>
  <c r="V2310" i="34"/>
  <c r="V2312" i="34"/>
  <c r="V2314" i="34"/>
  <c r="V2316" i="34"/>
  <c r="V2318" i="34"/>
  <c r="V2320" i="34"/>
  <c r="V2322" i="34"/>
  <c r="V2324" i="34"/>
  <c r="V2326" i="34"/>
  <c r="V2328" i="34"/>
  <c r="V2330" i="34"/>
  <c r="V2332" i="34"/>
  <c r="V2334" i="34"/>
  <c r="V2336" i="34"/>
  <c r="V2338" i="34"/>
  <c r="V2340" i="34"/>
  <c r="V2342" i="34"/>
  <c r="V2344" i="34"/>
  <c r="V2346" i="34"/>
  <c r="V2348" i="34"/>
  <c r="V2350" i="34"/>
  <c r="V2352" i="34"/>
  <c r="V2354" i="34"/>
  <c r="V2356" i="34"/>
  <c r="V2358" i="34"/>
  <c r="V2360" i="34"/>
  <c r="V2362" i="34"/>
  <c r="V2364" i="34"/>
  <c r="V2366" i="34"/>
  <c r="V2368" i="34"/>
  <c r="V2370" i="34"/>
  <c r="V2372" i="34"/>
  <c r="V2374" i="34"/>
  <c r="V2376" i="34"/>
  <c r="V2378" i="34"/>
  <c r="V2380" i="34"/>
  <c r="V2382" i="34"/>
  <c r="V2384" i="34"/>
  <c r="V2386" i="34"/>
  <c r="V2388" i="34"/>
  <c r="V2390" i="34"/>
  <c r="V2392" i="34"/>
  <c r="V2394" i="34"/>
  <c r="V2396" i="34"/>
  <c r="V2398" i="34"/>
  <c r="V2400" i="34"/>
  <c r="V2402" i="34"/>
  <c r="V2404" i="34"/>
  <c r="V2406" i="34"/>
  <c r="V2408" i="34"/>
  <c r="V2410" i="34"/>
  <c r="V2412" i="34"/>
  <c r="V2414" i="34"/>
  <c r="V2416" i="34"/>
  <c r="V2418" i="34"/>
  <c r="V2420" i="34"/>
  <c r="V2422" i="34"/>
  <c r="V2424" i="34"/>
  <c r="V2426" i="34"/>
  <c r="V2428" i="34"/>
  <c r="V2430" i="34"/>
  <c r="V2432" i="34"/>
  <c r="V2434" i="34"/>
  <c r="V2436" i="34"/>
  <c r="V2438" i="34"/>
  <c r="V2440" i="34"/>
  <c r="V2442" i="34"/>
  <c r="V2444" i="34"/>
  <c r="V2446" i="34"/>
  <c r="V2448" i="34"/>
  <c r="V2450" i="34"/>
  <c r="V2452" i="34"/>
  <c r="V2115" i="34"/>
  <c r="V2119" i="34"/>
  <c r="V2121" i="34"/>
  <c r="V2123" i="34"/>
  <c r="V2125" i="34"/>
  <c r="V2127" i="34"/>
  <c r="V2129" i="34"/>
  <c r="V2131" i="34"/>
  <c r="V2133" i="34"/>
  <c r="V2135" i="34"/>
  <c r="V2137" i="34"/>
  <c r="V2139" i="34"/>
  <c r="V2141" i="34"/>
  <c r="V2143" i="34"/>
  <c r="V2145" i="34"/>
  <c r="V2147" i="34"/>
  <c r="V2149" i="34"/>
  <c r="V2151" i="34"/>
  <c r="V2153" i="34"/>
  <c r="V2155" i="34"/>
  <c r="V2157" i="34"/>
  <c r="V2159" i="34"/>
  <c r="V2161" i="34"/>
  <c r="V2163" i="34"/>
  <c r="V2165" i="34"/>
  <c r="V2167" i="34"/>
  <c r="V2169" i="34"/>
  <c r="V2171" i="34"/>
  <c r="V2173" i="34"/>
  <c r="V2175" i="34"/>
  <c r="V2177" i="34"/>
  <c r="V2179" i="34"/>
  <c r="V2181" i="34"/>
  <c r="V2183" i="34"/>
  <c r="V2185" i="34"/>
  <c r="V2187" i="34"/>
  <c r="V2189" i="34"/>
  <c r="V2191" i="34"/>
  <c r="V2193" i="34"/>
  <c r="V2195" i="34"/>
  <c r="V2197" i="34"/>
  <c r="V2199" i="34"/>
  <c r="V2201" i="34"/>
  <c r="V2203" i="34"/>
  <c r="V2205" i="34"/>
  <c r="V2207" i="34"/>
  <c r="V2209" i="34"/>
  <c r="V2211" i="34"/>
  <c r="V2213" i="34"/>
  <c r="V2215" i="34"/>
  <c r="V2217" i="34"/>
  <c r="V2219" i="34"/>
  <c r="V2221" i="34"/>
  <c r="V2223" i="34"/>
  <c r="V2225" i="34"/>
  <c r="V2227" i="34"/>
  <c r="V2229" i="34"/>
  <c r="V2231" i="34"/>
  <c r="V2233" i="34"/>
  <c r="V2235" i="34"/>
  <c r="V2237" i="34"/>
  <c r="V2239" i="34"/>
  <c r="V2241" i="34"/>
  <c r="V2243" i="34"/>
  <c r="V2245" i="34"/>
  <c r="V2247" i="34"/>
  <c r="V2249" i="34"/>
  <c r="V2251" i="34"/>
  <c r="V2253" i="34"/>
  <c r="V2255" i="34"/>
  <c r="V2257" i="34"/>
  <c r="V2259" i="34"/>
  <c r="V2261" i="34"/>
  <c r="V2263" i="34"/>
  <c r="V2265" i="34"/>
  <c r="V2267" i="34"/>
  <c r="V2269" i="34"/>
  <c r="V2271" i="34"/>
  <c r="V2273" i="34"/>
  <c r="V2275" i="34"/>
  <c r="V2277" i="34"/>
  <c r="V2279" i="34"/>
  <c r="V2281" i="34"/>
  <c r="V2283" i="34"/>
  <c r="V2285" i="34"/>
  <c r="V2287" i="34"/>
  <c r="V2289" i="34"/>
  <c r="V2291" i="34"/>
  <c r="V2293" i="34"/>
  <c r="V2295" i="34"/>
  <c r="V2297" i="34"/>
  <c r="V2299" i="34"/>
  <c r="V2301" i="34"/>
  <c r="V2303" i="34"/>
  <c r="V2305" i="34"/>
  <c r="V2307" i="34"/>
  <c r="V2309" i="34"/>
  <c r="V2311" i="34"/>
  <c r="V2313" i="34"/>
  <c r="V2315" i="34"/>
  <c r="V2317" i="34"/>
  <c r="V2319" i="34"/>
  <c r="V2321" i="34"/>
  <c r="V2323" i="34"/>
  <c r="V2325" i="34"/>
  <c r="V2327" i="34"/>
  <c r="V2329" i="34"/>
  <c r="V2331" i="34"/>
  <c r="V2333" i="34"/>
  <c r="V2335" i="34"/>
  <c r="V2337" i="34"/>
  <c r="V2339" i="34"/>
  <c r="V2341" i="34"/>
  <c r="V2343" i="34"/>
  <c r="V2345" i="34"/>
  <c r="V2347" i="34"/>
  <c r="V2349" i="34"/>
  <c r="V2351" i="34"/>
  <c r="V2353" i="34"/>
  <c r="V2355" i="34"/>
  <c r="V2357" i="34"/>
  <c r="V2359" i="34"/>
  <c r="V2361" i="34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441" i="34"/>
  <c r="V2443" i="34"/>
  <c r="V2445" i="34"/>
  <c r="V2447" i="34"/>
  <c r="V2449" i="34"/>
  <c r="V2451" i="34"/>
  <c r="V2454" i="34"/>
  <c r="V2456" i="34"/>
  <c r="V2458" i="34"/>
  <c r="V2460" i="34"/>
  <c r="V2462" i="34"/>
  <c r="V2464" i="34"/>
  <c r="V2466" i="34"/>
  <c r="V2468" i="34"/>
  <c r="V2470" i="34"/>
  <c r="V2472" i="34"/>
  <c r="V2474" i="34"/>
  <c r="V2476" i="34"/>
  <c r="V2478" i="34"/>
  <c r="V2480" i="34"/>
  <c r="V2482" i="34"/>
  <c r="V2484" i="34"/>
  <c r="V2486" i="34"/>
  <c r="V2488" i="34"/>
  <c r="V2490" i="34"/>
  <c r="V2492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453" i="34"/>
  <c r="V2455" i="34"/>
  <c r="V2457" i="34"/>
  <c r="V2459" i="34"/>
  <c r="V2461" i="34"/>
  <c r="V2463" i="34"/>
  <c r="V2465" i="34"/>
  <c r="V2467" i="34"/>
  <c r="V2469" i="34"/>
  <c r="V2471" i="34"/>
  <c r="V2473" i="34"/>
  <c r="V2475" i="34"/>
  <c r="V2477" i="34"/>
  <c r="V2479" i="34"/>
  <c r="V2481" i="34"/>
  <c r="V2483" i="34"/>
  <c r="V2485" i="34"/>
  <c r="V2487" i="34"/>
  <c r="V2489" i="34"/>
  <c r="V2491" i="34"/>
  <c r="V2493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4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810" i="34"/>
  <c r="V2812" i="34"/>
  <c r="V2814" i="34"/>
  <c r="V2816" i="34"/>
  <c r="V2818" i="34"/>
  <c r="V2820" i="34"/>
  <c r="V2822" i="34"/>
  <c r="V2824" i="34"/>
  <c r="V2826" i="34"/>
  <c r="V2828" i="34"/>
  <c r="V2830" i="34"/>
  <c r="V2832" i="34"/>
  <c r="V2834" i="34"/>
  <c r="V2836" i="34"/>
  <c r="V2838" i="34"/>
  <c r="V2840" i="34"/>
  <c r="V2842" i="34"/>
  <c r="V2844" i="34"/>
  <c r="V2846" i="34"/>
  <c r="V2848" i="34"/>
  <c r="V2850" i="34"/>
  <c r="V2852" i="34"/>
  <c r="V2854" i="34"/>
  <c r="V2856" i="34"/>
  <c r="V2858" i="34"/>
  <c r="V2782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V2811" i="34"/>
  <c r="V2813" i="34"/>
  <c r="V2815" i="34"/>
  <c r="V2817" i="34"/>
  <c r="V2819" i="34"/>
  <c r="V2821" i="34"/>
  <c r="V2823" i="34"/>
  <c r="V2825" i="34"/>
  <c r="V2827" i="34"/>
  <c r="V2829" i="34"/>
  <c r="V2831" i="34"/>
  <c r="V2833" i="34"/>
  <c r="V2835" i="34"/>
  <c r="V2837" i="34"/>
  <c r="V2839" i="34"/>
  <c r="V2841" i="34"/>
  <c r="V2843" i="34"/>
  <c r="V2845" i="34"/>
  <c r="V2847" i="34"/>
  <c r="V2849" i="34"/>
  <c r="V2851" i="34"/>
  <c r="V2853" i="34"/>
  <c r="V2855" i="34"/>
  <c r="V2857" i="34"/>
  <c r="V2859" i="34"/>
  <c r="W15" i="34"/>
  <c r="W2930" i="34"/>
  <c r="W3231" i="34"/>
  <c r="W3185" i="34"/>
  <c r="W3297" i="34"/>
  <c r="W3059" i="34"/>
  <c r="W2890" i="34"/>
  <c r="W2999" i="34"/>
  <c r="W3345" i="34"/>
  <c r="W3171" i="34"/>
  <c r="W3269" i="34"/>
  <c r="W3089" i="34"/>
  <c r="W2871" i="34"/>
  <c r="W3146" i="34"/>
  <c r="W3178" i="34"/>
  <c r="W3076" i="34"/>
  <c r="W3190" i="34"/>
  <c r="W3248" i="34"/>
  <c r="W3050" i="34"/>
  <c r="W3128" i="34"/>
  <c r="W3274" i="34"/>
  <c r="W3306" i="34"/>
  <c r="W3235" i="34"/>
  <c r="W3203" i="34"/>
  <c r="W3301" i="34"/>
  <c r="W3117" i="34"/>
  <c r="W3003" i="34"/>
  <c r="W2862" i="34"/>
  <c r="W3151" i="34"/>
  <c r="W3219" i="34"/>
  <c r="W3077" i="34"/>
  <c r="W2891" i="34"/>
  <c r="W2867" i="34"/>
  <c r="W3344" i="34"/>
  <c r="W3174" i="34"/>
  <c r="W3056" i="34"/>
  <c r="W3088" i="34"/>
  <c r="W3268" i="34"/>
  <c r="W3208" i="34"/>
  <c r="W3040" i="34"/>
  <c r="W3224" i="34"/>
  <c r="W3132" i="34"/>
  <c r="W3294" i="34"/>
  <c r="W3018" i="34"/>
  <c r="W3251" i="34"/>
  <c r="W3049" i="34"/>
  <c r="W3233" i="34"/>
  <c r="W3275" i="34"/>
  <c r="W3307" i="34"/>
  <c r="W3317" i="34"/>
  <c r="W2864" i="34"/>
  <c r="W3347" i="34"/>
  <c r="W3173" i="34"/>
  <c r="W3318" i="34"/>
  <c r="W2865" i="34"/>
  <c r="W3160" i="34"/>
  <c r="W3220" i="34"/>
  <c r="W3074" i="34"/>
  <c r="W3196" i="34"/>
  <c r="W3242" i="34"/>
  <c r="W3044" i="34"/>
  <c r="W3188" i="34"/>
  <c r="W3134" i="34"/>
  <c r="W3263" i="34"/>
  <c r="W3111" i="34"/>
  <c r="W3035" i="34"/>
  <c r="W3129" i="34"/>
  <c r="W3287" i="34"/>
  <c r="W3019" i="34"/>
  <c r="W3029" i="34"/>
  <c r="W2892" i="34"/>
  <c r="W2868" i="34"/>
  <c r="W3023" i="34"/>
  <c r="W3177" i="34"/>
  <c r="W3062" i="34"/>
  <c r="W3002" i="34"/>
  <c r="W2861" i="34"/>
  <c r="W3156" i="34"/>
  <c r="W3312" i="34"/>
  <c r="W3070" i="34"/>
  <c r="W3182" i="34"/>
  <c r="W3262" i="34"/>
  <c r="W3110" i="34"/>
  <c r="W3138" i="34"/>
  <c r="W3296" i="34"/>
  <c r="W3060" i="34"/>
  <c r="W3221" i="34"/>
  <c r="W3071" i="34"/>
  <c r="W3183" i="34"/>
  <c r="W3253" i="34"/>
  <c r="W3101" i="34"/>
  <c r="W3276" i="34"/>
  <c r="W3308" i="34"/>
  <c r="W3338" i="34"/>
  <c r="W3392" i="34"/>
  <c r="W3091" i="34"/>
  <c r="W3265" i="34"/>
  <c r="W3205" i="34"/>
  <c r="W3329" i="34"/>
  <c r="W2973" i="34"/>
  <c r="W3388" i="34"/>
  <c r="W2942" i="34"/>
  <c r="W2988" i="34"/>
  <c r="W2992" i="34"/>
  <c r="W2965" i="34"/>
  <c r="W2994" i="34"/>
  <c r="W2932" i="34"/>
  <c r="W3363" i="34"/>
  <c r="W2906" i="34"/>
  <c r="W3362" i="34"/>
  <c r="W2966" i="34"/>
  <c r="W2901" i="34"/>
  <c r="W3374" i="34"/>
  <c r="W3379" i="34"/>
  <c r="W2911" i="34"/>
  <c r="W2955" i="34"/>
  <c r="W3369" i="34"/>
  <c r="W2909" i="34"/>
  <c r="W2953" i="34"/>
  <c r="W2903" i="34"/>
  <c r="W3368" i="34"/>
  <c r="W2970" i="34"/>
  <c r="W2922" i="34"/>
  <c r="W3370" i="34"/>
  <c r="W3008" i="34"/>
  <c r="W3238" i="34"/>
  <c r="W2947" i="34"/>
  <c r="W3123" i="34"/>
  <c r="W3273" i="34"/>
  <c r="W3305" i="34"/>
  <c r="W3027" i="34"/>
  <c r="W2882" i="34"/>
  <c r="W3147" i="34"/>
  <c r="W3179" i="34"/>
  <c r="W3065" i="34"/>
  <c r="W3097" i="34"/>
  <c r="W2863" i="34"/>
  <c r="W3154" i="34"/>
  <c r="W3214" i="34"/>
  <c r="W3084" i="34"/>
  <c r="W3198" i="34"/>
  <c r="W3240" i="34"/>
  <c r="W3036" i="34"/>
  <c r="W2898" i="34"/>
  <c r="W3136" i="34"/>
  <c r="W3282" i="34"/>
  <c r="W3026" i="34"/>
  <c r="W3127" i="34"/>
  <c r="W3277" i="34"/>
  <c r="W3309" i="34"/>
  <c r="W3031" i="34"/>
  <c r="W2886" i="34"/>
  <c r="W3159" i="34"/>
  <c r="W3315" i="34"/>
  <c r="W3085" i="34"/>
  <c r="W3000" i="34"/>
  <c r="W3150" i="34"/>
  <c r="W3218" i="34"/>
  <c r="W3393" i="34"/>
  <c r="W3096" i="34"/>
  <c r="W3260" i="34"/>
  <c r="W3108" i="34"/>
  <c r="W3332" i="34"/>
  <c r="W3232" i="34"/>
  <c r="W3140" i="34"/>
  <c r="W3302" i="34"/>
  <c r="W3199" i="34"/>
  <c r="W3243" i="34"/>
  <c r="W3039" i="34"/>
  <c r="W3125" i="34"/>
  <c r="W3283" i="34"/>
  <c r="W3119" i="34"/>
  <c r="W2896" i="34"/>
  <c r="W2888" i="34"/>
  <c r="W3149" i="34"/>
  <c r="W3217" i="34"/>
  <c r="W2897" i="34"/>
  <c r="W2889" i="34"/>
  <c r="W3346" i="34"/>
  <c r="W3168" i="34"/>
  <c r="W3316" i="34"/>
  <c r="W3082" i="34"/>
  <c r="W3266" i="34"/>
  <c r="W3206" i="34"/>
  <c r="W3038" i="34"/>
  <c r="W3226" i="34"/>
  <c r="W3142" i="34"/>
  <c r="W3255" i="34"/>
  <c r="W3103" i="34"/>
  <c r="W3017" i="34"/>
  <c r="W2949" i="34"/>
  <c r="W3187" i="34"/>
  <c r="W3137" i="34"/>
  <c r="W3295" i="34"/>
  <c r="W3391" i="34"/>
  <c r="W3339" i="34"/>
  <c r="W3001" i="34"/>
  <c r="W2860" i="34"/>
  <c r="W3153" i="34"/>
  <c r="W3213" i="34"/>
  <c r="W3030" i="34"/>
  <c r="W2893" i="34"/>
  <c r="W2885" i="34"/>
  <c r="W3164" i="34"/>
  <c r="W3034" i="34"/>
  <c r="W3078" i="34"/>
  <c r="W3192" i="34"/>
  <c r="W3254" i="34"/>
  <c r="W3102" i="34"/>
  <c r="W3230" i="34"/>
  <c r="W3272" i="34"/>
  <c r="W3304" i="34"/>
  <c r="W3042" i="34"/>
  <c r="W3327" i="34"/>
  <c r="W3079" i="34"/>
  <c r="W3197" i="34"/>
  <c r="W3245" i="34"/>
  <c r="W3051" i="34"/>
  <c r="W3284" i="34"/>
  <c r="W3020" i="34"/>
  <c r="W3324" i="34"/>
  <c r="W3067" i="34"/>
  <c r="W3099" i="34"/>
  <c r="W3257" i="34"/>
  <c r="W3105" i="34"/>
  <c r="W2927" i="34"/>
  <c r="W2934" i="34"/>
  <c r="W2963" i="34"/>
  <c r="W2935" i="34"/>
  <c r="W2931" i="34"/>
  <c r="W2933" i="34"/>
  <c r="W2936" i="34"/>
  <c r="W2981" i="34"/>
  <c r="W2997" i="34"/>
  <c r="W2974" i="34"/>
  <c r="W2972" i="34"/>
  <c r="W2958" i="34"/>
  <c r="W3367" i="34"/>
  <c r="W3005" i="34"/>
  <c r="W2967" i="34"/>
  <c r="W2907" i="34"/>
  <c r="W3372" i="34"/>
  <c r="W2908" i="34"/>
  <c r="W2956" i="34"/>
  <c r="W2918" i="34"/>
  <c r="W3382" i="34"/>
  <c r="W3387" i="34"/>
  <c r="W3351" i="34"/>
  <c r="W2921" i="34"/>
  <c r="W3377" i="34"/>
  <c r="W2917" i="34"/>
  <c r="W3357" i="34"/>
  <c r="W2919" i="34"/>
  <c r="W3376" i="34"/>
  <c r="W2912" i="34"/>
  <c r="W2952" i="34"/>
  <c r="W3378" i="34"/>
  <c r="W2902" i="34"/>
  <c r="W3271" i="34"/>
  <c r="W3239" i="34"/>
  <c r="W3131" i="34"/>
  <c r="W3281" i="34"/>
  <c r="W3025" i="34"/>
  <c r="W3337" i="34"/>
  <c r="W2874" i="34"/>
  <c r="W3155" i="34"/>
  <c r="W3215" i="34"/>
  <c r="W3073" i="34"/>
  <c r="W3191" i="34"/>
  <c r="W2887" i="34"/>
  <c r="W3340" i="34"/>
  <c r="W3162" i="34"/>
  <c r="W3222" i="34"/>
  <c r="W3092" i="34"/>
  <c r="W3264" i="34"/>
  <c r="W3204" i="34"/>
  <c r="W3014" i="34"/>
  <c r="W2946" i="34"/>
  <c r="W3144" i="34"/>
  <c r="W3290" i="34"/>
  <c r="W3236" i="34"/>
  <c r="W3135" i="34"/>
  <c r="W3285" i="34"/>
  <c r="W3043" i="34"/>
  <c r="W3323" i="34"/>
  <c r="W2878" i="34"/>
  <c r="W3341" i="34"/>
  <c r="W3167" i="34"/>
  <c r="W3057" i="34"/>
  <c r="W3093" i="34"/>
  <c r="W2883" i="34"/>
  <c r="W3158" i="34"/>
  <c r="W3314" i="34"/>
  <c r="W3072" i="34"/>
  <c r="W3194" i="34"/>
  <c r="W3252" i="34"/>
  <c r="W3100" i="34"/>
  <c r="W3350" i="34"/>
  <c r="W3278" i="34"/>
  <c r="W3310" i="34"/>
  <c r="W3267" i="34"/>
  <c r="W3207" i="34"/>
  <c r="W3013" i="34"/>
  <c r="W3133" i="34"/>
  <c r="W3291" i="34"/>
  <c r="W3033" i="34"/>
  <c r="W2880" i="34"/>
  <c r="W3157" i="34"/>
  <c r="W3116" i="34"/>
  <c r="W2881" i="34"/>
  <c r="W3064" i="34"/>
  <c r="W3176" i="34"/>
  <c r="W3270" i="34"/>
  <c r="W3090" i="34"/>
  <c r="W3258" i="34"/>
  <c r="W3106" i="34"/>
  <c r="W3016" i="34"/>
  <c r="W2948" i="34"/>
  <c r="W3234" i="34"/>
  <c r="W3184" i="34"/>
  <c r="W3247" i="34"/>
  <c r="W3053" i="34"/>
  <c r="W3229" i="34"/>
  <c r="W3145" i="34"/>
  <c r="W3303" i="34"/>
  <c r="W3115" i="34"/>
  <c r="W3321" i="34"/>
  <c r="W2884" i="34"/>
  <c r="W3161" i="34"/>
  <c r="W3120" i="34"/>
  <c r="W3336" i="34"/>
  <c r="W2877" i="34"/>
  <c r="W3342" i="34"/>
  <c r="W3172" i="34"/>
  <c r="W3054" i="34"/>
  <c r="W3086" i="34"/>
  <c r="W3200" i="34"/>
  <c r="W3246" i="34"/>
  <c r="W3048" i="34"/>
  <c r="W2944" i="34"/>
  <c r="W3122" i="34"/>
  <c r="W3280" i="34"/>
  <c r="W3024" i="34"/>
  <c r="W3028" i="34"/>
  <c r="W3041" i="34"/>
  <c r="W3087" i="34"/>
  <c r="W3063" i="34"/>
  <c r="W3209" i="34"/>
  <c r="W3015" i="34"/>
  <c r="W3292" i="34"/>
  <c r="W3114" i="34"/>
  <c r="W3313" i="34"/>
  <c r="W3075" i="34"/>
  <c r="W3193" i="34"/>
  <c r="W3249" i="34"/>
  <c r="W3047" i="34"/>
  <c r="W2978" i="34"/>
  <c r="W2983" i="34"/>
  <c r="W2959" i="34"/>
  <c r="W2938" i="34"/>
  <c r="W2960" i="34"/>
  <c r="W2998" i="34"/>
  <c r="W2964" i="34"/>
  <c r="W2976" i="34"/>
  <c r="W2961" i="34"/>
  <c r="W2977" i="34"/>
  <c r="W2987" i="34"/>
  <c r="W2926" i="34"/>
  <c r="W2939" i="34"/>
  <c r="W2925" i="34"/>
  <c r="W2989" i="34"/>
  <c r="W2996" i="34"/>
  <c r="W2940" i="34"/>
  <c r="W2962" i="34"/>
  <c r="W2975" i="34"/>
  <c r="W2979" i="34"/>
  <c r="W2982" i="34"/>
  <c r="W3375" i="34"/>
  <c r="W2969" i="34"/>
  <c r="W2951" i="34"/>
  <c r="W3373" i="34"/>
  <c r="W2905" i="34"/>
  <c r="W3353" i="34"/>
  <c r="W2923" i="34"/>
  <c r="W2950" i="34"/>
  <c r="W3380" i="34"/>
  <c r="W2916" i="34"/>
  <c r="W3352" i="34"/>
  <c r="W3004" i="34"/>
  <c r="W3009" i="34"/>
  <c r="W3359" i="34"/>
  <c r="W3385" i="34"/>
  <c r="W3365" i="34"/>
  <c r="W3358" i="34"/>
  <c r="W2920" i="34"/>
  <c r="W3384" i="34"/>
  <c r="W3356" i="34"/>
  <c r="W3386" i="34"/>
  <c r="W2910" i="34"/>
  <c r="W2928" i="34"/>
  <c r="W3237" i="34"/>
  <c r="W2899" i="34"/>
  <c r="W3189" i="34"/>
  <c r="W3139" i="34"/>
  <c r="W3289" i="34"/>
  <c r="W3113" i="34"/>
  <c r="W3319" i="34"/>
  <c r="W2866" i="34"/>
  <c r="W3163" i="34"/>
  <c r="W3223" i="34"/>
  <c r="W3081" i="34"/>
  <c r="W2895" i="34"/>
  <c r="W2879" i="34"/>
  <c r="W3348" i="34"/>
  <c r="W3170" i="34"/>
  <c r="W3068" i="34"/>
  <c r="W3180" i="34"/>
  <c r="W3256" i="34"/>
  <c r="W3104" i="34"/>
  <c r="W3328" i="34"/>
  <c r="W3228" i="34"/>
  <c r="W3186" i="34"/>
  <c r="W3298" i="34"/>
  <c r="W2943" i="34"/>
  <c r="W3227" i="34"/>
  <c r="W3143" i="34"/>
  <c r="W3293" i="34"/>
  <c r="W3021" i="34"/>
  <c r="W2894" i="34"/>
  <c r="W2870" i="34"/>
  <c r="W3349" i="34"/>
  <c r="W3175" i="34"/>
  <c r="W3069" i="34"/>
  <c r="W3181" i="34"/>
  <c r="W2875" i="34"/>
  <c r="W3166" i="34"/>
  <c r="W3010" i="34"/>
  <c r="W3080" i="34"/>
  <c r="W3202" i="34"/>
  <c r="W3244" i="34"/>
  <c r="W3046" i="34"/>
  <c r="W3124" i="34"/>
  <c r="W3286" i="34"/>
  <c r="W3012" i="34"/>
  <c r="W3259" i="34"/>
  <c r="W3107" i="34"/>
  <c r="W3331" i="34"/>
  <c r="W2945" i="34"/>
  <c r="W3225" i="34"/>
  <c r="W3141" i="34"/>
  <c r="W3299" i="34"/>
  <c r="W3325" i="34"/>
  <c r="W2872" i="34"/>
  <c r="W3335" i="34"/>
  <c r="W3165" i="34"/>
  <c r="W3326" i="34"/>
  <c r="W2873" i="34"/>
  <c r="W3152" i="34"/>
  <c r="W3212" i="34"/>
  <c r="W3066" i="34"/>
  <c r="W3098" i="34"/>
  <c r="W3250" i="34"/>
  <c r="W3052" i="34"/>
  <c r="W3330" i="34"/>
  <c r="W3126" i="34"/>
  <c r="W3195" i="34"/>
  <c r="W3211" i="34"/>
  <c r="W3045" i="34"/>
  <c r="W3121" i="34"/>
  <c r="W3279" i="34"/>
  <c r="W3311" i="34"/>
  <c r="W3061" i="34"/>
  <c r="W2900" i="34"/>
  <c r="W2876" i="34"/>
  <c r="W3343" i="34"/>
  <c r="W3169" i="34"/>
  <c r="W3112" i="34"/>
  <c r="W3322" i="34"/>
  <c r="W2869" i="34"/>
  <c r="W3148" i="34"/>
  <c r="W3216" i="34"/>
  <c r="W3058" i="34"/>
  <c r="W3094" i="34"/>
  <c r="W3022" i="34"/>
  <c r="W3210" i="34"/>
  <c r="W3334" i="34"/>
  <c r="W3130" i="34"/>
  <c r="W3288" i="34"/>
  <c r="W3118" i="34"/>
  <c r="W3320" i="34"/>
  <c r="W3055" i="34"/>
  <c r="W3095" i="34"/>
  <c r="W3261" i="34"/>
  <c r="W3109" i="34"/>
  <c r="W3333" i="34"/>
  <c r="W3300" i="34"/>
  <c r="W3032" i="34"/>
  <c r="W3011" i="34"/>
  <c r="W3083" i="34"/>
  <c r="W3201" i="34"/>
  <c r="W3241" i="34"/>
  <c r="W3037" i="34"/>
  <c r="W3389" i="34"/>
  <c r="W2929" i="34"/>
  <c r="W2941" i="34"/>
  <c r="W2991" i="34"/>
  <c r="W2984" i="34"/>
  <c r="W2937" i="34"/>
  <c r="W2995" i="34"/>
  <c r="W2980" i="34"/>
  <c r="W3390" i="34"/>
  <c r="W2985" i="34"/>
  <c r="W2993" i="34"/>
  <c r="W2957" i="34"/>
  <c r="W2986" i="34"/>
  <c r="W2990" i="34"/>
  <c r="W2971" i="34"/>
  <c r="W3383" i="34"/>
  <c r="W2915" i="34"/>
  <c r="W3355" i="34"/>
  <c r="W3381" i="34"/>
  <c r="W2913" i="34"/>
  <c r="W3361" i="34"/>
  <c r="W2954" i="34"/>
  <c r="W3364" i="34"/>
  <c r="W3366" i="34"/>
  <c r="W2968" i="34"/>
  <c r="W3371" i="34"/>
  <c r="W3354" i="34"/>
  <c r="W2904" i="34"/>
  <c r="W3007" i="34"/>
  <c r="W2924" i="34"/>
  <c r="W3006" i="34"/>
  <c r="W3360" i="34"/>
  <c r="W2914" i="34"/>
  <c r="W3399" i="34"/>
  <c r="W3398" i="34"/>
  <c r="W3397" i="34"/>
  <c r="W3395" i="34"/>
  <c r="W3394" i="34"/>
  <c r="W3396" i="34"/>
  <c r="W17" i="34"/>
  <c r="W13" i="34"/>
  <c r="W16" i="34"/>
  <c r="W14" i="34"/>
  <c r="W18" i="34"/>
  <c r="V17" i="34"/>
  <c r="V18" i="34"/>
  <c r="V2860" i="34"/>
  <c r="V2862" i="34"/>
  <c r="V2864" i="34"/>
  <c r="V2866" i="34"/>
  <c r="V2868" i="34"/>
  <c r="V2870" i="34"/>
  <c r="V2872" i="34"/>
  <c r="V2874" i="34"/>
  <c r="V2876" i="34"/>
  <c r="V2878" i="34"/>
  <c r="V2880" i="34"/>
  <c r="V2882" i="34"/>
  <c r="V2884" i="34"/>
  <c r="V2886" i="34"/>
  <c r="V2888" i="34"/>
  <c r="V2890" i="34"/>
  <c r="V2892" i="34"/>
  <c r="V2894" i="34"/>
  <c r="V2896" i="34"/>
  <c r="V2898" i="34"/>
  <c r="V2900" i="34"/>
  <c r="V2902" i="34"/>
  <c r="V2904" i="34"/>
  <c r="V2906" i="34"/>
  <c r="V2908" i="34"/>
  <c r="V2910" i="34"/>
  <c r="V2912" i="34"/>
  <c r="V2914" i="34"/>
  <c r="V2916" i="34"/>
  <c r="V2918" i="34"/>
  <c r="V2920" i="34"/>
  <c r="V2922" i="34"/>
  <c r="V2924" i="34"/>
  <c r="V2926" i="34"/>
  <c r="V2928" i="34"/>
  <c r="V2930" i="34"/>
  <c r="V2932" i="34"/>
  <c r="V2934" i="34"/>
  <c r="V2936" i="34"/>
  <c r="V2938" i="34"/>
  <c r="V2940" i="34"/>
  <c r="V2942" i="34"/>
  <c r="V2944" i="34"/>
  <c r="V2946" i="34"/>
  <c r="V2948" i="34"/>
  <c r="V2950" i="34"/>
  <c r="V2952" i="34"/>
  <c r="V2954" i="34"/>
  <c r="V2956" i="34"/>
  <c r="V2958" i="34"/>
  <c r="V2960" i="34"/>
  <c r="V2962" i="34"/>
  <c r="V2964" i="34"/>
  <c r="V2966" i="34"/>
  <c r="V2968" i="34"/>
  <c r="V2970" i="34"/>
  <c r="V2972" i="34"/>
  <c r="V2974" i="34"/>
  <c r="V2976" i="34"/>
  <c r="V2978" i="34"/>
  <c r="V2980" i="34"/>
  <c r="V2982" i="34"/>
  <c r="V2984" i="34"/>
  <c r="V2986" i="34"/>
  <c r="V2988" i="34"/>
  <c r="V2990" i="34"/>
  <c r="V2992" i="34"/>
  <c r="V2994" i="34"/>
  <c r="V2996" i="34"/>
  <c r="V2998" i="34"/>
  <c r="V3000" i="34"/>
  <c r="V3002" i="34"/>
  <c r="V3004" i="34"/>
  <c r="V3006" i="34"/>
  <c r="V3008" i="34"/>
  <c r="V3010" i="34"/>
  <c r="V3012" i="34"/>
  <c r="V3014" i="34"/>
  <c r="V3016" i="34"/>
  <c r="V3018" i="34"/>
  <c r="V3020" i="34"/>
  <c r="V3022" i="34"/>
  <c r="V3024" i="34"/>
  <c r="V3026" i="34"/>
  <c r="V3028" i="34"/>
  <c r="V3030" i="34"/>
  <c r="V3032" i="34"/>
  <c r="V3034" i="34"/>
  <c r="V3036" i="34"/>
  <c r="V3038" i="34"/>
  <c r="V3040" i="34"/>
  <c r="V3042" i="34"/>
  <c r="V3044" i="34"/>
  <c r="V3046" i="34"/>
  <c r="V3048" i="34"/>
  <c r="V3050" i="34"/>
  <c r="V3052" i="34"/>
  <c r="V3054" i="34"/>
  <c r="V3056" i="34"/>
  <c r="V3058" i="34"/>
  <c r="V3060" i="34"/>
  <c r="V3062" i="34"/>
  <c r="V3064" i="34"/>
  <c r="V3066" i="34"/>
  <c r="V3068" i="34"/>
  <c r="V3070" i="34"/>
  <c r="V3072" i="34"/>
  <c r="V3074" i="34"/>
  <c r="V2861" i="34"/>
  <c r="V2863" i="34"/>
  <c r="V2865" i="34"/>
  <c r="V2867" i="34"/>
  <c r="V2869" i="34"/>
  <c r="V2871" i="34"/>
  <c r="V2873" i="34"/>
  <c r="V2875" i="34"/>
  <c r="V2877" i="34"/>
  <c r="V2879" i="34"/>
  <c r="V2881" i="34"/>
  <c r="V2883" i="34"/>
  <c r="V2885" i="34"/>
  <c r="V2887" i="34"/>
  <c r="V2889" i="34"/>
  <c r="V2891" i="34"/>
  <c r="V2893" i="34"/>
  <c r="V2895" i="34"/>
  <c r="V2897" i="34"/>
  <c r="V2899" i="34"/>
  <c r="V2901" i="34"/>
  <c r="V2903" i="34"/>
  <c r="V2905" i="34"/>
  <c r="V2907" i="34"/>
  <c r="V2909" i="34"/>
  <c r="V2911" i="34"/>
  <c r="V2913" i="34"/>
  <c r="V2915" i="34"/>
  <c r="V2917" i="34"/>
  <c r="V2919" i="34"/>
  <c r="V2921" i="34"/>
  <c r="V2923" i="34"/>
  <c r="V2925" i="34"/>
  <c r="V2927" i="34"/>
  <c r="V2929" i="34"/>
  <c r="V2931" i="34"/>
  <c r="V2933" i="34"/>
  <c r="V2935" i="34"/>
  <c r="V2937" i="34"/>
  <c r="V2939" i="34"/>
  <c r="V2941" i="34"/>
  <c r="V2943" i="34"/>
  <c r="V2945" i="34"/>
  <c r="V2947" i="34"/>
  <c r="V2949" i="34"/>
  <c r="V2951" i="34"/>
  <c r="V2953" i="34"/>
  <c r="V2955" i="34"/>
  <c r="V2957" i="34"/>
  <c r="V2959" i="34"/>
  <c r="V2961" i="34"/>
  <c r="V2963" i="34"/>
  <c r="V2965" i="34"/>
  <c r="V2967" i="34"/>
  <c r="V2969" i="34"/>
  <c r="V2971" i="34"/>
  <c r="V2973" i="34"/>
  <c r="V2975" i="34"/>
  <c r="V2977" i="34"/>
  <c r="V2979" i="34"/>
  <c r="V2981" i="34"/>
  <c r="V2983" i="34"/>
  <c r="V2985" i="34"/>
  <c r="V2987" i="34"/>
  <c r="V2989" i="34"/>
  <c r="V2991" i="34"/>
  <c r="V2993" i="34"/>
  <c r="V2995" i="34"/>
  <c r="V2997" i="34"/>
  <c r="V2999" i="34"/>
  <c r="V3001" i="34"/>
  <c r="V3003" i="34"/>
  <c r="V3005" i="34"/>
  <c r="V3007" i="34"/>
  <c r="V3009" i="34"/>
  <c r="V3011" i="34"/>
  <c r="V3013" i="34"/>
  <c r="V3015" i="34"/>
  <c r="V3017" i="34"/>
  <c r="V3019" i="34"/>
  <c r="V3021" i="34"/>
  <c r="V3023" i="34"/>
  <c r="V3025" i="34"/>
  <c r="V3027" i="34"/>
  <c r="V3029" i="34"/>
  <c r="V3031" i="34"/>
  <c r="V3033" i="34"/>
  <c r="V3035" i="34"/>
  <c r="V3037" i="34"/>
  <c r="V3039" i="34"/>
  <c r="V3041" i="34"/>
  <c r="V3043" i="34"/>
  <c r="V3045" i="34"/>
  <c r="V3047" i="34"/>
  <c r="V3049" i="34"/>
  <c r="V3051" i="34"/>
  <c r="V3053" i="34"/>
  <c r="V3055" i="34"/>
  <c r="V3057" i="34"/>
  <c r="V3059" i="34"/>
  <c r="V3061" i="34"/>
  <c r="V3063" i="34"/>
  <c r="V3065" i="34"/>
  <c r="V3067" i="34"/>
  <c r="V3069" i="34"/>
  <c r="V3071" i="34"/>
  <c r="V3073" i="34"/>
  <c r="V3075" i="34"/>
  <c r="V3077" i="34"/>
  <c r="V3076" i="34"/>
  <c r="V3079" i="34"/>
  <c r="V3081" i="34"/>
  <c r="V3083" i="34"/>
  <c r="V3085" i="34"/>
  <c r="V3087" i="34"/>
  <c r="V3089" i="34"/>
  <c r="V3091" i="34"/>
  <c r="V3093" i="34"/>
  <c r="V3095" i="34"/>
  <c r="V3097" i="34"/>
  <c r="V3099" i="34"/>
  <c r="V3101" i="34"/>
  <c r="V3103" i="34"/>
  <c r="V3105" i="34"/>
  <c r="V3107" i="34"/>
  <c r="V3109" i="34"/>
  <c r="V3111" i="34"/>
  <c r="V3113" i="34"/>
  <c r="V3115" i="34"/>
  <c r="V3117" i="34"/>
  <c r="V3119" i="34"/>
  <c r="V3121" i="34"/>
  <c r="V3123" i="34"/>
  <c r="V3125" i="34"/>
  <c r="V3127" i="34"/>
  <c r="V3129" i="34"/>
  <c r="V3131" i="34"/>
  <c r="V3133" i="34"/>
  <c r="V3135" i="34"/>
  <c r="V3137" i="34"/>
  <c r="V3139" i="34"/>
  <c r="V3141" i="34"/>
  <c r="V3143" i="34"/>
  <c r="V3145" i="34"/>
  <c r="V3147" i="34"/>
  <c r="V3149" i="34"/>
  <c r="V3151" i="34"/>
  <c r="V3153" i="34"/>
  <c r="V3155" i="34"/>
  <c r="V3157" i="34"/>
  <c r="V3159" i="34"/>
  <c r="V3161" i="34"/>
  <c r="V3163" i="34"/>
  <c r="V3165" i="34"/>
  <c r="V3167" i="34"/>
  <c r="V3169" i="34"/>
  <c r="V3171" i="34"/>
  <c r="V3173" i="34"/>
  <c r="V3175" i="34"/>
  <c r="V3177" i="34"/>
  <c r="V3179" i="34"/>
  <c r="V3181" i="34"/>
  <c r="V3183" i="34"/>
  <c r="V3185" i="34"/>
  <c r="V3187" i="34"/>
  <c r="V3189" i="34"/>
  <c r="V3191" i="34"/>
  <c r="V3193" i="34"/>
  <c r="V3195" i="34"/>
  <c r="V3197" i="34"/>
  <c r="V3199" i="34"/>
  <c r="V3201" i="34"/>
  <c r="V3203" i="34"/>
  <c r="V3205" i="34"/>
  <c r="V3207" i="34"/>
  <c r="V3209" i="34"/>
  <c r="V3211" i="34"/>
  <c r="V3213" i="34"/>
  <c r="V3215" i="34"/>
  <c r="V3217" i="34"/>
  <c r="V3219" i="34"/>
  <c r="V3221" i="34"/>
  <c r="V3223" i="34"/>
  <c r="V3225" i="34"/>
  <c r="V3227" i="34"/>
  <c r="V3229" i="34"/>
  <c r="V3231" i="34"/>
  <c r="V3233" i="34"/>
  <c r="V3235" i="34"/>
  <c r="V3237" i="34"/>
  <c r="V3239" i="34"/>
  <c r="V3241" i="34"/>
  <c r="V3243" i="34"/>
  <c r="V3245" i="34"/>
  <c r="V3247" i="34"/>
  <c r="V3249" i="34"/>
  <c r="V3251" i="34"/>
  <c r="V3253" i="34"/>
  <c r="V3255" i="34"/>
  <c r="V3257" i="34"/>
  <c r="V3259" i="34"/>
  <c r="V3261" i="34"/>
  <c r="V3263" i="34"/>
  <c r="V3265" i="34"/>
  <c r="V3267" i="34"/>
  <c r="V3269" i="34"/>
  <c r="V3271" i="34"/>
  <c r="V3273" i="34"/>
  <c r="V3275" i="34"/>
  <c r="V3277" i="34"/>
  <c r="V3279" i="34"/>
  <c r="V3281" i="34"/>
  <c r="V3283" i="34"/>
  <c r="V3285" i="34"/>
  <c r="V3287" i="34"/>
  <c r="V3289" i="34"/>
  <c r="V3291" i="34"/>
  <c r="V3293" i="34"/>
  <c r="V3295" i="34"/>
  <c r="V3297" i="34"/>
  <c r="V3299" i="34"/>
  <c r="V3301" i="34"/>
  <c r="V3303" i="34"/>
  <c r="V3305" i="34"/>
  <c r="V3307" i="34"/>
  <c r="V3309" i="34"/>
  <c r="V3311" i="34"/>
  <c r="V3313" i="34"/>
  <c r="V3315" i="34"/>
  <c r="V3317" i="34"/>
  <c r="V3319" i="34"/>
  <c r="V3321" i="34"/>
  <c r="V3323" i="34"/>
  <c r="V3325" i="34"/>
  <c r="V3327" i="34"/>
  <c r="V3329" i="34"/>
  <c r="V3331" i="34"/>
  <c r="V3333" i="34"/>
  <c r="V3335" i="34"/>
  <c r="V3337" i="34"/>
  <c r="V3339" i="34"/>
  <c r="V3341" i="34"/>
  <c r="V3343" i="34"/>
  <c r="V3345" i="34"/>
  <c r="V3347" i="34"/>
  <c r="V3349" i="34"/>
  <c r="V3351" i="34"/>
  <c r="V3353" i="34"/>
  <c r="V3355" i="34"/>
  <c r="V3357" i="34"/>
  <c r="V3359" i="34"/>
  <c r="V3361" i="34"/>
  <c r="V3363" i="34"/>
  <c r="V3365" i="34"/>
  <c r="V3367" i="34"/>
  <c r="V3369" i="34"/>
  <c r="V3371" i="34"/>
  <c r="V3373" i="34"/>
  <c r="V3375" i="34"/>
  <c r="V3377" i="34"/>
  <c r="V3379" i="34"/>
  <c r="V3381" i="34"/>
  <c r="V3383" i="34"/>
  <c r="V3385" i="34"/>
  <c r="V3387" i="34"/>
  <c r="V3389" i="34"/>
  <c r="V3391" i="34"/>
  <c r="V3393" i="34"/>
  <c r="V3395" i="34"/>
  <c r="V3397" i="34"/>
  <c r="V3399" i="34"/>
  <c r="V3078" i="34"/>
  <c r="V3080" i="34"/>
  <c r="V3082" i="34"/>
  <c r="V3084" i="34"/>
  <c r="V3086" i="34"/>
  <c r="V3088" i="34"/>
  <c r="V3090" i="34"/>
  <c r="V3092" i="34"/>
  <c r="V3094" i="34"/>
  <c r="V3096" i="34"/>
  <c r="V3098" i="34"/>
  <c r="V3100" i="34"/>
  <c r="V3102" i="34"/>
  <c r="V3104" i="34"/>
  <c r="V3106" i="34"/>
  <c r="V3108" i="34"/>
  <c r="V3110" i="34"/>
  <c r="V3112" i="34"/>
  <c r="V3114" i="34"/>
  <c r="V3116" i="34"/>
  <c r="V3118" i="34"/>
  <c r="V3120" i="34"/>
  <c r="V3122" i="34"/>
  <c r="V3124" i="34"/>
  <c r="V3126" i="34"/>
  <c r="V3128" i="34"/>
  <c r="V3130" i="34"/>
  <c r="V3132" i="34"/>
  <c r="V3134" i="34"/>
  <c r="V3136" i="34"/>
  <c r="V3138" i="34"/>
  <c r="V3140" i="34"/>
  <c r="V3142" i="34"/>
  <c r="V3144" i="34"/>
  <c r="V3146" i="34"/>
  <c r="V3148" i="34"/>
  <c r="V3150" i="34"/>
  <c r="V3152" i="34"/>
  <c r="V3154" i="34"/>
  <c r="V3156" i="34"/>
  <c r="V3158" i="34"/>
  <c r="V3160" i="34"/>
  <c r="V3162" i="34"/>
  <c r="V3164" i="34"/>
  <c r="V3166" i="34"/>
  <c r="V3168" i="34"/>
  <c r="V3170" i="34"/>
  <c r="V3172" i="34"/>
  <c r="V3174" i="34"/>
  <c r="V3176" i="34"/>
  <c r="V3178" i="34"/>
  <c r="V3180" i="34"/>
  <c r="V3182" i="34"/>
  <c r="V3184" i="34"/>
  <c r="V3186" i="34"/>
  <c r="V3188" i="34"/>
  <c r="V3190" i="34"/>
  <c r="V3192" i="34"/>
  <c r="V3194" i="34"/>
  <c r="V3196" i="34"/>
  <c r="V3198" i="34"/>
  <c r="V3200" i="34"/>
  <c r="V3202" i="34"/>
  <c r="V3204" i="34"/>
  <c r="V3206" i="34"/>
  <c r="V3208" i="34"/>
  <c r="V3210" i="34"/>
  <c r="V3212" i="34"/>
  <c r="V3214" i="34"/>
  <c r="V3216" i="34"/>
  <c r="V3218" i="34"/>
  <c r="V3220" i="34"/>
  <c r="V3222" i="34"/>
  <c r="V3224" i="34"/>
  <c r="V3226" i="34"/>
  <c r="V3228" i="34"/>
  <c r="V3230" i="34"/>
  <c r="V3232" i="34"/>
  <c r="V3234" i="34"/>
  <c r="V3236" i="34"/>
  <c r="V3238" i="34"/>
  <c r="V3240" i="34"/>
  <c r="V3242" i="34"/>
  <c r="V3244" i="34"/>
  <c r="V3246" i="34"/>
  <c r="V3248" i="34"/>
  <c r="V3250" i="34"/>
  <c r="V3252" i="34"/>
  <c r="V3254" i="34"/>
  <c r="V3256" i="34"/>
  <c r="V3258" i="34"/>
  <c r="V3260" i="34"/>
  <c r="V3262" i="34"/>
  <c r="V3264" i="34"/>
  <c r="V3266" i="34"/>
  <c r="V3268" i="34"/>
  <c r="V3270" i="34"/>
  <c r="V3272" i="34"/>
  <c r="V3274" i="34"/>
  <c r="V3276" i="34"/>
  <c r="V3278" i="34"/>
  <c r="V3280" i="34"/>
  <c r="V3282" i="34"/>
  <c r="V3284" i="34"/>
  <c r="V3286" i="34"/>
  <c r="V3288" i="34"/>
  <c r="V3290" i="34"/>
  <c r="V3292" i="34"/>
  <c r="V3294" i="34"/>
  <c r="V3296" i="34"/>
  <c r="V3298" i="34"/>
  <c r="V3300" i="34"/>
  <c r="V3302" i="34"/>
  <c r="V3304" i="34"/>
  <c r="V3306" i="34"/>
  <c r="V3308" i="34"/>
  <c r="V3310" i="34"/>
  <c r="V3312" i="34"/>
  <c r="V3314" i="34"/>
  <c r="V3316" i="34"/>
  <c r="V3318" i="34"/>
  <c r="V3320" i="34"/>
  <c r="V3322" i="34"/>
  <c r="V3324" i="34"/>
  <c r="V3326" i="34"/>
  <c r="V3328" i="34"/>
  <c r="V3330" i="34"/>
  <c r="V3332" i="34"/>
  <c r="V3334" i="34"/>
  <c r="V3336" i="34"/>
  <c r="V3338" i="34"/>
  <c r="V3340" i="34"/>
  <c r="V3342" i="34"/>
  <c r="V3344" i="34"/>
  <c r="V3346" i="34"/>
  <c r="V3348" i="34"/>
  <c r="V3350" i="34"/>
  <c r="V3352" i="34"/>
  <c r="V3354" i="34"/>
  <c r="V3356" i="34"/>
  <c r="V3358" i="34"/>
  <c r="V3360" i="34"/>
  <c r="V3362" i="34"/>
  <c r="V3364" i="34"/>
  <c r="V3366" i="34"/>
  <c r="V3368" i="34"/>
  <c r="V3370" i="34"/>
  <c r="V3372" i="34"/>
  <c r="V3374" i="34"/>
  <c r="V3376" i="34"/>
  <c r="V3378" i="34"/>
  <c r="V3380" i="34"/>
  <c r="V3382" i="34"/>
  <c r="V3384" i="34"/>
  <c r="V3386" i="34"/>
  <c r="V3388" i="34"/>
  <c r="V3390" i="34"/>
  <c r="V3392" i="34"/>
  <c r="V3394" i="34"/>
  <c r="V3396" i="34"/>
  <c r="V3398" i="34"/>
  <c r="V13" i="34"/>
  <c r="V15" i="34"/>
  <c r="V14" i="34"/>
  <c r="V16" i="34"/>
  <c r="I14" i="81"/>
  <c r="I72" i="81"/>
  <c r="I70" i="81"/>
  <c r="I68" i="81"/>
  <c r="I66" i="81"/>
  <c r="I64" i="81"/>
  <c r="I62" i="81"/>
  <c r="I60" i="81"/>
  <c r="I58" i="81"/>
  <c r="D70" i="81"/>
  <c r="D66" i="81"/>
  <c r="D62" i="81"/>
  <c r="D58" i="81"/>
  <c r="D54" i="81"/>
  <c r="D50" i="81"/>
  <c r="D46" i="81"/>
  <c r="C71" i="81"/>
  <c r="C69" i="81"/>
  <c r="C67" i="81"/>
  <c r="C65" i="81"/>
  <c r="C63" i="81"/>
  <c r="C61" i="81"/>
  <c r="C59" i="81"/>
  <c r="B72" i="81"/>
  <c r="A72" i="81" s="1"/>
  <c r="B70" i="81"/>
  <c r="A70" i="81" s="1"/>
  <c r="B68" i="81"/>
  <c r="A68" i="81" s="1"/>
  <c r="B66" i="81"/>
  <c r="A66" i="81" s="1"/>
  <c r="B64" i="81"/>
  <c r="A64" i="81" s="1"/>
  <c r="B62" i="81"/>
  <c r="A62" i="81" s="1"/>
  <c r="B60" i="81"/>
  <c r="A60" i="81" s="1"/>
  <c r="B58" i="81"/>
  <c r="C56" i="81"/>
  <c r="B53" i="81"/>
  <c r="F50" i="81"/>
  <c r="C48" i="81"/>
  <c r="C45" i="81"/>
  <c r="C43" i="81"/>
  <c r="C41" i="81"/>
  <c r="C39" i="81"/>
  <c r="B56" i="81"/>
  <c r="F53" i="81"/>
  <c r="C51" i="81"/>
  <c r="B48" i="81"/>
  <c r="F45" i="81"/>
  <c r="F43" i="81"/>
  <c r="F41" i="81"/>
  <c r="F39" i="81"/>
  <c r="B55" i="81"/>
  <c r="F52" i="81"/>
  <c r="C50" i="81"/>
  <c r="B47" i="81"/>
  <c r="I44" i="81"/>
  <c r="I42" i="81"/>
  <c r="I40" i="81"/>
  <c r="I57" i="81"/>
  <c r="G54" i="81"/>
  <c r="E52" i="81"/>
  <c r="I49" i="81"/>
  <c r="G46" i="81"/>
  <c r="D44" i="81"/>
  <c r="D40" i="81"/>
  <c r="A14" i="81"/>
  <c r="J77" i="81" s="1"/>
  <c r="E72" i="81"/>
  <c r="E70" i="81"/>
  <c r="E68" i="81"/>
  <c r="E66" i="81"/>
  <c r="E64" i="81"/>
  <c r="E62" i="81"/>
  <c r="E60" i="81"/>
  <c r="E58" i="81"/>
  <c r="D69" i="81"/>
  <c r="D65" i="81"/>
  <c r="D61" i="81"/>
  <c r="D57" i="81"/>
  <c r="D53" i="81"/>
  <c r="D49" i="81"/>
  <c r="G72" i="81"/>
  <c r="G70" i="81"/>
  <c r="G68" i="81"/>
  <c r="G66" i="81"/>
  <c r="G64" i="81"/>
  <c r="G62" i="81"/>
  <c r="G60" i="81"/>
  <c r="G58" i="81"/>
  <c r="F71" i="81"/>
  <c r="F69" i="81"/>
  <c r="F67" i="81"/>
  <c r="F65" i="81"/>
  <c r="F63" i="81"/>
  <c r="F61" i="81"/>
  <c r="F59" i="81"/>
  <c r="G57" i="81"/>
  <c r="E55" i="81"/>
  <c r="I52" i="81"/>
  <c r="G49" i="81"/>
  <c r="E47" i="81"/>
  <c r="G44" i="81"/>
  <c r="G42" i="81"/>
  <c r="G40" i="81"/>
  <c r="I55" i="81"/>
  <c r="G52" i="81"/>
  <c r="E50" i="81"/>
  <c r="I47" i="81"/>
  <c r="B45" i="81"/>
  <c r="B43" i="81"/>
  <c r="B41" i="81"/>
  <c r="B39" i="81"/>
  <c r="E57" i="81"/>
  <c r="I54" i="81"/>
  <c r="G51" i="81"/>
  <c r="E49" i="81"/>
  <c r="I46" i="81"/>
  <c r="E44" i="81"/>
  <c r="E42" i="81"/>
  <c r="E40" i="81"/>
  <c r="C57" i="81"/>
  <c r="B54" i="81"/>
  <c r="F51" i="81"/>
  <c r="C49" i="81"/>
  <c r="B46" i="81"/>
  <c r="D43" i="81"/>
  <c r="D39" i="81"/>
  <c r="G14" i="81"/>
  <c r="I71" i="81"/>
  <c r="I69" i="81"/>
  <c r="I67" i="81"/>
  <c r="I65" i="81"/>
  <c r="I63" i="81"/>
  <c r="I61" i="81"/>
  <c r="I59" i="81"/>
  <c r="D72" i="81"/>
  <c r="D68" i="81"/>
  <c r="D64" i="81"/>
  <c r="D60" i="81"/>
  <c r="D56" i="81"/>
  <c r="D52" i="81"/>
  <c r="D48" i="81"/>
  <c r="C72" i="81"/>
  <c r="C70" i="81"/>
  <c r="C68" i="81"/>
  <c r="C66" i="81"/>
  <c r="C64" i="81"/>
  <c r="C62" i="81"/>
  <c r="C60" i="81"/>
  <c r="C58" i="81"/>
  <c r="B71" i="81"/>
  <c r="A71" i="81" s="1"/>
  <c r="B69" i="81"/>
  <c r="A69" i="81" s="1"/>
  <c r="B67" i="81"/>
  <c r="A67" i="81" s="1"/>
  <c r="B65" i="81"/>
  <c r="A65" i="81" s="1"/>
  <c r="B63" i="81"/>
  <c r="A63" i="81" s="1"/>
  <c r="B61" i="81"/>
  <c r="A61" i="81" s="1"/>
  <c r="B59" i="81"/>
  <c r="B57" i="81"/>
  <c r="F54" i="81"/>
  <c r="C52" i="81"/>
  <c r="B49" i="81"/>
  <c r="F46" i="81"/>
  <c r="C44" i="81"/>
  <c r="C42" i="81"/>
  <c r="C40" i="81"/>
  <c r="F57" i="81"/>
  <c r="C55" i="81"/>
  <c r="B52" i="81"/>
  <c r="F49" i="81"/>
  <c r="C47" i="81"/>
  <c r="F44" i="81"/>
  <c r="F42" i="81"/>
  <c r="F40" i="81"/>
  <c r="F56" i="81"/>
  <c r="C54" i="81"/>
  <c r="B51" i="81"/>
  <c r="F48" i="81"/>
  <c r="C46" i="81"/>
  <c r="I43" i="81"/>
  <c r="I41" i="81"/>
  <c r="I39" i="81"/>
  <c r="E56" i="81"/>
  <c r="I53" i="81"/>
  <c r="G50" i="81"/>
  <c r="E48" i="81"/>
  <c r="I45" i="81"/>
  <c r="D42" i="81"/>
  <c r="A15" i="81"/>
  <c r="E71" i="81"/>
  <c r="E69" i="81"/>
  <c r="E67" i="81"/>
  <c r="E65" i="81"/>
  <c r="E63" i="81"/>
  <c r="E61" i="81"/>
  <c r="E59" i="81"/>
  <c r="D71" i="81"/>
  <c r="D67" i="81"/>
  <c r="D63" i="81"/>
  <c r="D59" i="81"/>
  <c r="D55" i="81"/>
  <c r="D51" i="81"/>
  <c r="D47" i="81"/>
  <c r="G71" i="81"/>
  <c r="G69" i="81"/>
  <c r="G67" i="81"/>
  <c r="G65" i="81"/>
  <c r="G63" i="81"/>
  <c r="G61" i="81"/>
  <c r="G59" i="81"/>
  <c r="F72" i="81"/>
  <c r="F70" i="81"/>
  <c r="F68" i="81"/>
  <c r="F66" i="81"/>
  <c r="F64" i="81"/>
  <c r="F62" i="81"/>
  <c r="F60" i="81"/>
  <c r="F58" i="81"/>
  <c r="I56" i="81"/>
  <c r="G53" i="81"/>
  <c r="E51" i="81"/>
  <c r="I48" i="81"/>
  <c r="G45" i="81"/>
  <c r="G43" i="81"/>
  <c r="G41" i="81"/>
  <c r="G39" i="81"/>
  <c r="G56" i="81"/>
  <c r="E54" i="81"/>
  <c r="I51" i="81"/>
  <c r="G48" i="81"/>
  <c r="E46" i="81"/>
  <c r="B44" i="81"/>
  <c r="B42" i="81"/>
  <c r="B40" i="81"/>
  <c r="G55" i="81"/>
  <c r="E53" i="81"/>
  <c r="I50" i="81"/>
  <c r="G47" i="81"/>
  <c r="E45" i="81"/>
  <c r="E43" i="81"/>
  <c r="E41" i="81"/>
  <c r="E39" i="81"/>
  <c r="F55" i="81"/>
  <c r="C53" i="81"/>
  <c r="B50" i="81"/>
  <c r="F47" i="81"/>
  <c r="D45" i="81"/>
  <c r="D41" i="81"/>
  <c r="K14" i="81"/>
  <c r="K15" i="81" s="1"/>
  <c r="K16" i="81" s="1"/>
  <c r="H2" i="55"/>
  <c r="A11" i="56"/>
  <c r="W12" i="34"/>
  <c r="V12" i="34"/>
  <c r="G412" i="55"/>
  <c r="I412" i="55"/>
  <c r="I33" i="55"/>
  <c r="V10" i="34"/>
  <c r="V11" i="34"/>
  <c r="W11" i="34"/>
  <c r="W10" i="34"/>
  <c r="A10" i="56"/>
  <c r="A12" i="56"/>
  <c r="H34" i="56"/>
  <c r="F34" i="56"/>
  <c r="F33" i="56"/>
  <c r="L14" i="54"/>
  <c r="L15" i="54" s="1"/>
  <c r="L16" i="54" s="1"/>
  <c r="L18" i="54"/>
  <c r="L19" i="54" s="1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0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1" i="34"/>
  <c r="K13" i="34"/>
  <c r="K12" i="34"/>
  <c r="A12" i="55"/>
  <c r="A13" i="55"/>
  <c r="K296" i="55"/>
  <c r="K23" i="55"/>
  <c r="K27" i="55"/>
  <c r="K13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7" i="55"/>
  <c r="K13" i="55"/>
  <c r="K291" i="55"/>
  <c r="G17" i="55"/>
  <c r="K12" i="55"/>
  <c r="K24" i="55"/>
  <c r="I13" i="61"/>
  <c r="I14" i="61" s="1"/>
  <c r="C13" i="61"/>
  <c r="C14" i="61" s="1"/>
  <c r="H47" i="81" l="1"/>
  <c r="J47" i="81"/>
  <c r="H60" i="81"/>
  <c r="J60" i="81"/>
  <c r="H68" i="81"/>
  <c r="J68" i="81"/>
  <c r="L71" i="81"/>
  <c r="K71" i="81"/>
  <c r="J42" i="81"/>
  <c r="H42" i="81"/>
  <c r="K68" i="81"/>
  <c r="L68" i="81"/>
  <c r="H14" i="81"/>
  <c r="J14" i="81"/>
  <c r="J51" i="81"/>
  <c r="H51" i="81"/>
  <c r="H63" i="81"/>
  <c r="J63" i="81"/>
  <c r="J71" i="81"/>
  <c r="H71" i="81"/>
  <c r="K61" i="81"/>
  <c r="L61" i="81"/>
  <c r="B76" i="81"/>
  <c r="J3" i="81"/>
  <c r="J52" i="81"/>
  <c r="H52" i="81"/>
  <c r="H41" i="81"/>
  <c r="J41" i="81"/>
  <c r="K66" i="81"/>
  <c r="L66" i="81"/>
  <c r="K17" i="8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H62" i="81"/>
  <c r="J62" i="81"/>
  <c r="J70" i="81"/>
  <c r="H70" i="81"/>
  <c r="H56" i="81"/>
  <c r="J56" i="81"/>
  <c r="H44" i="81"/>
  <c r="J44" i="81"/>
  <c r="L72" i="81"/>
  <c r="K72" i="81"/>
  <c r="J65" i="81"/>
  <c r="H65" i="81"/>
  <c r="K65" i="81"/>
  <c r="L65" i="81"/>
  <c r="A16" i="8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H43" i="81"/>
  <c r="J43" i="81"/>
  <c r="H53" i="81"/>
  <c r="J53" i="81"/>
  <c r="J50" i="81"/>
  <c r="H50" i="81"/>
  <c r="L70" i="81"/>
  <c r="K70" i="81"/>
  <c r="I74" i="81"/>
  <c r="H64" i="81"/>
  <c r="J64" i="81"/>
  <c r="H72" i="81"/>
  <c r="J72" i="81"/>
  <c r="K63" i="81"/>
  <c r="L63" i="81"/>
  <c r="H48" i="81"/>
  <c r="J48" i="81"/>
  <c r="H57" i="81"/>
  <c r="J57" i="81"/>
  <c r="J54" i="81"/>
  <c r="H54" i="81"/>
  <c r="L60" i="81"/>
  <c r="K60" i="81"/>
  <c r="G74" i="81"/>
  <c r="H59" i="81"/>
  <c r="J59" i="81"/>
  <c r="H67" i="81"/>
  <c r="J67" i="81"/>
  <c r="L69" i="81"/>
  <c r="K69" i="81"/>
  <c r="J45" i="81"/>
  <c r="H45" i="81"/>
  <c r="H55" i="81"/>
  <c r="J55" i="81"/>
  <c r="J58" i="81"/>
  <c r="H58" i="81"/>
  <c r="H66" i="81"/>
  <c r="J66" i="81"/>
  <c r="L67" i="81"/>
  <c r="K67" i="81"/>
  <c r="J40" i="81"/>
  <c r="H40" i="81"/>
  <c r="H49" i="81"/>
  <c r="J49" i="81"/>
  <c r="H46" i="81"/>
  <c r="J46" i="81"/>
  <c r="L64" i="81"/>
  <c r="K64" i="81"/>
  <c r="J61" i="81"/>
  <c r="H61" i="81"/>
  <c r="J69" i="81"/>
  <c r="H69" i="81"/>
  <c r="J39" i="81"/>
  <c r="H39" i="81"/>
  <c r="L62" i="81"/>
  <c r="K62" i="81"/>
  <c r="B26" i="56"/>
  <c r="D26" i="56" s="1"/>
  <c r="F26" i="56"/>
  <c r="G26" i="56"/>
  <c r="B27" i="56"/>
  <c r="F27" i="56"/>
  <c r="H27" i="56" s="1"/>
  <c r="G27" i="56"/>
  <c r="K3403" i="34"/>
  <c r="F14" i="79" s="1" a="1"/>
  <c r="F14" i="79" s="1"/>
  <c r="A30" i="47"/>
  <c r="K412" i="55"/>
  <c r="K33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K17" i="55"/>
  <c r="B13" i="61"/>
  <c r="F57" i="70" l="1" a="1"/>
  <c r="F57" i="70" s="1"/>
  <c r="E62" i="70" a="1"/>
  <c r="E62" i="70" s="1"/>
  <c r="E65" i="70" a="1"/>
  <c r="E65" i="70" s="1"/>
  <c r="E63" i="70" a="1"/>
  <c r="E63" i="70" s="1"/>
  <c r="F56" i="70" a="1"/>
  <c r="F56" i="70" s="1"/>
  <c r="F64" i="70" a="1"/>
  <c r="F64" i="70" s="1"/>
  <c r="E59" i="70" a="1"/>
  <c r="E59" i="70" s="1"/>
  <c r="F67" i="70" a="1"/>
  <c r="F67" i="70" s="1"/>
  <c r="F58" i="70" a="1"/>
  <c r="F58" i="70" s="1"/>
  <c r="E70" i="70" a="1"/>
  <c r="E70" i="70" s="1"/>
  <c r="E61" i="70" a="1"/>
  <c r="E61" i="70" s="1"/>
  <c r="F66" i="70" a="1"/>
  <c r="F66" i="70" s="1"/>
  <c r="F62" i="70" a="1"/>
  <c r="F62" i="70" s="1"/>
  <c r="E69" i="70" a="1"/>
  <c r="E69" i="70" s="1"/>
  <c r="E57" i="70" a="1"/>
  <c r="E57" i="70" s="1"/>
  <c r="G57" i="70" s="1"/>
  <c r="F60" i="70" a="1"/>
  <c r="F60" i="70" s="1"/>
  <c r="F68" i="70" a="1"/>
  <c r="F68" i="70" s="1"/>
  <c r="F65" i="70" a="1"/>
  <c r="F65" i="70" s="1"/>
  <c r="H65" i="70" s="1"/>
  <c r="F63" i="70" a="1"/>
  <c r="F63" i="70" s="1"/>
  <c r="E58" i="70" a="1"/>
  <c r="E58" i="70" s="1"/>
  <c r="G58" i="70" s="1"/>
  <c r="E56" i="70" a="1"/>
  <c r="E56" i="70" s="1"/>
  <c r="G56" i="70" s="1"/>
  <c r="F59" i="70" a="1"/>
  <c r="F59" i="70" s="1"/>
  <c r="H59" i="70" s="1"/>
  <c r="E67" i="70" a="1"/>
  <c r="E67" i="70" s="1"/>
  <c r="E64" i="70" a="1"/>
  <c r="E64" i="70" s="1"/>
  <c r="E60" i="70" a="1"/>
  <c r="E60" i="70" s="1"/>
  <c r="F70" i="70" a="1"/>
  <c r="F70" i="70" s="1"/>
  <c r="H70" i="70" s="1"/>
  <c r="F61" i="70" a="1"/>
  <c r="F61" i="70" s="1"/>
  <c r="H61" i="70" s="1"/>
  <c r="E68" i="70" a="1"/>
  <c r="E68" i="70" s="1"/>
  <c r="G68" i="70" s="1"/>
  <c r="E66" i="70" a="1"/>
  <c r="E66" i="70" s="1"/>
  <c r="F69" i="70" a="1"/>
  <c r="F69" i="70" s="1"/>
  <c r="H69" i="70" s="1"/>
  <c r="F26" i="12" a="1"/>
  <c r="F26" i="12" s="1"/>
  <c r="E26" i="12" a="1"/>
  <c r="E26" i="12" s="1"/>
  <c r="J15" i="55" a="1"/>
  <c r="J15" i="55" s="1"/>
  <c r="H15" i="55" a="1"/>
  <c r="H15" i="55" s="1"/>
  <c r="E8" i="12" a="1"/>
  <c r="E8" i="12" s="1"/>
  <c r="F8" i="12" a="1"/>
  <c r="F8" i="12" s="1"/>
  <c r="K74" i="81"/>
  <c r="J74" i="81"/>
  <c r="L14" i="8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H74" i="81"/>
  <c r="J275" i="55" a="1"/>
  <c r="J275" i="55" s="1"/>
  <c r="J310" i="55" a="1"/>
  <c r="J310" i="55" s="1"/>
  <c r="H334" i="55" a="1"/>
  <c r="H334" i="55" s="1"/>
  <c r="H388" i="55" a="1"/>
  <c r="H388" i="55" s="1"/>
  <c r="J388" i="55" a="1"/>
  <c r="J388" i="55" s="1"/>
  <c r="J334" i="55" a="1"/>
  <c r="J334" i="55" s="1"/>
  <c r="H275" i="55" a="1"/>
  <c r="H275" i="55" s="1"/>
  <c r="H310" i="55" a="1"/>
  <c r="H310" i="55" s="1"/>
  <c r="E55" i="70" a="1"/>
  <c r="E55" i="70" s="1"/>
  <c r="F55" i="70" a="1"/>
  <c r="F55" i="70" s="1"/>
  <c r="G15" i="79" a="1"/>
  <c r="G15" i="79" s="1"/>
  <c r="G14" i="79" a="1"/>
  <c r="G14" i="79" s="1"/>
  <c r="I14" i="79" s="1"/>
  <c r="F13" i="79" a="1"/>
  <c r="F13" i="79" s="1"/>
  <c r="G20" i="79" a="1"/>
  <c r="G20" i="79" s="1"/>
  <c r="G17" i="79" a="1"/>
  <c r="G17" i="79" s="1"/>
  <c r="G16" i="79" a="1"/>
  <c r="G16" i="79" s="1"/>
  <c r="F18" i="79" a="1"/>
  <c r="F18" i="79" s="1"/>
  <c r="G12" i="79" a="1"/>
  <c r="G12" i="79" s="1"/>
  <c r="F17" i="79" a="1"/>
  <c r="F17" i="79" s="1"/>
  <c r="H17" i="79" s="1"/>
  <c r="F12" i="79" a="1"/>
  <c r="F12" i="79" s="1"/>
  <c r="F19" i="79" a="1"/>
  <c r="F19" i="79" s="1"/>
  <c r="G19" i="79" a="1"/>
  <c r="G19" i="79" s="1"/>
  <c r="F20" i="79" a="1"/>
  <c r="F20" i="79" s="1"/>
  <c r="F15" i="79" a="1"/>
  <c r="F15" i="79" s="1"/>
  <c r="G13" i="79" a="1"/>
  <c r="G13" i="79" s="1"/>
  <c r="I13" i="79" s="1"/>
  <c r="G18" i="79" a="1"/>
  <c r="G18" i="79" s="1"/>
  <c r="F16" i="79" a="1"/>
  <c r="F16" i="79" s="1"/>
  <c r="D27" i="56"/>
  <c r="A27" i="56"/>
  <c r="H26" i="56"/>
  <c r="H25" i="56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G64" i="70" l="1"/>
  <c r="H20" i="79"/>
  <c r="H62" i="70"/>
  <c r="G67" i="70"/>
  <c r="H63" i="70"/>
  <c r="G66" i="70"/>
  <c r="G60" i="70"/>
  <c r="H60" i="70"/>
  <c r="H66" i="70"/>
  <c r="H67" i="70"/>
  <c r="G63" i="70"/>
  <c r="G61" i="70"/>
  <c r="G59" i="70"/>
  <c r="G65" i="70"/>
  <c r="G69" i="70"/>
  <c r="G70" i="70"/>
  <c r="H64" i="70"/>
  <c r="G62" i="70"/>
  <c r="H68" i="70"/>
  <c r="H58" i="70"/>
  <c r="H56" i="70"/>
  <c r="H57" i="70"/>
  <c r="H26" i="12"/>
  <c r="G26" i="12"/>
  <c r="L15" i="55"/>
  <c r="H8" i="12"/>
  <c r="L310" i="55"/>
  <c r="L74" i="81"/>
  <c r="G8" i="12"/>
  <c r="L275" i="55"/>
  <c r="I18" i="79"/>
  <c r="H12" i="79"/>
  <c r="H16" i="79"/>
  <c r="L388" i="55"/>
  <c r="L334" i="55"/>
  <c r="H15" i="79"/>
  <c r="H55" i="70"/>
  <c r="G55" i="70"/>
  <c r="H19" i="79"/>
  <c r="I12" i="79"/>
  <c r="I20" i="79"/>
  <c r="H18" i="79"/>
  <c r="H13" i="79"/>
  <c r="I15" i="79"/>
  <c r="I16" i="79"/>
  <c r="I19" i="79"/>
  <c r="I17" i="79"/>
  <c r="H14" i="79"/>
  <c r="H28" i="56"/>
  <c r="A6" i="42"/>
  <c r="A89" i="42"/>
  <c r="I90" i="42"/>
  <c r="I16" i="71"/>
  <c r="J16" i="71"/>
  <c r="J16" i="14"/>
  <c r="G143" i="43"/>
  <c r="I16" i="14"/>
  <c r="G85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H85" i="42"/>
  <c r="A30" i="56"/>
  <c r="J17" i="71" l="1"/>
  <c r="I17" i="71"/>
  <c r="I17" i="14"/>
  <c r="J17" i="14"/>
  <c r="I86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J29" i="71"/>
  <c r="I29" i="71"/>
  <c r="J29" i="14"/>
  <c r="I20" i="47"/>
  <c r="H20" i="47"/>
  <c r="J30" i="14" l="1"/>
  <c r="J30" i="71"/>
  <c r="I30" i="71"/>
  <c r="H21" i="47"/>
  <c r="I21" i="47"/>
  <c r="I30" i="14"/>
  <c r="I31" i="14" s="1"/>
  <c r="F38" i="43"/>
  <c r="F143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143" i="43"/>
  <c r="H144" i="43" s="1"/>
  <c r="H65" i="43" l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I23" i="47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9" i="55"/>
  <c r="H54" i="47" l="1"/>
  <c r="A19" i="55"/>
  <c r="B20" i="55"/>
  <c r="B21" i="55" s="1"/>
  <c r="B22" i="55" s="1"/>
  <c r="B23" i="55" s="1"/>
  <c r="B24" i="55" s="1"/>
  <c r="I54" i="47"/>
  <c r="I55" i="47" l="1"/>
  <c r="B25" i="55"/>
  <c r="A24" i="55"/>
  <c r="A20" i="55"/>
  <c r="H55" i="47"/>
  <c r="H56" i="47" l="1"/>
  <c r="B26" i="55"/>
  <c r="B27" i="55" s="1"/>
  <c r="B28" i="55" s="1"/>
  <c r="B29" i="55" s="1"/>
  <c r="A25" i="55"/>
  <c r="I56" i="47"/>
  <c r="A21" i="55"/>
  <c r="I57" i="47" l="1"/>
  <c r="A29" i="55"/>
  <c r="B30" i="55"/>
  <c r="H57" i="47"/>
  <c r="H58" i="47" l="1"/>
  <c r="A30" i="55"/>
  <c r="B31" i="55"/>
  <c r="A31" i="55" s="1"/>
  <c r="I58" i="47"/>
  <c r="I59" i="47" l="1"/>
  <c r="H59" i="47"/>
  <c r="H60" i="47" l="1"/>
  <c r="I60" i="47"/>
  <c r="I24" i="73" l="1"/>
  <c r="H24" i="73"/>
  <c r="H10" i="73"/>
  <c r="I10" i="73"/>
  <c r="I52" i="73" l="1"/>
  <c r="H52" i="73"/>
  <c r="J180" i="55" l="1" a="1"/>
  <c r="J180" i="55" s="1"/>
  <c r="F55" i="15" a="1"/>
  <c r="F55" i="15" s="1"/>
  <c r="J339" i="55" a="1"/>
  <c r="J339" i="55" s="1"/>
  <c r="J375" i="55" a="1"/>
  <c r="J375" i="55" s="1"/>
  <c r="D13" i="39"/>
  <c r="J224" i="55" a="1"/>
  <c r="J224" i="55" s="1"/>
  <c r="J390" i="55" a="1"/>
  <c r="J390" i="55" s="1"/>
  <c r="J185" i="55" a="1"/>
  <c r="J185" i="55" s="1"/>
  <c r="J369" i="55" a="1"/>
  <c r="J369" i="55" s="1"/>
  <c r="J120" i="55" a="1"/>
  <c r="J120" i="55" s="1"/>
  <c r="J282" i="55" a="1"/>
  <c r="J282" i="55" s="1"/>
  <c r="J303" i="55" a="1"/>
  <c r="J303" i="55" s="1"/>
  <c r="J129" i="55" a="1"/>
  <c r="J129" i="55" s="1"/>
  <c r="F56" i="15" a="1"/>
  <c r="F56" i="15" s="1"/>
  <c r="F58" i="15" a="1"/>
  <c r="F58" i="15" s="1"/>
  <c r="J233" i="55" a="1"/>
  <c r="J233" i="55" s="1"/>
  <c r="J291" i="55" a="1"/>
  <c r="J291" i="55" s="1"/>
  <c r="J181" i="55" a="1"/>
  <c r="J181" i="55" s="1"/>
  <c r="J406" i="55" a="1"/>
  <c r="J406" i="55" s="1"/>
  <c r="J309" i="55" a="1"/>
  <c r="J309" i="55" s="1"/>
  <c r="J19" i="55" a="1"/>
  <c r="J19" i="55" s="1"/>
  <c r="J13" i="55" a="1"/>
  <c r="J13" i="55" s="1"/>
  <c r="J26" i="55" a="1"/>
  <c r="J26" i="55" s="1"/>
  <c r="J148" i="55" a="1"/>
  <c r="J148" i="55" s="1"/>
  <c r="J54" i="55" a="1"/>
  <c r="J54" i="55" s="1"/>
  <c r="J40" i="55" a="1"/>
  <c r="J40" i="55" s="1"/>
  <c r="F53" i="15" a="1"/>
  <c r="F53" i="15" s="1"/>
  <c r="J221" i="55" a="1"/>
  <c r="J221" i="55" s="1"/>
  <c r="J328" i="55" a="1"/>
  <c r="J328" i="55" s="1"/>
  <c r="J386" i="55" a="1"/>
  <c r="J386" i="55" s="1"/>
  <c r="J155" i="55" a="1"/>
  <c r="J155" i="55" s="1"/>
  <c r="J380" i="55" a="1"/>
  <c r="J380" i="55" s="1"/>
  <c r="J284" i="55" a="1"/>
  <c r="J284" i="55" s="1"/>
  <c r="J228" i="55" a="1"/>
  <c r="J228" i="55" s="1"/>
  <c r="J290" i="55" a="1"/>
  <c r="J290" i="55" s="1"/>
  <c r="J98" i="55" a="1"/>
  <c r="J98" i="55" s="1"/>
  <c r="J22" i="55" a="1"/>
  <c r="J22" i="55" s="1"/>
  <c r="J250" i="55" a="1"/>
  <c r="J250" i="55" s="1"/>
  <c r="J43" i="55" a="1"/>
  <c r="J43" i="55" s="1"/>
  <c r="J296" i="55" a="1"/>
  <c r="J296" i="55" s="1"/>
  <c r="J176" i="55" a="1"/>
  <c r="J176" i="55" s="1"/>
  <c r="J267" i="55" a="1"/>
  <c r="J267" i="55" s="1"/>
  <c r="J14" i="55" a="1"/>
  <c r="J14" i="55" s="1"/>
  <c r="J187" i="55" a="1"/>
  <c r="J187" i="55" s="1"/>
  <c r="J145" i="55" a="1"/>
  <c r="J145" i="55" s="1"/>
  <c r="J354" i="55" a="1"/>
  <c r="J354" i="55" s="1"/>
  <c r="J376" i="55" a="1"/>
  <c r="J376" i="55" s="1"/>
  <c r="J226" i="55" a="1"/>
  <c r="J226" i="55" s="1"/>
  <c r="J63" i="55" a="1"/>
  <c r="J63" i="55" s="1"/>
  <c r="J72" i="55" a="1"/>
  <c r="J72" i="55" s="1"/>
  <c r="J161" i="55" a="1"/>
  <c r="J161" i="55" s="1"/>
  <c r="J27" i="55" a="1"/>
  <c r="J27" i="55" s="1"/>
  <c r="J241" i="55" a="1"/>
  <c r="J241" i="55" s="1"/>
  <c r="J210" i="55" a="1"/>
  <c r="J210" i="55" s="1"/>
  <c r="J28" i="55" a="1"/>
  <c r="J28" i="55" s="1"/>
  <c r="J391" i="55" a="1"/>
  <c r="J391" i="55" s="1"/>
  <c r="J41" i="55" a="1"/>
  <c r="J41" i="55" s="1"/>
  <c r="J234" i="55" a="1"/>
  <c r="J234" i="55" s="1"/>
  <c r="J358" i="55" a="1"/>
  <c r="J358" i="55" s="1"/>
  <c r="J256" i="55" a="1"/>
  <c r="J256" i="55" s="1"/>
  <c r="J158" i="55" a="1"/>
  <c r="J158" i="55" s="1"/>
  <c r="J298" i="55" a="1"/>
  <c r="J298" i="55" s="1"/>
  <c r="J372" i="55" a="1"/>
  <c r="J372" i="55" s="1"/>
  <c r="J344" i="55" a="1"/>
  <c r="J344" i="55" s="1"/>
  <c r="J95" i="55" a="1"/>
  <c r="J95" i="55" s="1"/>
  <c r="J289" i="55" a="1"/>
  <c r="J289" i="55" s="1"/>
  <c r="J117" i="55" a="1"/>
  <c r="J117" i="55" s="1"/>
  <c r="J195" i="55" a="1"/>
  <c r="J195" i="55" s="1"/>
  <c r="J135" i="55" a="1"/>
  <c r="J135" i="55" s="1"/>
  <c r="J74" i="55" a="1"/>
  <c r="J74" i="55" s="1"/>
  <c r="J200" i="55" a="1"/>
  <c r="J200" i="55" s="1"/>
  <c r="J138" i="55" a="1"/>
  <c r="J138" i="55" s="1"/>
  <c r="J85" i="55" a="1"/>
  <c r="J85" i="55" s="1"/>
  <c r="J240" i="55" a="1"/>
  <c r="J240" i="55" s="1"/>
  <c r="J172" i="55" a="1"/>
  <c r="J172" i="55" s="1"/>
  <c r="J190" i="55" a="1"/>
  <c r="J190" i="55" s="1"/>
  <c r="J206" i="55" a="1"/>
  <c r="J206" i="55" s="1"/>
  <c r="J80" i="55" a="1"/>
  <c r="J80" i="55" s="1"/>
  <c r="J88" i="55" a="1"/>
  <c r="J88" i="55" s="1"/>
  <c r="J276" i="55" a="1"/>
  <c r="J276" i="55" s="1"/>
  <c r="J227" i="55" a="1"/>
  <c r="J227" i="55" s="1"/>
  <c r="J348" i="55" a="1"/>
  <c r="J348" i="55" s="1"/>
  <c r="J107" i="55" a="1"/>
  <c r="J107" i="55" s="1"/>
  <c r="J165" i="55" a="1"/>
  <c r="J165" i="55" s="1"/>
  <c r="J152" i="55" a="1"/>
  <c r="J152" i="55" s="1"/>
  <c r="J123" i="55" a="1"/>
  <c r="J123" i="55" s="1"/>
  <c r="J78" i="55" a="1"/>
  <c r="J78" i="55" s="1"/>
  <c r="J405" i="55" a="1"/>
  <c r="J405" i="55" s="1"/>
  <c r="J45" i="55" a="1"/>
  <c r="J45" i="55" s="1"/>
  <c r="J294" i="55" a="1"/>
  <c r="J294" i="55" s="1"/>
  <c r="J68" i="55" a="1"/>
  <c r="J68" i="55" s="1"/>
  <c r="J254" i="55" a="1"/>
  <c r="J254" i="55" s="1"/>
  <c r="J218" i="55" a="1"/>
  <c r="J218" i="55" s="1"/>
  <c r="J308" i="55" a="1"/>
  <c r="J308" i="55" s="1"/>
  <c r="J143" i="55" a="1"/>
  <c r="J143" i="55" s="1"/>
  <c r="J273" i="55" a="1"/>
  <c r="J273" i="55" s="1"/>
  <c r="J318" i="55" a="1"/>
  <c r="J318" i="55" s="1"/>
  <c r="J312" i="55" a="1"/>
  <c r="J312" i="55" s="1"/>
  <c r="J118" i="55" a="1"/>
  <c r="J118" i="55" s="1"/>
  <c r="J396" i="55" a="1"/>
  <c r="J396" i="55" s="1"/>
  <c r="J203" i="55" a="1"/>
  <c r="J203" i="55" s="1"/>
  <c r="J260" i="55" a="1"/>
  <c r="J260" i="55" s="1"/>
  <c r="J242" i="55" a="1"/>
  <c r="J242" i="55" s="1"/>
  <c r="J106" i="55" a="1"/>
  <c r="J106" i="55" s="1"/>
  <c r="J394" i="55" a="1"/>
  <c r="J394" i="55" s="1"/>
  <c r="J271" i="55" a="1"/>
  <c r="J271" i="55" s="1"/>
  <c r="J236" i="55" a="1"/>
  <c r="J236" i="55" s="1"/>
  <c r="J367" i="55" a="1"/>
  <c r="J367" i="55" s="1"/>
  <c r="J115" i="55" a="1"/>
  <c r="J115" i="55" s="1"/>
  <c r="J166" i="55" a="1"/>
  <c r="J166" i="55" s="1"/>
  <c r="J274" i="55" a="1"/>
  <c r="J274" i="55" s="1"/>
  <c r="J397" i="55" a="1"/>
  <c r="J397" i="55" s="1"/>
  <c r="J255" i="55" a="1"/>
  <c r="J255" i="55" s="1"/>
  <c r="J347" i="55" a="1"/>
  <c r="J347" i="55" s="1"/>
  <c r="J399" i="55" a="1"/>
  <c r="J399" i="55" s="1"/>
  <c r="J159" i="55" a="1"/>
  <c r="J159" i="55" s="1"/>
  <c r="J307" i="55" a="1"/>
  <c r="J307" i="55" s="1"/>
  <c r="J248" i="55" a="1"/>
  <c r="J248" i="55" s="1"/>
  <c r="J317" i="55" a="1"/>
  <c r="J317" i="55" s="1"/>
  <c r="J373" i="55" a="1"/>
  <c r="J373" i="55" s="1"/>
  <c r="J147" i="55" a="1"/>
  <c r="J147" i="55" s="1"/>
  <c r="J345" i="55" a="1"/>
  <c r="J345" i="55" s="1"/>
  <c r="J108" i="55" a="1"/>
  <c r="J108" i="55" s="1"/>
  <c r="J283" i="55" a="1"/>
  <c r="J283" i="55" s="1"/>
  <c r="J277" i="55" a="1"/>
  <c r="J277" i="55" s="1"/>
  <c r="J313" i="55" a="1"/>
  <c r="J313" i="55" s="1"/>
  <c r="J329" i="55" a="1"/>
  <c r="J329" i="55" s="1"/>
  <c r="J196" i="55" a="1"/>
  <c r="J196" i="55" s="1"/>
  <c r="J257" i="55" a="1"/>
  <c r="J257" i="55" s="1"/>
  <c r="J69" i="55" a="1"/>
  <c r="J69" i="55" s="1"/>
  <c r="J46" i="55" a="1"/>
  <c r="J46" i="55" s="1"/>
  <c r="J146" i="55" a="1"/>
  <c r="J146" i="55" s="1"/>
  <c r="J395" i="55" a="1"/>
  <c r="J395" i="55" s="1"/>
  <c r="J36" i="55" a="1"/>
  <c r="J36" i="55" s="1"/>
  <c r="H375" i="55" a="1"/>
  <c r="H375" i="55" s="1"/>
  <c r="H179" i="55" a="1"/>
  <c r="H179" i="55" s="1"/>
  <c r="E55" i="15" a="1"/>
  <c r="E55" i="15" s="1"/>
  <c r="I55" i="15" s="1"/>
  <c r="H390" i="55" a="1"/>
  <c r="H390" i="55" s="1"/>
  <c r="H141" i="55" a="1"/>
  <c r="H141" i="55" s="1"/>
  <c r="J51" i="55" a="1"/>
  <c r="J51" i="55" s="1"/>
  <c r="J62" i="55" a="1"/>
  <c r="J62" i="55" s="1"/>
  <c r="H97" i="55" a="1"/>
  <c r="H97" i="55" s="1"/>
  <c r="E56" i="15" a="1"/>
  <c r="E56" i="15" s="1"/>
  <c r="J125" i="55" a="1"/>
  <c r="J125" i="55" s="1"/>
  <c r="H338" i="55" a="1"/>
  <c r="H338" i="55" s="1"/>
  <c r="F48" i="15" a="1"/>
  <c r="F48" i="15" s="1"/>
  <c r="E52" i="15" a="1"/>
  <c r="E52" i="15" s="1"/>
  <c r="H61" i="55" a="1"/>
  <c r="H61" i="55" s="1"/>
  <c r="H314" i="55" a="1"/>
  <c r="H314" i="55" s="1"/>
  <c r="H167" i="55" a="1"/>
  <c r="H167" i="55" s="1"/>
  <c r="H21" i="55" a="1"/>
  <c r="H21" i="55" s="1"/>
  <c r="H224" i="55" a="1"/>
  <c r="H224" i="55" s="1"/>
  <c r="L224" i="55" s="1"/>
  <c r="H303" i="55" a="1"/>
  <c r="H303" i="55" s="1"/>
  <c r="E54" i="15" a="1"/>
  <c r="E54" i="15" s="1"/>
  <c r="H300" i="55" a="1"/>
  <c r="H300" i="55" s="1"/>
  <c r="H245" i="55" a="1"/>
  <c r="H245" i="55" s="1"/>
  <c r="H99" i="55" a="1"/>
  <c r="H99" i="55" s="1"/>
  <c r="H121" i="55" a="1"/>
  <c r="H121" i="55" s="1"/>
  <c r="H247" i="55" a="1"/>
  <c r="H247" i="55" s="1"/>
  <c r="H349" i="55" a="1"/>
  <c r="H349" i="55" s="1"/>
  <c r="H154" i="55" a="1"/>
  <c r="H154" i="55" s="1"/>
  <c r="H306" i="55" a="1"/>
  <c r="H306" i="55" s="1"/>
  <c r="H74" i="55" a="1"/>
  <c r="H74" i="55" s="1"/>
  <c r="H250" i="55" a="1"/>
  <c r="H250" i="55" s="1"/>
  <c r="H200" i="55" a="1"/>
  <c r="H200" i="55" s="1"/>
  <c r="H352" i="55" a="1"/>
  <c r="H352" i="55" s="1"/>
  <c r="H180" i="55" a="1"/>
  <c r="H180" i="55" s="1"/>
  <c r="H104" i="55" a="1"/>
  <c r="H104" i="55" s="1"/>
  <c r="H126" i="55" a="1"/>
  <c r="H126" i="55" s="1"/>
  <c r="H161" i="55" a="1"/>
  <c r="H161" i="55" s="1"/>
  <c r="H309" i="55" a="1"/>
  <c r="H309" i="55" s="1"/>
  <c r="H277" i="55" a="1"/>
  <c r="H277" i="55" s="1"/>
  <c r="H149" i="55" a="1"/>
  <c r="H149" i="55" s="1"/>
  <c r="H185" i="55" a="1"/>
  <c r="H185" i="55" s="1"/>
  <c r="H120" i="55" a="1"/>
  <c r="H120" i="55" s="1"/>
  <c r="H382" i="55" a="1"/>
  <c r="H382" i="55" s="1"/>
  <c r="H339" i="55" a="1"/>
  <c r="H339" i="55" s="1"/>
  <c r="H112" i="55" a="1"/>
  <c r="H112" i="55" s="1"/>
  <c r="H243" i="55" a="1"/>
  <c r="H243" i="55" s="1"/>
  <c r="H311" i="55" a="1"/>
  <c r="H311" i="55" s="1"/>
  <c r="H181" i="55" a="1"/>
  <c r="H181" i="55" s="1"/>
  <c r="L181" i="55" s="1"/>
  <c r="H221" i="55" a="1"/>
  <c r="H221" i="55" s="1"/>
  <c r="H151" i="55" a="1"/>
  <c r="H151" i="55" s="1"/>
  <c r="H192" i="55" a="1"/>
  <c r="H192" i="55" s="1"/>
  <c r="H77" i="55" a="1"/>
  <c r="H77" i="55" s="1"/>
  <c r="H261" i="55" a="1"/>
  <c r="H261" i="55" s="1"/>
  <c r="H246" i="55" a="1"/>
  <c r="H246" i="55" s="1"/>
  <c r="H27" i="55" a="1"/>
  <c r="H27" i="55" s="1"/>
  <c r="H190" i="55" a="1"/>
  <c r="H190" i="55" s="1"/>
  <c r="H284" i="55" a="1"/>
  <c r="H284" i="55" s="1"/>
  <c r="H108" i="55" a="1"/>
  <c r="H108" i="55" s="1"/>
  <c r="H254" i="55" a="1"/>
  <c r="H254" i="55" s="1"/>
  <c r="H218" i="55" a="1"/>
  <c r="H218" i="55" s="1"/>
  <c r="H307" i="55" a="1"/>
  <c r="H307" i="55" s="1"/>
  <c r="H125" i="55" a="1"/>
  <c r="H125" i="55" s="1"/>
  <c r="H395" i="55" a="1"/>
  <c r="H395" i="55" s="1"/>
  <c r="H369" i="55" a="1"/>
  <c r="H369" i="55" s="1"/>
  <c r="H392" i="55" a="1"/>
  <c r="H392" i="55" s="1"/>
  <c r="H189" i="55" a="1"/>
  <c r="H189" i="55" s="1"/>
  <c r="H20" i="55" a="1"/>
  <c r="H20" i="55" s="1"/>
  <c r="H403" i="55" a="1"/>
  <c r="H403" i="55" s="1"/>
  <c r="H70" i="55" a="1"/>
  <c r="H70" i="55" s="1"/>
  <c r="H65" i="55" a="1"/>
  <c r="H65" i="55" s="1"/>
  <c r="H177" i="55" a="1"/>
  <c r="H177" i="55" s="1"/>
  <c r="H321" i="55" a="1"/>
  <c r="H321" i="55" s="1"/>
  <c r="H22" i="55" a="1"/>
  <c r="H22" i="55" s="1"/>
  <c r="H59" i="55" a="1"/>
  <c r="H59" i="55" s="1"/>
  <c r="H361" i="55" a="1"/>
  <c r="H361" i="55" s="1"/>
  <c r="H214" i="55" a="1"/>
  <c r="H214" i="55" s="1"/>
  <c r="H241" i="55" a="1"/>
  <c r="H241" i="55" s="1"/>
  <c r="H148" i="55" a="1"/>
  <c r="H148" i="55" s="1"/>
  <c r="H210" i="55" a="1"/>
  <c r="H210" i="55" s="1"/>
  <c r="H54" i="55" a="1"/>
  <c r="H54" i="55" s="1"/>
  <c r="H40" i="55" a="1"/>
  <c r="H40" i="55" s="1"/>
  <c r="E53" i="15" a="1"/>
  <c r="E53" i="15" s="1"/>
  <c r="H28" i="55" a="1"/>
  <c r="H28" i="55" s="1"/>
  <c r="H296" i="55" a="1"/>
  <c r="H296" i="55" s="1"/>
  <c r="L296" i="55" s="1"/>
  <c r="H26" i="55" a="1"/>
  <c r="H26" i="55" s="1"/>
  <c r="H282" i="55" a="1"/>
  <c r="H282" i="55" s="1"/>
  <c r="L282" i="55" s="1"/>
  <c r="H183" i="55" a="1"/>
  <c r="H183" i="55" s="1"/>
  <c r="H209" i="55" a="1"/>
  <c r="H209" i="55" s="1"/>
  <c r="H205" i="55" a="1"/>
  <c r="H205" i="55" s="1"/>
  <c r="H301" i="55" a="1"/>
  <c r="H301" i="55" s="1"/>
  <c r="H233" i="55" a="1"/>
  <c r="H233" i="55" s="1"/>
  <c r="H291" i="55" a="1"/>
  <c r="H291" i="55" s="1"/>
  <c r="H43" i="55" a="1"/>
  <c r="H43" i="55" s="1"/>
  <c r="H135" i="55" a="1"/>
  <c r="H135" i="55" s="1"/>
  <c r="L135" i="55" s="1"/>
  <c r="H187" i="55" a="1"/>
  <c r="H187" i="55" s="1"/>
  <c r="H195" i="55" a="1"/>
  <c r="H195" i="55" s="1"/>
  <c r="H248" i="55" a="1"/>
  <c r="H248" i="55" s="1"/>
  <c r="L248" i="55" s="1"/>
  <c r="H405" i="55" a="1"/>
  <c r="H405" i="55" s="1"/>
  <c r="H236" i="55" a="1"/>
  <c r="H236" i="55" s="1"/>
  <c r="H329" i="55" a="1"/>
  <c r="H329" i="55" s="1"/>
  <c r="H367" i="55" a="1"/>
  <c r="H367" i="55" s="1"/>
  <c r="L367" i="55" s="1"/>
  <c r="H196" i="55" a="1"/>
  <c r="H196" i="55" s="1"/>
  <c r="H115" i="55" a="1"/>
  <c r="H115" i="55" s="1"/>
  <c r="H257" i="55" a="1"/>
  <c r="H257" i="55" s="1"/>
  <c r="H274" i="55" a="1"/>
  <c r="H274" i="55" s="1"/>
  <c r="H98" i="55" a="1"/>
  <c r="H98" i="55" s="1"/>
  <c r="H62" i="55" a="1"/>
  <c r="H62" i="55" s="1"/>
  <c r="H41" i="55" a="1"/>
  <c r="H41" i="55" s="1"/>
  <c r="H176" i="55" a="1"/>
  <c r="H176" i="55" s="1"/>
  <c r="L176" i="55" s="1"/>
  <c r="H376" i="55" a="1"/>
  <c r="H376" i="55" s="1"/>
  <c r="E32" i="15" a="1"/>
  <c r="E32" i="15" s="1"/>
  <c r="E7" i="12" a="1"/>
  <c r="E7" i="12" s="1"/>
  <c r="E28" i="15" a="1"/>
  <c r="E28" i="15" s="1"/>
  <c r="H23" i="55" a="1"/>
  <c r="H23" i="55" s="1"/>
  <c r="E50" i="15" a="1"/>
  <c r="E50" i="15" s="1"/>
  <c r="H138" i="55" a="1"/>
  <c r="H138" i="55" s="1"/>
  <c r="F22" i="15" a="1"/>
  <c r="F22" i="15" s="1"/>
  <c r="E31" i="15" a="1"/>
  <c r="E31" i="15" s="1"/>
  <c r="H283" i="55" a="1"/>
  <c r="H283" i="55" s="1"/>
  <c r="H95" i="55" a="1"/>
  <c r="H95" i="55" s="1"/>
  <c r="H347" i="55" a="1"/>
  <c r="H347" i="55" s="1"/>
  <c r="H276" i="55" a="1"/>
  <c r="H276" i="55" s="1"/>
  <c r="H72" i="55" a="1"/>
  <c r="H72" i="55" s="1"/>
  <c r="L72" i="55" s="1"/>
  <c r="H69" i="55" a="1"/>
  <c r="H69" i="55" s="1"/>
  <c r="H312" i="55" a="1"/>
  <c r="H312" i="55" s="1"/>
  <c r="H267" i="55" a="1"/>
  <c r="H267" i="55" s="1"/>
  <c r="H234" i="55" a="1"/>
  <c r="H234" i="55" s="1"/>
  <c r="F37" i="15" a="1"/>
  <c r="F37" i="15" s="1"/>
  <c r="H358" i="55" a="1"/>
  <c r="H358" i="55" s="1"/>
  <c r="H155" i="55" a="1"/>
  <c r="H155" i="55" s="1"/>
  <c r="H107" i="55" a="1"/>
  <c r="H107" i="55" s="1"/>
  <c r="H372" i="55" a="1"/>
  <c r="H372" i="55" s="1"/>
  <c r="L372" i="55" s="1"/>
  <c r="H399" i="55" a="1"/>
  <c r="H399" i="55" s="1"/>
  <c r="H394" i="55" a="1"/>
  <c r="H394" i="55" s="1"/>
  <c r="H397" i="55" a="1"/>
  <c r="H397" i="55" s="1"/>
  <c r="H129" i="55" a="1"/>
  <c r="H129" i="55" s="1"/>
  <c r="H354" i="55" a="1"/>
  <c r="H354" i="55" s="1"/>
  <c r="H13" i="55" a="1"/>
  <c r="H13" i="55" s="1"/>
  <c r="L13" i="55" s="1"/>
  <c r="H14" i="55" a="1"/>
  <c r="H14" i="55" s="1"/>
  <c r="H386" i="55" a="1"/>
  <c r="H386" i="55" s="1"/>
  <c r="E51" i="15" a="1"/>
  <c r="E51" i="15" s="1"/>
  <c r="E57" i="15" a="1"/>
  <c r="E57" i="15" s="1"/>
  <c r="F28" i="15" a="1"/>
  <c r="F28" i="15" s="1"/>
  <c r="H85" i="55" a="1"/>
  <c r="H85" i="55" s="1"/>
  <c r="L85" i="55" s="1"/>
  <c r="E22" i="15" a="1"/>
  <c r="E22" i="15" s="1"/>
  <c r="H396" i="55" a="1"/>
  <c r="H396" i="55" s="1"/>
  <c r="H308" i="55" a="1"/>
  <c r="H308" i="55" s="1"/>
  <c r="H298" i="55" a="1"/>
  <c r="H298" i="55" s="1"/>
  <c r="F19" i="15" a="1"/>
  <c r="F19" i="15" s="1"/>
  <c r="H63" i="55" a="1"/>
  <c r="H63" i="55" s="1"/>
  <c r="H203" i="55" a="1"/>
  <c r="H203" i="55" s="1"/>
  <c r="L203" i="55" s="1"/>
  <c r="H147" i="55" a="1"/>
  <c r="H147" i="55" s="1"/>
  <c r="H88" i="55" a="1"/>
  <c r="H88" i="55" s="1"/>
  <c r="H373" i="55" a="1"/>
  <c r="H373" i="55" s="1"/>
  <c r="E35" i="15" a="1"/>
  <c r="E35" i="15" s="1"/>
  <c r="H290" i="55" a="1"/>
  <c r="H290" i="55" s="1"/>
  <c r="H294" i="55" a="1"/>
  <c r="H294" i="55" s="1"/>
  <c r="H164" i="55" a="1"/>
  <c r="H164" i="55" s="1"/>
  <c r="H68" i="55" a="1"/>
  <c r="H68" i="55" s="1"/>
  <c r="H145" i="55" a="1"/>
  <c r="H145" i="55" s="1"/>
  <c r="H328" i="55" a="1"/>
  <c r="H328" i="55" s="1"/>
  <c r="H240" i="55" a="1"/>
  <c r="H240" i="55" s="1"/>
  <c r="E12" i="15" a="1"/>
  <c r="E12" i="15" s="1"/>
  <c r="F14" i="15" a="1"/>
  <c r="F14" i="15" s="1"/>
  <c r="F29" i="15" a="1"/>
  <c r="F29" i="15" s="1"/>
  <c r="E20" i="15" a="1"/>
  <c r="E20" i="15" s="1"/>
  <c r="H118" i="55" a="1"/>
  <c r="H118" i="55" s="1"/>
  <c r="H106" i="55" a="1"/>
  <c r="H106" i="55" s="1"/>
  <c r="H256" i="55" a="1"/>
  <c r="H256" i="55" s="1"/>
  <c r="H318" i="55" a="1"/>
  <c r="H318" i="55" s="1"/>
  <c r="H80" i="55" a="1"/>
  <c r="H80" i="55" s="1"/>
  <c r="E26" i="15" a="1"/>
  <c r="E26" i="15" s="1"/>
  <c r="E27" i="15" s="1"/>
  <c r="J24" i="55" a="1"/>
  <c r="J24" i="55" s="1"/>
  <c r="H45" i="55" a="1"/>
  <c r="H45" i="55" s="1"/>
  <c r="H46" i="55" a="1"/>
  <c r="H46" i="55" s="1"/>
  <c r="H78" i="55" a="1"/>
  <c r="H78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6" i="55" a="1"/>
  <c r="H146" i="55" s="1"/>
  <c r="H271" i="55" a="1"/>
  <c r="H271" i="55" s="1"/>
  <c r="H286" i="55" a="1"/>
  <c r="H286" i="55" s="1"/>
  <c r="H159" i="55" a="1"/>
  <c r="H159" i="55" s="1"/>
  <c r="H172" i="55" a="1"/>
  <c r="H172" i="55" s="1"/>
  <c r="H391" i="55" a="1"/>
  <c r="H391" i="55" s="1"/>
  <c r="H406" i="55" a="1"/>
  <c r="H406" i="55" s="1"/>
  <c r="L406" i="55" s="1"/>
  <c r="H208" i="55" a="1"/>
  <c r="H208" i="55" s="1"/>
  <c r="E9" i="12" a="1"/>
  <c r="E9" i="12" s="1"/>
  <c r="E14" i="15" a="1"/>
  <c r="E14" i="15" s="1"/>
  <c r="E24" i="15" a="1"/>
  <c r="E24" i="15" s="1"/>
  <c r="E25" i="15" s="1"/>
  <c r="H313" i="55" a="1"/>
  <c r="H313" i="55" s="1"/>
  <c r="H152" i="55" a="1"/>
  <c r="H152" i="55" s="1"/>
  <c r="H166" i="55" a="1"/>
  <c r="H166" i="55" s="1"/>
  <c r="L166" i="55" s="1"/>
  <c r="H132" i="55" a="1"/>
  <c r="H132" i="55" s="1"/>
  <c r="H273" i="55" a="1"/>
  <c r="H273" i="55" s="1"/>
  <c r="H165" i="55" a="1"/>
  <c r="H165" i="55" s="1"/>
  <c r="L165" i="55" s="1"/>
  <c r="H345" i="55" a="1"/>
  <c r="H345" i="55" s="1"/>
  <c r="H289" i="55" a="1"/>
  <c r="H289" i="55" s="1"/>
  <c r="H380" i="55" a="1"/>
  <c r="H380" i="55" s="1"/>
  <c r="H206" i="55" a="1"/>
  <c r="H206" i="55" s="1"/>
  <c r="F44" i="15" a="1"/>
  <c r="F44" i="15" s="1"/>
  <c r="E23" i="15" a="1"/>
  <c r="E23" i="15" s="1"/>
  <c r="F20" i="15" a="1"/>
  <c r="F20" i="15" s="1"/>
  <c r="E10" i="15" a="1"/>
  <c r="E10" i="15" s="1"/>
  <c r="H117" i="55" a="1"/>
  <c r="H117" i="55" s="1"/>
  <c r="H242" i="55" a="1"/>
  <c r="H242" i="55" s="1"/>
  <c r="E29" i="15" a="1"/>
  <c r="E29" i="15" s="1"/>
  <c r="F15" i="15" a="1"/>
  <c r="F15" i="15" s="1"/>
  <c r="E17" i="15" a="1"/>
  <c r="E17" i="15" s="1"/>
  <c r="E37" i="15" a="1"/>
  <c r="E37" i="15" s="1"/>
  <c r="H71" i="55" a="1"/>
  <c r="H71" i="55" s="1"/>
  <c r="F12" i="15" a="1"/>
  <c r="F12" i="15" s="1"/>
  <c r="F7" i="12" a="1"/>
  <c r="F7" i="12" s="1"/>
  <c r="H348" i="55" a="1"/>
  <c r="H348" i="55" s="1"/>
  <c r="E9" i="70" a="1"/>
  <c r="E9" i="70" s="1"/>
  <c r="H123" i="55" a="1"/>
  <c r="H123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3" i="55" a="1"/>
  <c r="H143" i="55" s="1"/>
  <c r="H24" i="55" a="1"/>
  <c r="H24" i="55" s="1"/>
  <c r="E6" i="12" a="1"/>
  <c r="E6" i="12" s="1"/>
  <c r="E45" i="15" a="1"/>
  <c r="E45" i="15" s="1"/>
  <c r="H226" i="55" a="1"/>
  <c r="H226" i="55" s="1"/>
  <c r="E58" i="15" a="1"/>
  <c r="E58" i="15" s="1"/>
  <c r="I58" i="15" s="1"/>
  <c r="H144" i="55" a="1"/>
  <c r="H144" i="55" s="1"/>
  <c r="H47" i="55" a="1"/>
  <c r="H47" i="55" s="1"/>
  <c r="F35" i="15" a="1"/>
  <c r="F35" i="15" s="1"/>
  <c r="H228" i="55" a="1"/>
  <c r="H228" i="55" s="1"/>
  <c r="H25" i="55" a="1"/>
  <c r="H25" i="55" s="1"/>
  <c r="H36" i="55" a="1"/>
  <c r="H36" i="55" s="1"/>
  <c r="F26" i="15" a="1"/>
  <c r="F26" i="15" s="1"/>
  <c r="F27" i="15" s="1"/>
  <c r="E44" i="15" a="1"/>
  <c r="E44" i="15" s="1"/>
  <c r="H260" i="55" a="1"/>
  <c r="H260" i="55" s="1"/>
  <c r="H158" i="55" a="1"/>
  <c r="H158" i="55" s="1"/>
  <c r="F9" i="12" a="1"/>
  <c r="F9" i="12" s="1"/>
  <c r="H102" i="55" a="1"/>
  <c r="H102" i="55" s="1"/>
  <c r="C14" i="39"/>
  <c r="L221" i="55" l="1"/>
  <c r="L185" i="55"/>
  <c r="L375" i="55"/>
  <c r="F14" i="12" a="1"/>
  <c r="F14" i="12" s="1"/>
  <c r="F15" i="12" a="1"/>
  <c r="F15" i="12" s="1"/>
  <c r="F22" i="12" a="1"/>
  <c r="F22" i="12" s="1"/>
  <c r="F21" i="12" a="1"/>
  <c r="F21" i="12" s="1"/>
  <c r="E17" i="12" a="1"/>
  <c r="E17" i="12" s="1"/>
  <c r="E16" i="12" a="1"/>
  <c r="E16" i="12" s="1"/>
  <c r="F17" i="12" a="1"/>
  <c r="F17" i="12" s="1"/>
  <c r="E21" i="12" a="1"/>
  <c r="E21" i="12" s="1"/>
  <c r="G21" i="12" s="1"/>
  <c r="E10" i="12" a="1"/>
  <c r="E10" i="12" s="1"/>
  <c r="F12" i="12" a="1"/>
  <c r="F12" i="12" s="1"/>
  <c r="F13" i="12" a="1"/>
  <c r="F13" i="12" s="1"/>
  <c r="F23" i="12" a="1"/>
  <c r="F23" i="12" s="1"/>
  <c r="E15" i="12" a="1"/>
  <c r="E15" i="12" s="1"/>
  <c r="G15" i="12" s="1"/>
  <c r="F19" i="12" a="1"/>
  <c r="F19" i="12" s="1"/>
  <c r="F10" i="12" a="1"/>
  <c r="F10" i="12" s="1"/>
  <c r="F16" i="12" a="1"/>
  <c r="F16" i="12" s="1"/>
  <c r="H16" i="12" s="1"/>
  <c r="J16" i="12" s="1"/>
  <c r="E23" i="12" a="1"/>
  <c r="E23" i="12" s="1"/>
  <c r="E19" i="12" a="1"/>
  <c r="E19" i="12" s="1"/>
  <c r="G19" i="12" s="1"/>
  <c r="E12" i="12" a="1"/>
  <c r="E12" i="12" s="1"/>
  <c r="G12" i="12" s="1"/>
  <c r="E20" i="12" a="1"/>
  <c r="E20" i="12" s="1"/>
  <c r="E18" i="12" a="1"/>
  <c r="E18" i="12" s="1"/>
  <c r="F20" i="12" a="1"/>
  <c r="F20" i="12" s="1"/>
  <c r="F18" i="12" a="1"/>
  <c r="F18" i="12" s="1"/>
  <c r="E14" i="12" a="1"/>
  <c r="E14" i="12" s="1"/>
  <c r="F11" i="12" a="1"/>
  <c r="F11" i="12" s="1"/>
  <c r="E22" i="12" a="1"/>
  <c r="E22" i="12" s="1"/>
  <c r="G22" i="12" s="1"/>
  <c r="E11" i="12" a="1"/>
  <c r="E11" i="12" s="1"/>
  <c r="E13" i="12" a="1"/>
  <c r="E13" i="12" s="1"/>
  <c r="L312" i="55"/>
  <c r="J35" i="55" a="1"/>
  <c r="J35" i="55" s="1"/>
  <c r="H35" i="55" a="1"/>
  <c r="H35" i="55" s="1"/>
  <c r="L309" i="55"/>
  <c r="L380" i="55"/>
  <c r="L196" i="55"/>
  <c r="L226" i="55"/>
  <c r="L123" i="55"/>
  <c r="L273" i="55"/>
  <c r="L354" i="55"/>
  <c r="L369" i="55"/>
  <c r="L40" i="55"/>
  <c r="L148" i="55"/>
  <c r="L391" i="55"/>
  <c r="I56" i="15"/>
  <c r="J29" i="55" a="1"/>
  <c r="J29" i="55" s="1"/>
  <c r="H31" i="55" a="1"/>
  <c r="H31" i="55" s="1"/>
  <c r="H30" i="55" a="1"/>
  <c r="H30" i="55" s="1"/>
  <c r="H29" i="55" a="1"/>
  <c r="H29" i="55" s="1"/>
  <c r="J30" i="55" a="1"/>
  <c r="J30" i="55" s="1"/>
  <c r="J31" i="55" a="1"/>
  <c r="J31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2" i="55"/>
  <c r="L14" i="55"/>
  <c r="L289" i="55"/>
  <c r="L172" i="55"/>
  <c r="L78" i="55"/>
  <c r="L267" i="55"/>
  <c r="L68" i="55"/>
  <c r="L290" i="55"/>
  <c r="L298" i="55"/>
  <c r="L206" i="55"/>
  <c r="L386" i="55"/>
  <c r="L291" i="55"/>
  <c r="F11" i="79" a="1"/>
  <c r="F11" i="79" s="1"/>
  <c r="F10" i="79" a="1"/>
  <c r="F10" i="79" s="1"/>
  <c r="G10" i="79" a="1"/>
  <c r="G10" i="79" s="1"/>
  <c r="G11" i="79" a="1"/>
  <c r="G11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F25" i="15"/>
  <c r="J170" i="55" a="1"/>
  <c r="J170" i="55" s="1"/>
  <c r="J355" i="55" a="1"/>
  <c r="J355" i="55" s="1"/>
  <c r="J223" i="55" a="1"/>
  <c r="J223" i="55" s="1"/>
  <c r="J182" i="55" a="1"/>
  <c r="J182" i="55" s="1"/>
  <c r="H124" i="55" a="1"/>
  <c r="H124" i="55" s="1"/>
  <c r="H188" i="55" a="1"/>
  <c r="H188" i="55" s="1"/>
  <c r="H326" i="55" a="1"/>
  <c r="H326" i="55" s="1"/>
  <c r="H60" i="55" a="1"/>
  <c r="H60" i="55" s="1"/>
  <c r="H83" i="55" a="1"/>
  <c r="H83" i="55" s="1"/>
  <c r="H64" i="55" a="1"/>
  <c r="H64" i="55" s="1"/>
  <c r="H315" i="55" a="1"/>
  <c r="H315" i="55" s="1"/>
  <c r="H156" i="55" a="1"/>
  <c r="H156" i="55" s="1"/>
  <c r="H133" i="55" a="1"/>
  <c r="H133" i="55" s="1"/>
  <c r="J60" i="55" a="1"/>
  <c r="J60" i="55" s="1"/>
  <c r="J83" i="55" a="1"/>
  <c r="J83" i="55" s="1"/>
  <c r="J64" i="55" a="1"/>
  <c r="J64" i="55" s="1"/>
  <c r="J315" i="55" a="1"/>
  <c r="J315" i="55" s="1"/>
  <c r="J156" i="55" a="1"/>
  <c r="J156" i="55" s="1"/>
  <c r="J384" i="55" a="1"/>
  <c r="J384" i="55" s="1"/>
  <c r="J37" i="55" a="1"/>
  <c r="J37" i="55" s="1"/>
  <c r="J103" i="55" a="1"/>
  <c r="J103" i="55" s="1"/>
  <c r="H96" i="55" a="1"/>
  <c r="H96" i="55" s="1"/>
  <c r="H353" i="55" a="1"/>
  <c r="H353" i="55" s="1"/>
  <c r="H268" i="55" a="1"/>
  <c r="H268" i="55" s="1"/>
  <c r="H160" i="55" a="1"/>
  <c r="H160" i="55" s="1"/>
  <c r="H109" i="55" a="1"/>
  <c r="H109" i="55" s="1"/>
  <c r="H401" i="55" a="1"/>
  <c r="H401" i="55" s="1"/>
  <c r="H91" i="55" a="1"/>
  <c r="H91" i="55" s="1"/>
  <c r="J160" i="55" a="1"/>
  <c r="J160" i="55" s="1"/>
  <c r="J75" i="55" a="1"/>
  <c r="J75" i="55" s="1"/>
  <c r="J198" i="55" a="1"/>
  <c r="J198" i="55" s="1"/>
  <c r="J364" i="55" a="1"/>
  <c r="J364" i="55" s="1"/>
  <c r="J381" i="55" a="1"/>
  <c r="J381" i="55" s="1"/>
  <c r="H285" i="55" a="1"/>
  <c r="H285" i="55" s="1"/>
  <c r="H337" i="55" a="1"/>
  <c r="H337" i="55" s="1"/>
  <c r="H239" i="55" a="1"/>
  <c r="H239" i="55" s="1"/>
  <c r="H278" i="55" a="1"/>
  <c r="H278" i="55" s="1"/>
  <c r="H217" i="55" a="1"/>
  <c r="H217" i="55" s="1"/>
  <c r="H220" i="55" a="1"/>
  <c r="H220" i="55" s="1"/>
  <c r="H116" i="55" a="1"/>
  <c r="H116" i="55" s="1"/>
  <c r="H251" i="55" a="1"/>
  <c r="H251" i="55" s="1"/>
  <c r="J278" i="55" a="1"/>
  <c r="J278" i="55" s="1"/>
  <c r="J124" i="55" a="1"/>
  <c r="J124" i="55" s="1"/>
  <c r="J188" i="55" a="1"/>
  <c r="J188" i="55" s="1"/>
  <c r="J326" i="55" a="1"/>
  <c r="J326" i="55" s="1"/>
  <c r="H75" i="55" a="1"/>
  <c r="H75" i="55" s="1"/>
  <c r="H198" i="55" a="1"/>
  <c r="H198" i="55" s="1"/>
  <c r="H364" i="55" a="1"/>
  <c r="H364" i="55" s="1"/>
  <c r="H381" i="55" a="1"/>
  <c r="H381" i="55" s="1"/>
  <c r="H342" i="55" a="1"/>
  <c r="H342" i="55" s="1"/>
  <c r="H366" i="55" a="1"/>
  <c r="H366" i="55" s="1"/>
  <c r="H232" i="55" a="1"/>
  <c r="H232" i="55" s="1"/>
  <c r="H101" i="55" a="1"/>
  <c r="H101" i="55" s="1"/>
  <c r="H374" i="55" a="1"/>
  <c r="H374" i="55" s="1"/>
  <c r="J342" i="55" a="1"/>
  <c r="J342" i="55" s="1"/>
  <c r="J366" i="55" a="1"/>
  <c r="J366" i="55" s="1"/>
  <c r="H363" i="55" a="1"/>
  <c r="H363" i="55" s="1"/>
  <c r="J357" i="55" a="1"/>
  <c r="J357" i="55" s="1"/>
  <c r="J264" i="55" a="1"/>
  <c r="J264" i="55" s="1"/>
  <c r="H297" i="55" a="1"/>
  <c r="H297" i="55" s="1"/>
  <c r="J389" i="55" a="1"/>
  <c r="J389" i="55" s="1"/>
  <c r="J371" i="55" a="1"/>
  <c r="J371" i="55" s="1"/>
  <c r="J100" i="55" a="1"/>
  <c r="J100" i="55" s="1"/>
  <c r="J109" i="55" a="1"/>
  <c r="J109" i="55" s="1"/>
  <c r="J133" i="55" a="1"/>
  <c r="J133" i="55" s="1"/>
  <c r="H371" i="55" a="1"/>
  <c r="H371" i="55" s="1"/>
  <c r="J67" i="55" a="1"/>
  <c r="J67" i="55" s="1"/>
  <c r="J136" i="55" a="1"/>
  <c r="J136" i="55" s="1"/>
  <c r="J362" i="55" a="1"/>
  <c r="J362" i="55" s="1"/>
  <c r="J96" i="55" a="1"/>
  <c r="J96" i="55" s="1"/>
  <c r="J353" i="55" a="1"/>
  <c r="J353" i="55" s="1"/>
  <c r="J268" i="55" a="1"/>
  <c r="J268" i="55" s="1"/>
  <c r="H258" i="55" a="1"/>
  <c r="H258" i="55" s="1"/>
  <c r="H279" i="55" a="1"/>
  <c r="H279" i="55" s="1"/>
  <c r="H341" i="55" a="1"/>
  <c r="H341" i="55" s="1"/>
  <c r="H178" i="55" a="1"/>
  <c r="H178" i="55" s="1"/>
  <c r="H316" i="55" a="1"/>
  <c r="H316" i="55" s="1"/>
  <c r="J341" i="55" a="1"/>
  <c r="J341" i="55" s="1"/>
  <c r="J178" i="55" a="1"/>
  <c r="J178" i="55" s="1"/>
  <c r="J56" i="55" a="1"/>
  <c r="J56" i="55" s="1"/>
  <c r="J53" i="55" a="1"/>
  <c r="J53" i="55" s="1"/>
  <c r="J400" i="55" a="1"/>
  <c r="J400" i="55" s="1"/>
  <c r="H383" i="55" a="1"/>
  <c r="H383" i="55" s="1"/>
  <c r="H90" i="55" a="1"/>
  <c r="H90" i="55" s="1"/>
  <c r="H38" i="55" a="1"/>
  <c r="H38" i="55" s="1"/>
  <c r="H182" i="55" a="1"/>
  <c r="H182" i="55" s="1"/>
  <c r="H212" i="55" a="1"/>
  <c r="H212" i="55" s="1"/>
  <c r="H304" i="55" a="1"/>
  <c r="H304" i="55" s="1"/>
  <c r="H163" i="55" a="1"/>
  <c r="H163" i="55" s="1"/>
  <c r="J38" i="55" a="1"/>
  <c r="J38" i="55" s="1"/>
  <c r="H335" i="55" a="1"/>
  <c r="H335" i="55" s="1"/>
  <c r="J142" i="55" a="1"/>
  <c r="J142" i="55" s="1"/>
  <c r="J398" i="55" a="1"/>
  <c r="J398" i="55" s="1"/>
  <c r="H263" i="55" a="1"/>
  <c r="H263" i="55" s="1"/>
  <c r="H153" i="55" a="1"/>
  <c r="H153" i="55" s="1"/>
  <c r="H238" i="55" a="1"/>
  <c r="H238" i="55" s="1"/>
  <c r="H73" i="55" a="1"/>
  <c r="H73" i="55" s="1"/>
  <c r="H50" i="55" a="1"/>
  <c r="H50" i="55" s="1"/>
  <c r="H169" i="55" a="1"/>
  <c r="H169" i="55" s="1"/>
  <c r="J258" i="55" a="1"/>
  <c r="J258" i="55" s="1"/>
  <c r="J279" i="55" a="1"/>
  <c r="J279" i="55" s="1"/>
  <c r="J272" i="55" a="1"/>
  <c r="J272" i="55" s="1"/>
  <c r="H142" i="55" a="1"/>
  <c r="H142" i="55" s="1"/>
  <c r="H398" i="55" a="1"/>
  <c r="H398" i="55" s="1"/>
  <c r="H350" i="55" a="1"/>
  <c r="H350" i="55" s="1"/>
  <c r="H66" i="55" a="1"/>
  <c r="H66" i="55" s="1"/>
  <c r="H410" i="55" a="1"/>
  <c r="H410" i="55" s="1"/>
  <c r="H162" i="55" a="1"/>
  <c r="H162" i="55" s="1"/>
  <c r="H204" i="55" a="1"/>
  <c r="H204" i="55" s="1"/>
  <c r="H264" i="55" a="1"/>
  <c r="H264" i="55" s="1"/>
  <c r="J350" i="55" a="1"/>
  <c r="J350" i="55" s="1"/>
  <c r="J66" i="55" a="1"/>
  <c r="J66" i="55" s="1"/>
  <c r="J410" i="55" a="1"/>
  <c r="J410" i="55" s="1"/>
  <c r="J48" i="55" a="1"/>
  <c r="J48" i="55" s="1"/>
  <c r="J304" i="55" a="1"/>
  <c r="J304" i="55" s="1"/>
  <c r="J340" i="55" a="1"/>
  <c r="J340" i="55" s="1"/>
  <c r="J383" i="55" a="1"/>
  <c r="J383" i="55" s="1"/>
  <c r="J90" i="55" a="1"/>
  <c r="J90" i="55" s="1"/>
  <c r="H134" i="55" a="1"/>
  <c r="H134" i="55" s="1"/>
  <c r="H292" i="55" a="1"/>
  <c r="H292" i="55" s="1"/>
  <c r="H52" i="55" a="1"/>
  <c r="H52" i="55" s="1"/>
  <c r="H173" i="55" a="1"/>
  <c r="H173" i="55" s="1"/>
  <c r="H237" i="55" a="1"/>
  <c r="H237" i="55" s="1"/>
  <c r="H299" i="55" a="1"/>
  <c r="H299" i="55" s="1"/>
  <c r="H114" i="55" a="1"/>
  <c r="H114" i="55" s="1"/>
  <c r="H49" i="55" a="1"/>
  <c r="H49" i="55" s="1"/>
  <c r="H86" i="55" a="1"/>
  <c r="H86" i="55" s="1"/>
  <c r="J237" i="55" a="1"/>
  <c r="J237" i="55" s="1"/>
  <c r="J299" i="55" a="1"/>
  <c r="J299" i="55" s="1"/>
  <c r="J114" i="55" a="1"/>
  <c r="J114" i="55" s="1"/>
  <c r="J49" i="55" a="1"/>
  <c r="J49" i="55" s="1"/>
  <c r="J285" i="55" a="1"/>
  <c r="J285" i="55" s="1"/>
  <c r="J337" i="55" a="1"/>
  <c r="J337" i="55" s="1"/>
  <c r="J239" i="55" a="1"/>
  <c r="J239" i="55" s="1"/>
  <c r="H87" i="55" a="1"/>
  <c r="H87" i="55" s="1"/>
  <c r="H174" i="55" a="1"/>
  <c r="H174" i="55" s="1"/>
  <c r="H175" i="55" a="1"/>
  <c r="H175" i="55" s="1"/>
  <c r="H137" i="55" a="1"/>
  <c r="H137" i="55" s="1"/>
  <c r="H402" i="55" a="1"/>
  <c r="H402" i="55" s="1"/>
  <c r="H39" i="55" a="1"/>
  <c r="H39" i="55" s="1"/>
  <c r="H244" i="55" a="1"/>
  <c r="H244" i="55" s="1"/>
  <c r="H113" i="55" a="1"/>
  <c r="H113" i="55" s="1"/>
  <c r="J402" i="55" a="1"/>
  <c r="J402" i="55" s="1"/>
  <c r="J39" i="55" a="1"/>
  <c r="J39" i="55" s="1"/>
  <c r="J244" i="55" a="1"/>
  <c r="J244" i="55" s="1"/>
  <c r="J76" i="55" a="1"/>
  <c r="J76" i="55" s="1"/>
  <c r="J360" i="55" a="1"/>
  <c r="J360" i="55" s="1"/>
  <c r="J281" i="55" a="1"/>
  <c r="J281" i="55" s="1"/>
  <c r="J335" i="55" a="1"/>
  <c r="J335" i="55" s="1"/>
  <c r="H384" i="55" a="1"/>
  <c r="H384" i="55" s="1"/>
  <c r="H37" i="55" a="1"/>
  <c r="H37" i="55" s="1"/>
  <c r="H103" i="55" a="1"/>
  <c r="H103" i="55" s="1"/>
  <c r="H199" i="55" a="1"/>
  <c r="H199" i="55" s="1"/>
  <c r="H359" i="55" a="1"/>
  <c r="H359" i="55" s="1"/>
  <c r="H139" i="55" a="1"/>
  <c r="H139" i="55" s="1"/>
  <c r="J199" i="55" a="1"/>
  <c r="J199" i="55" s="1"/>
  <c r="J134" i="55" a="1"/>
  <c r="J134" i="55" s="1"/>
  <c r="J292" i="55" a="1"/>
  <c r="J292" i="55" s="1"/>
  <c r="J52" i="55" a="1"/>
  <c r="J52" i="55" s="1"/>
  <c r="J173" i="55" a="1"/>
  <c r="J173" i="55" s="1"/>
  <c r="J393" i="55" a="1"/>
  <c r="J393" i="55" s="1"/>
  <c r="H76" i="55" a="1"/>
  <c r="H76" i="55" s="1"/>
  <c r="H360" i="55" a="1"/>
  <c r="H360" i="55" s="1"/>
  <c r="H281" i="55" a="1"/>
  <c r="H281" i="55" s="1"/>
  <c r="H408" i="55" a="1"/>
  <c r="H408" i="55" s="1"/>
  <c r="H280" i="55" a="1"/>
  <c r="H280" i="55" s="1"/>
  <c r="H222" i="55" a="1"/>
  <c r="H222" i="55" s="1"/>
  <c r="H393" i="55" a="1"/>
  <c r="H393" i="55" s="1"/>
  <c r="J87" i="55" a="1"/>
  <c r="J87" i="55" s="1"/>
  <c r="J174" i="55" a="1"/>
  <c r="J174" i="55" s="1"/>
  <c r="J175" i="55" a="1"/>
  <c r="J175" i="55" s="1"/>
  <c r="J137" i="55" a="1"/>
  <c r="J137" i="55" s="1"/>
  <c r="H336" i="55" a="1"/>
  <c r="H336" i="55" s="1"/>
  <c r="H305" i="55" a="1"/>
  <c r="H305" i="55" s="1"/>
  <c r="H171" i="55" a="1"/>
  <c r="H171" i="55" s="1"/>
  <c r="H55" i="55" a="1"/>
  <c r="H55" i="55" s="1"/>
  <c r="H323" i="55" a="1"/>
  <c r="H323" i="55" s="1"/>
  <c r="H287" i="55" a="1"/>
  <c r="H287" i="55" s="1"/>
  <c r="H229" i="55" a="1"/>
  <c r="H229" i="55" s="1"/>
  <c r="H211" i="55" a="1"/>
  <c r="H211" i="55" s="1"/>
  <c r="J55" i="55" a="1"/>
  <c r="J55" i="55" s="1"/>
  <c r="J323" i="55" a="1"/>
  <c r="J323" i="55" s="1"/>
  <c r="J287" i="55" a="1"/>
  <c r="J287" i="55" s="1"/>
  <c r="J229" i="55" a="1"/>
  <c r="J229" i="55" s="1"/>
  <c r="J263" i="55" a="1"/>
  <c r="J263" i="55" s="1"/>
  <c r="J153" i="55" a="1"/>
  <c r="J153" i="55" s="1"/>
  <c r="H170" i="55" a="1"/>
  <c r="H170" i="55" s="1"/>
  <c r="H355" i="55" a="1"/>
  <c r="H355" i="55" s="1"/>
  <c r="L355" i="55" s="1"/>
  <c r="H223" i="55" a="1"/>
  <c r="H223" i="55" s="1"/>
  <c r="H325" i="55" a="1"/>
  <c r="H325" i="55" s="1"/>
  <c r="H332" i="55" a="1"/>
  <c r="H332" i="55" s="1"/>
  <c r="H231" i="55" a="1"/>
  <c r="H231" i="55" s="1"/>
  <c r="H136" i="55" a="1"/>
  <c r="H136" i="55" s="1"/>
  <c r="H362" i="55" a="1"/>
  <c r="H362" i="55" s="1"/>
  <c r="J325" i="55" a="1"/>
  <c r="J325" i="55" s="1"/>
  <c r="J407" i="55" a="1"/>
  <c r="J407" i="55" s="1"/>
  <c r="J194" i="55" a="1"/>
  <c r="J194" i="55" s="1"/>
  <c r="J262" i="55" a="1"/>
  <c r="J262" i="55" s="1"/>
  <c r="J288" i="55" a="1"/>
  <c r="J288" i="55" s="1"/>
  <c r="J363" i="55" a="1"/>
  <c r="J363" i="55" s="1"/>
  <c r="H56" i="55" a="1"/>
  <c r="H56" i="55" s="1"/>
  <c r="H53" i="55" a="1"/>
  <c r="H53" i="55" s="1"/>
  <c r="H400" i="55" a="1"/>
  <c r="H400" i="55" s="1"/>
  <c r="H225" i="55" a="1"/>
  <c r="H225" i="55" s="1"/>
  <c r="H302" i="55" a="1"/>
  <c r="H302" i="55" s="1"/>
  <c r="H100" i="55" a="1"/>
  <c r="H100" i="55" s="1"/>
  <c r="H340" i="55" a="1"/>
  <c r="H340" i="55" s="1"/>
  <c r="H272" i="55" a="1"/>
  <c r="H272" i="55" s="1"/>
  <c r="J225" i="55" a="1"/>
  <c r="J225" i="55" s="1"/>
  <c r="J336" i="55" a="1"/>
  <c r="J336" i="55" s="1"/>
  <c r="J305" i="55" a="1"/>
  <c r="J305" i="55" s="1"/>
  <c r="J171" i="55" a="1"/>
  <c r="J171" i="55" s="1"/>
  <c r="H407" i="55" a="1"/>
  <c r="H407" i="55" s="1"/>
  <c r="H194" i="55" a="1"/>
  <c r="H194" i="55" s="1"/>
  <c r="H262" i="55" a="1"/>
  <c r="H262" i="55" s="1"/>
  <c r="H288" i="55" a="1"/>
  <c r="H288" i="55" s="1"/>
  <c r="H387" i="55" a="1"/>
  <c r="H387" i="55" s="1"/>
  <c r="H379" i="55" a="1"/>
  <c r="H379" i="55" s="1"/>
  <c r="H48" i="55" a="1"/>
  <c r="H48" i="55" s="1"/>
  <c r="L48" i="55" s="1"/>
  <c r="H357" i="55" a="1"/>
  <c r="H357" i="55" s="1"/>
  <c r="H270" i="55" a="1"/>
  <c r="H270" i="55" s="1"/>
  <c r="H79" i="55" a="1"/>
  <c r="H79" i="55" s="1"/>
  <c r="H157" i="55" a="1"/>
  <c r="H157" i="55" s="1"/>
  <c r="J387" i="55" a="1"/>
  <c r="J387" i="55" s="1"/>
  <c r="J379" i="55" a="1"/>
  <c r="J379" i="55" s="1"/>
  <c r="J270" i="55" a="1"/>
  <c r="J270" i="55" s="1"/>
  <c r="J374" i="55" a="1"/>
  <c r="J374" i="55" s="1"/>
  <c r="H389" i="55" a="1"/>
  <c r="H389" i="55" s="1"/>
  <c r="L389" i="55" s="1"/>
  <c r="J408" i="55" a="1"/>
  <c r="J408" i="55" s="1"/>
  <c r="J79" i="55" a="1"/>
  <c r="J79" i="55" s="1"/>
  <c r="H201" i="55" a="1"/>
  <c r="H201" i="55" s="1"/>
  <c r="J201" i="55" a="1"/>
  <c r="J201" i="55" s="1"/>
  <c r="J302" i="55" a="1"/>
  <c r="J302" i="55" s="1"/>
  <c r="J86" i="55" a="1"/>
  <c r="J86" i="55" s="1"/>
  <c r="J211" i="55" a="1"/>
  <c r="J211" i="55" s="1"/>
  <c r="H67" i="55" a="1"/>
  <c r="H67" i="55" s="1"/>
  <c r="J73" i="55" a="1"/>
  <c r="J73" i="55" s="1"/>
  <c r="J91" i="55" a="1"/>
  <c r="J91" i="55" s="1"/>
  <c r="J84" i="55" a="1"/>
  <c r="J84" i="55" s="1"/>
  <c r="J116" i="55" a="1"/>
  <c r="J116" i="55" s="1"/>
  <c r="J169" i="55" a="1"/>
  <c r="J169" i="55" s="1"/>
  <c r="H404" i="55" a="1"/>
  <c r="H404" i="55" s="1"/>
  <c r="J197" i="55" a="1"/>
  <c r="J197" i="55" s="1"/>
  <c r="J280" i="55" a="1"/>
  <c r="J280" i="55" s="1"/>
  <c r="J157" i="55" a="1"/>
  <c r="J157" i="55" s="1"/>
  <c r="J58" i="55" a="1"/>
  <c r="J58" i="55" s="1"/>
  <c r="J44" i="55" a="1"/>
  <c r="J44" i="55" s="1"/>
  <c r="J332" i="55" a="1"/>
  <c r="J332" i="55" s="1"/>
  <c r="J231" i="55" a="1"/>
  <c r="J231" i="55" s="1"/>
  <c r="J163" i="55" a="1"/>
  <c r="J163" i="55" s="1"/>
  <c r="J238" i="55" a="1"/>
  <c r="J238" i="55" s="1"/>
  <c r="J220" i="55" a="1"/>
  <c r="J220" i="55" s="1"/>
  <c r="J101" i="55" a="1"/>
  <c r="J101" i="55" s="1"/>
  <c r="J139" i="55" a="1"/>
  <c r="J139" i="55" s="1"/>
  <c r="H378" i="55" a="1"/>
  <c r="H378" i="55" s="1"/>
  <c r="J404" i="55" a="1"/>
  <c r="J404" i="55" s="1"/>
  <c r="J212" i="55" a="1"/>
  <c r="J212" i="55" s="1"/>
  <c r="H58" i="55" a="1"/>
  <c r="H58" i="55" s="1"/>
  <c r="J193" i="55" a="1"/>
  <c r="J193" i="55" s="1"/>
  <c r="J359" i="55" a="1"/>
  <c r="J359" i="55" s="1"/>
  <c r="J401" i="55" a="1"/>
  <c r="J401" i="55" s="1"/>
  <c r="J316" i="55" a="1"/>
  <c r="J316" i="55" s="1"/>
  <c r="H44" i="55" a="1"/>
  <c r="H44" i="55" s="1"/>
  <c r="J162" i="55" a="1"/>
  <c r="J162" i="55" s="1"/>
  <c r="J50" i="55" a="1"/>
  <c r="J50" i="55" s="1"/>
  <c r="H131" i="55" a="1"/>
  <c r="H131" i="55" s="1"/>
  <c r="J217" i="55" a="1"/>
  <c r="J217" i="55" s="1"/>
  <c r="J113" i="55" a="1"/>
  <c r="J113" i="55" s="1"/>
  <c r="H230" i="55" a="1"/>
  <c r="H230" i="55" s="1"/>
  <c r="H42" i="55" a="1"/>
  <c r="H42" i="55" s="1"/>
  <c r="J378" i="55" a="1"/>
  <c r="J378" i="55" s="1"/>
  <c r="H193" i="55" a="1"/>
  <c r="H193" i="55" s="1"/>
  <c r="J297" i="55" a="1"/>
  <c r="J297" i="55" s="1"/>
  <c r="J222" i="55" a="1"/>
  <c r="J222" i="55" s="1"/>
  <c r="J204" i="55" a="1"/>
  <c r="J204" i="55" s="1"/>
  <c r="H84" i="55" a="1"/>
  <c r="H84" i="55" s="1"/>
  <c r="J131" i="55" a="1"/>
  <c r="J131" i="55" s="1"/>
  <c r="J232" i="55" a="1"/>
  <c r="J232" i="55" s="1"/>
  <c r="J251" i="55" a="1"/>
  <c r="J251" i="55" s="1"/>
  <c r="H197" i="55" a="1"/>
  <c r="H197" i="55" s="1"/>
  <c r="J230" i="55" a="1"/>
  <c r="J230" i="55" s="1"/>
  <c r="J42" i="55" a="1"/>
  <c r="J42" i="55" s="1"/>
  <c r="H202" i="55" a="1"/>
  <c r="H202" i="55" s="1"/>
  <c r="J81" i="55" a="1"/>
  <c r="J81" i="55" s="1"/>
  <c r="J324" i="55" a="1"/>
  <c r="J324" i="55" s="1"/>
  <c r="J207" i="55" a="1"/>
  <c r="J207" i="55" s="1"/>
  <c r="H295" i="55" a="1"/>
  <c r="H295" i="55" s="1"/>
  <c r="J130" i="55" a="1"/>
  <c r="J130" i="55" s="1"/>
  <c r="H219" i="55" a="1"/>
  <c r="H219" i="55" s="1"/>
  <c r="H253" i="55" a="1"/>
  <c r="H253" i="55" s="1"/>
  <c r="H57" i="55" a="1"/>
  <c r="H57" i="55" s="1"/>
  <c r="H351" i="55" a="1"/>
  <c r="H351" i="55" s="1"/>
  <c r="H333" i="55" a="1"/>
  <c r="H333" i="55" s="1"/>
  <c r="H94" i="55" a="1"/>
  <c r="H94" i="55" s="1"/>
  <c r="H82" i="55" a="1"/>
  <c r="H82" i="55" s="1"/>
  <c r="H191" i="55" a="1"/>
  <c r="H191" i="55" s="1"/>
  <c r="J119" i="55" a="1"/>
  <c r="J119" i="55" s="1"/>
  <c r="J377" i="55" a="1"/>
  <c r="J377" i="55" s="1"/>
  <c r="J265" i="55" a="1"/>
  <c r="J265" i="55" s="1"/>
  <c r="J128" i="55" a="1"/>
  <c r="J128" i="55" s="1"/>
  <c r="H122" i="55" a="1"/>
  <c r="H122" i="55" s="1"/>
  <c r="H269" i="55" a="1"/>
  <c r="H269" i="55" s="1"/>
  <c r="J82" i="55" a="1"/>
  <c r="J82" i="55" s="1"/>
  <c r="J213" i="55" a="1"/>
  <c r="J213" i="55" s="1"/>
  <c r="H186" i="55" a="1"/>
  <c r="H186" i="55" s="1"/>
  <c r="J93" i="55" a="1"/>
  <c r="J93" i="55" s="1"/>
  <c r="H259" i="55" a="1"/>
  <c r="H259" i="55" s="1"/>
  <c r="H215" i="55" a="1"/>
  <c r="H215" i="55" s="1"/>
  <c r="H111" i="55" a="1"/>
  <c r="H111" i="55" s="1"/>
  <c r="J293" i="55" a="1"/>
  <c r="J293" i="55" s="1"/>
  <c r="H252" i="55" a="1"/>
  <c r="H252" i="55" s="1"/>
  <c r="H110" i="55" a="1"/>
  <c r="H110" i="55" s="1"/>
  <c r="J191" i="55" a="1"/>
  <c r="J191" i="55" s="1"/>
  <c r="J215" i="55" a="1"/>
  <c r="J215" i="55" s="1"/>
  <c r="H81" i="55" a="1"/>
  <c r="H81" i="55" s="1"/>
  <c r="J343" i="55" a="1"/>
  <c r="J343" i="55" s="1"/>
  <c r="H93" i="55" a="1"/>
  <c r="H93" i="55" s="1"/>
  <c r="H356" i="55" a="1"/>
  <c r="H356" i="55" s="1"/>
  <c r="H343" i="55" a="1"/>
  <c r="H343" i="55" s="1"/>
  <c r="H370" i="55" a="1"/>
  <c r="H370" i="55" s="1"/>
  <c r="J57" i="55" a="1"/>
  <c r="J57" i="55" s="1"/>
  <c r="H127" i="55" a="1"/>
  <c r="H127" i="55" s="1"/>
  <c r="J92" i="55" a="1"/>
  <c r="J92" i="55" s="1"/>
  <c r="J333" i="55" a="1"/>
  <c r="J333" i="55" s="1"/>
  <c r="J235" i="55" a="1"/>
  <c r="J235" i="55" s="1"/>
  <c r="H320" i="55" a="1"/>
  <c r="H320" i="55" s="1"/>
  <c r="H265" i="55" a="1"/>
  <c r="H265" i="55" s="1"/>
  <c r="J184" i="55" a="1"/>
  <c r="J184" i="55" s="1"/>
  <c r="H322" i="55" a="1"/>
  <c r="H322" i="55" s="1"/>
  <c r="J346" i="55" a="1"/>
  <c r="J346" i="55" s="1"/>
  <c r="H184" i="55" a="1"/>
  <c r="H184" i="55" s="1"/>
  <c r="H213" i="55" a="1"/>
  <c r="H213" i="55" s="1"/>
  <c r="J186" i="55" a="1"/>
  <c r="J186" i="55" s="1"/>
  <c r="J105" i="55" a="1"/>
  <c r="J105" i="55" s="1"/>
  <c r="J249" i="55" a="1"/>
  <c r="J249" i="55" s="1"/>
  <c r="J216" i="55" a="1"/>
  <c r="J216" i="55" s="1"/>
  <c r="H293" i="55" a="1"/>
  <c r="H293" i="55" s="1"/>
  <c r="J252" i="55" a="1"/>
  <c r="J252" i="55" s="1"/>
  <c r="J351" i="55" a="1"/>
  <c r="J351" i="55" s="1"/>
  <c r="J253" i="55" a="1"/>
  <c r="J253" i="55" s="1"/>
  <c r="H409" i="55" a="1"/>
  <c r="H409" i="55" s="1"/>
  <c r="H331" i="55" a="1"/>
  <c r="H331" i="55" s="1"/>
  <c r="H368" i="55" a="1"/>
  <c r="H368" i="55" s="1"/>
  <c r="H130" i="55" a="1"/>
  <c r="H130" i="55" s="1"/>
  <c r="J409" i="55" a="1"/>
  <c r="J409" i="55" s="1"/>
  <c r="J331" i="55" a="1"/>
  <c r="J331" i="55" s="1"/>
  <c r="J356" i="55" a="1"/>
  <c r="J356" i="55" s="1"/>
  <c r="H92" i="55" a="1"/>
  <c r="H92" i="55" s="1"/>
  <c r="H140" i="55" a="1"/>
  <c r="H140" i="55" s="1"/>
  <c r="J110" i="55" a="1"/>
  <c r="J110" i="55" s="1"/>
  <c r="J140" i="55" a="1"/>
  <c r="J140" i="55" s="1"/>
  <c r="H128" i="55" a="1"/>
  <c r="H128" i="55" s="1"/>
  <c r="H346" i="55" a="1"/>
  <c r="H346" i="55" s="1"/>
  <c r="H319" i="55" a="1"/>
  <c r="H319" i="55" s="1"/>
  <c r="J219" i="55" a="1"/>
  <c r="J219" i="55" s="1"/>
  <c r="H266" i="55" a="1"/>
  <c r="H266" i="55" s="1"/>
  <c r="H377" i="55" a="1"/>
  <c r="H377" i="55" s="1"/>
  <c r="J319" i="55" a="1"/>
  <c r="J319" i="55" s="1"/>
  <c r="J322" i="55" a="1"/>
  <c r="J322" i="55" s="1"/>
  <c r="J202" i="55" a="1"/>
  <c r="J202" i="55" s="1"/>
  <c r="J330" i="55" a="1"/>
  <c r="J330" i="55" s="1"/>
  <c r="H105" i="55" a="1"/>
  <c r="H105" i="55" s="1"/>
  <c r="J385" i="55" a="1"/>
  <c r="J385" i="55" s="1"/>
  <c r="J295" i="55" a="1"/>
  <c r="J295" i="55" s="1"/>
  <c r="H119" i="55" a="1"/>
  <c r="H119" i="55" s="1"/>
  <c r="H330" i="55" a="1"/>
  <c r="H330" i="55" s="1"/>
  <c r="H249" i="55" a="1"/>
  <c r="H249" i="55" s="1"/>
  <c r="H216" i="55" a="1"/>
  <c r="H216" i="55" s="1"/>
  <c r="J370" i="55" a="1"/>
  <c r="J370" i="55" s="1"/>
  <c r="H385" i="55" a="1"/>
  <c r="H385" i="55" s="1"/>
  <c r="H168" i="55" a="1"/>
  <c r="H168" i="55" s="1"/>
  <c r="J150" i="55" a="1"/>
  <c r="J150" i="55" s="1"/>
  <c r="J94" i="55" a="1"/>
  <c r="J94" i="55" s="1"/>
  <c r="H150" i="55" a="1"/>
  <c r="H150" i="55" s="1"/>
  <c r="H235" i="55" a="1"/>
  <c r="H235" i="55" s="1"/>
  <c r="J368" i="55" a="1"/>
  <c r="J368" i="55" s="1"/>
  <c r="H207" i="55" a="1"/>
  <c r="H207" i="55" s="1"/>
  <c r="H324" i="55" a="1"/>
  <c r="H324" i="55" s="1"/>
  <c r="H365" i="55" a="1"/>
  <c r="H365" i="55" s="1"/>
  <c r="J122" i="55" a="1"/>
  <c r="J122" i="55" s="1"/>
  <c r="J269" i="55" a="1"/>
  <c r="J269" i="55" s="1"/>
  <c r="J320" i="55" a="1"/>
  <c r="J320" i="55" s="1"/>
  <c r="J259" i="55" a="1"/>
  <c r="J259" i="55" s="1"/>
  <c r="J365" i="55" a="1"/>
  <c r="J365" i="55" s="1"/>
  <c r="J327" i="55" a="1"/>
  <c r="J327" i="55" s="1"/>
  <c r="J89" i="55" a="1"/>
  <c r="J89" i="55" s="1"/>
  <c r="J127" i="55" a="1"/>
  <c r="J127" i="55" s="1"/>
  <c r="J168" i="55" a="1"/>
  <c r="J168" i="55" s="1"/>
  <c r="H327" i="55" a="1"/>
  <c r="H327" i="55" s="1"/>
  <c r="H89" i="55" a="1"/>
  <c r="H89" i="55" s="1"/>
  <c r="J266" i="55" a="1"/>
  <c r="J266" i="55" s="1"/>
  <c r="J111" i="55" a="1"/>
  <c r="J111" i="55" s="1"/>
  <c r="L187" i="55"/>
  <c r="L303" i="55"/>
  <c r="L107" i="55"/>
  <c r="L358" i="55"/>
  <c r="L138" i="55"/>
  <c r="L236" i="55"/>
  <c r="L274" i="55"/>
  <c r="L180" i="55"/>
  <c r="L74" i="55"/>
  <c r="L88" i="55"/>
  <c r="L308" i="55"/>
  <c r="L345" i="55"/>
  <c r="L228" i="55"/>
  <c r="L376" i="55"/>
  <c r="L260" i="55"/>
  <c r="L146" i="55"/>
  <c r="L118" i="55"/>
  <c r="L120" i="55"/>
  <c r="L318" i="55"/>
  <c r="L328" i="55"/>
  <c r="L147" i="55"/>
  <c r="L405" i="55"/>
  <c r="L254" i="55"/>
  <c r="L158" i="55"/>
  <c r="L117" i="55"/>
  <c r="L98" i="55"/>
  <c r="L26" i="55"/>
  <c r="I53" i="15"/>
  <c r="L284" i="55"/>
  <c r="L339" i="55"/>
  <c r="L283" i="55"/>
  <c r="L233" i="55"/>
  <c r="L69" i="55"/>
  <c r="L125" i="55"/>
  <c r="L27" i="55"/>
  <c r="E25" i="12" a="1"/>
  <c r="E25" i="12" s="1"/>
  <c r="F25" i="12" a="1"/>
  <c r="F25" i="12" s="1"/>
  <c r="E24" i="12" a="1"/>
  <c r="E24" i="12" s="1"/>
  <c r="F24" i="12" a="1"/>
  <c r="F24" i="12" s="1"/>
  <c r="L399" i="55"/>
  <c r="L195" i="55"/>
  <c r="L234" i="55"/>
  <c r="L257" i="55"/>
  <c r="L373" i="55"/>
  <c r="L397" i="55"/>
  <c r="L276" i="55"/>
  <c r="L190" i="55"/>
  <c r="J205" i="55" a="1"/>
  <c r="J205" i="55" s="1"/>
  <c r="L205" i="55" s="1"/>
  <c r="J132" i="55" a="1"/>
  <c r="J132" i="55" s="1"/>
  <c r="L132" i="55" s="1"/>
  <c r="J47" i="55" a="1"/>
  <c r="J47" i="55" s="1"/>
  <c r="L47" i="55" s="1"/>
  <c r="J126" i="55" a="1"/>
  <c r="J126" i="55" s="1"/>
  <c r="L126" i="55" s="1"/>
  <c r="J243" i="55" a="1"/>
  <c r="J243" i="55" s="1"/>
  <c r="L243" i="55" s="1"/>
  <c r="J392" i="55" a="1"/>
  <c r="J392" i="55" s="1"/>
  <c r="L392" i="55" s="1"/>
  <c r="J104" i="55" a="1"/>
  <c r="J104" i="55" s="1"/>
  <c r="L104" i="55" s="1"/>
  <c r="J352" i="55" a="1"/>
  <c r="J352" i="55" s="1"/>
  <c r="L352" i="55" s="1"/>
  <c r="J23" i="55" a="1"/>
  <c r="J23" i="55" s="1"/>
  <c r="L23" i="55" s="1"/>
  <c r="J179" i="55" a="1"/>
  <c r="J179" i="55" s="1"/>
  <c r="L179" i="55" s="1"/>
  <c r="J286" i="55" a="1"/>
  <c r="J286" i="55" s="1"/>
  <c r="L286" i="55" s="1"/>
  <c r="J311" i="55" a="1"/>
  <c r="J311" i="55" s="1"/>
  <c r="L311" i="55" s="1"/>
  <c r="J208" i="55" a="1"/>
  <c r="J208" i="55" s="1"/>
  <c r="L208" i="55" s="1"/>
  <c r="L329" i="55"/>
  <c r="L36" i="55"/>
  <c r="L152" i="55"/>
  <c r="L271" i="55"/>
  <c r="L294" i="55"/>
  <c r="L394" i="55"/>
  <c r="L347" i="55"/>
  <c r="L28" i="55"/>
  <c r="L210" i="55"/>
  <c r="L250" i="55"/>
  <c r="L240" i="55"/>
  <c r="L63" i="55"/>
  <c r="L155" i="55"/>
  <c r="L95" i="55"/>
  <c r="L115" i="55"/>
  <c r="L395" i="55"/>
  <c r="L218" i="55"/>
  <c r="L307" i="55"/>
  <c r="L313" i="55"/>
  <c r="L256" i="55"/>
  <c r="L145" i="55"/>
  <c r="L129" i="55"/>
  <c r="L41" i="55"/>
  <c r="L43" i="55"/>
  <c r="L241" i="55"/>
  <c r="L390" i="55"/>
  <c r="L348" i="55"/>
  <c r="L159" i="55"/>
  <c r="L46" i="55"/>
  <c r="L80" i="55"/>
  <c r="L106" i="55"/>
  <c r="L143" i="55"/>
  <c r="L242" i="55"/>
  <c r="L45" i="55"/>
  <c r="L396" i="55"/>
  <c r="L62" i="55"/>
  <c r="L54" i="55"/>
  <c r="L161" i="55"/>
  <c r="L200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L108" i="55"/>
  <c r="L277" i="55"/>
  <c r="H7" i="12"/>
  <c r="H9" i="12"/>
  <c r="G22" i="15"/>
  <c r="H24" i="15"/>
  <c r="H44" i="15"/>
  <c r="J144" i="55" a="1"/>
  <c r="J144" i="55" s="1"/>
  <c r="L144" i="55" s="1"/>
  <c r="J209" i="55" a="1"/>
  <c r="J209" i="55" s="1"/>
  <c r="L209" i="55" s="1"/>
  <c r="J25" i="55" a="1"/>
  <c r="J25" i="55" s="1"/>
  <c r="L25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J338" i="55" a="1"/>
  <c r="J338" i="55" s="1"/>
  <c r="L338" i="55" s="1"/>
  <c r="J301" i="55" a="1"/>
  <c r="J301" i="55" s="1"/>
  <c r="L301" i="55" s="1"/>
  <c r="J102" i="55" a="1"/>
  <c r="J102" i="55" s="1"/>
  <c r="L102" i="55" s="1"/>
  <c r="J61" i="55" a="1"/>
  <c r="J61" i="55" s="1"/>
  <c r="L61" i="55" s="1"/>
  <c r="J149" i="55" a="1"/>
  <c r="J149" i="55" s="1"/>
  <c r="L149" i="55" s="1"/>
  <c r="J349" i="55" a="1"/>
  <c r="J349" i="55" s="1"/>
  <c r="L349" i="55" s="1"/>
  <c r="J306" i="55" a="1"/>
  <c r="J306" i="55" s="1"/>
  <c r="L306" i="55" s="1"/>
  <c r="F51" i="15" a="1"/>
  <c r="F51" i="15" s="1"/>
  <c r="I51" i="15" s="1"/>
  <c r="J321" i="55" a="1"/>
  <c r="J321" i="55" s="1"/>
  <c r="L321" i="55" s="1"/>
  <c r="J167" i="55" a="1"/>
  <c r="J167" i="55" s="1"/>
  <c r="L167" i="55" s="1"/>
  <c r="J20" i="55" a="1"/>
  <c r="J20" i="55" s="1"/>
  <c r="L20" i="55" s="1"/>
  <c r="N20" i="55" s="1"/>
  <c r="J382" i="55" a="1"/>
  <c r="J382" i="55" s="1"/>
  <c r="L382" i="55" s="1"/>
  <c r="J77" i="55" a="1"/>
  <c r="J77" i="55" s="1"/>
  <c r="L77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112" i="55" a="1"/>
  <c r="J112" i="55" s="1"/>
  <c r="L112" i="55" s="1"/>
  <c r="F52" i="15" a="1"/>
  <c r="F52" i="15" s="1"/>
  <c r="I52" i="15" s="1"/>
  <c r="J141" i="55" a="1"/>
  <c r="J141" i="55" s="1"/>
  <c r="L141" i="55" s="1"/>
  <c r="J65" i="55" a="1"/>
  <c r="J65" i="55" s="1"/>
  <c r="L65" i="55" s="1"/>
  <c r="J97" i="55" a="1"/>
  <c r="J97" i="55" s="1"/>
  <c r="L97" i="55" s="1"/>
  <c r="J361" i="55" a="1"/>
  <c r="J361" i="55" s="1"/>
  <c r="L361" i="55" s="1"/>
  <c r="J245" i="55" a="1"/>
  <c r="J245" i="55" s="1"/>
  <c r="L245" i="55" s="1"/>
  <c r="J71" i="55" a="1"/>
  <c r="J71" i="55" s="1"/>
  <c r="L71" i="55" s="1"/>
  <c r="J261" i="55" a="1"/>
  <c r="J261" i="55" s="1"/>
  <c r="L261" i="55" s="1"/>
  <c r="L24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189" i="55" a="1"/>
  <c r="J189" i="55" s="1"/>
  <c r="L189" i="55" s="1"/>
  <c r="J21" i="55" a="1"/>
  <c r="J21" i="55" s="1"/>
  <c r="L21" i="55" s="1"/>
  <c r="J121" i="55" a="1"/>
  <c r="J121" i="55" s="1"/>
  <c r="L121" i="55" s="1"/>
  <c r="F54" i="15" a="1"/>
  <c r="F54" i="15" s="1"/>
  <c r="I54" i="15" s="1"/>
  <c r="J300" i="55" a="1"/>
  <c r="J300" i="55" s="1"/>
  <c r="L300" i="55" s="1"/>
  <c r="F57" i="15" a="1"/>
  <c r="F57" i="15" s="1"/>
  <c r="I57" i="15" s="1"/>
  <c r="J183" i="55" a="1"/>
  <c r="J183" i="55" s="1"/>
  <c r="L183" i="55" s="1"/>
  <c r="J214" i="55" a="1"/>
  <c r="J214" i="55" s="1"/>
  <c r="L214" i="55" s="1"/>
  <c r="J403" i="55" a="1"/>
  <c r="J403" i="55" s="1"/>
  <c r="L403" i="55" s="1"/>
  <c r="F50" i="15" a="1"/>
  <c r="F50" i="15" s="1"/>
  <c r="I50" i="15" s="1"/>
  <c r="J99" i="55" a="1"/>
  <c r="J99" i="55" s="1"/>
  <c r="L99" i="55" s="1"/>
  <c r="J151" i="55" a="1"/>
  <c r="J151" i="55" s="1"/>
  <c r="L151" i="55" s="1"/>
  <c r="J246" i="55" a="1"/>
  <c r="J246" i="55" s="1"/>
  <c r="L246" i="55" s="1"/>
  <c r="H26" i="15"/>
  <c r="H27" i="15" s="1"/>
  <c r="H23" i="15"/>
  <c r="G44" i="15"/>
  <c r="F33" i="15"/>
  <c r="F34" i="15" s="1"/>
  <c r="H32" i="15"/>
  <c r="H33" i="15" s="1"/>
  <c r="H17" i="55"/>
  <c r="H18" i="55" s="1"/>
  <c r="G17" i="15"/>
  <c r="E18" i="15"/>
  <c r="G23" i="15"/>
  <c r="G9" i="12"/>
  <c r="G30" i="15"/>
  <c r="H42" i="15"/>
  <c r="F43" i="15"/>
  <c r="G20" i="15"/>
  <c r="H14" i="15"/>
  <c r="H28" i="15"/>
  <c r="G7" i="12"/>
  <c r="H51" i="55" a="1"/>
  <c r="H51" i="55" s="1"/>
  <c r="L51" i="55" s="1"/>
  <c r="H344" i="55" a="1"/>
  <c r="H344" i="55" s="1"/>
  <c r="L344" i="55" s="1"/>
  <c r="J12" i="55" a="1"/>
  <c r="J12" i="55" s="1"/>
  <c r="J17" i="55" s="1"/>
  <c r="J18" i="55" s="1"/>
  <c r="H317" i="55" a="1"/>
  <c r="H317" i="55" s="1"/>
  <c r="L317" i="55" s="1"/>
  <c r="H227" i="55" a="1"/>
  <c r="H227" i="55" s="1"/>
  <c r="L227" i="55" s="1"/>
  <c r="F9" i="70" a="1"/>
  <c r="F9" i="70" s="1"/>
  <c r="G9" i="70" s="1"/>
  <c r="H19" i="55" a="1"/>
  <c r="H19" i="55" s="1"/>
  <c r="H255" i="55" a="1"/>
  <c r="H255" i="55" s="1"/>
  <c r="L255" i="55" s="1"/>
  <c r="J164" i="55" a="1"/>
  <c r="J164" i="55" s="1"/>
  <c r="L164" i="55" s="1"/>
  <c r="J247" i="55" a="1"/>
  <c r="J247" i="55" s="1"/>
  <c r="L247" i="55" s="1"/>
  <c r="J154" i="55" a="1"/>
  <c r="J154" i="55" s="1"/>
  <c r="L154" i="55" s="1"/>
  <c r="J177" i="55" a="1"/>
  <c r="J177" i="55" s="1"/>
  <c r="L177" i="55" s="1"/>
  <c r="J314" i="55" a="1"/>
  <c r="J314" i="55" s="1"/>
  <c r="L314" i="55" s="1"/>
  <c r="J59" i="55" a="1"/>
  <c r="J59" i="55" s="1"/>
  <c r="L59" i="55" s="1"/>
  <c r="J70" i="55" a="1"/>
  <c r="J70" i="55" s="1"/>
  <c r="L70" i="55" s="1"/>
  <c r="J192" i="55" a="1"/>
  <c r="J192" i="55" s="1"/>
  <c r="L192" i="55" s="1"/>
  <c r="L340" i="55" l="1"/>
  <c r="L67" i="55"/>
  <c r="G14" i="12"/>
  <c r="H10" i="12"/>
  <c r="G11" i="12"/>
  <c r="H18" i="12"/>
  <c r="J18" i="12" s="1"/>
  <c r="H17" i="12"/>
  <c r="H20" i="12"/>
  <c r="J20" i="12" s="1"/>
  <c r="G23" i="12"/>
  <c r="G13" i="12"/>
  <c r="G20" i="12"/>
  <c r="H23" i="12"/>
  <c r="H21" i="12"/>
  <c r="H13" i="12"/>
  <c r="H22" i="12"/>
  <c r="J22" i="12" s="1"/>
  <c r="H19" i="12"/>
  <c r="J19" i="12" s="1"/>
  <c r="H12" i="12"/>
  <c r="G16" i="12"/>
  <c r="H15" i="12"/>
  <c r="J15" i="12" s="1"/>
  <c r="H11" i="12"/>
  <c r="G18" i="12"/>
  <c r="G10" i="12"/>
  <c r="G17" i="12"/>
  <c r="H14" i="12"/>
  <c r="J14" i="12" s="1"/>
  <c r="L324" i="55"/>
  <c r="L35" i="55"/>
  <c r="L193" i="55"/>
  <c r="L58" i="55"/>
  <c r="L249" i="55"/>
  <c r="L170" i="55"/>
  <c r="L293" i="55"/>
  <c r="L357" i="55"/>
  <c r="L29" i="55"/>
  <c r="H54" i="70"/>
  <c r="L30" i="55"/>
  <c r="L31" i="55"/>
  <c r="G49" i="70"/>
  <c r="H52" i="70"/>
  <c r="G53" i="70"/>
  <c r="L362" i="55"/>
  <c r="L182" i="55"/>
  <c r="L103" i="55"/>
  <c r="L384" i="55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L37" i="55"/>
  <c r="L400" i="55"/>
  <c r="L56" i="55"/>
  <c r="L100" i="55"/>
  <c r="I10" i="79"/>
  <c r="H10" i="79"/>
  <c r="H11" i="79"/>
  <c r="H41" i="70"/>
  <c r="H39" i="70"/>
  <c r="G42" i="70"/>
  <c r="H42" i="70"/>
  <c r="G39" i="70"/>
  <c r="G41" i="70"/>
  <c r="H43" i="70"/>
  <c r="G40" i="70"/>
  <c r="L272" i="55"/>
  <c r="L53" i="55"/>
  <c r="L136" i="55"/>
  <c r="I8" i="79"/>
  <c r="E28" i="12"/>
  <c r="E29" i="12" s="1"/>
  <c r="L81" i="55"/>
  <c r="L207" i="55"/>
  <c r="H9" i="79"/>
  <c r="H5" i="79"/>
  <c r="L198" i="55"/>
  <c r="L223" i="55"/>
  <c r="L264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22" i="79"/>
  <c r="H4" i="79"/>
  <c r="F22" i="79"/>
  <c r="L128" i="55"/>
  <c r="L84" i="55"/>
  <c r="L398" i="55"/>
  <c r="L364" i="55"/>
  <c r="L381" i="55"/>
  <c r="L75" i="55"/>
  <c r="L213" i="55"/>
  <c r="L194" i="55"/>
  <c r="L360" i="55"/>
  <c r="G25" i="15"/>
  <c r="H25" i="15"/>
  <c r="L119" i="55"/>
  <c r="F28" i="12"/>
  <c r="F29" i="12" s="1"/>
  <c r="L230" i="55"/>
  <c r="L378" i="55"/>
  <c r="L262" i="55"/>
  <c r="L281" i="55"/>
  <c r="L197" i="55"/>
  <c r="L142" i="55"/>
  <c r="G36" i="70"/>
  <c r="L130" i="55"/>
  <c r="L42" i="55"/>
  <c r="L44" i="55"/>
  <c r="L79" i="55"/>
  <c r="L288" i="55"/>
  <c r="L302" i="55"/>
  <c r="L332" i="55"/>
  <c r="L211" i="55"/>
  <c r="L323" i="55"/>
  <c r="L171" i="55"/>
  <c r="L336" i="55"/>
  <c r="L280" i="55"/>
  <c r="L139" i="55"/>
  <c r="L137" i="55"/>
  <c r="L87" i="55"/>
  <c r="L114" i="55"/>
  <c r="L292" i="55"/>
  <c r="L204" i="55"/>
  <c r="L66" i="55"/>
  <c r="L50" i="55"/>
  <c r="L335" i="55"/>
  <c r="L163" i="55"/>
  <c r="L316" i="55"/>
  <c r="L341" i="55"/>
  <c r="L363" i="55"/>
  <c r="L374" i="55"/>
  <c r="L232" i="55"/>
  <c r="L217" i="55"/>
  <c r="L285" i="55"/>
  <c r="L109" i="55"/>
  <c r="L353" i="55"/>
  <c r="L60" i="55"/>
  <c r="L124" i="55"/>
  <c r="L270" i="55"/>
  <c r="L379" i="55"/>
  <c r="L225" i="55"/>
  <c r="L55" i="55"/>
  <c r="L408" i="55"/>
  <c r="L244" i="55"/>
  <c r="L175" i="55"/>
  <c r="L134" i="55"/>
  <c r="L350" i="55"/>
  <c r="L73" i="55"/>
  <c r="L263" i="55"/>
  <c r="L383" i="55"/>
  <c r="L366" i="55"/>
  <c r="L251" i="55"/>
  <c r="L96" i="55"/>
  <c r="L315" i="55"/>
  <c r="L326" i="55"/>
  <c r="L404" i="55"/>
  <c r="L387" i="55"/>
  <c r="L231" i="55"/>
  <c r="L325" i="55"/>
  <c r="L229" i="55"/>
  <c r="L305" i="55"/>
  <c r="L199" i="55"/>
  <c r="L113" i="55"/>
  <c r="L39" i="55"/>
  <c r="L174" i="55"/>
  <c r="L86" i="55"/>
  <c r="L299" i="55"/>
  <c r="L173" i="55"/>
  <c r="L162" i="55"/>
  <c r="L304" i="55"/>
  <c r="L38" i="55"/>
  <c r="L279" i="55"/>
  <c r="L101" i="55"/>
  <c r="L342" i="55"/>
  <c r="L116" i="55"/>
  <c r="L278" i="55"/>
  <c r="L239" i="55"/>
  <c r="L91" i="55"/>
  <c r="L133" i="55"/>
  <c r="L64" i="55"/>
  <c r="L105" i="55"/>
  <c r="L265" i="55"/>
  <c r="L131" i="55"/>
  <c r="L201" i="55"/>
  <c r="L157" i="55"/>
  <c r="L407" i="55"/>
  <c r="L287" i="55"/>
  <c r="L393" i="55"/>
  <c r="L222" i="55"/>
  <c r="L76" i="55"/>
  <c r="L359" i="55"/>
  <c r="L402" i="55"/>
  <c r="L49" i="55"/>
  <c r="L237" i="55"/>
  <c r="L52" i="55"/>
  <c r="L410" i="55"/>
  <c r="L169" i="55"/>
  <c r="L238" i="55"/>
  <c r="L153" i="55"/>
  <c r="L212" i="55"/>
  <c r="L90" i="55"/>
  <c r="L178" i="55"/>
  <c r="L258" i="55"/>
  <c r="L371" i="55"/>
  <c r="L297" i="55"/>
  <c r="L220" i="55"/>
  <c r="L337" i="55"/>
  <c r="L401" i="55"/>
  <c r="L160" i="55"/>
  <c r="L268" i="55"/>
  <c r="L156" i="55"/>
  <c r="L83" i="55"/>
  <c r="L188" i="55"/>
  <c r="H412" i="55"/>
  <c r="H413" i="55" s="1"/>
  <c r="L92" i="55"/>
  <c r="L346" i="55"/>
  <c r="L93" i="55"/>
  <c r="L330" i="55"/>
  <c r="L89" i="55"/>
  <c r="L216" i="55"/>
  <c r="L235" i="55"/>
  <c r="L343" i="55"/>
  <c r="G26" i="70"/>
  <c r="H31" i="70"/>
  <c r="L184" i="55"/>
  <c r="L150" i="55"/>
  <c r="L385" i="55"/>
  <c r="L140" i="55"/>
  <c r="L368" i="55"/>
  <c r="L322" i="55"/>
  <c r="L110" i="55"/>
  <c r="L215" i="55"/>
  <c r="L186" i="55"/>
  <c r="L377" i="55"/>
  <c r="L351" i="55"/>
  <c r="L202" i="55"/>
  <c r="L356" i="55"/>
  <c r="L252" i="55"/>
  <c r="L259" i="55"/>
  <c r="L269" i="55"/>
  <c r="L94" i="55"/>
  <c r="L57" i="55"/>
  <c r="L295" i="55"/>
  <c r="L266" i="55"/>
  <c r="L319" i="55"/>
  <c r="L331" i="55"/>
  <c r="L320" i="55"/>
  <c r="L127" i="55"/>
  <c r="L122" i="55"/>
  <c r="L191" i="55"/>
  <c r="L327" i="55"/>
  <c r="L365" i="55"/>
  <c r="L168" i="55"/>
  <c r="L409" i="55"/>
  <c r="L370" i="55"/>
  <c r="L111" i="55"/>
  <c r="L82" i="55"/>
  <c r="L333" i="55"/>
  <c r="L253" i="55"/>
  <c r="L219" i="55"/>
  <c r="J412" i="55"/>
  <c r="J413" i="55" s="1"/>
  <c r="L19" i="55"/>
  <c r="H33" i="55"/>
  <c r="H34" i="55" s="1"/>
  <c r="H24" i="12"/>
  <c r="J24" i="12" s="1"/>
  <c r="J33" i="55"/>
  <c r="J34" i="55" s="1"/>
  <c r="H25" i="12"/>
  <c r="J25" i="12" s="1"/>
  <c r="G24" i="12"/>
  <c r="G25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72" i="70"/>
  <c r="E73" i="70" s="1"/>
  <c r="G18" i="15"/>
  <c r="G34" i="15"/>
  <c r="G21" i="15"/>
  <c r="F72" i="70"/>
  <c r="F73" i="70" s="1"/>
  <c r="H9" i="70"/>
  <c r="H18" i="15"/>
  <c r="G16" i="15"/>
  <c r="H34" i="15"/>
  <c r="G43" i="15"/>
  <c r="G46" i="15"/>
  <c r="L12" i="55"/>
  <c r="H46" i="15"/>
  <c r="G36" i="15"/>
  <c r="F61" i="15" l="1"/>
  <c r="L17" i="55"/>
  <c r="L18" i="55" s="1"/>
  <c r="G41" i="15"/>
  <c r="G59" i="15" s="1"/>
  <c r="H41" i="15"/>
  <c r="I22" i="79"/>
  <c r="H22" i="79"/>
  <c r="L412" i="55"/>
  <c r="L413" i="55" s="1"/>
  <c r="H28" i="12"/>
  <c r="G28" i="12"/>
  <c r="L33" i="55"/>
  <c r="L34" i="55" s="1"/>
  <c r="G72" i="70"/>
  <c r="H72" i="70"/>
  <c r="H59" i="15" l="1"/>
  <c r="H61" i="15" s="1"/>
  <c r="I23" i="79"/>
  <c r="J23" i="79" s="1"/>
  <c r="A28" i="55"/>
  <c r="A23" i="55"/>
  <c r="A26" i="55"/>
  <c r="A27" i="55"/>
  <c r="A22" i="55"/>
  <c r="A36" i="55" l="1"/>
  <c r="B42" i="55" l="1"/>
  <c r="A42" i="55" l="1"/>
  <c r="B43" i="55"/>
  <c r="B44" i="55" s="1"/>
  <c r="A44" i="55" l="1"/>
  <c r="B45" i="55"/>
  <c r="A43" i="55"/>
  <c r="B46" i="55" l="1"/>
  <c r="A45" i="55"/>
  <c r="A46" i="55" l="1"/>
  <c r="B47" i="55"/>
  <c r="B48" i="55" l="1"/>
  <c r="A47" i="55"/>
  <c r="A48" i="55" l="1"/>
  <c r="B49" i="55"/>
  <c r="B50" i="55" l="1"/>
  <c r="A49" i="55"/>
  <c r="B51" i="55" l="1"/>
  <c r="A50" i="55"/>
  <c r="A51" i="55" l="1"/>
  <c r="B52" i="55"/>
  <c r="A52" i="55" l="1"/>
  <c r="B53" i="55"/>
  <c r="B54" i="55" l="1"/>
  <c r="A53" i="55"/>
  <c r="B55" i="55" l="1"/>
  <c r="B56" i="55" s="1"/>
  <c r="A54" i="55"/>
  <c r="A56" i="55" l="1"/>
  <c r="B57" i="55"/>
  <c r="A55" i="55"/>
  <c r="B58" i="55" l="1"/>
  <c r="A57" i="55"/>
  <c r="B59" i="55" l="1"/>
  <c r="A58" i="55"/>
  <c r="A59" i="55" l="1"/>
  <c r="B60" i="55"/>
  <c r="B61" i="55" l="1"/>
  <c r="A60" i="55"/>
  <c r="A61" i="55" l="1"/>
  <c r="B62" i="55"/>
  <c r="A62" i="55" l="1"/>
  <c r="B63" i="55"/>
  <c r="B64" i="55" l="1"/>
  <c r="A63" i="55"/>
  <c r="B65" i="55" l="1"/>
  <c r="A64" i="55"/>
  <c r="A65" i="55" l="1"/>
  <c r="B66" i="55"/>
  <c r="A66" i="55" l="1"/>
  <c r="B67" i="55"/>
  <c r="B68" i="55" l="1"/>
  <c r="A67" i="55"/>
  <c r="A68" i="55" l="1"/>
  <c r="B69" i="55"/>
  <c r="B409" i="55"/>
  <c r="A409" i="55" s="1"/>
  <c r="A69" i="55" l="1"/>
  <c r="B70" i="55"/>
  <c r="A70" i="55" l="1"/>
  <c r="B71" i="55"/>
  <c r="A71" i="55" l="1"/>
  <c r="B72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A85" i="55"/>
  <c r="B87" i="55" l="1"/>
  <c r="B88" i="55" s="1"/>
  <c r="A86" i="55"/>
  <c r="A88" i="55" l="1"/>
  <c r="B89" i="55"/>
  <c r="A87" i="55"/>
  <c r="B90" i="55" l="1"/>
  <c r="A89" i="55"/>
  <c r="B91" i="55" l="1"/>
  <c r="A90" i="55"/>
  <c r="B92" i="55" l="1"/>
  <c r="A91" i="55"/>
  <c r="A92" i="55" l="1"/>
  <c r="B93" i="55"/>
  <c r="B94" i="55" l="1"/>
  <c r="A93" i="55"/>
  <c r="B95" i="55" l="1"/>
  <c r="A94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B110" i="55" l="1"/>
  <c r="A109" i="55"/>
  <c r="A110" i="55" l="1"/>
  <c r="B111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B120" i="55" l="1"/>
  <c r="A119" i="55"/>
  <c r="A120" i="55" l="1"/>
  <c r="B121" i="55"/>
  <c r="B122" i="55" l="1"/>
  <c r="A121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B130" i="55" l="1"/>
  <c r="A129" i="55"/>
  <c r="B131" i="55" l="1"/>
  <c r="A130" i="55"/>
  <c r="A131" i="55" l="1"/>
  <c r="B132" i="55"/>
  <c r="B133" i="55" l="1"/>
  <c r="A132" i="55"/>
  <c r="B134" i="55" l="1"/>
  <c r="A133" i="55"/>
  <c r="B135" i="55" l="1"/>
  <c r="A134" i="55"/>
  <c r="B136" i="55" l="1"/>
  <c r="A135" i="55"/>
  <c r="A136" i="55" l="1"/>
  <c r="B137" i="55"/>
  <c r="A137" i="55" l="1"/>
  <c r="B138" i="55"/>
  <c r="B139" i="55" l="1"/>
  <c r="B140" i="55" s="1"/>
  <c r="A140" i="55" s="1"/>
  <c r="A138" i="55"/>
  <c r="A139" i="55" l="1"/>
  <c r="B141" i="55"/>
  <c r="B142" i="55" l="1"/>
  <c r="A141" i="55"/>
  <c r="A142" i="55" l="1"/>
  <c r="B143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B150" i="55" l="1"/>
  <c r="A149" i="55"/>
  <c r="B151" i="55" l="1"/>
  <c r="A150" i="55"/>
  <c r="A151" i="55" l="1"/>
  <c r="B152" i="55"/>
  <c r="B153" i="55" l="1"/>
  <c r="A152" i="55"/>
  <c r="B154" i="55" l="1"/>
  <c r="A153" i="55"/>
  <c r="A154" i="55" l="1"/>
  <c r="B155" i="55"/>
  <c r="B156" i="55" l="1"/>
  <c r="A155" i="55"/>
  <c r="B157" i="55" l="1"/>
  <c r="A156" i="55"/>
  <c r="B158" i="55" l="1"/>
  <c r="A157" i="55"/>
  <c r="A158" i="55" l="1"/>
  <c r="B159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B166" i="55" l="1"/>
  <c r="A165" i="55"/>
  <c r="A166" i="55" l="1"/>
  <c r="B167" i="55"/>
  <c r="B168" i="55" l="1"/>
  <c r="A167" i="55"/>
  <c r="B169" i="55" l="1"/>
  <c r="A168" i="55"/>
  <c r="B170" i="55" l="1"/>
  <c r="A169" i="55"/>
  <c r="A170" i="55" l="1"/>
  <c r="B171" i="55"/>
  <c r="B172" i="55" l="1"/>
  <c r="A171" i="55"/>
  <c r="B173" i="55" l="1"/>
  <c r="B174" i="55" s="1"/>
  <c r="A172" i="55"/>
  <c r="A174" i="55" l="1"/>
  <c r="B175" i="55"/>
  <c r="A173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A181" i="55" l="1"/>
  <c r="B182" i="55"/>
  <c r="B183" i="55" l="1"/>
  <c r="A182" i="55"/>
  <c r="A183" i="55" l="1"/>
  <c r="B184" i="55"/>
  <c r="A184" i="55" l="1"/>
  <c r="B185" i="55"/>
  <c r="B186" i="55" l="1"/>
  <c r="A185" i="55"/>
  <c r="A186" i="55" l="1"/>
  <c r="B187" i="55"/>
  <c r="A187" i="55" l="1"/>
  <c r="B188" i="55"/>
  <c r="A188" i="55" l="1"/>
  <c r="B189" i="55"/>
  <c r="B190" i="55" l="1"/>
  <c r="A189" i="55"/>
  <c r="A190" i="55" l="1"/>
  <c r="B191" i="55"/>
  <c r="B192" i="55" l="1"/>
  <c r="A191" i="55"/>
  <c r="A192" i="55" l="1"/>
  <c r="B193" i="55"/>
  <c r="A193" i="55" l="1"/>
  <c r="B194" i="55"/>
  <c r="A194" i="55" l="1"/>
  <c r="B195" i="55"/>
  <c r="B196" i="55" l="1"/>
  <c r="A195" i="55"/>
  <c r="A196" i="55" l="1"/>
  <c r="B197" i="55"/>
  <c r="A197" i="55" l="1"/>
  <c r="B198" i="55"/>
  <c r="A198" i="55" l="1"/>
  <c r="B199" i="55"/>
  <c r="B200" i="55" l="1"/>
  <c r="A199" i="55"/>
  <c r="A200" i="55" l="1"/>
  <c r="B201" i="55"/>
  <c r="B202" i="55" l="1"/>
  <c r="A201" i="55"/>
  <c r="B203" i="55" l="1"/>
  <c r="A202" i="55"/>
  <c r="B204" i="55" l="1"/>
  <c r="A203" i="55"/>
  <c r="B205" i="55" l="1"/>
  <c r="A204" i="55"/>
  <c r="A205" i="55" l="1"/>
  <c r="B206" i="55"/>
  <c r="A206" i="55" l="1"/>
  <c r="B207" i="55"/>
  <c r="A207" i="55" l="1"/>
  <c r="B208" i="55"/>
  <c r="A208" i="55" l="1"/>
  <c r="B209" i="55"/>
  <c r="B210" i="55" l="1"/>
  <c r="A209" i="55"/>
  <c r="A210" i="55" l="1"/>
  <c r="B211" i="55"/>
  <c r="A211" i="55" l="1"/>
  <c r="B212" i="55"/>
  <c r="A212" i="55" l="1"/>
  <c r="B213" i="55"/>
  <c r="B214" i="55" l="1"/>
  <c r="A213" i="55"/>
  <c r="A214" i="55" l="1"/>
  <c r="B215" i="55"/>
  <c r="B216" i="55" l="1"/>
  <c r="A215" i="55"/>
  <c r="B217" i="55" l="1"/>
  <c r="A216" i="55"/>
  <c r="A217" i="55" l="1"/>
  <c r="B218" i="55"/>
  <c r="B219" i="55" l="1"/>
  <c r="A218" i="55"/>
  <c r="B220" i="55" l="1"/>
  <c r="A219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A226" i="55" l="1"/>
  <c r="B227" i="55"/>
  <c r="B228" i="55" l="1"/>
  <c r="A227" i="55"/>
  <c r="B229" i="55" l="1"/>
  <c r="A228" i="55"/>
  <c r="B230" i="55" l="1"/>
  <c r="A229" i="55"/>
  <c r="A230" i="55" l="1"/>
  <c r="B231" i="55"/>
  <c r="A231" i="55" l="1"/>
  <c r="B232" i="55"/>
  <c r="A232" i="55" l="1"/>
  <c r="B233" i="55"/>
  <c r="B234" i="55" l="1"/>
  <c r="A233" i="55"/>
  <c r="B235" i="55" l="1"/>
  <c r="A234" i="55"/>
  <c r="B236" i="55" l="1"/>
  <c r="A235" i="55"/>
  <c r="B237" i="55" l="1"/>
  <c r="A236" i="55"/>
  <c r="B238" i="55" l="1"/>
  <c r="A237" i="55"/>
  <c r="A238" i="55" l="1"/>
  <c r="B239" i="55"/>
  <c r="A239" i="55" l="1"/>
  <c r="B240" i="55"/>
  <c r="A240" i="55" l="1"/>
  <c r="B241" i="55"/>
  <c r="A241" i="55" l="1"/>
  <c r="B242" i="55"/>
  <c r="A242" i="55" l="1"/>
  <c r="B243" i="55"/>
  <c r="B244" i="55" l="1"/>
  <c r="A243" i="55"/>
  <c r="B245" i="55" l="1"/>
  <c r="A244" i="55"/>
  <c r="A245" i="55" l="1"/>
  <c r="B246" i="55"/>
  <c r="B247" i="55" l="1"/>
  <c r="A246" i="55"/>
  <c r="B248" i="55" l="1"/>
  <c r="A247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B255" i="55" l="1"/>
  <c r="A254" i="55"/>
  <c r="A255" i="55" l="1"/>
  <c r="B256" i="55"/>
  <c r="B257" i="55" l="1"/>
  <c r="A256" i="55"/>
  <c r="A257" i="55" l="1"/>
  <c r="B258" i="55"/>
  <c r="A258" i="55" l="1"/>
  <c r="B259" i="55"/>
  <c r="A259" i="55" l="1"/>
  <c r="B260" i="55"/>
  <c r="A260" i="55" l="1"/>
  <c r="B261" i="55"/>
  <c r="A261" i="55" l="1"/>
  <c r="B262" i="55"/>
  <c r="B263" i="55" l="1"/>
  <c r="A262" i="55"/>
  <c r="A263" i="55" l="1"/>
  <c r="B264" i="55"/>
  <c r="A264" i="55" l="1"/>
  <c r="B265" i="55"/>
  <c r="B266" i="55" l="1"/>
  <c r="A265" i="55"/>
  <c r="A266" i="55" l="1"/>
  <c r="B267" i="55"/>
  <c r="B268" i="55" l="1"/>
  <c r="A267" i="55"/>
  <c r="B269" i="55" l="1"/>
  <c r="A268" i="55"/>
  <c r="A269" i="55" l="1"/>
  <c r="B270" i="55"/>
  <c r="B271" i="55" l="1"/>
  <c r="A270" i="55"/>
  <c r="A271" i="55" l="1"/>
  <c r="B272" i="55"/>
  <c r="A272" i="55" l="1"/>
  <c r="B273" i="55"/>
  <c r="B274" i="55" l="1"/>
  <c r="A273" i="55"/>
  <c r="B275" i="55" l="1"/>
  <c r="A274" i="55"/>
  <c r="A275" i="55" l="1"/>
  <c r="B276" i="55"/>
  <c r="B277" i="55" l="1"/>
  <c r="A276" i="55"/>
  <c r="A277" i="55" l="1"/>
  <c r="B278" i="55"/>
  <c r="B279" i="55" l="1"/>
  <c r="A278" i="55"/>
  <c r="B280" i="55" l="1"/>
  <c r="A279" i="55"/>
  <c r="B281" i="55" l="1"/>
  <c r="A280" i="55"/>
  <c r="A281" i="55" l="1"/>
  <c r="B282" i="55"/>
  <c r="B283" i="55" l="1"/>
  <c r="A282" i="55"/>
  <c r="A283" i="55" l="1"/>
  <c r="B284" i="55"/>
  <c r="A284" i="55" l="1"/>
  <c r="B285" i="55"/>
  <c r="B286" i="55" l="1"/>
  <c r="A285" i="55"/>
  <c r="A286" i="55" l="1"/>
  <c r="B287" i="55"/>
  <c r="B288" i="55" l="1"/>
  <c r="A287" i="55"/>
  <c r="B289" i="55" l="1"/>
  <c r="A288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A295" i="55" l="1"/>
  <c r="B296" i="55"/>
  <c r="B297" i="55" l="1"/>
  <c r="A296" i="55"/>
  <c r="A297" i="55" l="1"/>
  <c r="B298" i="55"/>
  <c r="A298" i="55" l="1"/>
  <c r="B299" i="55"/>
  <c r="A299" i="55" l="1"/>
  <c r="B300" i="55"/>
  <c r="A300" i="55" l="1"/>
  <c r="B301" i="55"/>
  <c r="A301" i="55" l="1"/>
  <c r="B302" i="55"/>
  <c r="B303" i="55" l="1"/>
  <c r="A302" i="55"/>
  <c r="A303" i="55" l="1"/>
  <c r="B304" i="55"/>
  <c r="A304" i="55" l="1"/>
  <c r="B305" i="55"/>
  <c r="A305" i="55" l="1"/>
  <c r="B306" i="55"/>
  <c r="A306" i="55" l="1"/>
  <c r="B307" i="55"/>
  <c r="A307" i="55" l="1"/>
  <c r="B308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A318" i="55" l="1"/>
  <c r="B319" i="55"/>
  <c r="A319" i="55" l="1"/>
  <c r="B320" i="55"/>
  <c r="A320" i="55" l="1"/>
  <c r="B321" i="55"/>
  <c r="A321" i="55" l="1"/>
  <c r="B322" i="55"/>
  <c r="B323" i="55" l="1"/>
  <c r="A322" i="55"/>
  <c r="A323" i="55" l="1"/>
  <c r="B324" i="55"/>
  <c r="A324" i="55" l="1"/>
  <c r="B325" i="55"/>
  <c r="A325" i="55" l="1"/>
  <c r="B326" i="55"/>
  <c r="B327" i="55" l="1"/>
  <c r="A326" i="55"/>
  <c r="A327" i="55" l="1"/>
  <c r="B328" i="55"/>
  <c r="A328" i="55" l="1"/>
  <c r="B329" i="55"/>
  <c r="B330" i="55" l="1"/>
  <c r="A329" i="55"/>
  <c r="A330" i="55" l="1"/>
  <c r="B331" i="55"/>
  <c r="A331" i="55" l="1"/>
  <c r="B332" i="55"/>
  <c r="A332" i="55" l="1"/>
  <c r="B333" i="55"/>
  <c r="B334" i="55" l="1"/>
  <c r="A333" i="55"/>
  <c r="A334" i="55" l="1"/>
  <c r="B335" i="55"/>
  <c r="B336" i="55" l="1"/>
  <c r="A335" i="55"/>
  <c r="A336" i="55" l="1"/>
  <c r="B337" i="55"/>
  <c r="B338" i="55" l="1"/>
  <c r="A337" i="55"/>
  <c r="A338" i="55" l="1"/>
  <c r="B339" i="55"/>
  <c r="B340" i="55" l="1"/>
  <c r="A339" i="55"/>
  <c r="B341" i="55" l="1"/>
  <c r="A340" i="55"/>
  <c r="B342" i="55" l="1"/>
  <c r="A341" i="55"/>
  <c r="A342" i="55" l="1"/>
  <c r="B343" i="55"/>
  <c r="B344" i="55" l="1"/>
  <c r="A343" i="55"/>
  <c r="B345" i="55" l="1"/>
  <c r="A344" i="55"/>
  <c r="A345" i="55" l="1"/>
  <c r="B346" i="55"/>
  <c r="B347" i="55" l="1"/>
  <c r="A346" i="55"/>
  <c r="A347" i="55" l="1"/>
  <c r="B348" i="55"/>
  <c r="B349" i="55" l="1"/>
  <c r="A348" i="55"/>
  <c r="B350" i="55" l="1"/>
  <c r="A349" i="55"/>
  <c r="B351" i="55" l="1"/>
  <c r="A350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B358" i="55" l="1"/>
  <c r="A357" i="55"/>
  <c r="A358" i="55" l="1"/>
  <c r="B359" i="55"/>
  <c r="A359" i="55" l="1"/>
  <c r="B360" i="55"/>
  <c r="A360" i="55" l="1"/>
  <c r="B361" i="55"/>
  <c r="A361" i="55" l="1"/>
  <c r="B362" i="55"/>
  <c r="A362" i="55" l="1"/>
  <c r="B363" i="55"/>
  <c r="B364" i="55" l="1"/>
  <c r="A363" i="55"/>
  <c r="A364" i="55" l="1"/>
  <c r="B365" i="55"/>
  <c r="A365" i="55" l="1"/>
  <c r="B366" i="55"/>
  <c r="B367" i="55" l="1"/>
  <c r="A366" i="55"/>
  <c r="B368" i="55" l="1"/>
  <c r="A367" i="55"/>
  <c r="A368" i="55" l="1"/>
  <c r="B369" i="55"/>
  <c r="A369" i="55" l="1"/>
  <c r="B370" i="55"/>
  <c r="A370" i="55" l="1"/>
  <c r="B371" i="55"/>
  <c r="A371" i="55" l="1"/>
  <c r="B372" i="55"/>
  <c r="B373" i="55" l="1"/>
  <c r="A372" i="55"/>
  <c r="B374" i="55" l="1"/>
  <c r="A373" i="55"/>
  <c r="B375" i="55" l="1"/>
  <c r="A374" i="55"/>
  <c r="A375" i="55" l="1"/>
  <c r="B376" i="55"/>
  <c r="A376" i="55" l="1"/>
  <c r="B377" i="55"/>
  <c r="A377" i="55" l="1"/>
  <c r="B378" i="55"/>
  <c r="A378" i="55" l="1"/>
  <c r="B379" i="55"/>
  <c r="A379" i="55" l="1"/>
  <c r="B380" i="55"/>
  <c r="A380" i="55" l="1"/>
  <c r="B381" i="55"/>
  <c r="A381" i="55" l="1"/>
  <c r="B382" i="55"/>
  <c r="B383" i="55" l="1"/>
  <c r="A382" i="55"/>
  <c r="A383" i="55" l="1"/>
  <c r="B384" i="55"/>
  <c r="A384" i="55" l="1"/>
  <c r="B385" i="55"/>
  <c r="B386" i="55" l="1"/>
  <c r="A385" i="55"/>
  <c r="A386" i="55" l="1"/>
  <c r="B387" i="55"/>
  <c r="B388" i="55" l="1"/>
  <c r="A387" i="55"/>
  <c r="A388" i="55" l="1"/>
  <c r="B389" i="55"/>
  <c r="A389" i="55" l="1"/>
  <c r="B390" i="55"/>
  <c r="B391" i="55" l="1"/>
  <c r="A390" i="55"/>
  <c r="A391" i="55" l="1"/>
  <c r="B392" i="55"/>
  <c r="A392" i="55" l="1"/>
  <c r="B393" i="55"/>
  <c r="A393" i="55" l="1"/>
  <c r="B394" i="55"/>
  <c r="B395" i="55" l="1"/>
  <c r="A394" i="55"/>
  <c r="A395" i="55" l="1"/>
  <c r="B396" i="55"/>
  <c r="A396" i="55" l="1"/>
  <c r="B397" i="55"/>
  <c r="A397" i="55" l="1"/>
  <c r="B398" i="55"/>
  <c r="A398" i="55" l="1"/>
  <c r="B399" i="55"/>
  <c r="A399" i="55" l="1"/>
  <c r="B400" i="55"/>
  <c r="A400" i="55" l="1"/>
  <c r="B401" i="55"/>
  <c r="A401" i="55" l="1"/>
  <c r="B402" i="55"/>
  <c r="A402" i="55" l="1"/>
  <c r="B403" i="55"/>
  <c r="A403" i="55" l="1"/>
  <c r="B404" i="55"/>
  <c r="B405" i="55" l="1"/>
  <c r="A404" i="55"/>
  <c r="B406" i="55" l="1"/>
  <c r="A405" i="55"/>
  <c r="B407" i="55" l="1"/>
  <c r="A407" i="55" s="1"/>
  <c r="A406" i="55"/>
</calcChain>
</file>

<file path=xl/sharedStrings.xml><?xml version="1.0" encoding="utf-8"?>
<sst xmlns="http://schemas.openxmlformats.org/spreadsheetml/2006/main" count="23102" uniqueCount="1681">
  <si>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</si>
  <si>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</si>
  <si>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</si>
  <si>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</si>
  <si>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</si>
  <si>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</si>
  <si>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</si>
  <si>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</si>
  <si>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</si>
  <si>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</si>
  <si>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</si>
  <si>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</si>
  <si>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</si>
  <si>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</si>
  <si>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</si>
  <si>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</si>
  <si>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</si>
  <si>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</si>
  <si>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</si>
  <si>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</si>
  <si>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</si>
  <si>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</si>
  <si>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</si>
  <si>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</si>
  <si>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</si>
  <si>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</si>
  <si>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</si>
  <si>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</si>
  <si>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</si>
  <si>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</si>
  <si>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</si>
  <si>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</si>
  <si>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</si>
  <si>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</si>
  <si>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</si>
  <si>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</si>
  <si>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</si>
  <si>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</si>
  <si>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</si>
  <si>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</si>
  <si>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</si>
  <si>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</si>
  <si>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</si>
  <si>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</si>
  <si>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</si>
  <si>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</si>
  <si>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</si>
  <si>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</si>
  <si>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</si>
  <si>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</si>
  <si>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</si>
  <si>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</si>
  <si>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</si>
  <si>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</si>
  <si>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</si>
  <si>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</si>
  <si>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</si>
  <si>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</si>
  <si>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</si>
  <si>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</si>
  <si>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</si>
  <si>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</si>
  <si>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</si>
  <si>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</si>
  <si>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</si>
  <si>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</si>
  <si>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</si>
  <si>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</si>
  <si>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</si>
  <si>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</si>
  <si>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</si>
  <si>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</si>
  <si>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</si>
  <si>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</si>
  <si>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</si>
  <si>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</si>
  <si>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</si>
  <si>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</si>
  <si>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</si>
  <si>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</si>
  <si>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</si>
  <si>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</si>
  <si>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</si>
  <si>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</si>
  <si>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</si>
  <si>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</si>
  <si>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</si>
  <si>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</si>
  <si>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</si>
  <si>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</si>
  <si>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</si>
  <si>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</si>
  <si>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</si>
  <si>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</si>
  <si>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</si>
  <si>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</si>
  <si>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</si>
  <si>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</si>
  <si>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</si>
  <si>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</si>
  <si>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</si>
  <si>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</si>
  <si>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</si>
  <si>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</si>
  <si>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</si>
  <si>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</si>
  <si>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</si>
  <si>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</si>
  <si>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</si>
  <si>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</si>
  <si>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</si>
  <si>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</si>
  <si>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</si>
  <si>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</si>
  <si>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</si>
  <si>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</si>
  <si>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</si>
  <si>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</si>
  <si>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</si>
  <si>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</si>
  <si>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</si>
  <si>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</si>
  <si>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</si>
  <si>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</si>
  <si>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</si>
  <si>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</si>
  <si>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</si>
  <si>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</si>
  <si>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</si>
  <si>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</si>
  <si>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</si>
  <si>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</si>
  <si>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</si>
  <si>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</si>
  <si>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</si>
  <si>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</si>
  <si>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</si>
  <si>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</si>
  <si>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</si>
  <si>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</si>
  <si>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</si>
  <si>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</si>
  <si>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</si>
  <si>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</si>
  <si>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</si>
  <si>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</si>
  <si>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</si>
  <si>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</si>
  <si>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</si>
  <si>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</si>
  <si>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</si>
  <si>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</si>
  <si>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</si>
  <si>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</si>
  <si>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</si>
  <si>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</si>
  <si>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</si>
  <si>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</si>
  <si>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</si>
  <si>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</si>
  <si>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</si>
  <si>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</si>
  <si>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</si>
  <si>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</si>
  <si>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</si>
  <si>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</si>
  <si>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</si>
  <si>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</si>
  <si>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</si>
  <si>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</si>
  <si>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</si>
  <si>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</si>
  <si>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</si>
  <si>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</si>
  <si>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</si>
  <si>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</si>
  <si>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</si>
  <si>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</si>
  <si>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</si>
  <si>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</si>
  <si>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</si>
  <si>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</si>
  <si>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</si>
  <si>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</si>
  <si>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</si>
  <si>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</si>
  <si>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</si>
  <si>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</si>
  <si>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</si>
  <si>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</si>
  <si>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</si>
  <si>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</si>
  <si>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</si>
  <si>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</si>
  <si>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</si>
  <si>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</si>
  <si>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</si>
  <si>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</si>
  <si>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</si>
  <si>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</si>
  <si>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</si>
  <si>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</si>
  <si>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</si>
  <si>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</si>
  <si>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</si>
  <si>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</si>
  <si>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</si>
  <si>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</si>
  <si>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</si>
  <si>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</si>
  <si>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</si>
  <si>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</si>
  <si>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</si>
  <si>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</si>
  <si>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</si>
  <si>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</si>
  <si>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</si>
  <si>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</si>
  <si>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</si>
  <si>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</si>
  <si>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</si>
  <si>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</si>
  <si>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</si>
  <si>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</si>
  <si>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</si>
  <si>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</si>
  <si>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</si>
  <si>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</si>
  <si>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</si>
  <si>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</si>
  <si>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</si>
  <si>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</si>
  <si>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</si>
  <si>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</si>
  <si>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</si>
  <si>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</si>
  <si>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</si>
  <si>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</si>
  <si>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</si>
  <si>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</si>
  <si>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</si>
  <si>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</si>
  <si>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</si>
  <si>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</si>
  <si>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</si>
  <si>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</si>
  <si>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</si>
  <si>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</si>
  <si>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</si>
  <si>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</si>
  <si>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</si>
  <si>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</si>
  <si>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</si>
  <si>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</si>
  <si>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</si>
  <si>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</si>
  <si>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</si>
  <si>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</si>
  <si>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</si>
  <si>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</si>
  <si>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</si>
  <si>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</si>
  <si>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</si>
  <si>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</si>
  <si>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</si>
  <si>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</si>
  <si>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</si>
  <si>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</si>
  <si>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</si>
  <si>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</si>
  <si>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</si>
  <si>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</si>
  <si>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</si>
  <si>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</si>
  <si>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</si>
  <si>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</si>
  <si>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</si>
  <si>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</si>
  <si>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</si>
  <si>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</si>
  <si>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</si>
  <si>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</si>
  <si>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</si>
  <si>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</si>
  <si>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</si>
  <si>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</si>
  <si>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</si>
  <si>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</si>
  <si>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</si>
  <si>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</si>
  <si>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</si>
  <si>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</si>
  <si>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</si>
  <si>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</si>
  <si>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</si>
  <si>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</si>
  <si>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</si>
  <si>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</si>
  <si>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</si>
  <si>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</si>
  <si>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</si>
  <si>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</si>
  <si>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</si>
  <si>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</si>
  <si>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</si>
  <si>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</si>
  <si>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</si>
  <si>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</si>
  <si>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</si>
  <si>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</si>
  <si>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</si>
  <si>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</si>
  <si>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</si>
  <si>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</si>
  <si>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</si>
  <si>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</si>
  <si>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</si>
  <si>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</si>
  <si>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</si>
  <si>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</si>
  <si>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</si>
  <si>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</si>
  <si>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</si>
  <si>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</si>
  <si>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</si>
  <si>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</si>
  <si>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</si>
  <si>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</si>
  <si>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</si>
  <si>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</si>
  <si>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</si>
  <si>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</si>
  <si>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</si>
  <si>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</si>
  <si>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</si>
  <si>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</si>
  <si>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</si>
  <si>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</si>
  <si>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</si>
  <si>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</si>
  <si>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</si>
  <si>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</si>
  <si>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</si>
  <si>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</si>
  <si>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</si>
  <si>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</si>
  <si>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</si>
  <si>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</si>
  <si>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</si>
  <si>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</si>
  <si>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</si>
  <si>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</si>
  <si>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</si>
  <si>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</si>
  <si>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</si>
  <si>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</si>
  <si>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</si>
  <si>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</si>
  <si>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</si>
  <si>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</si>
  <si>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</si>
  <si>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</si>
  <si>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</si>
  <si>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</si>
  <si>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</si>
  <si>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</si>
  <si>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</si>
  <si>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</si>
  <si>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</si>
  <si>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</si>
  <si>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</si>
  <si>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</si>
  <si>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</si>
  <si>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</si>
  <si>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</si>
  <si>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</si>
  <si>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</si>
  <si>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</si>
  <si>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</si>
  <si>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</si>
  <si>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</si>
  <si>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</si>
  <si>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Đơn vị: CÔNG TY TNHH SX TM KIM DUNG PHÁT</t>
  </si>
  <si>
    <t>Địa chỉ: 1A227/1 Ấp 1, Phạm Văn Hai, Bình Chánh, TPHCM</t>
  </si>
  <si>
    <t>K/C lãi ( lỗ ) SXKD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</si>
  <si>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</si>
  <si>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</si>
  <si>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</si>
  <si>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</si>
  <si>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</si>
  <si>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</si>
  <si>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</si>
  <si>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</si>
  <si>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</si>
  <si>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</si>
  <si>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</si>
  <si>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</si>
  <si>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</si>
  <si>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</si>
  <si>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</si>
  <si>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</si>
  <si>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</si>
  <si>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</si>
  <si>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</si>
  <si>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</si>
  <si>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</si>
  <si>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</si>
  <si>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</si>
  <si>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</si>
  <si>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</si>
  <si>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</si>
  <si>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</si>
  <si>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</si>
  <si>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</si>
  <si>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</si>
  <si>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</si>
  <si>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</si>
  <si>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</si>
  <si>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</si>
  <si>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</si>
  <si>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</si>
  <si>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</si>
  <si>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</si>
  <si>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</si>
  <si>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</si>
  <si>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</si>
  <si>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</si>
  <si>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</si>
  <si>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</si>
  <si>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</si>
  <si>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</si>
  <si>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</si>
  <si>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</si>
  <si>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</si>
  <si>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</si>
  <si>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</si>
  <si>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</si>
  <si>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</si>
  <si>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</si>
  <si>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</si>
  <si>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</si>
  <si>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</si>
  <si>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</si>
  <si>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</si>
  <si>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</si>
  <si>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</si>
  <si>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</si>
  <si>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</si>
  <si>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</si>
  <si>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</si>
  <si>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</si>
  <si>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</si>
  <si>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</si>
  <si>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</si>
  <si>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</si>
  <si>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</si>
  <si>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</si>
  <si>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</si>
  <si>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</si>
  <si>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</si>
  <si>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</si>
  <si>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</si>
  <si>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</si>
  <si>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</si>
  <si>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</si>
  <si>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</si>
  <si>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</si>
  <si>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</si>
  <si>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</si>
  <si>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</si>
  <si>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</si>
  <si>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</si>
  <si>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</si>
  <si>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</si>
  <si>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</si>
  <si>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</si>
  <si>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</si>
  <si>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</si>
  <si>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</si>
  <si>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</si>
  <si>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</si>
  <si>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</si>
  <si>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</si>
  <si>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</si>
  <si>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</si>
  <si>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</si>
  <si>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</si>
  <si>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</si>
  <si>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</si>
  <si>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</si>
  <si>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</si>
  <si>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</si>
  <si>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</si>
  <si>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</si>
  <si>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</si>
  <si>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</si>
  <si>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</si>
  <si>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</si>
  <si>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</si>
  <si>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</si>
  <si>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</si>
  <si>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</si>
  <si>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</si>
  <si>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</si>
  <si>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</si>
  <si>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</si>
  <si>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</si>
  <si>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</si>
  <si>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</si>
  <si>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</si>
  <si>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</si>
  <si>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</si>
  <si>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</si>
  <si>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</si>
  <si>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</si>
  <si>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</si>
  <si>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</si>
  <si>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</si>
  <si>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</si>
  <si>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</si>
  <si>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</si>
  <si>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</si>
  <si>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</si>
  <si>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</si>
  <si>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</si>
  <si>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</si>
  <si>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</si>
  <si>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</si>
  <si>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</si>
  <si>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</si>
  <si>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</si>
  <si>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</si>
  <si>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</si>
  <si>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</si>
  <si>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</si>
  <si>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</si>
  <si>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</si>
  <si>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</si>
  <si>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</si>
  <si>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</si>
  <si>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</si>
  <si>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</si>
  <si>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</si>
  <si>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</si>
  <si>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</si>
  <si>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</si>
  <si>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</si>
  <si>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</si>
  <si>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</si>
  <si>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</si>
  <si>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</si>
  <si>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</si>
  <si>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</si>
  <si>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</si>
  <si>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</si>
  <si>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</si>
  <si>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</si>
  <si>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</si>
  <si>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</si>
  <si>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</si>
  <si>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</si>
  <si>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</si>
  <si>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</si>
  <si>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</si>
  <si>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</si>
  <si>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</si>
  <si>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</si>
  <si>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</si>
  <si>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</si>
  <si>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</si>
  <si>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</si>
  <si>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</si>
  <si>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</si>
  <si>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</si>
  <si>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</si>
  <si>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</si>
  <si>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</si>
  <si>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</si>
  <si>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</si>
  <si>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</si>
  <si>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</si>
  <si>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</si>
  <si>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</si>
  <si>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</si>
  <si>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</si>
  <si>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</si>
  <si>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</si>
  <si>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</si>
  <si>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</si>
  <si>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</si>
  <si>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</si>
  <si>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</si>
  <si>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</si>
  <si>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</si>
  <si>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</si>
  <si>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</si>
  <si>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</si>
  <si>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</si>
  <si>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</si>
  <si>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</si>
  <si>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</si>
  <si>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</si>
  <si>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</si>
  <si>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</si>
  <si>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</si>
  <si>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</si>
  <si>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</si>
  <si>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</si>
  <si>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</si>
  <si>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</si>
  <si>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</si>
  <si>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</si>
  <si>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</si>
  <si>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</si>
  <si>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</si>
  <si>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</si>
  <si>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</si>
  <si>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</si>
  <si>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</si>
  <si>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</si>
  <si>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</si>
  <si>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</si>
  <si>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</si>
  <si>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</si>
  <si>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</si>
  <si>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</si>
  <si>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</si>
  <si>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</si>
  <si>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</si>
  <si>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</si>
  <si>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</si>
  <si>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</si>
  <si>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</si>
  <si>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</si>
  <si>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</si>
  <si>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</si>
  <si>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</si>
  <si>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</si>
  <si>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</si>
  <si>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</si>
  <si>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</si>
  <si>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</si>
  <si>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</si>
  <si>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</si>
  <si>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</si>
  <si>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</si>
  <si>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</si>
  <si>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</si>
  <si>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</si>
  <si>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</si>
  <si>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</si>
  <si>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</si>
  <si>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</si>
  <si>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</si>
  <si>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</si>
  <si>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</si>
  <si>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</si>
  <si>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</si>
  <si>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</si>
  <si>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</si>
  <si>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</si>
  <si>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</si>
  <si>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</si>
  <si>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</si>
  <si>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</si>
  <si>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</si>
  <si>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</si>
  <si>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</si>
  <si>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</si>
  <si>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</si>
  <si>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</si>
  <si>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</si>
  <si>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</si>
  <si>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</si>
  <si>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</si>
  <si>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</si>
  <si>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</si>
  <si>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</si>
  <si>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</si>
  <si>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</si>
  <si>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</si>
  <si>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</si>
  <si>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</si>
  <si>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</si>
  <si>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</si>
  <si>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</si>
  <si>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</si>
  <si>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</si>
  <si>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</si>
  <si>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</si>
  <si>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</si>
  <si>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</si>
  <si>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</si>
  <si>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</si>
  <si>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</si>
  <si>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</si>
  <si>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</si>
  <si>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</si>
  <si>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</si>
  <si>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</si>
  <si>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</si>
  <si>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</si>
  <si>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</si>
  <si>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</si>
  <si>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</si>
  <si>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</si>
  <si>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</si>
  <si>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</si>
  <si>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</si>
  <si>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</si>
  <si>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</si>
  <si>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</si>
  <si>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</si>
  <si>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</si>
  <si>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</si>
  <si>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</si>
  <si>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</si>
  <si>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</si>
  <si>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</si>
  <si>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</si>
  <si>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</si>
  <si>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</si>
  <si>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</si>
  <si>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</si>
  <si>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</si>
  <si>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</si>
  <si>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</si>
  <si>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</si>
  <si>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</si>
  <si>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</si>
  <si>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</si>
  <si>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</si>
  <si>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</si>
  <si>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</si>
  <si>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</si>
  <si>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</si>
  <si>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</si>
  <si>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</si>
  <si>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</si>
  <si>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</si>
  <si>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</si>
  <si>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</si>
  <si>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</si>
  <si>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</si>
  <si>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</si>
  <si>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</si>
  <si>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</si>
  <si>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</si>
  <si>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</si>
  <si>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</si>
  <si>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</si>
  <si>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</si>
  <si>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</si>
  <si>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</si>
  <si>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</si>
  <si>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</si>
  <si>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</si>
  <si>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</si>
  <si>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</si>
  <si>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</si>
  <si>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</si>
  <si>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</si>
  <si>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</si>
  <si>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</si>
  <si>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</si>
  <si>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</si>
  <si>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</si>
  <si>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</si>
  <si>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</si>
  <si>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</si>
  <si>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</si>
  <si>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</si>
  <si>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</si>
  <si>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</si>
  <si>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</si>
  <si>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</si>
  <si>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</si>
  <si>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</si>
  <si>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</si>
  <si>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</si>
  <si>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</si>
  <si>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</si>
  <si>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</si>
  <si>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</si>
  <si>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</si>
  <si>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</si>
  <si>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</si>
  <si>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</si>
  <si>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</si>
  <si>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</si>
  <si>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</si>
  <si>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</si>
  <si>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</si>
  <si>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</si>
  <si>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</si>
  <si>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</si>
  <si>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</si>
  <si>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</si>
  <si>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</si>
  <si>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</si>
  <si>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</si>
  <si>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</si>
  <si>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</si>
  <si>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</si>
  <si>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</si>
  <si>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</si>
  <si>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</si>
  <si>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</si>
  <si>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</si>
  <si>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</si>
  <si>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</si>
  <si>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</si>
  <si>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</si>
  <si>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</si>
  <si>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</si>
  <si>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</si>
  <si>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</si>
  <si>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</si>
  <si>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</si>
  <si>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</si>
  <si>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</si>
  <si>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</si>
  <si>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</si>
  <si>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</si>
  <si>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</si>
  <si>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</si>
  <si>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</si>
  <si>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</si>
  <si>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</si>
  <si>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</si>
  <si>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</si>
  <si>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</si>
  <si>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</si>
  <si>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</si>
  <si>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</si>
  <si>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</si>
  <si>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</si>
  <si>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</si>
  <si>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</si>
  <si>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</si>
  <si>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</si>
  <si>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</si>
  <si>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</si>
  <si>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</si>
  <si>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</si>
  <si>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</si>
  <si>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</si>
  <si>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</si>
  <si>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</si>
  <si>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</si>
  <si>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</si>
  <si>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</si>
  <si>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</si>
  <si>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</si>
  <si>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</si>
  <si>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</si>
  <si>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</si>
  <si>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</si>
  <si>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</si>
  <si>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</si>
  <si>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</si>
  <si>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</si>
  <si>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</si>
  <si>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</si>
  <si>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</si>
  <si>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</si>
  <si>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</si>
  <si>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</si>
  <si>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</si>
  <si>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</si>
  <si>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</si>
  <si>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</si>
  <si>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</si>
  <si>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</si>
  <si>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</si>
  <si>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</si>
  <si>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</si>
  <si>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</si>
  <si>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</si>
  <si>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</si>
  <si>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</si>
  <si>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</si>
  <si>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</si>
  <si>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</si>
  <si>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</si>
  <si>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</si>
  <si>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</si>
  <si>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</si>
  <si>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</si>
  <si>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</si>
  <si>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</si>
  <si>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</si>
  <si>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</si>
  <si>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</si>
  <si>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</si>
  <si>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</si>
  <si>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</si>
  <si>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</si>
  <si>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</si>
  <si>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</si>
  <si>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</si>
  <si>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</si>
  <si>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</si>
  <si>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</si>
  <si>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</si>
  <si>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</si>
  <si>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</si>
  <si>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</si>
  <si>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</si>
  <si>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</si>
  <si>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</si>
  <si>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</si>
  <si>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</si>
  <si>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</si>
  <si>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</si>
  <si>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</si>
  <si>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</si>
  <si>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</si>
  <si>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</si>
  <si>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</si>
  <si>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</si>
  <si>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</si>
  <si>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</si>
  <si>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</si>
  <si>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</si>
  <si>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</si>
  <si>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</si>
  <si>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</si>
  <si>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</si>
  <si>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</si>
  <si>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</si>
  <si>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</si>
  <si>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</si>
  <si>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</si>
  <si>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</si>
  <si>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</si>
  <si>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</si>
  <si>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</si>
  <si>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</si>
  <si>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</si>
  <si>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</si>
  <si>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</si>
  <si>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</si>
  <si>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</si>
  <si>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</si>
  <si>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</si>
  <si>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</si>
  <si>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</si>
  <si>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</si>
  <si>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</si>
  <si>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</si>
  <si>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</si>
  <si>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</si>
  <si>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</si>
  <si>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</si>
  <si>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</si>
  <si>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</si>
  <si>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</si>
  <si>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</si>
  <si>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</si>
  <si>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</si>
  <si>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</si>
  <si>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</si>
  <si>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</si>
  <si>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</si>
  <si>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</si>
  <si>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</si>
  <si>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</si>
  <si>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</si>
  <si>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</si>
  <si>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</si>
  <si>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</si>
  <si>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</si>
  <si>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</si>
  <si>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</si>
  <si>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</si>
  <si>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</si>
  <si>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</si>
  <si>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</si>
  <si>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</si>
  <si>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</si>
  <si>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</si>
  <si>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</si>
  <si>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</si>
  <si>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</si>
  <si>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</si>
  <si>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</si>
  <si>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</si>
  <si>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</si>
  <si>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</si>
  <si>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</si>
  <si>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</si>
  <si>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</si>
  <si>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</si>
  <si>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</si>
  <si>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</si>
  <si>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</si>
  <si>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</si>
  <si>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</si>
  <si>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</si>
  <si>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</si>
  <si>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</si>
  <si>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</si>
  <si>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</si>
  <si>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</si>
  <si>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</si>
  <si>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</si>
  <si>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</si>
  <si>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</si>
  <si>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</si>
  <si>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</si>
  <si>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</si>
  <si>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</si>
  <si>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</si>
  <si>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</si>
  <si>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</si>
  <si>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</si>
  <si>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</si>
  <si>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</si>
  <si>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</si>
  <si>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</si>
  <si>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</si>
  <si>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</si>
  <si>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</si>
  <si>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</si>
  <si>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</si>
  <si>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</si>
  <si>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</si>
  <si>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</si>
  <si>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</si>
  <si>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</si>
  <si>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</si>
  <si>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</si>
  <si>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</si>
  <si>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</si>
  <si>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</si>
  <si>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</si>
  <si>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</si>
  <si>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</si>
  <si>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</si>
  <si>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</si>
  <si>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</si>
  <si>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</si>
  <si>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</si>
  <si>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</si>
  <si>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</si>
  <si>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</si>
  <si>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</si>
  <si>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</si>
  <si>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</si>
  <si>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</si>
  <si>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</si>
  <si>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</si>
  <si>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</si>
  <si>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</si>
  <si>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</si>
  <si>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</si>
  <si>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</si>
  <si>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</si>
  <si>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</si>
  <si>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</si>
  <si>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</si>
  <si>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</si>
  <si>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</si>
  <si>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</si>
  <si>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</si>
  <si>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</si>
  <si>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</si>
  <si>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</si>
  <si>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</si>
  <si>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</si>
  <si>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</si>
  <si>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</si>
  <si>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</si>
  <si>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</si>
  <si>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</si>
  <si>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</si>
  <si>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</si>
  <si>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</si>
  <si>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</si>
  <si>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</si>
  <si>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</si>
  <si>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</si>
  <si>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</si>
  <si>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</si>
  <si>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</si>
  <si>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</si>
  <si>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</si>
  <si>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</si>
  <si>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</si>
  <si>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</si>
  <si>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</si>
  <si>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</si>
  <si>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</si>
  <si>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</si>
  <si>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</si>
  <si>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</si>
  <si>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</si>
  <si>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</si>
  <si>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</si>
  <si>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</si>
  <si>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</si>
  <si>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</si>
  <si>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</si>
  <si>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</si>
  <si>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</si>
  <si>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</si>
  <si>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</si>
  <si>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</si>
  <si>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</si>
  <si>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</si>
  <si>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</si>
  <si>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</si>
  <si>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</si>
  <si>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</si>
  <si>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</si>
  <si>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</si>
  <si>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</si>
  <si>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</si>
  <si>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</si>
  <si>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</si>
  <si>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</si>
  <si>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</si>
  <si>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</si>
  <si>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</si>
  <si>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</si>
  <si>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</si>
  <si>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</si>
  <si>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</si>
  <si>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</si>
  <si>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</si>
  <si>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</si>
  <si>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</si>
  <si>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</si>
  <si>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</si>
  <si>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</si>
  <si>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</si>
  <si>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</si>
  <si>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</si>
  <si>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</si>
  <si>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</si>
  <si>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</si>
  <si>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</si>
  <si>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</si>
  <si>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</si>
  <si>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</si>
  <si>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</si>
  <si>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</si>
  <si>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</si>
  <si>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</si>
  <si>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</si>
  <si>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</si>
  <si>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</si>
  <si>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</si>
  <si>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</si>
  <si>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</si>
  <si>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</si>
  <si>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</si>
  <si>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</si>
  <si>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</si>
  <si>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</si>
  <si>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</si>
  <si>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</si>
  <si>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</si>
  <si>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</si>
  <si>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</si>
  <si>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</si>
  <si>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</si>
  <si>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</si>
  <si>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</si>
  <si>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</si>
  <si>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</si>
  <si>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</si>
  <si>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</si>
  <si>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</si>
  <si>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</si>
  <si>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</si>
  <si>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</si>
  <si>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</si>
  <si>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</si>
  <si>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</si>
  <si>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</si>
  <si>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</si>
  <si>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</si>
  <si>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</si>
  <si>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</si>
  <si>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</si>
  <si>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</si>
  <si>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</si>
  <si>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</si>
  <si>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</si>
  <si>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</si>
  <si>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</si>
  <si>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</si>
  <si>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</si>
  <si>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</si>
  <si>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</si>
  <si>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</si>
  <si>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</si>
  <si>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</si>
  <si>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</si>
  <si>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</si>
  <si>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</si>
  <si>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</si>
  <si>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</si>
  <si>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</si>
  <si>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</si>
  <si>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</si>
  <si>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</si>
  <si>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</si>
  <si>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</si>
  <si>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</si>
  <si>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</si>
  <si>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</si>
  <si>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</si>
  <si>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</si>
  <si>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</si>
  <si>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</si>
  <si>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</si>
  <si>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</si>
  <si>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</si>
  <si>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</si>
  <si>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</si>
  <si>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</si>
  <si>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</si>
  <si>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</si>
  <si>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</si>
  <si>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</si>
  <si>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</si>
  <si>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</si>
  <si>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</si>
  <si>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</si>
  <si>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</si>
  <si>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</si>
  <si>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</si>
  <si>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</si>
  <si>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</si>
  <si>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</si>
  <si>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</si>
  <si>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</si>
  <si>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</si>
  <si>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</si>
  <si>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</si>
  <si>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</si>
  <si>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</si>
  <si>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</si>
  <si>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</si>
  <si>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</si>
  <si>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</si>
  <si>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</si>
  <si>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</si>
  <si>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</si>
  <si>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</si>
  <si>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</si>
  <si>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</si>
  <si>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</si>
  <si>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</si>
  <si>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</si>
  <si>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</si>
  <si>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</si>
  <si>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</si>
  <si>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</si>
  <si>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</si>
  <si>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</si>
  <si>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</si>
  <si>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</si>
  <si>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</si>
  <si>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</si>
  <si>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</si>
  <si>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</si>
  <si>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</si>
  <si>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</si>
  <si>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</si>
  <si>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</si>
  <si>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</si>
  <si>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</si>
  <si>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</si>
  <si>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</si>
  <si>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</si>
  <si>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</si>
  <si>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</si>
  <si>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</si>
  <si>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</si>
  <si>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</si>
  <si>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</si>
  <si>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</si>
  <si>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</si>
  <si>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</si>
  <si>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</si>
  <si>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</si>
  <si>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</si>
  <si>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</si>
  <si>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</si>
  <si>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</si>
  <si>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</si>
  <si>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</si>
  <si>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</si>
  <si>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</si>
  <si>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</si>
  <si>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</si>
  <si>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</si>
  <si>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</si>
  <si>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</si>
  <si>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</si>
  <si>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</si>
  <si>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</si>
  <si>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</si>
  <si>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</si>
  <si>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</si>
  <si>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</si>
  <si>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</si>
  <si>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</si>
  <si>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</si>
  <si>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</si>
  <si>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</si>
  <si>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</si>
  <si>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</si>
  <si>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</si>
  <si>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</si>
  <si>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</si>
  <si>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</si>
  <si>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</si>
  <si>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</si>
  <si>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</si>
  <si>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</si>
  <si>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</si>
  <si>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</si>
  <si>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</si>
  <si>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</si>
  <si>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</si>
  <si>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</si>
  <si>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</si>
  <si>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</si>
  <si>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</si>
  <si>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</si>
  <si>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</si>
  <si>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</si>
  <si>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</si>
  <si>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</si>
  <si>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</si>
  <si>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</si>
  <si>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</si>
  <si>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</si>
  <si>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</si>
  <si>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</si>
  <si>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</si>
  <si>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</si>
  <si>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</si>
  <si>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</si>
  <si>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</si>
  <si>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</si>
  <si>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</si>
  <si>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</si>
  <si>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</si>
  <si>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</si>
  <si>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</si>
  <si>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</si>
  <si>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</si>
  <si>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</si>
  <si>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</si>
  <si>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</si>
  <si>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</si>
  <si>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</si>
  <si>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</si>
  <si>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</si>
  <si>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</si>
  <si>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</si>
  <si>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</si>
  <si>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</si>
  <si>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</si>
  <si>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</si>
  <si>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</si>
  <si>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</si>
  <si>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</si>
  <si>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</si>
  <si>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</si>
  <si>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</si>
  <si>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</si>
  <si>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</si>
  <si>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</si>
  <si>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</si>
  <si>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</si>
  <si>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</si>
  <si>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</si>
  <si>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</si>
  <si>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</si>
  <si>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</si>
  <si>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</si>
  <si>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</si>
  <si>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</si>
  <si>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</si>
  <si>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</si>
  <si>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</si>
  <si>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</si>
  <si>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</si>
  <si>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</si>
  <si>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</si>
  <si>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</si>
  <si>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</si>
  <si>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</si>
  <si>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</si>
  <si>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</si>
  <si>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</si>
  <si>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</si>
  <si>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</si>
  <si>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</si>
  <si>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</si>
  <si>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</si>
  <si>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</si>
  <si>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</si>
  <si>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</si>
  <si>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</si>
  <si>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</si>
  <si>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</si>
  <si>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</si>
  <si>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</si>
  <si>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</si>
  <si>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</si>
  <si>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</si>
  <si>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</si>
  <si>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</si>
  <si>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</si>
  <si>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</si>
  <si>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</si>
  <si>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</si>
  <si>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</si>
  <si>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</si>
  <si>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</si>
  <si>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</si>
  <si>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</si>
  <si>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</si>
  <si>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</si>
  <si>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</si>
  <si>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</si>
  <si>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</si>
  <si>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</si>
  <si>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</si>
  <si>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</si>
  <si>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</si>
  <si>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</si>
  <si>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</si>
  <si>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</si>
  <si>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</si>
  <si>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</si>
  <si>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</si>
  <si>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</si>
  <si>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</si>
  <si>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</si>
  <si>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</si>
  <si>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</si>
  <si>
    <t>Cty TNHH TMDV Trúc Thanh Giang</t>
  </si>
  <si>
    <t>Cty TNHH Giấy - VPP Thành Công</t>
  </si>
  <si>
    <t>Cty TNHH MTV Tân Đức Thọ</t>
  </si>
  <si>
    <t>Cty CP Giấy Ánh Sáng</t>
  </si>
  <si>
    <t>Cty TNHH Mua Bán SX Giấy Tân Nhật Dũng</t>
  </si>
  <si>
    <t>Cty TNHH SX-TM Vĩnh Phúc</t>
  </si>
  <si>
    <t>Cty Giấy &amp; Bao Bì Đồng Tiến -CN Bình Dương</t>
  </si>
  <si>
    <t>Cty TNHH Giấy Minh Đạt</t>
  </si>
  <si>
    <t>tấm</t>
  </si>
  <si>
    <t>cái</t>
  </si>
  <si>
    <t>KU 1903LDS201600757</t>
  </si>
  <si>
    <t>Đinh Văn Tin</t>
  </si>
  <si>
    <t>Phí dịch vụ SMS</t>
  </si>
  <si>
    <t>VAT Phí dịch vụ SMS</t>
  </si>
  <si>
    <t>Trả nợ vay</t>
  </si>
  <si>
    <t>KU 1903LDS201600742</t>
  </si>
  <si>
    <t>KU 1903LDS201600807</t>
  </si>
  <si>
    <t>Phí chuyển sớm</t>
  </si>
  <si>
    <t>VAT Phí chuyển sớm</t>
  </si>
  <si>
    <t>Quý IV</t>
  </si>
  <si>
    <t>0000583</t>
  </si>
  <si>
    <t>Cty TNHH Hải Sản An Lạc</t>
  </si>
  <si>
    <t>Thu tiển hàng</t>
  </si>
  <si>
    <t>Thùng (50x29.5x19)</t>
  </si>
  <si>
    <t>0000584</t>
  </si>
  <si>
    <t>0000585</t>
  </si>
  <si>
    <t>0000586</t>
  </si>
  <si>
    <t>0000588</t>
  </si>
  <si>
    <t>0000590</t>
  </si>
  <si>
    <t>0000591</t>
  </si>
  <si>
    <t>Thùng (68x35x18)</t>
  </si>
  <si>
    <t>Thùng (56x42x9.5)</t>
  </si>
  <si>
    <t>0000594</t>
  </si>
  <si>
    <t>Cty TNHH Quốc Tế EPV</t>
  </si>
  <si>
    <t>Thùng (30x16x17.1)</t>
  </si>
  <si>
    <t>Thùng (38.7x20x17.1)</t>
  </si>
  <si>
    <t>0000595</t>
  </si>
  <si>
    <t>0000596</t>
  </si>
  <si>
    <t>0000597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</si>
  <si>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</si>
  <si>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</si>
  <si>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</si>
  <si>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</si>
  <si>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</si>
  <si>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</si>
  <si>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</si>
  <si>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</si>
  <si>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</si>
  <si>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</si>
  <si>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Thùng (49x38x13)</t>
  </si>
  <si>
    <t>0000609</t>
  </si>
  <si>
    <t>0000610</t>
  </si>
  <si>
    <t>0000612</t>
  </si>
  <si>
    <t>Thùng (54x33x25)</t>
  </si>
  <si>
    <t>Thùng (90,5x55.5x10.6)</t>
  </si>
  <si>
    <t>0000613</t>
  </si>
  <si>
    <t>0000614</t>
  </si>
  <si>
    <t>Thùng (58x42.5x20)</t>
  </si>
  <si>
    <t>0000615</t>
  </si>
  <si>
    <t>0000616</t>
  </si>
  <si>
    <t>0000617</t>
  </si>
  <si>
    <t>0000618</t>
  </si>
  <si>
    <t>0000620</t>
  </si>
  <si>
    <t>KU 1903LDS201600879</t>
  </si>
  <si>
    <t>KU 1903LDS201600968</t>
  </si>
  <si>
    <t>Phí mua sec</t>
  </si>
  <si>
    <t>VAT Phí mua sec</t>
  </si>
  <si>
    <t>KU 1903LDS201600890</t>
  </si>
  <si>
    <t>Phí tín dụng</t>
  </si>
  <si>
    <t>KU 1903LDS201601113</t>
  </si>
  <si>
    <t>Thu lại tiền trả dư</t>
  </si>
  <si>
    <t>0001861</t>
  </si>
  <si>
    <t>0001849</t>
  </si>
  <si>
    <t>0000080</t>
  </si>
  <si>
    <t>0001005</t>
  </si>
  <si>
    <t>Lệ phí nghiệm thu</t>
  </si>
  <si>
    <t>VAT Lệ phí nghiệm thu</t>
  </si>
  <si>
    <t>0000742</t>
  </si>
  <si>
    <t>Trung Tâm Đăng Kiểm Xe Cơ Giới</t>
  </si>
  <si>
    <t>Lệ phí cấp giấy</t>
  </si>
  <si>
    <t>Nhớt máy</t>
  </si>
  <si>
    <t>VAT Nhớt máy</t>
  </si>
  <si>
    <t>0016560</t>
  </si>
  <si>
    <t>Cty CP City Auto</t>
  </si>
  <si>
    <t>Kiểm định xe tải</t>
  </si>
  <si>
    <t>VAT Kiểm định xe tải</t>
  </si>
  <si>
    <t>0025930</t>
  </si>
  <si>
    <t>0000698</t>
  </si>
  <si>
    <t>VAT giấy cuộn</t>
  </si>
  <si>
    <t>0000728</t>
  </si>
  <si>
    <t>0000562</t>
  </si>
  <si>
    <t>Thùng (57x39x47)</t>
  </si>
  <si>
    <t>0000563</t>
  </si>
  <si>
    <t>0000518</t>
  </si>
  <si>
    <t>0000513</t>
  </si>
  <si>
    <t>VL/N04</t>
  </si>
  <si>
    <t>NNL</t>
  </si>
  <si>
    <t>TP/N</t>
  </si>
  <si>
    <t>TP/X</t>
  </si>
  <si>
    <t>Nhập thành phẩm</t>
  </si>
  <si>
    <t>0000003</t>
  </si>
  <si>
    <t>0000137</t>
  </si>
  <si>
    <t>Keo LJ 7074</t>
  </si>
  <si>
    <t>VAT Keo LJ 7074</t>
  </si>
  <si>
    <t>Cty TNHH SX TM DV &amp; ĐT XD Tân Phú Thịnh</t>
  </si>
  <si>
    <t>Cty CP Bảo Hiểm Viễn Đông</t>
  </si>
  <si>
    <t>0004658</t>
  </si>
  <si>
    <t>VAT Bảo hiểm</t>
  </si>
  <si>
    <t>Bảo hiểm TNDS</t>
  </si>
  <si>
    <t>Bảo hiểm người ngồi trên xe</t>
  </si>
  <si>
    <t>Xe ô tô tải</t>
  </si>
  <si>
    <t>VAT xe ô tô tải</t>
  </si>
  <si>
    <t>0015001</t>
  </si>
  <si>
    <t>Cty Cồ Phần City Auto</t>
  </si>
  <si>
    <t xml:space="preserve">Cty CP TP quốc tế Long Phụng </t>
  </si>
  <si>
    <t>Cty CP XNK Nha Đam VN</t>
  </si>
  <si>
    <t>Cty TNHH APEX VN</t>
  </si>
  <si>
    <t>Cty TNHH Chuyển Dọn ViNa</t>
  </si>
  <si>
    <t>Cty TNHH DT SX KD May Mặc Hoàn Mỹ</t>
  </si>
  <si>
    <t>Cty TNHH Llee Shin International</t>
  </si>
  <si>
    <t>Cty TNHH Lương Thực Tấn Vương</t>
  </si>
  <si>
    <t>Cty TNHH May Mặc Yang Vinh</t>
  </si>
  <si>
    <t>Cty TNHH SX TM XNK Kim Thổ</t>
  </si>
  <si>
    <t>Cty TNHH TM SX Nhựa Khải Tường</t>
  </si>
  <si>
    <t>0000485;0000075</t>
  </si>
  <si>
    <t>0000077</t>
  </si>
  <si>
    <t>0000443;0000481;0000041;0000078</t>
  </si>
  <si>
    <t>0000067;0000069;0000076;0000079;0000081</t>
  </si>
  <si>
    <t>0000084</t>
  </si>
  <si>
    <t>Cty TNHH TM DV SX Bích Thành</t>
  </si>
  <si>
    <t>0000086;0000088</t>
  </si>
  <si>
    <t>0000019;0000091</t>
  </si>
  <si>
    <t>Cty TNHH TM Và CBTP Mỹ Chánh Hương</t>
  </si>
  <si>
    <t>0000107</t>
  </si>
  <si>
    <t>0000063;0000090;0000112</t>
  </si>
  <si>
    <t>0000116</t>
  </si>
  <si>
    <t>0000119</t>
  </si>
  <si>
    <t>0000437;0000074;0000121</t>
  </si>
  <si>
    <t>0000133</t>
  </si>
  <si>
    <t>Cty TNHH Phân Bón Ngân Long</t>
  </si>
  <si>
    <t>0000123;0000126;0000134</t>
  </si>
  <si>
    <t>0000135</t>
  </si>
  <si>
    <t>0000104;0000142</t>
  </si>
  <si>
    <t>0000093;0000098;0000144</t>
  </si>
  <si>
    <t>Cty TNHH SX May áo thun SG Phú Thành</t>
  </si>
  <si>
    <t>0000146</t>
  </si>
  <si>
    <t>0000154;0000157</t>
  </si>
  <si>
    <t>0000132;0000159</t>
  </si>
  <si>
    <t>Cty TNHH Nông Vui</t>
  </si>
  <si>
    <t>0000137;0000162</t>
  </si>
  <si>
    <t>0000156;0000161;0000163</t>
  </si>
  <si>
    <t>0000120;0000164</t>
  </si>
  <si>
    <t>0000178;0000181</t>
  </si>
  <si>
    <t>0000183;0000186</t>
  </si>
  <si>
    <t>0000169;0000177;0000188</t>
  </si>
  <si>
    <t>0000196</t>
  </si>
  <si>
    <t>0000198</t>
  </si>
  <si>
    <t>0000182;0000200</t>
  </si>
  <si>
    <t>0000202</t>
  </si>
  <si>
    <t>0000208</t>
  </si>
  <si>
    <t>0000210;0000212</t>
  </si>
  <si>
    <t>0000206;0000215;0000216</t>
  </si>
  <si>
    <t>0000175;0000176;0000218</t>
  </si>
  <si>
    <t>VL/N05</t>
  </si>
  <si>
    <t>Hoàn trả lệnh chuyển tiền</t>
  </si>
  <si>
    <t>Thanh toán tiền xe ô tô</t>
  </si>
  <si>
    <t>Thanh toán tiền mua xe ô tô</t>
  </si>
  <si>
    <t>Vay KU 1903LDS201600890</t>
  </si>
  <si>
    <t>C01</t>
  </si>
  <si>
    <t>T04</t>
  </si>
  <si>
    <t>T05</t>
  </si>
  <si>
    <t>T06</t>
  </si>
  <si>
    <t>C02</t>
  </si>
  <si>
    <t>T07</t>
  </si>
  <si>
    <t>C03</t>
  </si>
  <si>
    <t>T08</t>
  </si>
  <si>
    <t>C04</t>
  </si>
  <si>
    <t>C05</t>
  </si>
  <si>
    <t>C06</t>
  </si>
  <si>
    <t>C07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</si>
  <si>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</si>
  <si>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</si>
  <si>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</si>
  <si>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</si>
  <si>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</si>
  <si>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</si>
  <si>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</si>
  <si>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</si>
  <si>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</si>
  <si>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C08</t>
  </si>
  <si>
    <t>C09</t>
  </si>
  <si>
    <t>C10</t>
  </si>
  <si>
    <t>C11</t>
  </si>
  <si>
    <t>C12</t>
  </si>
  <si>
    <t>C13</t>
  </si>
  <si>
    <t>T18</t>
  </si>
  <si>
    <t>C14</t>
  </si>
  <si>
    <t>C15</t>
  </si>
  <si>
    <t>T19</t>
  </si>
  <si>
    <t>C16</t>
  </si>
  <si>
    <t>T20</t>
  </si>
  <si>
    <t>C17</t>
  </si>
  <si>
    <t>T21</t>
  </si>
  <si>
    <t>T22</t>
  </si>
  <si>
    <t>C18</t>
  </si>
  <si>
    <t>C19</t>
  </si>
  <si>
    <t>C20</t>
  </si>
  <si>
    <t>T23</t>
  </si>
  <si>
    <t>C22</t>
  </si>
  <si>
    <t>T24</t>
  </si>
  <si>
    <t>C23</t>
  </si>
  <si>
    <t>C25</t>
  </si>
  <si>
    <t>T25</t>
  </si>
  <si>
    <t>T26</t>
  </si>
  <si>
    <t>T27</t>
  </si>
  <si>
    <t>C26</t>
  </si>
  <si>
    <t>T28</t>
  </si>
  <si>
    <t>C27</t>
  </si>
  <si>
    <t>T29</t>
  </si>
  <si>
    <t>C28</t>
  </si>
  <si>
    <t>T30</t>
  </si>
  <si>
    <t>T31</t>
  </si>
  <si>
    <t>C29</t>
  </si>
  <si>
    <t>C30</t>
  </si>
  <si>
    <t>C31</t>
  </si>
  <si>
    <t>C32</t>
  </si>
  <si>
    <t>T32</t>
  </si>
  <si>
    <t>C33</t>
  </si>
  <si>
    <t>T33</t>
  </si>
  <si>
    <t>Quý I</t>
  </si>
  <si>
    <t>Lê Thị 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</si>
</sst>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  <xf numFmtId="0" fontId="3" fillId="0" borderId="0"/>
    <xf numFmtId="0" fontId="37" fillId="0" borderId="0"/>
  </cellStyleXfs>
  <cellXfs count="116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0" fontId="59" fillId="29" borderId="0" xfId="95" applyFont="1" applyFill="1" applyAlignment="1">
      <alignment horizontal="center" vertical="top"/>
    </xf>
    <xf numFmtId="0" fontId="36" fillId="0" borderId="0" xfId="97" applyFont="1" applyAlignment="1">
      <alignment horizontal="center"/>
    </xf>
    <xf numFmtId="0" fontId="34" fillId="0" borderId="0" xfId="97" applyFont="1"/>
    <xf numFmtId="0" fontId="33" fillId="0" borderId="0" xfId="97" applyFont="1" applyAlignment="1"/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3" fillId="0" borderId="39" xfId="29" applyNumberFormat="1" applyFont="1" applyBorder="1"/>
    <xf numFmtId="0" fontId="33" fillId="0" borderId="2" xfId="97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0" fontId="33" fillId="0" borderId="0" xfId="97" applyFont="1" applyBorder="1"/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79" fillId="0" borderId="2" xfId="93" applyFont="1" applyBorder="1" applyAlignment="1">
      <alignment horizontal="center" vertical="center"/>
    </xf>
    <xf numFmtId="164" fontId="79" fillId="0" borderId="2" xfId="94" applyNumberFormat="1" applyFont="1" applyBorder="1" applyAlignment="1">
      <alignment horizontal="center" vertical="center"/>
    </xf>
    <xf numFmtId="0" fontId="79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0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79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79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79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68" fillId="0" borderId="0" xfId="93" applyFont="1" applyAlignment="1">
      <alignment horizontal="center" vertical="center"/>
    </xf>
    <xf numFmtId="0" fontId="74" fillId="0" borderId="0" xfId="93" applyFont="1" applyAlignment="1">
      <alignment vertical="center"/>
    </xf>
    <xf numFmtId="0" fontId="81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2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5" fillId="0" borderId="0" xfId="29" applyNumberFormat="1" applyFont="1" applyAlignment="1">
      <alignment vertical="center"/>
    </xf>
    <xf numFmtId="41" fontId="75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3" fillId="0" borderId="0" xfId="85" applyFont="1" applyAlignment="1">
      <alignment vertical="center"/>
    </xf>
    <xf numFmtId="0" fontId="83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4" fillId="0" borderId="0" xfId="77" applyNumberFormat="1" applyFont="1" applyBorder="1" applyAlignment="1" applyProtection="1">
      <alignment vertical="center"/>
      <protection hidden="1"/>
    </xf>
    <xf numFmtId="164" fontId="85" fillId="0" borderId="0" xfId="77" applyNumberFormat="1" applyFont="1" applyAlignment="1">
      <alignment vertical="center"/>
    </xf>
    <xf numFmtId="164" fontId="86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7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7" fillId="0" borderId="0" xfId="80" applyFont="1" applyAlignment="1" applyProtection="1">
      <alignment horizontal="center" vertical="center"/>
      <protection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Fill="1" applyBorder="1" applyAlignment="1" applyProtection="1">
      <alignment vertical="center"/>
      <protection hidden="1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87" fillId="0" borderId="0" xfId="80" applyFont="1" applyAlignment="1" applyProtection="1">
      <alignment vertical="center"/>
      <protection hidden="1"/>
    </xf>
    <xf numFmtId="0" fontId="88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8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8" fillId="0" borderId="19" xfId="98" applyFont="1" applyFill="1" applyBorder="1" applyAlignment="1">
      <alignment vertical="center"/>
    </xf>
    <xf numFmtId="164" fontId="78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8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0" fontId="34" fillId="0" borderId="12" xfId="97" applyFont="1" applyBorder="1" applyAlignment="1">
      <alignment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8" fillId="29" borderId="19" xfId="29" applyNumberFormat="1" applyFont="1" applyFill="1" applyBorder="1" applyAlignment="1">
      <alignment horizontal="right" vertical="center"/>
    </xf>
    <xf numFmtId="173" fontId="78" fillId="0" borderId="19" xfId="29" applyNumberFormat="1" applyFont="1" applyBorder="1" applyAlignment="1">
      <alignment vertical="center"/>
    </xf>
    <xf numFmtId="173" fontId="78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0" fillId="0" borderId="16" xfId="77" applyNumberFormat="1" applyFont="1" applyFill="1" applyBorder="1" applyAlignment="1">
      <alignment horizontal="center" vertical="center"/>
    </xf>
    <xf numFmtId="14" fontId="90" fillId="0" borderId="16" xfId="54" applyNumberFormat="1" applyFont="1" applyFill="1" applyBorder="1" applyAlignment="1">
      <alignment horizontal="center" vertical="center"/>
    </xf>
    <xf numFmtId="14" fontId="90" fillId="0" borderId="16" xfId="90" applyNumberFormat="1" applyFont="1" applyFill="1" applyBorder="1" applyAlignment="1">
      <alignment horizontal="center" vertical="center"/>
    </xf>
    <xf numFmtId="164" fontId="90" fillId="0" borderId="16" xfId="90" applyNumberFormat="1" applyFont="1" applyFill="1" applyBorder="1" applyAlignment="1">
      <alignment horizontal="left" vertical="center"/>
    </xf>
    <xf numFmtId="164" fontId="90" fillId="0" borderId="16" xfId="90" quotePrefix="1" applyNumberFormat="1" applyFont="1" applyFill="1" applyBorder="1" applyAlignment="1">
      <alignment horizontal="left" vertical="center"/>
    </xf>
    <xf numFmtId="3" fontId="90" fillId="0" borderId="16" xfId="46" applyFont="1" applyBorder="1" applyAlignment="1">
      <alignment vertical="center"/>
    </xf>
    <xf numFmtId="164" fontId="90" fillId="0" borderId="16" xfId="29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vertical="center"/>
    </xf>
    <xf numFmtId="0" fontId="91" fillId="0" borderId="0" xfId="0" applyFont="1" applyFill="1" applyAlignment="1"/>
    <xf numFmtId="0" fontId="91" fillId="0" borderId="0" xfId="0" applyFont="1" applyFill="1"/>
    <xf numFmtId="164" fontId="90" fillId="0" borderId="16" xfId="54" applyNumberFormat="1" applyFont="1" applyFill="1" applyBorder="1" applyAlignment="1">
      <alignment horizontal="left" vertical="center"/>
    </xf>
    <xf numFmtId="164" fontId="91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2" fillId="0" borderId="0" xfId="52" applyFont="1" applyAlignment="1">
      <alignment vertical="center"/>
    </xf>
    <xf numFmtId="14" fontId="92" fillId="0" borderId="16" xfId="54" applyNumberFormat="1" applyFont="1" applyFill="1" applyBorder="1" applyAlignment="1">
      <alignment horizontal="center" vertical="center"/>
    </xf>
    <xf numFmtId="0" fontId="92" fillId="0" borderId="16" xfId="52" applyFont="1" applyBorder="1" applyAlignment="1">
      <alignment horizontal="left" vertical="center"/>
    </xf>
    <xf numFmtId="0" fontId="92" fillId="0" borderId="16" xfId="52" quotePrefix="1" applyFont="1" applyBorder="1" applyAlignment="1">
      <alignment horizontal="center" vertical="center"/>
    </xf>
    <xf numFmtId="0" fontId="92" fillId="0" borderId="16" xfId="52" applyFont="1" applyBorder="1" applyAlignment="1">
      <alignment vertical="center"/>
    </xf>
    <xf numFmtId="164" fontId="92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3" fillId="0" borderId="23" xfId="74" quotePrefix="1" applyNumberFormat="1" applyFont="1" applyBorder="1" applyAlignment="1">
      <alignment horizontal="center"/>
    </xf>
    <xf numFmtId="164" fontId="94" fillId="0" borderId="23" xfId="74" applyNumberFormat="1" applyFont="1" applyBorder="1" applyAlignment="1">
      <alignment horizontal="center"/>
    </xf>
    <xf numFmtId="164" fontId="93" fillId="0" borderId="25" xfId="74" applyNumberFormat="1" applyFont="1" applyBorder="1"/>
    <xf numFmtId="164" fontId="93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0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0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5" fillId="0" borderId="16" xfId="54" applyNumberFormat="1" applyFont="1" applyFill="1" applyBorder="1" applyAlignment="1">
      <alignment horizontal="center" vertical="center"/>
    </xf>
    <xf numFmtId="14" fontId="95" fillId="0" borderId="16" xfId="90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90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77" applyNumberFormat="1" applyFont="1" applyFill="1" applyBorder="1" applyAlignment="1">
      <alignment vertical="center"/>
    </xf>
    <xf numFmtId="0" fontId="95" fillId="0" borderId="16" xfId="90" quotePrefix="1" applyNumberFormat="1" applyFont="1" applyFill="1" applyBorder="1" applyAlignment="1">
      <alignment horizontal="center"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90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vertical="center"/>
    </xf>
    <xf numFmtId="164" fontId="95" fillId="0" borderId="16" xfId="29" quotePrefix="1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164" fontId="90" fillId="0" borderId="16" xfId="0" applyNumberFormat="1" applyFont="1" applyFill="1" applyBorder="1" applyAlignment="1">
      <alignment horizontal="left" vertical="center"/>
    </xf>
    <xf numFmtId="14" fontId="90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0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4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5" fillId="0" borderId="16" xfId="0" applyNumberFormat="1" applyFont="1" applyFill="1" applyBorder="1" applyAlignment="1">
      <alignment horizontal="left" vertical="center"/>
    </xf>
    <xf numFmtId="3" fontId="95" fillId="0" borderId="16" xfId="46" applyFont="1" applyBorder="1" applyAlignment="1">
      <alignment vertical="center"/>
    </xf>
    <xf numFmtId="1" fontId="95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0" fontId="95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164" fontId="90" fillId="0" borderId="16" xfId="76" applyNumberFormat="1" applyFont="1" applyFill="1" applyBorder="1" applyAlignment="1">
      <alignment horizontal="left" vertical="center"/>
    </xf>
    <xf numFmtId="49" fontId="90" fillId="0" borderId="16" xfId="90" applyNumberFormat="1" applyFont="1" applyFill="1" applyBorder="1" applyAlignment="1">
      <alignment horizontal="left" vertical="center"/>
    </xf>
    <xf numFmtId="164" fontId="90" fillId="0" borderId="16" xfId="29" applyNumberFormat="1" applyFont="1" applyFill="1" applyBorder="1" applyAlignment="1">
      <alignment vertical="center"/>
    </xf>
    <xf numFmtId="0" fontId="90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" fontId="90" fillId="0" borderId="16" xfId="54" quotePrefix="1" applyNumberFormat="1" applyFont="1" applyFill="1" applyBorder="1" applyAlignment="1">
      <alignment horizontal="center" vertical="center"/>
    </xf>
    <xf numFmtId="0" fontId="90" fillId="0" borderId="0" xfId="90" quotePrefix="1" applyNumberFormat="1" applyFont="1" applyFill="1" applyBorder="1" applyAlignment="1">
      <alignment horizontal="center" vertical="center"/>
    </xf>
    <xf numFmtId="0" fontId="90" fillId="0" borderId="16" xfId="0" applyFont="1" applyBorder="1" applyAlignment="1">
      <alignment vertical="center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0" xfId="97" applyFont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4" fillId="0" borderId="0" xfId="97" applyFont="1" applyAlignment="1">
      <alignment horizontal="center"/>
    </xf>
    <xf numFmtId="164" fontId="34" fillId="0" borderId="39" xfId="76" applyNumberFormat="1" applyFont="1" applyFill="1" applyBorder="1" applyAlignment="1">
      <alignment horizontal="left" vertical="center"/>
    </xf>
    <xf numFmtId="164" fontId="90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164" fontId="33" fillId="0" borderId="16" xfId="94" applyNumberFormat="1" applyFont="1" applyBorder="1"/>
    <xf numFmtId="164" fontId="33" fillId="0" borderId="12" xfId="94" applyNumberFormat="1" applyFont="1" applyBorder="1" applyProtection="1">
      <protection hidden="1"/>
    </xf>
    <xf numFmtId="0" fontId="33" fillId="0" borderId="16" xfId="93" applyFont="1" applyFill="1" applyBorder="1" applyAlignment="1" applyProtection="1">
      <alignment horizontal="center"/>
      <protection hidden="1"/>
    </xf>
    <xf numFmtId="14" fontId="33" fillId="0" borderId="16" xfId="93" applyNumberFormat="1" applyFont="1" applyFill="1" applyBorder="1" applyAlignment="1" applyProtection="1">
      <alignment horizontal="center"/>
      <protection hidden="1"/>
    </xf>
    <xf numFmtId="0" fontId="33" fillId="0" borderId="16" xfId="93" applyFont="1" applyFill="1" applyBorder="1" applyAlignment="1" applyProtection="1">
      <alignment horizontal="left"/>
      <protection hidden="1"/>
    </xf>
    <xf numFmtId="164" fontId="33" fillId="0" borderId="16" xfId="94" applyNumberFormat="1" applyFont="1" applyFill="1" applyBorder="1" applyAlignment="1" applyProtection="1">
      <alignment horizontal="left"/>
      <protection hidden="1"/>
    </xf>
    <xf numFmtId="164" fontId="33" fillId="0" borderId="16" xfId="94" applyNumberFormat="1" applyFont="1" applyBorder="1" applyProtection="1">
      <protection hidden="1"/>
    </xf>
    <xf numFmtId="43" fontId="33" fillId="0" borderId="0" xfId="94" applyFont="1"/>
    <xf numFmtId="164" fontId="33" fillId="0" borderId="0" xfId="94" applyNumberFormat="1" applyFont="1"/>
    <xf numFmtId="164" fontId="34" fillId="0" borderId="21" xfId="94" applyNumberFormat="1" applyFont="1" applyFill="1" applyBorder="1"/>
    <xf numFmtId="164" fontId="33" fillId="0" borderId="39" xfId="94" applyNumberFormat="1" applyFont="1" applyBorder="1"/>
    <xf numFmtId="164" fontId="33" fillId="0" borderId="2" xfId="94" applyNumberFormat="1" applyFont="1" applyBorder="1"/>
    <xf numFmtId="0" fontId="33" fillId="0" borderId="0" xfId="93" quotePrefix="1" applyFont="1" applyAlignment="1" applyProtection="1">
      <protection hidden="1"/>
    </xf>
    <xf numFmtId="164" fontId="33" fillId="0" borderId="0" xfId="94" applyNumberFormat="1" applyFont="1" applyAlignment="1"/>
    <xf numFmtId="164" fontId="33" fillId="0" borderId="0" xfId="94" applyNumberFormat="1" applyFont="1" applyAlignment="1">
      <alignment horizontal="center"/>
    </xf>
    <xf numFmtId="0" fontId="3" fillId="0" borderId="0" xfId="93"/>
    <xf numFmtId="0" fontId="3" fillId="0" borderId="0" xfId="93" applyAlignment="1">
      <alignment horizontal="center"/>
    </xf>
    <xf numFmtId="14" fontId="43" fillId="0" borderId="16" xfId="29" applyNumberFormat="1" applyFont="1" applyBorder="1" applyAlignment="1">
      <alignment horizontal="center"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0" fontId="96" fillId="0" borderId="0" xfId="0" applyNumberFormat="1" applyFont="1" applyFill="1"/>
    <xf numFmtId="164" fontId="43" fillId="0" borderId="21" xfId="29" applyNumberFormat="1" applyFont="1" applyFill="1" applyBorder="1" applyAlignment="1">
      <alignment horizontal="left" vertical="center"/>
    </xf>
    <xf numFmtId="164" fontId="3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0" fontId="43" fillId="0" borderId="0" xfId="53" applyFont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0" fontId="34" fillId="0" borderId="16" xfId="53" applyFont="1" applyBorder="1" applyAlignment="1">
      <alignment vertical="center"/>
    </xf>
    <xf numFmtId="3" fontId="34" fillId="0" borderId="0" xfId="46" applyFont="1" applyBorder="1" applyAlignment="1">
      <alignment vertical="center"/>
    </xf>
    <xf numFmtId="164" fontId="95" fillId="0" borderId="21" xfId="54" applyNumberFormat="1" applyFont="1" applyFill="1" applyBorder="1" applyAlignment="1">
      <alignment horizontal="left" vertical="center"/>
    </xf>
    <xf numFmtId="3" fontId="95" fillId="0" borderId="0" xfId="46" applyFont="1" applyBorder="1" applyAlignment="1">
      <alignment vertical="center"/>
    </xf>
    <xf numFmtId="164" fontId="95" fillId="0" borderId="21" xfId="29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0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0" fontId="33" fillId="0" borderId="0" xfId="97" applyFont="1" applyAlignment="1">
      <alignment horizontal="center"/>
    </xf>
    <xf numFmtId="164" fontId="51" fillId="0" borderId="0" xfId="94" applyNumberFormat="1" applyFont="1" applyAlignment="1">
      <alignment horizontal="center" vertic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5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5" fillId="0" borderId="0" xfId="78" applyFont="1" applyAlignment="1">
      <alignment horizontal="center" vertical="center"/>
    </xf>
    <xf numFmtId="0" fontId="75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IM-DUNG-PHAT\SO%20SACH\0310686815\2016\NKSC%20-%20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T-KD-KN\SO%20SACH\0310686815\2014\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2-CT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opLeftCell="A6" workbookViewId="0">
      <pane ySplit="4" topLeftCell="A10" activePane="bottomLeft" state="frozen"/>
      <selection activeCell="A6" sqref="A6"/>
      <selection pane="bottomLeft" activeCell="H61" sqref="H61"/>
    </sheetView>
  </sheetViews>
  <sheetFormatPr defaultColWidth="8" defaultRowHeight="12.75"/>
  <cols>
    <col min="1" max="1" width="5.7109375" style="596" customWidth="1"/>
    <col min="2" max="2" width="36.85546875" style="596" customWidth="1"/>
    <col min="3" max="3" width="14.7109375" style="160" customWidth="1"/>
    <col min="4" max="4" width="13.5703125" style="160" customWidth="1"/>
    <col min="5" max="6" width="14.7109375" style="596" customWidth="1"/>
    <col min="7" max="7" width="14.5703125" style="596" customWidth="1"/>
    <col min="8" max="8" width="13.85546875" style="596" customWidth="1"/>
    <col min="9" max="9" width="2.42578125" style="596" customWidth="1"/>
    <col min="10" max="10" width="11" style="596" customWidth="1"/>
    <col min="11" max="11" width="2.85546875" style="596" customWidth="1"/>
    <col min="12" max="12" width="11.85546875" style="596" customWidth="1"/>
    <col min="13" max="16384" width="8" style="596"/>
  </cols>
  <sheetData>
    <row r="1" spans="1:16">
      <c r="A1" s="595"/>
      <c r="B1" s="595"/>
    </row>
    <row r="2" spans="1:16">
      <c r="A2" s="595" t="str">
        <f>TH!A1</f>
        <v>Đơn vị: CÔNG TY TNHH SX TM KIM DUNG PHÁT</v>
      </c>
      <c r="B2" s="595"/>
    </row>
    <row r="3" spans="1:16">
      <c r="A3" s="596" t="str">
        <f>TH!A2</f>
        <v>Địa chỉ: 1A227/1 Ấp 1, Phạm Văn Hai, Bình Chánh, TPHCM</v>
      </c>
      <c r="B3" s="595"/>
    </row>
    <row r="5" spans="1:16" ht="36" customHeight="1">
      <c r="A5" s="597"/>
      <c r="B5" s="597"/>
      <c r="C5" s="598"/>
      <c r="D5" s="599" t="s">
        <v>352</v>
      </c>
      <c r="E5" s="597"/>
      <c r="F5" s="597"/>
      <c r="G5" s="597"/>
      <c r="H5" s="597"/>
    </row>
    <row r="6" spans="1:16" ht="15.75">
      <c r="A6" s="597"/>
      <c r="B6" s="597"/>
      <c r="C6" s="598"/>
      <c r="D6" s="620" t="s">
        <v>1073</v>
      </c>
      <c r="E6" s="597"/>
      <c r="F6" s="597"/>
      <c r="G6" s="597"/>
      <c r="H6" s="597"/>
    </row>
    <row r="7" spans="1:16" ht="6.75" customHeight="1"/>
    <row r="8" spans="1:16" ht="21.75" customHeight="1">
      <c r="A8" s="956" t="s">
        <v>385</v>
      </c>
      <c r="B8" s="956" t="s">
        <v>350</v>
      </c>
      <c r="C8" s="952" t="s">
        <v>37</v>
      </c>
      <c r="D8" s="953"/>
      <c r="E8" s="952" t="s">
        <v>38</v>
      </c>
      <c r="F8" s="953"/>
      <c r="G8" s="952" t="s">
        <v>351</v>
      </c>
      <c r="H8" s="953"/>
    </row>
    <row r="9" spans="1:16" ht="21.75" customHeight="1">
      <c r="A9" s="957"/>
      <c r="B9" s="957"/>
      <c r="C9" s="594" t="s">
        <v>42</v>
      </c>
      <c r="D9" s="594" t="s">
        <v>43</v>
      </c>
      <c r="E9" s="594" t="s">
        <v>42</v>
      </c>
      <c r="F9" s="594" t="s">
        <v>43</v>
      </c>
      <c r="G9" s="594" t="s">
        <v>42</v>
      </c>
      <c r="H9" s="594" t="s">
        <v>43</v>
      </c>
    </row>
    <row r="10" spans="1:16" s="160" customFormat="1" ht="17.25" customHeight="1">
      <c r="A10" s="600" t="s">
        <v>47</v>
      </c>
      <c r="B10" s="601" t="s">
        <v>48</v>
      </c>
      <c r="C10" s="602">
        <v>3036464766</v>
      </c>
      <c r="D10" s="602"/>
      <c r="E10" s="602">
        <f t="array" ref="E10">SUM(IF(A10=KHN,TH))</f>
        <v>4620784668</v>
      </c>
      <c r="F10" s="602">
        <f t="array" ref="F10">SUM(IF(A10=KHC,TH))</f>
        <v>4037012778</v>
      </c>
      <c r="G10" s="603">
        <f>MAX(C10+E10-D10-F10,0)</f>
        <v>3620236656</v>
      </c>
      <c r="H10" s="603">
        <f>MAX(D10+F10-E10-C10,0)</f>
        <v>0</v>
      </c>
      <c r="J10" s="596"/>
      <c r="K10" s="596"/>
      <c r="L10" s="596"/>
      <c r="M10" s="596"/>
      <c r="N10" s="596"/>
      <c r="O10" s="596"/>
      <c r="P10" s="596"/>
    </row>
    <row r="11" spans="1:16" s="160" customFormat="1" ht="17.25" customHeight="1">
      <c r="A11" s="605" t="s">
        <v>16</v>
      </c>
      <c r="B11" s="605" t="s">
        <v>49</v>
      </c>
      <c r="C11" s="606">
        <f t="shared" ref="C11:H11" si="0">C10</f>
        <v>3036464766</v>
      </c>
      <c r="D11" s="606">
        <f t="shared" si="0"/>
        <v>0</v>
      </c>
      <c r="E11" s="606">
        <f t="shared" si="0"/>
        <v>4620784668</v>
      </c>
      <c r="F11" s="606">
        <f t="shared" si="0"/>
        <v>4037012778</v>
      </c>
      <c r="G11" s="606">
        <f t="shared" si="0"/>
        <v>3620236656</v>
      </c>
      <c r="H11" s="606">
        <f t="shared" si="0"/>
        <v>0</v>
      </c>
      <c r="J11" s="596"/>
      <c r="K11" s="596"/>
      <c r="L11" s="596"/>
      <c r="M11" s="596"/>
      <c r="N11" s="596"/>
      <c r="O11" s="596"/>
      <c r="P11" s="596"/>
    </row>
    <row r="12" spans="1:16" s="160" customFormat="1" ht="17.25" customHeight="1">
      <c r="A12" s="601" t="s">
        <v>24</v>
      </c>
      <c r="B12" s="601" t="s">
        <v>50</v>
      </c>
      <c r="C12" s="602">
        <v>18107118</v>
      </c>
      <c r="D12" s="602">
        <v>0</v>
      </c>
      <c r="E12" s="602">
        <f t="array" ref="E12">SUM(IF(A12=KHN,TH))</f>
        <v>9211081646</v>
      </c>
      <c r="F12" s="602">
        <f t="array" ref="F12">SUM(IF(A12=KHC,TH))</f>
        <v>9187486995</v>
      </c>
      <c r="G12" s="603">
        <f>MAX(C12+E12-D12-F12,0)</f>
        <v>41701769</v>
      </c>
      <c r="H12" s="603">
        <f>MAX(D12+F12-E12-C12,0)</f>
        <v>0</v>
      </c>
      <c r="K12" s="604"/>
      <c r="L12" s="604"/>
      <c r="M12" s="604"/>
    </row>
    <row r="13" spans="1:16" s="160" customFormat="1" ht="17.25" customHeight="1">
      <c r="A13" s="605" t="s">
        <v>51</v>
      </c>
      <c r="B13" s="605" t="s">
        <v>52</v>
      </c>
      <c r="C13" s="606">
        <f t="shared" ref="C13:H13" si="1">C12</f>
        <v>18107118</v>
      </c>
      <c r="D13" s="606">
        <f t="shared" si="1"/>
        <v>0</v>
      </c>
      <c r="E13" s="606">
        <f t="shared" si="1"/>
        <v>9211081646</v>
      </c>
      <c r="F13" s="606">
        <f t="shared" si="1"/>
        <v>9187486995</v>
      </c>
      <c r="G13" s="606">
        <f t="shared" si="1"/>
        <v>41701769</v>
      </c>
      <c r="H13" s="606">
        <f t="shared" si="1"/>
        <v>0</v>
      </c>
    </row>
    <row r="14" spans="1:16" s="160" customFormat="1" ht="17.25" customHeight="1">
      <c r="A14" s="605" t="s">
        <v>258</v>
      </c>
      <c r="B14" s="605" t="s">
        <v>270</v>
      </c>
      <c r="C14" s="606">
        <v>1207498941</v>
      </c>
      <c r="D14" s="606"/>
      <c r="E14" s="607">
        <f t="array" ref="E14">SUM(IF(A14=KHN,TH))</f>
        <v>3943820632</v>
      </c>
      <c r="F14" s="607">
        <f t="array" ref="F14">SUM(IF(A14=KHC,TH))</f>
        <v>2569547037</v>
      </c>
      <c r="G14" s="606">
        <f>MAX(C14+E14-D14-F14,0)</f>
        <v>2581772536</v>
      </c>
      <c r="H14" s="606">
        <f>MAX(D14+F14-E14-C14,0)</f>
        <v>0</v>
      </c>
    </row>
    <row r="15" spans="1:16" s="160" customFormat="1" ht="17.25" customHeight="1">
      <c r="A15" s="601" t="s">
        <v>9</v>
      </c>
      <c r="B15" s="601" t="s">
        <v>53</v>
      </c>
      <c r="C15" s="602"/>
      <c r="D15" s="602">
        <v>0</v>
      </c>
      <c r="E15" s="602">
        <f t="array" ref="E15">SUM(IF(A15=KHN,TH))</f>
        <v>403238676</v>
      </c>
      <c r="F15" s="602">
        <f t="array" ref="F15">SUM(IF(A15=KHC,TH))</f>
        <v>358510599</v>
      </c>
      <c r="G15" s="603">
        <f>MAX(C15+E15-D15-F15,0)</f>
        <v>44728077</v>
      </c>
      <c r="H15" s="603">
        <f>MAX(D15+F15-E15-C15,0)</f>
        <v>0</v>
      </c>
    </row>
    <row r="16" spans="1:16" s="160" customFormat="1" ht="17.25" customHeight="1">
      <c r="A16" s="605" t="s">
        <v>54</v>
      </c>
      <c r="B16" s="605" t="s">
        <v>55</v>
      </c>
      <c r="C16" s="606">
        <f t="shared" ref="C16:H16" si="2">C15</f>
        <v>0</v>
      </c>
      <c r="D16" s="606">
        <f t="shared" si="2"/>
        <v>0</v>
      </c>
      <c r="E16" s="606">
        <f t="shared" si="2"/>
        <v>403238676</v>
      </c>
      <c r="F16" s="606">
        <f t="shared" si="2"/>
        <v>358510599</v>
      </c>
      <c r="G16" s="606">
        <f t="shared" si="2"/>
        <v>44728077</v>
      </c>
      <c r="H16" s="606">
        <f t="shared" si="2"/>
        <v>0</v>
      </c>
    </row>
    <row r="17" spans="1:8" s="160" customFormat="1" ht="17.25" customHeight="1">
      <c r="A17" s="601" t="s">
        <v>56</v>
      </c>
      <c r="B17" s="601" t="s">
        <v>57</v>
      </c>
      <c r="C17" s="602"/>
      <c r="D17" s="602"/>
      <c r="E17" s="602">
        <f t="array" ref="E17">SUM(IF(A17=KHN,TH))</f>
        <v>10000000</v>
      </c>
      <c r="F17" s="602">
        <f t="array" ref="F17">SUM(IF(A17=KHC,TH))</f>
        <v>10000000</v>
      </c>
      <c r="G17" s="603">
        <f t="shared" ref="G17:G32" si="3">MAX(C17+E17-D17-F17,0)</f>
        <v>0</v>
      </c>
      <c r="H17" s="603">
        <f t="shared" ref="H17:H32" si="4">MAX(D17+F17-E17-C17,0)</f>
        <v>0</v>
      </c>
    </row>
    <row r="18" spans="1:8" s="160" customFormat="1" ht="17.25" customHeight="1">
      <c r="A18" s="605" t="s">
        <v>58</v>
      </c>
      <c r="B18" s="605" t="s">
        <v>59</v>
      </c>
      <c r="C18" s="606">
        <f>C17</f>
        <v>0</v>
      </c>
      <c r="D18" s="606">
        <f>D17</f>
        <v>0</v>
      </c>
      <c r="E18" s="606">
        <f>E17</f>
        <v>10000000</v>
      </c>
      <c r="F18" s="606">
        <f>F17</f>
        <v>10000000</v>
      </c>
      <c r="G18" s="606">
        <f t="shared" si="3"/>
        <v>0</v>
      </c>
      <c r="H18" s="606">
        <f t="shared" si="4"/>
        <v>0</v>
      </c>
    </row>
    <row r="19" spans="1:8" s="160" customFormat="1" ht="17.25" customHeight="1">
      <c r="A19" s="601" t="s">
        <v>158</v>
      </c>
      <c r="B19" s="601" t="s">
        <v>159</v>
      </c>
      <c r="C19" s="602">
        <v>608505300</v>
      </c>
      <c r="D19" s="602"/>
      <c r="E19" s="602">
        <f t="array" ref="E19">SUM(IF(A19=KHN,TH))</f>
        <v>2424883680</v>
      </c>
      <c r="F19" s="602">
        <f t="array" ref="F19">SUM(IF(A19=KHC,TH))</f>
        <v>2343697680</v>
      </c>
      <c r="G19" s="603">
        <f t="shared" si="3"/>
        <v>689691300</v>
      </c>
      <c r="H19" s="603">
        <f t="shared" si="4"/>
        <v>0</v>
      </c>
    </row>
    <row r="20" spans="1:8" s="160" customFormat="1" ht="17.25" customHeight="1">
      <c r="A20" s="601" t="s">
        <v>160</v>
      </c>
      <c r="B20" s="601" t="s">
        <v>161</v>
      </c>
      <c r="C20" s="602"/>
      <c r="D20" s="602"/>
      <c r="E20" s="602">
        <f t="array" ref="E20">SUM(IF(A20=KHN,TH))</f>
        <v>64388000</v>
      </c>
      <c r="F20" s="602">
        <f t="array" ref="F20">SUM(IF(A20=KHC,TH))</f>
        <v>64035200</v>
      </c>
      <c r="G20" s="602">
        <f t="shared" si="3"/>
        <v>352800</v>
      </c>
      <c r="H20" s="602">
        <f t="shared" si="4"/>
        <v>0</v>
      </c>
    </row>
    <row r="21" spans="1:8" s="160" customFormat="1" ht="17.25" customHeight="1">
      <c r="A21" s="605" t="s">
        <v>162</v>
      </c>
      <c r="B21" s="605" t="s">
        <v>163</v>
      </c>
      <c r="C21" s="606">
        <f>C19+C20</f>
        <v>608505300</v>
      </c>
      <c r="D21" s="606">
        <f>D19+D20</f>
        <v>0</v>
      </c>
      <c r="E21" s="606">
        <f>E19+E20</f>
        <v>2489271680</v>
      </c>
      <c r="F21" s="606">
        <f>F19+F20</f>
        <v>2407732880</v>
      </c>
      <c r="G21" s="606">
        <f t="shared" si="3"/>
        <v>690044100</v>
      </c>
      <c r="H21" s="606">
        <f t="shared" si="4"/>
        <v>0</v>
      </c>
    </row>
    <row r="22" spans="1:8" s="160" customFormat="1" ht="17.25" customHeight="1">
      <c r="A22" s="605" t="s">
        <v>164</v>
      </c>
      <c r="B22" s="605" t="s">
        <v>165</v>
      </c>
      <c r="C22" s="606"/>
      <c r="D22" s="606">
        <v>0</v>
      </c>
      <c r="E22" s="607">
        <f t="array" ref="E22">SUM(IF(A22=KHN,TH))</f>
        <v>2682206880</v>
      </c>
      <c r="F22" s="607">
        <f t="array" ref="F22">SUM(IF(A22=KHC,TH))</f>
        <v>2682206880</v>
      </c>
      <c r="G22" s="606">
        <f t="shared" si="3"/>
        <v>0</v>
      </c>
      <c r="H22" s="606">
        <f t="shared" si="4"/>
        <v>0</v>
      </c>
    </row>
    <row r="23" spans="1:8" s="160" customFormat="1" ht="17.25" customHeight="1">
      <c r="A23" s="605" t="s">
        <v>166</v>
      </c>
      <c r="B23" s="605" t="s">
        <v>167</v>
      </c>
      <c r="C23" s="606"/>
      <c r="D23" s="606"/>
      <c r="E23" s="607">
        <f t="array" ref="E23">SUM(IF(A23=KHN,TH))</f>
        <v>2682206880</v>
      </c>
      <c r="F23" s="607">
        <f t="array" ref="F23">SUM(IF(A23=KHC,TH))</f>
        <v>2682206880</v>
      </c>
      <c r="G23" s="606">
        <f t="shared" si="3"/>
        <v>0</v>
      </c>
      <c r="H23" s="606">
        <f t="shared" si="4"/>
        <v>0</v>
      </c>
    </row>
    <row r="24" spans="1:8" s="160" customFormat="1" ht="17.25" customHeight="1">
      <c r="A24" s="608" t="s">
        <v>168</v>
      </c>
      <c r="B24" s="609" t="s">
        <v>715</v>
      </c>
      <c r="C24" s="610">
        <v>1365000000</v>
      </c>
      <c r="D24" s="610"/>
      <c r="E24" s="602">
        <f t="array" ref="E24">SUM(IF(A24=KHN,TH))</f>
        <v>621363636</v>
      </c>
      <c r="F24" s="602">
        <f t="array" ref="F24">SUM(IF(A24=KHC,TH))</f>
        <v>865000000</v>
      </c>
      <c r="G24" s="610">
        <f t="shared" si="3"/>
        <v>1121363636</v>
      </c>
      <c r="H24" s="610">
        <f t="shared" si="4"/>
        <v>0</v>
      </c>
    </row>
    <row r="25" spans="1:8" s="160" customFormat="1" ht="17.25" customHeight="1">
      <c r="A25" s="605" t="s">
        <v>169</v>
      </c>
      <c r="B25" s="605" t="s">
        <v>170</v>
      </c>
      <c r="C25" s="606">
        <f t="shared" ref="C25:H25" si="5">SUM(C24:C24)</f>
        <v>1365000000</v>
      </c>
      <c r="D25" s="606">
        <f t="shared" si="5"/>
        <v>0</v>
      </c>
      <c r="E25" s="606">
        <f t="shared" si="5"/>
        <v>621363636</v>
      </c>
      <c r="F25" s="606">
        <f t="shared" si="5"/>
        <v>865000000</v>
      </c>
      <c r="G25" s="606">
        <f t="shared" si="5"/>
        <v>1121363636</v>
      </c>
      <c r="H25" s="606">
        <f t="shared" si="5"/>
        <v>0</v>
      </c>
    </row>
    <row r="26" spans="1:8" s="160" customFormat="1" ht="17.25" customHeight="1">
      <c r="A26" s="601" t="s">
        <v>259</v>
      </c>
      <c r="B26" s="601" t="s">
        <v>267</v>
      </c>
      <c r="C26" s="602"/>
      <c r="D26" s="602">
        <v>404250000</v>
      </c>
      <c r="E26" s="602">
        <f t="array" ref="E26">SUM(IF(A26=KHN,TH))</f>
        <v>415000000</v>
      </c>
      <c r="F26" s="602">
        <f t="array" ref="F26">SUM(IF(A26=KHC,TH))</f>
        <v>73250000</v>
      </c>
      <c r="G26" s="602">
        <f>MAX(C26+E26-D26-F26,0)</f>
        <v>0</v>
      </c>
      <c r="H26" s="602">
        <f>MAX(D26+F26-E26-C26,0)</f>
        <v>62500000</v>
      </c>
    </row>
    <row r="27" spans="1:8" s="160" customFormat="1" ht="17.25" customHeight="1">
      <c r="A27" s="605" t="s">
        <v>268</v>
      </c>
      <c r="B27" s="605" t="s">
        <v>269</v>
      </c>
      <c r="C27" s="606">
        <f>C26</f>
        <v>0</v>
      </c>
      <c r="D27" s="606">
        <f t="shared" ref="D27:H27" si="6">D26</f>
        <v>404250000</v>
      </c>
      <c r="E27" s="606">
        <f t="shared" si="6"/>
        <v>415000000</v>
      </c>
      <c r="F27" s="606">
        <f t="shared" si="6"/>
        <v>73250000</v>
      </c>
      <c r="G27" s="606">
        <f t="shared" si="6"/>
        <v>0</v>
      </c>
      <c r="H27" s="606">
        <f t="shared" si="6"/>
        <v>62500000</v>
      </c>
    </row>
    <row r="28" spans="1:8" s="160" customFormat="1" ht="17.25" customHeight="1">
      <c r="A28" s="605" t="s">
        <v>8</v>
      </c>
      <c r="B28" s="605" t="s">
        <v>60</v>
      </c>
      <c r="C28" s="606"/>
      <c r="D28" s="606">
        <v>1931571140</v>
      </c>
      <c r="E28" s="607">
        <f t="array" ref="E28">SUM(IF(A28=KHN,TH))</f>
        <v>2978391843</v>
      </c>
      <c r="F28" s="607">
        <f t="array" ref="F28">SUM(IF(A28=KHC,TH))</f>
        <v>3581080178</v>
      </c>
      <c r="G28" s="606">
        <f t="shared" si="3"/>
        <v>0</v>
      </c>
      <c r="H28" s="606">
        <f t="shared" si="4"/>
        <v>2534259475</v>
      </c>
    </row>
    <row r="29" spans="1:8" s="160" customFormat="1" ht="17.25" customHeight="1">
      <c r="A29" s="612" t="s">
        <v>367</v>
      </c>
      <c r="B29" s="601" t="s">
        <v>366</v>
      </c>
      <c r="C29" s="602"/>
      <c r="D29" s="602"/>
      <c r="E29" s="602">
        <f t="array" ref="E29">SUM(IF(A29=KHN,TH))</f>
        <v>358510599</v>
      </c>
      <c r="F29" s="602">
        <f t="array" ref="F29">SUM(IF(A29=KHC,TH))</f>
        <v>358510599</v>
      </c>
      <c r="G29" s="602">
        <f t="shared" ref="G29" si="7">MAX(C29+E29-D29-F29,0)</f>
        <v>0</v>
      </c>
      <c r="H29" s="602">
        <f t="shared" ref="H29" si="8">MAX(D29+F29-E29-C29,0)</f>
        <v>0</v>
      </c>
    </row>
    <row r="30" spans="1:8" s="160" customFormat="1" ht="17.25" customHeight="1">
      <c r="A30" s="601" t="s">
        <v>61</v>
      </c>
      <c r="B30" s="601" t="s">
        <v>62</v>
      </c>
      <c r="C30" s="602"/>
      <c r="D30" s="602"/>
      <c r="E30" s="602">
        <f t="array" ref="E30">SUM(IF(A30=KHN,TH))</f>
        <v>0</v>
      </c>
      <c r="F30" s="602">
        <f t="array" ref="F30">SUM(IF(A30=KHC,TH))</f>
        <v>0</v>
      </c>
      <c r="G30" s="602">
        <f t="shared" si="3"/>
        <v>0</v>
      </c>
      <c r="H30" s="602">
        <f t="shared" si="4"/>
        <v>0</v>
      </c>
    </row>
    <row r="31" spans="1:8" s="160" customFormat="1" ht="17.25" customHeight="1">
      <c r="A31" s="601" t="s">
        <v>265</v>
      </c>
      <c r="B31" s="601" t="s">
        <v>266</v>
      </c>
      <c r="C31" s="602"/>
      <c r="D31" s="602"/>
      <c r="E31" s="602">
        <f t="array" ref="E31">SUM(IF(A31=KHN,TH))</f>
        <v>0</v>
      </c>
      <c r="F31" s="602">
        <f t="array" ref="F31">SUM(IF(A31=KHC,TH))</f>
        <v>0</v>
      </c>
      <c r="G31" s="602">
        <f t="shared" si="3"/>
        <v>0</v>
      </c>
      <c r="H31" s="602">
        <f t="shared" si="4"/>
        <v>0</v>
      </c>
    </row>
    <row r="32" spans="1:8" s="160" customFormat="1" ht="17.25" customHeight="1">
      <c r="A32" s="612" t="s">
        <v>63</v>
      </c>
      <c r="B32" s="613" t="s">
        <v>64</v>
      </c>
      <c r="C32" s="614"/>
      <c r="D32" s="614"/>
      <c r="E32" s="614">
        <f t="array" ref="E32">SUM(IF(A32=KHN,TH))</f>
        <v>1000000</v>
      </c>
      <c r="F32" s="614">
        <f t="array" ref="F32">SUM(IF(A32=KHC,TH))</f>
        <v>1000000</v>
      </c>
      <c r="G32" s="614">
        <f t="shared" si="3"/>
        <v>0</v>
      </c>
      <c r="H32" s="614">
        <f t="shared" si="4"/>
        <v>0</v>
      </c>
    </row>
    <row r="33" spans="1:10" s="160" customFormat="1" ht="17.25" customHeight="1">
      <c r="A33" s="601" t="s">
        <v>18</v>
      </c>
      <c r="B33" s="601" t="s">
        <v>65</v>
      </c>
      <c r="C33" s="602">
        <f>C32</f>
        <v>0</v>
      </c>
      <c r="D33" s="602">
        <f t="shared" ref="D33:H33" si="9">D32</f>
        <v>0</v>
      </c>
      <c r="E33" s="602">
        <f t="shared" si="9"/>
        <v>1000000</v>
      </c>
      <c r="F33" s="602">
        <f t="shared" si="9"/>
        <v>1000000</v>
      </c>
      <c r="G33" s="602">
        <f t="shared" si="9"/>
        <v>0</v>
      </c>
      <c r="H33" s="602">
        <f t="shared" si="9"/>
        <v>0</v>
      </c>
    </row>
    <row r="34" spans="1:10" s="160" customFormat="1" ht="17.25" customHeight="1">
      <c r="A34" s="605" t="s">
        <v>66</v>
      </c>
      <c r="B34" s="605" t="s">
        <v>67</v>
      </c>
      <c r="C34" s="606">
        <f>C30+C33+C31+C29</f>
        <v>0</v>
      </c>
      <c r="D34" s="606">
        <f t="shared" ref="D34:H34" si="10">D30+D33+D31+D29</f>
        <v>0</v>
      </c>
      <c r="E34" s="606">
        <f t="shared" si="10"/>
        <v>359510599</v>
      </c>
      <c r="F34" s="606">
        <f t="shared" si="10"/>
        <v>359510599</v>
      </c>
      <c r="G34" s="606">
        <f t="shared" si="10"/>
        <v>0</v>
      </c>
      <c r="H34" s="606">
        <f t="shared" si="10"/>
        <v>0</v>
      </c>
    </row>
    <row r="35" spans="1:10" s="160" customFormat="1" ht="17.25" customHeight="1">
      <c r="A35" s="601" t="s">
        <v>261</v>
      </c>
      <c r="B35" s="601" t="s">
        <v>262</v>
      </c>
      <c r="C35" s="602">
        <v>0</v>
      </c>
      <c r="D35" s="602">
        <v>0</v>
      </c>
      <c r="E35" s="602">
        <f t="array" ref="E35">SUM(IF(A35=KHN,TH))</f>
        <v>301635000</v>
      </c>
      <c r="F35" s="602">
        <f t="array" ref="F35">SUM(IF(A35=KHC,TH))</f>
        <v>301635000</v>
      </c>
      <c r="G35" s="602">
        <f t="shared" ref="G35:G37" si="11">MAX(C35+E35-D35-F35,0)</f>
        <v>0</v>
      </c>
      <c r="H35" s="602">
        <f t="shared" ref="H35:H37" si="12">MAX(D35+F35-E35-C35,0)</f>
        <v>0</v>
      </c>
    </row>
    <row r="36" spans="1:10" s="160" customFormat="1" ht="17.25" customHeight="1">
      <c r="A36" s="605" t="s">
        <v>263</v>
      </c>
      <c r="B36" s="605" t="s">
        <v>264</v>
      </c>
      <c r="C36" s="606">
        <f>C35</f>
        <v>0</v>
      </c>
      <c r="D36" s="606">
        <f>D35</f>
        <v>0</v>
      </c>
      <c r="E36" s="606">
        <f>E35</f>
        <v>301635000</v>
      </c>
      <c r="F36" s="606">
        <f>F35</f>
        <v>301635000</v>
      </c>
      <c r="G36" s="606">
        <f t="shared" si="11"/>
        <v>0</v>
      </c>
      <c r="H36" s="606">
        <f t="shared" si="12"/>
        <v>0</v>
      </c>
    </row>
    <row r="37" spans="1:10" s="160" customFormat="1" ht="17.25" customHeight="1">
      <c r="A37" s="601" t="s">
        <v>17</v>
      </c>
      <c r="B37" s="601" t="s">
        <v>68</v>
      </c>
      <c r="C37" s="602"/>
      <c r="D37" s="602">
        <v>113654908</v>
      </c>
      <c r="E37" s="602">
        <f t="array" ref="E37">SUM(IF(A37=KHN,TH))</f>
        <v>0</v>
      </c>
      <c r="F37" s="602">
        <f t="array" ref="F37">SUM(IF(A37=KHC,TH))</f>
        <v>74403233</v>
      </c>
      <c r="G37" s="602">
        <f t="shared" si="11"/>
        <v>0</v>
      </c>
      <c r="H37" s="602">
        <f t="shared" si="12"/>
        <v>188058141</v>
      </c>
    </row>
    <row r="38" spans="1:10" s="160" customFormat="1" ht="17.25" customHeight="1">
      <c r="A38" s="605" t="s">
        <v>69</v>
      </c>
      <c r="B38" s="605" t="s">
        <v>70</v>
      </c>
      <c r="C38" s="606">
        <f t="shared" ref="C38:H38" si="13">SUM(C37:C37)</f>
        <v>0</v>
      </c>
      <c r="D38" s="606">
        <f t="shared" si="13"/>
        <v>113654908</v>
      </c>
      <c r="E38" s="606">
        <f t="shared" si="13"/>
        <v>0</v>
      </c>
      <c r="F38" s="606">
        <f t="shared" si="13"/>
        <v>74403233</v>
      </c>
      <c r="G38" s="606">
        <f t="shared" si="13"/>
        <v>0</v>
      </c>
      <c r="H38" s="606">
        <f t="shared" si="13"/>
        <v>188058141</v>
      </c>
    </row>
    <row r="39" spans="1:10" s="823" customFormat="1" ht="13.5">
      <c r="A39" s="819" t="s">
        <v>755</v>
      </c>
      <c r="B39" s="820" t="s">
        <v>758</v>
      </c>
      <c r="C39" s="821"/>
      <c r="D39" s="821">
        <v>1814423000</v>
      </c>
      <c r="E39" s="822">
        <f t="array" ref="E39">SUM(IF(A39=KHN,TH))</f>
        <v>2213572000</v>
      </c>
      <c r="F39" s="822">
        <f t="array" ref="F39">SUM(IF(A39=KHC,TH))</f>
        <v>869149000</v>
      </c>
      <c r="G39" s="821">
        <f>MAX(C39+E39-D39-F39,0)</f>
        <v>0</v>
      </c>
      <c r="H39" s="821">
        <f>MAX(D39+F39-E39-C39,0)</f>
        <v>470000000</v>
      </c>
    </row>
    <row r="40" spans="1:10" s="823" customFormat="1" ht="13.5">
      <c r="A40" s="819" t="s">
        <v>759</v>
      </c>
      <c r="B40" s="820" t="s">
        <v>760</v>
      </c>
      <c r="C40" s="822"/>
      <c r="D40" s="822"/>
      <c r="E40" s="822">
        <f t="array" ref="E40">SUM(IF(A40=KHN,TH))</f>
        <v>240000000</v>
      </c>
      <c r="F40" s="822">
        <f t="array" ref="F40">SUM(IF(A40=KHC,TH))</f>
        <v>3130000000</v>
      </c>
      <c r="G40" s="822">
        <f>MAX(C40+E40-D40-F40,0)</f>
        <v>0</v>
      </c>
      <c r="H40" s="822">
        <f>MAX(D40+F40-E40-C40,0)</f>
        <v>2890000000</v>
      </c>
    </row>
    <row r="41" spans="1:10" s="823" customFormat="1" ht="13.5">
      <c r="A41" s="824" t="s">
        <v>752</v>
      </c>
      <c r="B41" s="825" t="s">
        <v>761</v>
      </c>
      <c r="C41" s="826">
        <f t="shared" ref="C41:H41" si="14">SUM(C39:C40)</f>
        <v>0</v>
      </c>
      <c r="D41" s="826">
        <f t="shared" si="14"/>
        <v>1814423000</v>
      </c>
      <c r="E41" s="826">
        <f t="shared" si="14"/>
        <v>2453572000</v>
      </c>
      <c r="F41" s="826">
        <f t="shared" si="14"/>
        <v>3999149000</v>
      </c>
      <c r="G41" s="826">
        <f t="shared" si="14"/>
        <v>0</v>
      </c>
      <c r="H41" s="826">
        <f t="shared" si="14"/>
        <v>3360000000</v>
      </c>
    </row>
    <row r="42" spans="1:10" s="160" customFormat="1" ht="17.25" customHeight="1">
      <c r="A42" s="601" t="s">
        <v>25</v>
      </c>
      <c r="B42" s="601" t="s">
        <v>71</v>
      </c>
      <c r="C42" s="602"/>
      <c r="D42" s="866">
        <v>1900000000</v>
      </c>
      <c r="E42" s="602">
        <f t="array" ref="E42">SUM(IF(A42=KHN,TH))</f>
        <v>0</v>
      </c>
      <c r="F42" s="602">
        <f t="array" ref="F42">SUM(IF(A42=KHC,TH))</f>
        <v>0</v>
      </c>
      <c r="G42" s="603">
        <f>MAX(C42+E42-D42-F42,0)</f>
        <v>0</v>
      </c>
      <c r="H42" s="603">
        <f>MAX(D42+F42-E42-C42,0)</f>
        <v>1900000000</v>
      </c>
    </row>
    <row r="43" spans="1:10" s="160" customFormat="1" ht="17.25" customHeight="1">
      <c r="A43" s="605" t="s">
        <v>72</v>
      </c>
      <c r="B43" s="605" t="s">
        <v>73</v>
      </c>
      <c r="C43" s="606">
        <v>0</v>
      </c>
      <c r="D43" s="606">
        <f>D42</f>
        <v>1900000000</v>
      </c>
      <c r="E43" s="606">
        <f>E42</f>
        <v>0</v>
      </c>
      <c r="F43" s="606">
        <f>F42</f>
        <v>0</v>
      </c>
      <c r="G43" s="606">
        <f>MAX(C43+E43-D43-F43,0)</f>
        <v>0</v>
      </c>
      <c r="H43" s="606">
        <f>MAX(D43+F43-E43-C43,0)</f>
        <v>1900000000</v>
      </c>
    </row>
    <row r="44" spans="1:10" s="160" customFormat="1" ht="17.25" customHeight="1">
      <c r="A44" s="600" t="s">
        <v>74</v>
      </c>
      <c r="B44" s="601" t="s">
        <v>75</v>
      </c>
      <c r="C44" s="602"/>
      <c r="D44" s="602">
        <v>71677077</v>
      </c>
      <c r="E44" s="602">
        <f t="array" ref="E44">SUM(IF(A44=KHN,TH))</f>
        <v>0</v>
      </c>
      <c r="F44" s="602">
        <f t="array" ref="F44">SUM(IF(A44=KHC,TH))</f>
        <v>0</v>
      </c>
      <c r="G44" s="603">
        <f>MAX(C44+E44-D44-F44,0)</f>
        <v>0</v>
      </c>
      <c r="H44" s="603">
        <f>MAX(D44+F44-E44-C44,0)</f>
        <v>71677077</v>
      </c>
    </row>
    <row r="45" spans="1:10" s="160" customFormat="1" ht="17.25" customHeight="1">
      <c r="A45" s="601" t="s">
        <v>76</v>
      </c>
      <c r="B45" s="601" t="s">
        <v>77</v>
      </c>
      <c r="C45" s="602"/>
      <c r="D45" s="602"/>
      <c r="E45" s="602">
        <f t="array" ref="E45">SUM(IF(A45=TH!$L$10:$L$3399,TH!$K$10:$K$3399))</f>
        <v>16647919</v>
      </c>
      <c r="F45" s="602">
        <f t="array" ref="F45">SUM(IF(A45=TH!$M$10:$M$3399,TH!$K$10:$K$3399))</f>
        <v>0</v>
      </c>
      <c r="G45" s="602">
        <f>MAX(C45+E45-D45-F45,0)</f>
        <v>16647919</v>
      </c>
      <c r="H45" s="602">
        <f>MAX(D45+F45-E45-C45,0)</f>
        <v>0</v>
      </c>
      <c r="J45" s="282"/>
    </row>
    <row r="46" spans="1:10" s="160" customFormat="1" ht="17.25" customHeight="1">
      <c r="A46" s="605" t="s">
        <v>78</v>
      </c>
      <c r="B46" s="605" t="s">
        <v>79</v>
      </c>
      <c r="C46" s="606">
        <f t="shared" ref="C46:H46" si="15">C45+C44</f>
        <v>0</v>
      </c>
      <c r="D46" s="606">
        <f t="shared" si="15"/>
        <v>71677077</v>
      </c>
      <c r="E46" s="606">
        <f t="shared" si="15"/>
        <v>16647919</v>
      </c>
      <c r="F46" s="606">
        <f t="shared" si="15"/>
        <v>0</v>
      </c>
      <c r="G46" s="606">
        <f t="shared" si="15"/>
        <v>16647919</v>
      </c>
      <c r="H46" s="606">
        <f t="shared" si="15"/>
        <v>71677077</v>
      </c>
    </row>
    <row r="47" spans="1:10" s="160" customFormat="1" ht="17.25" customHeight="1">
      <c r="A47" s="600" t="s">
        <v>1361</v>
      </c>
      <c r="B47" s="601" t="s">
        <v>1362</v>
      </c>
      <c r="C47" s="602"/>
      <c r="D47" s="602"/>
      <c r="E47" s="602">
        <f t="array" ref="E47">SUM(IF(A47=KHN,TH))</f>
        <v>12319600</v>
      </c>
      <c r="F47" s="602">
        <f t="array" ref="F47">SUM(IF(A47=KHC,TH))</f>
        <v>12319600</v>
      </c>
      <c r="G47" s="602"/>
      <c r="H47" s="602"/>
      <c r="I47" s="160">
        <f>E47-F47</f>
        <v>0</v>
      </c>
    </row>
    <row r="48" spans="1:10" s="160" customFormat="1" ht="17.25" customHeight="1">
      <c r="A48" s="600" t="s">
        <v>173</v>
      </c>
      <c r="B48" s="601" t="s">
        <v>174</v>
      </c>
      <c r="C48" s="602"/>
      <c r="D48" s="602"/>
      <c r="E48" s="602">
        <f t="array" ref="E48">SUM(IF(A48=KHN,TH))</f>
        <v>2732990433</v>
      </c>
      <c r="F48" s="602">
        <f t="array" ref="F48">SUM(IF(A48=KHC,TH))</f>
        <v>2732990433</v>
      </c>
      <c r="G48" s="602"/>
      <c r="H48" s="602"/>
      <c r="I48" s="160">
        <f>E48-F48</f>
        <v>0</v>
      </c>
    </row>
    <row r="49" spans="1:9" s="160" customFormat="1" ht="17.25" customHeight="1">
      <c r="A49" s="605" t="s">
        <v>175</v>
      </c>
      <c r="B49" s="605" t="s">
        <v>176</v>
      </c>
      <c r="C49" s="606">
        <f>C47+C48</f>
        <v>0</v>
      </c>
      <c r="D49" s="606">
        <f t="shared" ref="D49:H49" si="16">D47+D48</f>
        <v>0</v>
      </c>
      <c r="E49" s="606">
        <f t="shared" si="16"/>
        <v>2745310033</v>
      </c>
      <c r="F49" s="606">
        <f t="shared" si="16"/>
        <v>2745310033</v>
      </c>
      <c r="G49" s="606">
        <f t="shared" si="16"/>
        <v>0</v>
      </c>
      <c r="H49" s="606">
        <f t="shared" si="16"/>
        <v>0</v>
      </c>
      <c r="I49" s="160">
        <f>E49-F49</f>
        <v>0</v>
      </c>
    </row>
    <row r="50" spans="1:9" s="160" customFormat="1" ht="17.25" customHeight="1">
      <c r="A50" s="605" t="s">
        <v>40</v>
      </c>
      <c r="B50" s="605" t="s">
        <v>80</v>
      </c>
      <c r="C50" s="606"/>
      <c r="D50" s="606"/>
      <c r="E50" s="607">
        <f t="array" ref="E50">SUM(IF(A50=KHN,TH))</f>
        <v>50070</v>
      </c>
      <c r="F50" s="607">
        <f t="array" ref="F50">SUM(IF(A50=KHC,TH))</f>
        <v>50070</v>
      </c>
      <c r="G50" s="606"/>
      <c r="H50" s="606"/>
      <c r="I50" s="160">
        <f t="shared" ref="I50:I58" si="17">E50-F50</f>
        <v>0</v>
      </c>
    </row>
    <row r="51" spans="1:9" s="160" customFormat="1" ht="17.25" customHeight="1">
      <c r="A51" s="605" t="s">
        <v>171</v>
      </c>
      <c r="B51" s="605" t="s">
        <v>172</v>
      </c>
      <c r="C51" s="606"/>
      <c r="D51" s="606"/>
      <c r="E51" s="607">
        <f t="array" ref="E51">SUM(IF(A51=KHN,TH))</f>
        <v>2726702880</v>
      </c>
      <c r="F51" s="607">
        <f t="array" ref="F51">SUM(IF(A51=KHC,TH))</f>
        <v>2726702880</v>
      </c>
      <c r="G51" s="606"/>
      <c r="H51" s="606"/>
      <c r="I51" s="160">
        <f t="shared" si="17"/>
        <v>0</v>
      </c>
    </row>
    <row r="52" spans="1:9" s="160" customFormat="1" ht="17.25" customHeight="1">
      <c r="A52" s="605" t="s">
        <v>81</v>
      </c>
      <c r="B52" s="605" t="s">
        <v>82</v>
      </c>
      <c r="C52" s="606"/>
      <c r="D52" s="606"/>
      <c r="E52" s="607">
        <f t="array" ref="E52">SUM(IF(A52=KHN,TH))</f>
        <v>189277534</v>
      </c>
      <c r="F52" s="607">
        <f t="array" ref="F52">SUM(IF(A52=KHC,TH))</f>
        <v>189277534</v>
      </c>
      <c r="G52" s="606"/>
      <c r="H52" s="606"/>
      <c r="I52" s="160">
        <f t="shared" si="17"/>
        <v>0</v>
      </c>
    </row>
    <row r="53" spans="1:9" s="160" customFormat="1" ht="17.25" customHeight="1">
      <c r="A53" s="611" t="s">
        <v>260</v>
      </c>
      <c r="B53" s="605" t="s">
        <v>327</v>
      </c>
      <c r="C53" s="606"/>
      <c r="D53" s="606"/>
      <c r="E53" s="607">
        <f t="array" ref="E53">SUM(IF(A53=KHN,TH))</f>
        <v>0</v>
      </c>
      <c r="F53" s="607">
        <f t="array" ref="F53">SUM(IF(A53=KHC,TH))</f>
        <v>0</v>
      </c>
      <c r="G53" s="606"/>
      <c r="H53" s="606"/>
      <c r="I53" s="160">
        <f>E53-F53</f>
        <v>0</v>
      </c>
    </row>
    <row r="54" spans="1:9" s="160" customFormat="1" ht="17.25" customHeight="1">
      <c r="A54" s="605" t="s">
        <v>83</v>
      </c>
      <c r="B54" s="605" t="s">
        <v>84</v>
      </c>
      <c r="C54" s="606"/>
      <c r="D54" s="606"/>
      <c r="E54" s="607">
        <f t="array" ref="E54">SUM(IF(A54=KHN,TH))</f>
        <v>236027608</v>
      </c>
      <c r="F54" s="607">
        <f t="array" ref="F54">SUM(IF(A54=KHC,TH))</f>
        <v>236027608</v>
      </c>
      <c r="G54" s="606"/>
      <c r="H54" s="606"/>
      <c r="I54" s="160">
        <f t="shared" si="17"/>
        <v>0</v>
      </c>
    </row>
    <row r="55" spans="1:9" s="160" customFormat="1" ht="17.25" customHeight="1">
      <c r="A55" s="611" t="s">
        <v>85</v>
      </c>
      <c r="B55" s="605" t="s">
        <v>86</v>
      </c>
      <c r="C55" s="606"/>
      <c r="D55" s="606"/>
      <c r="E55" s="607">
        <f t="array" ref="E55">SUM(IF(A55=KHN,TH))</f>
        <v>840000000</v>
      </c>
      <c r="F55" s="607">
        <f t="array" ref="F55">SUM(IF(A55=KHC,TH))</f>
        <v>840000000</v>
      </c>
      <c r="G55" s="606"/>
      <c r="H55" s="606"/>
      <c r="I55" s="160">
        <f t="shared" si="17"/>
        <v>0</v>
      </c>
    </row>
    <row r="56" spans="1:9" s="160" customFormat="1" ht="17.25" customHeight="1">
      <c r="A56" s="605" t="s">
        <v>87</v>
      </c>
      <c r="B56" s="605" t="s">
        <v>88</v>
      </c>
      <c r="C56" s="606"/>
      <c r="D56" s="606"/>
      <c r="E56" s="607">
        <f t="array" ref="E56">SUM(IF(A56=KHN,TH))</f>
        <v>450000000</v>
      </c>
      <c r="F56" s="607">
        <f t="array" ref="F56">SUM(IF(A56=KHC,TH))</f>
        <v>450000000</v>
      </c>
      <c r="G56" s="606"/>
      <c r="H56" s="606"/>
      <c r="I56" s="160">
        <f t="shared" si="17"/>
        <v>0</v>
      </c>
    </row>
    <row r="57" spans="1:9" s="160" customFormat="1" ht="17.25" customHeight="1">
      <c r="A57" s="611" t="s">
        <v>89</v>
      </c>
      <c r="B57" s="605" t="s">
        <v>90</v>
      </c>
      <c r="C57" s="606"/>
      <c r="D57" s="606"/>
      <c r="E57" s="607">
        <f t="array" ref="E57">SUM(IF(A57=KHN,TH))</f>
        <v>0</v>
      </c>
      <c r="F57" s="607">
        <f t="array" ref="F57">SUM(IF(A57=KHC,TH))</f>
        <v>0</v>
      </c>
      <c r="G57" s="606"/>
      <c r="H57" s="606"/>
      <c r="I57" s="160">
        <f t="shared" si="17"/>
        <v>0</v>
      </c>
    </row>
    <row r="58" spans="1:9" s="160" customFormat="1" ht="17.25" customHeight="1">
      <c r="A58" s="605" t="s">
        <v>91</v>
      </c>
      <c r="B58" s="605" t="s">
        <v>92</v>
      </c>
      <c r="C58" s="606"/>
      <c r="D58" s="606"/>
      <c r="E58" s="615">
        <f t="array" ref="E58">SUM(IF(A58=KHN,TH))</f>
        <v>3602008022</v>
      </c>
      <c r="F58" s="615">
        <f t="array" ref="F58">SUM(IF(A58=TH!$M$10:$M$3399,TH!$K$10:$K$3399))</f>
        <v>3602008022</v>
      </c>
      <c r="G58" s="606"/>
      <c r="H58" s="606"/>
      <c r="I58" s="160">
        <f t="shared" si="17"/>
        <v>0</v>
      </c>
    </row>
    <row r="59" spans="1:9" s="160" customFormat="1" ht="17.25" customHeight="1">
      <c r="A59" s="954" t="s">
        <v>39</v>
      </c>
      <c r="B59" s="955"/>
      <c r="C59" s="616">
        <f>C11+C13+C14+C16+C18+C21+C22+C23+C25+C27+C28+C34+C36+C38+C41+C43+C46+C49+C50+C51+C52+C53+C54+C55+C56+C57+C58</f>
        <v>6235576125</v>
      </c>
      <c r="D59" s="616">
        <f t="shared" ref="D59:H59" si="18">D11+D13+D14+D16+D18+D21+D22+D23+D25+D27+D28+D34+D36+D38+D41+D43+D46+D49+D50+D51+D52+D53+D54+D55+D56+D57+D58</f>
        <v>6235576125</v>
      </c>
      <c r="E59" s="616">
        <f t="shared" si="18"/>
        <v>43978108206</v>
      </c>
      <c r="F59" s="616">
        <f t="shared" si="18"/>
        <v>43978108206</v>
      </c>
      <c r="G59" s="616">
        <f t="shared" si="18"/>
        <v>8116494693</v>
      </c>
      <c r="H59" s="616">
        <f t="shared" si="18"/>
        <v>8116494693</v>
      </c>
    </row>
    <row r="60" spans="1:9">
      <c r="E60" s="617"/>
      <c r="F60" s="618"/>
    </row>
    <row r="61" spans="1:9">
      <c r="D61" s="160">
        <f>C59-D59</f>
        <v>0</v>
      </c>
      <c r="E61" s="618"/>
      <c r="F61" s="618">
        <f>E59-F59</f>
        <v>0</v>
      </c>
      <c r="H61" s="618">
        <f>G59-H59</f>
        <v>0</v>
      </c>
    </row>
    <row r="62" spans="1:9">
      <c r="E62" s="619"/>
      <c r="F62" s="619"/>
    </row>
    <row r="63" spans="1:9">
      <c r="E63" s="619"/>
      <c r="F63" s="619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16" right="0.11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F3403"/>
  <sheetViews>
    <sheetView tabSelected="1" topLeftCell="A7" workbookViewId="0">
      <pane ySplit="3" topLeftCell="A1911" activePane="bottomLeft" state="frozen"/>
      <selection activeCell="A7" sqref="A7"/>
      <selection pane="bottomLeft" activeCell="H1921" sqref="H1921"/>
    </sheetView>
  </sheetViews>
  <sheetFormatPr defaultRowHeight="12.75"/>
  <cols>
    <col min="1" max="1" width="4.5703125" style="203" customWidth="1"/>
    <col min="2" max="2" width="4.85546875" style="196" customWidth="1"/>
    <col min="3" max="3" width="9.140625" style="196" customWidth="1"/>
    <col min="4" max="4" width="7.7109375" style="196" customWidth="1"/>
    <col min="5" max="5" width="9.140625" style="196" customWidth="1"/>
    <col min="6" max="6" width="45" style="196" customWidth="1"/>
    <col min="7" max="7" width="11.140625" style="452" customWidth="1"/>
    <col min="8" max="8" width="34.85546875" style="210" customWidth="1"/>
    <col min="9" max="9" width="7.85546875" style="210" customWidth="1"/>
    <col min="10" max="10" width="8.85546875" style="210" customWidth="1"/>
    <col min="11" max="11" width="13.140625" style="196" customWidth="1"/>
    <col min="12" max="13" width="7" style="196" customWidth="1"/>
    <col min="14" max="14" width="4.42578125" style="196" hidden="1" customWidth="1"/>
    <col min="15" max="15" width="3.85546875" style="196" hidden="1" customWidth="1"/>
    <col min="16" max="18" width="2.7109375" style="196" hidden="1" customWidth="1"/>
    <col min="19" max="21" width="2.5703125" style="196" hidden="1" customWidth="1"/>
    <col min="22" max="22" width="4.42578125" style="196" hidden="1" customWidth="1"/>
    <col min="23" max="25" width="2.7109375" style="196" hidden="1" customWidth="1"/>
    <col min="26" max="26" width="2.85546875" style="196" hidden="1" customWidth="1"/>
    <col min="27" max="27" width="2.85546875" style="196" customWidth="1"/>
    <col min="28" max="28" width="3.5703125" style="196" customWidth="1"/>
    <col min="29" max="29" width="3.85546875" style="196" customWidth="1"/>
    <col min="30" max="30" width="14" style="196" bestFit="1" customWidth="1"/>
    <col min="31" max="16384" width="9.140625" style="196"/>
  </cols>
  <sheetData>
    <row r="1" spans="1:27" ht="15">
      <c r="A1" s="1" t="s">
        <v>382</v>
      </c>
      <c r="B1" s="31"/>
      <c r="C1" s="31"/>
      <c r="D1" s="32"/>
      <c r="E1" s="32"/>
      <c r="F1" s="33"/>
      <c r="G1" s="44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383</v>
      </c>
      <c r="B2" s="31"/>
      <c r="C2" s="31"/>
      <c r="D2" s="32"/>
      <c r="E2" s="32"/>
      <c r="F2" s="32"/>
      <c r="G2" s="44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4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59" t="s">
        <v>93</v>
      </c>
      <c r="D4" s="959"/>
      <c r="E4" s="959"/>
      <c r="F4" s="959"/>
      <c r="G4" s="959"/>
      <c r="H4" s="959"/>
      <c r="I4" s="959"/>
      <c r="J4" s="959"/>
      <c r="K4" s="959"/>
      <c r="L4" s="959"/>
      <c r="M4" s="959"/>
    </row>
    <row r="5" spans="1:27" ht="14.25">
      <c r="B5" s="42"/>
      <c r="C5" s="960"/>
      <c r="D5" s="960"/>
      <c r="E5" s="960"/>
      <c r="F5" s="960"/>
      <c r="G5" s="960"/>
      <c r="H5" s="960"/>
      <c r="I5" s="960"/>
      <c r="J5" s="960"/>
      <c r="K5" s="960"/>
      <c r="L5" s="960"/>
      <c r="M5" s="960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75" t="s">
        <v>117</v>
      </c>
      <c r="B7" s="977" t="s">
        <v>101</v>
      </c>
      <c r="C7" s="961" t="s">
        <v>20</v>
      </c>
      <c r="D7" s="962" t="s">
        <v>1</v>
      </c>
      <c r="E7" s="963"/>
      <c r="F7" s="961" t="s">
        <v>0</v>
      </c>
      <c r="G7" s="965" t="s">
        <v>116</v>
      </c>
      <c r="H7" s="979" t="s">
        <v>44</v>
      </c>
      <c r="I7" s="984" t="s">
        <v>257</v>
      </c>
      <c r="J7" s="985"/>
      <c r="K7" s="961" t="s">
        <v>156</v>
      </c>
      <c r="L7" s="964" t="s">
        <v>94</v>
      </c>
      <c r="M7" s="964"/>
      <c r="N7" s="982" t="s">
        <v>377</v>
      </c>
      <c r="O7" s="973" t="s">
        <v>752</v>
      </c>
      <c r="P7" s="967" t="s">
        <v>47</v>
      </c>
      <c r="Q7" s="968"/>
      <c r="R7" s="969"/>
      <c r="S7" s="967" t="s">
        <v>51</v>
      </c>
      <c r="T7" s="968"/>
      <c r="U7" s="969"/>
      <c r="V7" s="980" t="str">
        <f>CTTK!$E$7</f>
        <v>642</v>
      </c>
      <c r="W7" s="958" t="s">
        <v>162</v>
      </c>
      <c r="X7" s="958"/>
      <c r="Y7" s="958"/>
      <c r="Z7" s="958" t="s">
        <v>349</v>
      </c>
      <c r="AA7" s="724"/>
    </row>
    <row r="8" spans="1:27" ht="24.75" customHeight="1">
      <c r="A8" s="976"/>
      <c r="B8" s="978"/>
      <c r="C8" s="961"/>
      <c r="D8" s="200" t="s">
        <v>15</v>
      </c>
      <c r="E8" s="199" t="s">
        <v>32</v>
      </c>
      <c r="F8" s="961"/>
      <c r="G8" s="966"/>
      <c r="H8" s="979"/>
      <c r="I8" s="257" t="s">
        <v>202</v>
      </c>
      <c r="J8" s="257" t="s">
        <v>203</v>
      </c>
      <c r="K8" s="961"/>
      <c r="L8" s="201" t="s">
        <v>22</v>
      </c>
      <c r="M8" s="201" t="s">
        <v>23</v>
      </c>
      <c r="N8" s="983"/>
      <c r="O8" s="974"/>
      <c r="P8" s="970"/>
      <c r="Q8" s="971"/>
      <c r="R8" s="972"/>
      <c r="S8" s="970"/>
      <c r="T8" s="971"/>
      <c r="U8" s="972"/>
      <c r="V8" s="981"/>
      <c r="W8" s="958"/>
      <c r="X8" s="958"/>
      <c r="Y8" s="958"/>
      <c r="Z8" s="958"/>
      <c r="AA8" s="724"/>
    </row>
    <row r="9" spans="1:27">
      <c r="A9" s="204">
        <v>1</v>
      </c>
      <c r="B9" s="205">
        <v>2</v>
      </c>
      <c r="C9" s="204">
        <v>3</v>
      </c>
      <c r="D9" s="205">
        <v>4</v>
      </c>
      <c r="E9" s="204">
        <v>5</v>
      </c>
      <c r="F9" s="205">
        <v>6</v>
      </c>
      <c r="G9" s="204">
        <v>7</v>
      </c>
      <c r="H9" s="205">
        <v>8</v>
      </c>
      <c r="I9" s="204">
        <v>9</v>
      </c>
      <c r="J9" s="205">
        <v>10</v>
      </c>
      <c r="K9" s="204">
        <v>11</v>
      </c>
      <c r="L9" s="205">
        <v>12</v>
      </c>
      <c r="M9" s="204">
        <v>13</v>
      </c>
      <c r="N9" s="205">
        <v>16</v>
      </c>
      <c r="O9" s="205"/>
      <c r="P9" s="206">
        <v>17</v>
      </c>
      <c r="Q9" s="205">
        <v>18</v>
      </c>
      <c r="R9" s="206">
        <v>19</v>
      </c>
      <c r="S9" s="205">
        <v>20</v>
      </c>
      <c r="T9" s="205"/>
      <c r="U9" s="205"/>
      <c r="V9" s="206">
        <v>27</v>
      </c>
      <c r="W9" s="205">
        <v>19</v>
      </c>
      <c r="X9" s="205">
        <v>20</v>
      </c>
      <c r="Y9" s="205"/>
      <c r="Z9" s="205">
        <v>21</v>
      </c>
      <c r="AA9" s="725"/>
    </row>
    <row r="10" spans="1:27" s="207" customFormat="1" ht="15.75" customHeight="1">
      <c r="A10" s="202" t="str">
        <f>IF(B10&lt;&gt;"",IF(AND(B10&gt;=_TM1,B10&lt;=_TM2,OR(TH!L10="1111",TH!M10="1111")),TH!D10,""),"")</f>
        <v/>
      </c>
      <c r="B10" s="36">
        <f t="shared" ref="B10:B19" si="0">IF(C10&lt;&gt;"",MONTH(C10),"")</f>
        <v>12</v>
      </c>
      <c r="C10" s="48">
        <f t="shared" ref="C10:C19" si="1">E10</f>
        <v>42735</v>
      </c>
      <c r="D10" s="48" t="s">
        <v>95</v>
      </c>
      <c r="E10" s="48">
        <v>42735</v>
      </c>
      <c r="F10" s="49" t="s">
        <v>274</v>
      </c>
      <c r="G10" s="49"/>
      <c r="H10" s="50"/>
      <c r="I10" s="249"/>
      <c r="J10" s="249"/>
      <c r="K10" s="51">
        <f>SUMIF(KHC,L10,TH)</f>
        <v>358510599</v>
      </c>
      <c r="L10" s="53" t="s">
        <v>367</v>
      </c>
      <c r="M10" s="52" t="s">
        <v>9</v>
      </c>
      <c r="N10" s="52" t="str">
        <f>IF(AND('331-CT'!$E$7=TH!H10,OR(L10="331",M10="331")),"331",IF(AND(OR(L10="131",M10="131"),H10='131-CT'!$E$7),"131",""))</f>
        <v/>
      </c>
      <c r="O10" s="818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26"/>
    </row>
    <row r="11" spans="1:27" s="207" customFormat="1" ht="15.75" customHeight="1">
      <c r="A11" s="202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49"/>
      <c r="J11" s="249"/>
      <c r="K11" s="51">
        <f>SUMIF(KHN,M11,TH)</f>
        <v>2726702880</v>
      </c>
      <c r="L11" s="53" t="s">
        <v>91</v>
      </c>
      <c r="M11" s="52" t="s">
        <v>171</v>
      </c>
      <c r="N11" s="52" t="str">
        <f>IF(AND('331-CT'!$E$7=TH!H11,OR(L11="331",M11="331")),"331",IF(AND(OR(L11="131",M11="131"),H11='131-CT'!$E$7),"131",""))</f>
        <v/>
      </c>
      <c r="O11" s="818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26"/>
    </row>
    <row r="12" spans="1:27" s="207" customFormat="1" ht="15.75" customHeight="1">
      <c r="A12" s="202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96</v>
      </c>
      <c r="G12" s="49"/>
      <c r="H12" s="54"/>
      <c r="I12" s="250"/>
      <c r="J12" s="250"/>
      <c r="K12" s="51">
        <f>SUMIF(KHN,M12,TH)</f>
        <v>189277534</v>
      </c>
      <c r="L12" s="52" t="s">
        <v>91</v>
      </c>
      <c r="M12" s="52" t="s">
        <v>81</v>
      </c>
      <c r="N12" s="52" t="str">
        <f>IF(AND('331-CT'!$E$7=TH!H12,OR(L12="331",M12="331")),"331",IF(AND(OR(L12="131",M12="131"),H12='131-CT'!$E$7),"131",""))</f>
        <v/>
      </c>
      <c r="O12" s="818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26"/>
    </row>
    <row r="13" spans="1:27" s="207" customFormat="1" ht="15.75" customHeight="1">
      <c r="A13" s="202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97</v>
      </c>
      <c r="G13" s="49"/>
      <c r="H13" s="50"/>
      <c r="I13" s="249"/>
      <c r="J13" s="249"/>
      <c r="K13" s="51">
        <f>SUMIF(KHN,M13,TH)</f>
        <v>236027608</v>
      </c>
      <c r="L13" s="52" t="s">
        <v>91</v>
      </c>
      <c r="M13" s="52" t="s">
        <v>83</v>
      </c>
      <c r="N13" s="52" t="str">
        <f>IF(AND('331-CT'!$E$7=TH!H13,OR(L13="331",M13="331")),"331",IF(AND(OR(L13="131",M13="131"),H13='131-CT'!$E$7),"131",""))</f>
        <v/>
      </c>
      <c r="O13" s="818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>x</v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26"/>
    </row>
    <row r="14" spans="1:27" s="207" customFormat="1" ht="15.75" customHeight="1">
      <c r="A14" s="202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98</v>
      </c>
      <c r="G14" s="49"/>
      <c r="H14" s="50"/>
      <c r="I14" s="249"/>
      <c r="J14" s="249"/>
      <c r="K14" s="51">
        <f>SUMIF(KHC,L14,TH)</f>
        <v>50070</v>
      </c>
      <c r="L14" s="53" t="s">
        <v>40</v>
      </c>
      <c r="M14" s="52" t="s">
        <v>91</v>
      </c>
      <c r="N14" s="52" t="str">
        <f>IF(AND('331-CT'!$E$7=TH!H14,OR(L14="331",M14="331")),"331",IF(AND(OR(L14="131",M14="131"),H14='131-CT'!$E$7),"131",""))</f>
        <v/>
      </c>
      <c r="O14" s="818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26"/>
    </row>
    <row r="15" spans="1:27" s="207" customFormat="1" ht="15.75" customHeight="1">
      <c r="A15" s="202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1365</v>
      </c>
      <c r="G15" s="49"/>
      <c r="H15" s="50"/>
      <c r="I15" s="249"/>
      <c r="J15" s="249"/>
      <c r="K15" s="51">
        <f>SUMIF(KHC,L15,TH)</f>
        <v>12319600</v>
      </c>
      <c r="L15" s="52" t="s">
        <v>1361</v>
      </c>
      <c r="M15" s="52" t="s">
        <v>91</v>
      </c>
      <c r="N15" s="52" t="str">
        <f>IF(AND('331-CT'!$E$7=TH!H15,OR(L15="331",M15="331")),"331",IF(AND(OR(L15="131",M15="131"),H15='131-CT'!$E$7),"131",""))</f>
        <v/>
      </c>
      <c r="O15" s="818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26"/>
    </row>
    <row r="16" spans="1:27" s="207" customFormat="1" ht="15.75" customHeight="1">
      <c r="A16" s="202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328</v>
      </c>
      <c r="G16" s="49"/>
      <c r="H16" s="50"/>
      <c r="I16" s="249"/>
      <c r="J16" s="249"/>
      <c r="K16" s="51">
        <f>SUMIF(KHC,L16,TH)</f>
        <v>2732990433</v>
      </c>
      <c r="L16" s="52" t="s">
        <v>173</v>
      </c>
      <c r="M16" s="52" t="s">
        <v>91</v>
      </c>
      <c r="N16" s="52" t="str">
        <f>IF(AND('331-CT'!$E$7=TH!H16,OR(L16="331",M16="331")),"331",IF(AND(OR(L16="131",M16="131"),H16='131-CT'!$E$7),"131",""))</f>
        <v/>
      </c>
      <c r="O16" s="818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26"/>
    </row>
    <row r="17" spans="1:32" s="207" customFormat="1" ht="15.75" customHeight="1">
      <c r="A17" s="202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99</v>
      </c>
      <c r="G17" s="49"/>
      <c r="H17" s="50"/>
      <c r="I17" s="249"/>
      <c r="J17" s="249"/>
      <c r="K17" s="51">
        <f>SUMIF(KHC,L17,TH)</f>
        <v>840000000</v>
      </c>
      <c r="L17" s="52" t="s">
        <v>85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18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26"/>
    </row>
    <row r="18" spans="1:32" s="207" customFormat="1" ht="15.75" customHeight="1">
      <c r="A18" s="202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100</v>
      </c>
      <c r="G18" s="49"/>
      <c r="H18" s="50"/>
      <c r="I18" s="249"/>
      <c r="J18" s="249"/>
      <c r="K18" s="51">
        <f>SUMIF(KHN,M18,TH)</f>
        <v>450000000</v>
      </c>
      <c r="L18" s="53" t="s">
        <v>91</v>
      </c>
      <c r="M18" s="52" t="s">
        <v>87</v>
      </c>
      <c r="N18" s="52" t="str">
        <f>IF(AND('331-CT'!$E$7=TH!H18,OR(L18="331",M18="331")),"331",IF(AND(OR(L18="131",M18="131"),H18='131-CT'!$E$7),"131",""))</f>
        <v/>
      </c>
      <c r="O18" s="818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26"/>
    </row>
    <row r="19" spans="1:32" s="207" customFormat="1" ht="15.75" customHeight="1">
      <c r="A19" s="202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384</v>
      </c>
      <c r="G19" s="49"/>
      <c r="H19" s="50"/>
      <c r="I19" s="249"/>
      <c r="J19" s="249"/>
      <c r="K19" s="51">
        <v>16647919</v>
      </c>
      <c r="L19" s="53" t="s">
        <v>76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18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26"/>
    </row>
    <row r="20" spans="1:32" s="877" customFormat="1" ht="15.75" customHeight="1">
      <c r="A20" s="202" t="str">
        <f>IF(B20&lt;&gt;"",IF(AND(B20&gt;=_TM1,B20&lt;=_TM2,OR(TH!L20="1111",TH!M20="1111")),TH!D20,""),"")</f>
        <v/>
      </c>
      <c r="B20" s="36">
        <f t="shared" ref="B20:B83" si="2">IF(C20&lt;&gt;"",MONTH(C20),"")</f>
        <v>1</v>
      </c>
      <c r="C20" s="839">
        <f t="shared" ref="C20:C83" si="3">E20</f>
        <v>42371</v>
      </c>
      <c r="D20" s="839" t="s">
        <v>332</v>
      </c>
      <c r="E20" s="839">
        <v>42371</v>
      </c>
      <c r="F20" s="845" t="s">
        <v>1428</v>
      </c>
      <c r="G20" s="874"/>
      <c r="H20" s="875"/>
      <c r="I20" s="842"/>
      <c r="J20" s="842"/>
      <c r="K20" s="849">
        <v>30750000</v>
      </c>
      <c r="L20" s="876" t="s">
        <v>164</v>
      </c>
      <c r="M20" s="876" t="s">
        <v>259</v>
      </c>
      <c r="N20" s="52" t="str">
        <f>IF(AND('331-CT'!$E$7=TH!H20,OR(L20="331",M20="331")),"331",IF(AND(OR(L20="131",M20="131"),H20='131-CT'!$E$7),"131",""))</f>
        <v/>
      </c>
      <c r="O20" s="818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2" s="877" customFormat="1" ht="15.75" customHeight="1">
      <c r="A21" s="202" t="str">
        <f>IF(B21&lt;&gt;"",IF(AND(B21&gt;=_TM1,B21&lt;=_TM2,OR(TH!L21="1111",TH!M21="1111")),TH!D21,""),"")</f>
        <v/>
      </c>
      <c r="B21" s="36">
        <f t="shared" si="2"/>
        <v>1</v>
      </c>
      <c r="C21" s="182">
        <f t="shared" si="3"/>
        <v>42372</v>
      </c>
      <c r="D21" s="182" t="s">
        <v>354</v>
      </c>
      <c r="E21" s="189">
        <v>42372</v>
      </c>
      <c r="F21" s="40" t="s">
        <v>666</v>
      </c>
      <c r="G21" s="451" t="s">
        <v>1605</v>
      </c>
      <c r="H21" s="191" t="s">
        <v>1268</v>
      </c>
      <c r="I21" s="252"/>
      <c r="J21" s="252"/>
      <c r="K21" s="560">
        <v>2035000</v>
      </c>
      <c r="L21" s="561" t="s">
        <v>47</v>
      </c>
      <c r="M21" s="561" t="s">
        <v>258</v>
      </c>
      <c r="N21" s="52" t="str">
        <f>IF(AND('331-CT'!$E$7=TH!H21,OR(L21="331",M21="331")),"331",IF(AND(OR(L21="131",M21="131"),H21='131-CT'!$E$7),"131",""))</f>
        <v/>
      </c>
      <c r="O21" s="818" t="str">
        <f>IF(AND('341-CT'!$E$9=H21,OR(LEFT(L21,3)=$O$7,LEFT(M21,3)=$O$7)),"x","")</f>
        <v/>
      </c>
      <c r="P21" s="52" t="str">
        <f>IF(AND($B21&gt;='111'!$N$11,$B21&lt;='111'!$O$11,OR($L21=$P$7,$M21=$P$7)),"x","")</f>
        <v>x</v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2"/>
      <c r="AB21" s="552"/>
      <c r="AC21" s="552"/>
      <c r="AD21" s="209"/>
      <c r="AE21" s="209"/>
      <c r="AF21" s="209"/>
    </row>
    <row r="22" spans="1:32" s="877" customFormat="1" ht="15.75" customHeight="1">
      <c r="A22" s="202" t="str">
        <f>IF(B22&lt;&gt;"",IF(AND(B22&gt;=_TM1,B22&lt;=_TM2,OR(TH!L22="1111",TH!M22="1111")),TH!D22,""),"")</f>
        <v/>
      </c>
      <c r="B22" s="36">
        <f t="shared" si="2"/>
        <v>1</v>
      </c>
      <c r="C22" s="182">
        <f t="shared" si="3"/>
        <v>42373</v>
      </c>
      <c r="D22" s="189" t="s">
        <v>1618</v>
      </c>
      <c r="E22" s="189">
        <v>42373</v>
      </c>
      <c r="F22" s="190" t="s">
        <v>804</v>
      </c>
      <c r="G22" s="451" t="s">
        <v>805</v>
      </c>
      <c r="H22" s="191" t="s">
        <v>806</v>
      </c>
      <c r="I22" s="251"/>
      <c r="J22" s="253"/>
      <c r="K22" s="38">
        <f>254545+50000</f>
        <v>304545</v>
      </c>
      <c r="L22" s="192" t="s">
        <v>83</v>
      </c>
      <c r="M22" s="192" t="s">
        <v>47</v>
      </c>
      <c r="N22" s="52" t="str">
        <f>IF(AND('331-CT'!$E$7=TH!H22,OR(L22="331",M22="331")),"331",IF(AND(OR(L22="131",M22="131"),H22='131-CT'!$E$7),"131",""))</f>
        <v/>
      </c>
      <c r="O22" s="818" t="str">
        <f>IF(AND('341-CT'!$E$9=H22,OR(LEFT(L22,3)=$O$7,LEFT(M22,3)=$O$7)),"x","")</f>
        <v/>
      </c>
      <c r="P22" s="52" t="str">
        <f>IF(AND($B22&gt;='111'!$N$11,$B22&lt;='111'!$O$11,OR($L22=$P$7,$M22=$P$7)),"x","")</f>
        <v>x</v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2">
        <v>1</v>
      </c>
      <c r="AB22" s="552"/>
      <c r="AC22" s="552"/>
      <c r="AD22" s="209"/>
      <c r="AE22" s="552"/>
      <c r="AF22" s="552"/>
    </row>
    <row r="23" spans="1:32" s="877" customFormat="1" ht="15.75" customHeight="1">
      <c r="A23" s="202" t="str">
        <f>IF(B23&lt;&gt;"",IF(AND(B23&gt;=_TM1,B23&lt;=_TM2,OR(TH!L23="1111",TH!M23="1111")),TH!D23,""),"")</f>
        <v/>
      </c>
      <c r="B23" s="36">
        <f t="shared" si="2"/>
        <v>1</v>
      </c>
      <c r="C23" s="182">
        <f t="shared" si="3"/>
        <v>42373</v>
      </c>
      <c r="D23" s="189" t="s">
        <v>1618</v>
      </c>
      <c r="E23" s="189">
        <v>42373</v>
      </c>
      <c r="F23" s="190" t="s">
        <v>807</v>
      </c>
      <c r="G23" s="451" t="s">
        <v>805</v>
      </c>
      <c r="H23" s="191" t="s">
        <v>806</v>
      </c>
      <c r="I23" s="251"/>
      <c r="J23" s="253"/>
      <c r="K23" s="38">
        <v>25455</v>
      </c>
      <c r="L23" s="192" t="s">
        <v>9</v>
      </c>
      <c r="M23" s="192" t="s">
        <v>47</v>
      </c>
      <c r="N23" s="52" t="str">
        <f>IF(AND('331-CT'!$E$7=TH!H23,OR(L23="331",M23="331")),"331",IF(AND(OR(L23="131",M23="131"),H23='131-CT'!$E$7),"131",""))</f>
        <v/>
      </c>
      <c r="O23" s="818" t="str">
        <f>IF(AND('341-CT'!$E$9=H23,OR(LEFT(L23,3)=$O$7,LEFT(M23,3)=$O$7)),"x","")</f>
        <v/>
      </c>
      <c r="P23" s="52" t="str">
        <f>IF(AND($B23&gt;='111'!$N$11,$B23&lt;='111'!$O$11,OR($L23=$P$7,$M23=$P$7)),"x","")</f>
        <v>x</v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2">
        <v>1</v>
      </c>
      <c r="AB23" s="552"/>
      <c r="AC23" s="209"/>
      <c r="AD23" s="209"/>
      <c r="AE23" s="552"/>
      <c r="AF23" s="552"/>
    </row>
    <row r="24" spans="1:32" s="877" customFormat="1" ht="15.75" customHeight="1">
      <c r="A24" s="202" t="str">
        <f>IF(B24&lt;&gt;"",IF(AND(B24&gt;=_TM1,B24&lt;=_TM2,OR(TH!L24="1111",TH!M24="1111")),TH!D24,""),"")</f>
        <v/>
      </c>
      <c r="B24" s="36">
        <f t="shared" si="2"/>
        <v>1</v>
      </c>
      <c r="C24" s="182">
        <f t="shared" si="3"/>
        <v>42373</v>
      </c>
      <c r="D24" s="189" t="s">
        <v>1076</v>
      </c>
      <c r="E24" s="189">
        <v>42373</v>
      </c>
      <c r="F24" s="190" t="s">
        <v>482</v>
      </c>
      <c r="G24" s="451" t="s">
        <v>828</v>
      </c>
      <c r="H24" s="191" t="s">
        <v>609</v>
      </c>
      <c r="I24" s="252">
        <v>695</v>
      </c>
      <c r="J24" s="253">
        <v>8500</v>
      </c>
      <c r="K24" s="38">
        <f>ROUND(I24*J24,0)</f>
        <v>5907500</v>
      </c>
      <c r="L24" s="192" t="s">
        <v>258</v>
      </c>
      <c r="M24" s="192" t="s">
        <v>173</v>
      </c>
      <c r="N24" s="52" t="str">
        <f>IF(AND('331-CT'!$E$7=TH!H24,OR(L24="331",M24="331")),"331",IF(AND(OR(L24="131",M24="131"),H24='131-CT'!$E$7),"131",""))</f>
        <v/>
      </c>
      <c r="O24" s="818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2"/>
      <c r="AB24" s="552"/>
      <c r="AC24" s="552"/>
      <c r="AD24" s="209"/>
      <c r="AE24" s="552"/>
      <c r="AF24" s="552"/>
    </row>
    <row r="25" spans="1:32" s="877" customFormat="1" ht="15.75" customHeight="1">
      <c r="A25" s="202" t="str">
        <f>IF(B25&lt;&gt;"",IF(AND(B25&gt;=_TM1,B25&lt;=_TM2,OR(TH!L25="1111",TH!M25="1111")),TH!D25,""),"")</f>
        <v/>
      </c>
      <c r="B25" s="36">
        <f t="shared" si="2"/>
        <v>1</v>
      </c>
      <c r="C25" s="182">
        <f t="shared" si="3"/>
        <v>42373</v>
      </c>
      <c r="D25" s="189" t="s">
        <v>1076</v>
      </c>
      <c r="E25" s="189">
        <v>42373</v>
      </c>
      <c r="F25" s="190" t="s">
        <v>404</v>
      </c>
      <c r="G25" s="451" t="s">
        <v>828</v>
      </c>
      <c r="H25" s="191" t="s">
        <v>609</v>
      </c>
      <c r="I25" s="252">
        <v>2840</v>
      </c>
      <c r="J25" s="253">
        <v>6900</v>
      </c>
      <c r="K25" s="38">
        <f>ROUND(I25*J25,0)</f>
        <v>19596000</v>
      </c>
      <c r="L25" s="192" t="s">
        <v>258</v>
      </c>
      <c r="M25" s="192" t="s">
        <v>173</v>
      </c>
      <c r="N25" s="52" t="str">
        <f>IF(AND('331-CT'!$E$7=TH!H25,OR(L25="331",M25="331")),"331",IF(AND(OR(L25="131",M25="131"),H25='131-CT'!$E$7),"131",""))</f>
        <v/>
      </c>
      <c r="O25" s="818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52"/>
      <c r="AB25" s="552"/>
      <c r="AC25" s="552"/>
      <c r="AD25" s="209"/>
      <c r="AE25" s="552"/>
      <c r="AF25" s="552"/>
    </row>
    <row r="26" spans="1:32" s="877" customFormat="1" ht="15.75" customHeight="1">
      <c r="A26" s="202" t="str">
        <f>IF(B26&lt;&gt;"",IF(AND(B26&gt;=_TM1,B26&lt;=_TM2,OR(TH!L26="1111",TH!M26="1111")),TH!D26,""),"")</f>
        <v/>
      </c>
      <c r="B26" s="36">
        <f t="shared" si="2"/>
        <v>1</v>
      </c>
      <c r="C26" s="182">
        <f t="shared" si="3"/>
        <v>42373</v>
      </c>
      <c r="D26" s="189" t="s">
        <v>1076</v>
      </c>
      <c r="E26" s="189">
        <v>42373</v>
      </c>
      <c r="F26" s="190" t="s">
        <v>393</v>
      </c>
      <c r="G26" s="190" t="s">
        <v>828</v>
      </c>
      <c r="H26" s="191" t="s">
        <v>609</v>
      </c>
      <c r="I26" s="252"/>
      <c r="J26" s="252"/>
      <c r="K26" s="38">
        <v>2550350</v>
      </c>
      <c r="L26" s="192" t="s">
        <v>258</v>
      </c>
      <c r="M26" s="192" t="s">
        <v>367</v>
      </c>
      <c r="N26" s="52" t="str">
        <f>IF(AND('331-CT'!$E$7=TH!H26,OR(L26="331",M26="331")),"331",IF(AND(OR(L26="131",M26="131"),H26='131-CT'!$E$7),"131",""))</f>
        <v/>
      </c>
      <c r="O26" s="818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52"/>
      <c r="AB26" s="552"/>
      <c r="AC26" s="552"/>
      <c r="AD26" s="209"/>
      <c r="AE26" s="552"/>
      <c r="AF26" s="552"/>
    </row>
    <row r="27" spans="1:32" ht="15.75" customHeight="1">
      <c r="A27" s="202" t="str">
        <f>IF(B27&lt;&gt;"",IF(AND(B27&gt;=_TM1,B27&lt;=_TM2,OR(TH!L27="1111",TH!M27="1111")),TH!D27,""),"")</f>
        <v/>
      </c>
      <c r="B27" s="36">
        <f t="shared" si="2"/>
        <v>1</v>
      </c>
      <c r="C27" s="182">
        <f t="shared" si="3"/>
        <v>42373</v>
      </c>
      <c r="D27" s="189" t="s">
        <v>1077</v>
      </c>
      <c r="E27" s="189">
        <v>42373</v>
      </c>
      <c r="F27" s="190" t="s">
        <v>863</v>
      </c>
      <c r="G27" s="451" t="s">
        <v>864</v>
      </c>
      <c r="H27" s="7" t="s">
        <v>778</v>
      </c>
      <c r="I27" s="251">
        <v>500</v>
      </c>
      <c r="J27" s="253">
        <v>11000</v>
      </c>
      <c r="K27" s="38">
        <f>ROUND(I27*J27,0)</f>
        <v>5500000</v>
      </c>
      <c r="L27" s="192" t="s">
        <v>258</v>
      </c>
      <c r="M27" s="192" t="s">
        <v>173</v>
      </c>
      <c r="N27" s="52" t="str">
        <f>IF(AND('331-CT'!$E$7=TH!H27,OR(L27="331",M27="331")),"331",IF(AND(OR(L27="131",M27="131"),H27='131-CT'!$E$7),"131",""))</f>
        <v/>
      </c>
      <c r="O27" s="818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52"/>
      <c r="AB27" s="552"/>
      <c r="AC27" s="552"/>
      <c r="AD27" s="209"/>
      <c r="AE27" s="552"/>
      <c r="AF27" s="552"/>
    </row>
    <row r="28" spans="1:32" ht="15.75" customHeight="1">
      <c r="A28" s="202" t="str">
        <f>IF(B28&lt;&gt;"",IF(AND(B28&gt;=_TM1,B28&lt;=_TM2,OR(TH!L28="1111",TH!M28="1111")),TH!D28,""),"")</f>
        <v/>
      </c>
      <c r="B28" s="36">
        <f t="shared" si="2"/>
        <v>1</v>
      </c>
      <c r="C28" s="182">
        <f t="shared" si="3"/>
        <v>42373</v>
      </c>
      <c r="D28" s="189" t="s">
        <v>1077</v>
      </c>
      <c r="E28" s="189">
        <v>42373</v>
      </c>
      <c r="F28" s="190" t="s">
        <v>393</v>
      </c>
      <c r="G28" s="190" t="s">
        <v>864</v>
      </c>
      <c r="H28" s="7" t="s">
        <v>778</v>
      </c>
      <c r="I28" s="251"/>
      <c r="J28" s="251"/>
      <c r="K28" s="38">
        <v>550000</v>
      </c>
      <c r="L28" s="192" t="s">
        <v>258</v>
      </c>
      <c r="M28" s="192" t="s">
        <v>367</v>
      </c>
      <c r="N28" s="52" t="str">
        <f>IF(AND('331-CT'!$E$7=TH!H28,OR(L28="331",M28="331")),"331",IF(AND(OR(L28="131",M28="131"),H28='131-CT'!$E$7),"131",""))</f>
        <v/>
      </c>
      <c r="O28" s="818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52"/>
      <c r="AB28" s="552"/>
      <c r="AC28" s="552"/>
      <c r="AD28" s="209"/>
      <c r="AE28" s="552"/>
      <c r="AF28" s="552"/>
    </row>
    <row r="29" spans="1:32" ht="15.75" customHeight="1">
      <c r="A29" s="202" t="str">
        <f>IF(B29&lt;&gt;"",IF(AND(B29&gt;=_TM1,B29&lt;=_TM2,OR(TH!L29="1111",TH!M29="1111")),TH!D29,""),"")</f>
        <v/>
      </c>
      <c r="B29" s="36">
        <f t="shared" si="2"/>
        <v>1</v>
      </c>
      <c r="C29" s="182">
        <f t="shared" si="3"/>
        <v>42374</v>
      </c>
      <c r="D29" s="182" t="s">
        <v>669</v>
      </c>
      <c r="E29" s="189">
        <v>42374</v>
      </c>
      <c r="F29" s="187" t="s">
        <v>789</v>
      </c>
      <c r="G29" s="448" t="s">
        <v>330</v>
      </c>
      <c r="H29" s="208"/>
      <c r="I29" s="251"/>
      <c r="J29" s="251"/>
      <c r="K29" s="38">
        <v>5000</v>
      </c>
      <c r="L29" s="561" t="s">
        <v>83</v>
      </c>
      <c r="M29" s="561" t="s">
        <v>24</v>
      </c>
      <c r="N29" s="52" t="str">
        <f>IF(AND('331-CT'!$E$7=TH!H29,OR(L29="331",M29="331")),"331",IF(AND(OR(L29="131",M29="131"),H29='131-CT'!$E$7),"131",""))</f>
        <v/>
      </c>
      <c r="O29" s="818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52"/>
      <c r="AB29" s="552"/>
      <c r="AC29" s="209"/>
      <c r="AD29" s="209"/>
      <c r="AE29" s="209"/>
      <c r="AF29" s="209"/>
    </row>
    <row r="30" spans="1:32" ht="15.75" customHeight="1">
      <c r="A30" s="202" t="str">
        <f>IF(B30&lt;&gt;"",IF(AND(B30&gt;=_TM1,B30&lt;=_TM2,OR(TH!L30="1111",TH!M30="1111")),TH!D30,""),"")</f>
        <v/>
      </c>
      <c r="B30" s="36">
        <f t="shared" si="2"/>
        <v>1</v>
      </c>
      <c r="C30" s="182">
        <f t="shared" si="3"/>
        <v>42374</v>
      </c>
      <c r="D30" s="189" t="s">
        <v>1078</v>
      </c>
      <c r="E30" s="189">
        <v>42374</v>
      </c>
      <c r="F30" s="190" t="s">
        <v>1443</v>
      </c>
      <c r="G30" s="451" t="s">
        <v>865</v>
      </c>
      <c r="H30" s="191" t="s">
        <v>399</v>
      </c>
      <c r="I30" s="251">
        <v>716</v>
      </c>
      <c r="J30" s="251">
        <v>10500</v>
      </c>
      <c r="K30" s="38">
        <f>ROUND(I30*J30,0)</f>
        <v>7518000</v>
      </c>
      <c r="L30" s="192" t="s">
        <v>258</v>
      </c>
      <c r="M30" s="192" t="s">
        <v>173</v>
      </c>
      <c r="N30" s="52" t="str">
        <f>IF(AND('331-CT'!$E$7=TH!H30,OR(L30="331",M30="331")),"331",IF(AND(OR(L30="131",M30="131"),H30='131-CT'!$E$7),"131",""))</f>
        <v/>
      </c>
      <c r="O30" s="818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52"/>
      <c r="AB30" s="552"/>
      <c r="AC30" s="552"/>
      <c r="AD30" s="209"/>
      <c r="AE30" s="552"/>
      <c r="AF30" s="552"/>
    </row>
    <row r="31" spans="1:32" ht="15.75" customHeight="1">
      <c r="A31" s="202" t="str">
        <f>IF(B31&lt;&gt;"",IF(AND(B31&gt;=_TM1,B31&lt;=_TM2,OR(TH!L31="1111",TH!M31="1111")),TH!D31,""),"")</f>
        <v/>
      </c>
      <c r="B31" s="36">
        <f t="shared" si="2"/>
        <v>1</v>
      </c>
      <c r="C31" s="182">
        <f t="shared" si="3"/>
        <v>42374</v>
      </c>
      <c r="D31" s="189" t="s">
        <v>1078</v>
      </c>
      <c r="E31" s="189">
        <v>42374</v>
      </c>
      <c r="F31" s="190" t="s">
        <v>1443</v>
      </c>
      <c r="G31" s="451" t="s">
        <v>865</v>
      </c>
      <c r="H31" s="191" t="s">
        <v>399</v>
      </c>
      <c r="I31" s="251">
        <v>732</v>
      </c>
      <c r="J31" s="251">
        <v>10500</v>
      </c>
      <c r="K31" s="38">
        <f>ROUND(I31*J31,0)</f>
        <v>7686000</v>
      </c>
      <c r="L31" s="192" t="s">
        <v>258</v>
      </c>
      <c r="M31" s="192" t="s">
        <v>173</v>
      </c>
      <c r="N31" s="52" t="str">
        <f>IF(AND('331-CT'!$E$7=TH!H31,OR(L31="331",M31="331")),"331",IF(AND(OR(L31="131",M31="131"),H31='131-CT'!$E$7),"131",""))</f>
        <v/>
      </c>
      <c r="O31" s="818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52"/>
      <c r="AB31" s="552"/>
      <c r="AC31" s="552"/>
      <c r="AD31" s="209"/>
      <c r="AE31" s="552"/>
      <c r="AF31" s="552"/>
    </row>
    <row r="32" spans="1:32" ht="15.75" customHeight="1">
      <c r="A32" s="202" t="str">
        <f>IF(B32&lt;&gt;"",IF(AND(B32&gt;=_TM1,B32&lt;=_TM2,OR(TH!L32="1111",TH!M32="1111")),TH!D32,""),"")</f>
        <v/>
      </c>
      <c r="B32" s="36">
        <f t="shared" si="2"/>
        <v>1</v>
      </c>
      <c r="C32" s="182">
        <f t="shared" si="3"/>
        <v>42374</v>
      </c>
      <c r="D32" s="189" t="s">
        <v>1078</v>
      </c>
      <c r="E32" s="189">
        <v>42374</v>
      </c>
      <c r="F32" s="190" t="s">
        <v>393</v>
      </c>
      <c r="G32" s="190" t="s">
        <v>865</v>
      </c>
      <c r="H32" s="191" t="s">
        <v>399</v>
      </c>
      <c r="I32" s="251"/>
      <c r="J32" s="251"/>
      <c r="K32" s="38">
        <v>1520400</v>
      </c>
      <c r="L32" s="192" t="s">
        <v>258</v>
      </c>
      <c r="M32" s="192" t="s">
        <v>367</v>
      </c>
      <c r="N32" s="52" t="str">
        <f>IF(AND('331-CT'!$E$7=TH!H32,OR(L32="331",M32="331")),"331",IF(AND(OR(L32="131",M32="131"),H32='131-CT'!$E$7),"131",""))</f>
        <v/>
      </c>
      <c r="O32" s="818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52"/>
      <c r="AB32" s="552"/>
      <c r="AC32" s="552"/>
      <c r="AD32" s="209"/>
      <c r="AE32" s="552"/>
      <c r="AF32" s="552"/>
    </row>
    <row r="33" spans="1:32" ht="15.75" customHeight="1">
      <c r="A33" s="202" t="str">
        <f>IF(B33&lt;&gt;"",IF(AND(B33&gt;=_TM1,B33&lt;=_TM2,OR(TH!L33="1111",TH!M33="1111")),TH!D33,""),"")</f>
        <v/>
      </c>
      <c r="B33" s="36">
        <f t="shared" si="2"/>
        <v>1</v>
      </c>
      <c r="C33" s="182">
        <f t="shared" si="3"/>
        <v>42374</v>
      </c>
      <c r="D33" s="189" t="s">
        <v>1079</v>
      </c>
      <c r="E33" s="189">
        <v>42374</v>
      </c>
      <c r="F33" s="190" t="s">
        <v>389</v>
      </c>
      <c r="G33" s="451" t="s">
        <v>866</v>
      </c>
      <c r="H33" s="191" t="s">
        <v>391</v>
      </c>
      <c r="I33" s="251">
        <v>626</v>
      </c>
      <c r="J33" s="251">
        <v>5000</v>
      </c>
      <c r="K33" s="38">
        <f>ROUND(I33*J33,0)</f>
        <v>3130000</v>
      </c>
      <c r="L33" s="192" t="s">
        <v>258</v>
      </c>
      <c r="M33" s="192" t="s">
        <v>173</v>
      </c>
      <c r="N33" s="52" t="str">
        <f>IF(AND('331-CT'!$E$7=TH!H33,OR(L33="331",M33="331")),"331",IF(AND(OR(L33="131",M33="131"),H33='131-CT'!$E$7),"131",""))</f>
        <v/>
      </c>
      <c r="O33" s="818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52"/>
      <c r="AB33" s="552"/>
      <c r="AC33" s="209"/>
      <c r="AD33" s="209"/>
      <c r="AE33" s="552"/>
      <c r="AF33" s="552"/>
    </row>
    <row r="34" spans="1:32" ht="15.75" customHeight="1">
      <c r="A34" s="202" t="str">
        <f>IF(B34&lt;&gt;"",IF(AND(B34&gt;=_TM1,B34&lt;=_TM2,OR(TH!L34="1111",TH!M34="1111")),TH!D34,""),"")</f>
        <v/>
      </c>
      <c r="B34" s="36">
        <f t="shared" si="2"/>
        <v>1</v>
      </c>
      <c r="C34" s="182">
        <f t="shared" si="3"/>
        <v>42374</v>
      </c>
      <c r="D34" s="189" t="s">
        <v>1079</v>
      </c>
      <c r="E34" s="189">
        <v>42374</v>
      </c>
      <c r="F34" s="190" t="s">
        <v>392</v>
      </c>
      <c r="G34" s="451" t="s">
        <v>866</v>
      </c>
      <c r="H34" s="191" t="s">
        <v>391</v>
      </c>
      <c r="I34" s="251">
        <v>613</v>
      </c>
      <c r="J34" s="251">
        <v>5800</v>
      </c>
      <c r="K34" s="38">
        <f>ROUND(I34*J34,0)</f>
        <v>3555400</v>
      </c>
      <c r="L34" s="192" t="s">
        <v>258</v>
      </c>
      <c r="M34" s="192" t="s">
        <v>173</v>
      </c>
      <c r="N34" s="52" t="str">
        <f>IF(AND('331-CT'!$E$7=TH!H34,OR(L34="331",M34="331")),"331",IF(AND(OR(L34="131",M34="131"),H34='131-CT'!$E$7),"131",""))</f>
        <v/>
      </c>
      <c r="O34" s="818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52"/>
      <c r="AB34" s="552"/>
      <c r="AC34" s="552"/>
      <c r="AD34" s="209"/>
      <c r="AE34" s="552"/>
      <c r="AF34" s="552"/>
    </row>
    <row r="35" spans="1:32" ht="15.75" customHeight="1">
      <c r="A35" s="202" t="str">
        <f>IF(B35&lt;&gt;"",IF(AND(B35&gt;=_TM1,B35&lt;=_TM2,OR(TH!L35="1111",TH!M35="1111")),TH!D35,""),"")</f>
        <v/>
      </c>
      <c r="B35" s="36">
        <f t="shared" si="2"/>
        <v>1</v>
      </c>
      <c r="C35" s="182">
        <f t="shared" si="3"/>
        <v>42374</v>
      </c>
      <c r="D35" s="189" t="s">
        <v>1079</v>
      </c>
      <c r="E35" s="189">
        <v>42374</v>
      </c>
      <c r="F35" s="190" t="s">
        <v>594</v>
      </c>
      <c r="G35" s="451" t="s">
        <v>866</v>
      </c>
      <c r="H35" s="191" t="s">
        <v>391</v>
      </c>
      <c r="I35" s="251">
        <v>612</v>
      </c>
      <c r="J35" s="251">
        <v>5600</v>
      </c>
      <c r="K35" s="38">
        <f>ROUND(I35*J35,0)</f>
        <v>3427200</v>
      </c>
      <c r="L35" s="192" t="s">
        <v>258</v>
      </c>
      <c r="M35" s="192" t="s">
        <v>173</v>
      </c>
      <c r="N35" s="52" t="str">
        <f>IF(AND('331-CT'!$E$7=TH!H35,OR(L35="331",M35="331")),"331",IF(AND(OR(L35="131",M35="131"),H35='131-CT'!$E$7),"131",""))</f>
        <v/>
      </c>
      <c r="O35" s="818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52"/>
      <c r="AB35" s="552"/>
      <c r="AC35" s="552"/>
      <c r="AD35" s="209"/>
      <c r="AE35" s="552"/>
      <c r="AF35" s="552"/>
    </row>
    <row r="36" spans="1:32" ht="15.75" customHeight="1">
      <c r="A36" s="202" t="str">
        <f>IF(B36&lt;&gt;"",IF(AND(B36&gt;=_TM1,B36&lt;=_TM2,OR(TH!L36="1111",TH!M36="1111")),TH!D36,""),"")</f>
        <v/>
      </c>
      <c r="B36" s="36">
        <f t="shared" si="2"/>
        <v>1</v>
      </c>
      <c r="C36" s="182">
        <f t="shared" si="3"/>
        <v>42374</v>
      </c>
      <c r="D36" s="189" t="s">
        <v>1079</v>
      </c>
      <c r="E36" s="189">
        <v>42374</v>
      </c>
      <c r="F36" s="190" t="s">
        <v>389</v>
      </c>
      <c r="G36" s="451" t="s">
        <v>866</v>
      </c>
      <c r="H36" s="191" t="s">
        <v>391</v>
      </c>
      <c r="I36" s="251">
        <v>905</v>
      </c>
      <c r="J36" s="251">
        <v>5000</v>
      </c>
      <c r="K36" s="38">
        <f>ROUND(I36*J36,0)</f>
        <v>4525000</v>
      </c>
      <c r="L36" s="192" t="s">
        <v>258</v>
      </c>
      <c r="M36" s="192" t="s">
        <v>173</v>
      </c>
      <c r="N36" s="52" t="str">
        <f>IF(AND('331-CT'!$E$7=TH!H36,OR(L36="331",M36="331")),"331",IF(AND(OR(L36="131",M36="131"),H36='131-CT'!$E$7),"131",""))</f>
        <v/>
      </c>
      <c r="O36" s="818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52"/>
      <c r="AB36" s="552"/>
      <c r="AC36" s="552"/>
      <c r="AD36" s="209"/>
      <c r="AE36" s="552"/>
      <c r="AF36" s="552"/>
    </row>
    <row r="37" spans="1:32" ht="15.75" customHeight="1">
      <c r="A37" s="202" t="str">
        <f>IF(B37&lt;&gt;"",IF(AND(B37&gt;=_TM1,B37&lt;=_TM2,OR(TH!L37="1111",TH!M37="1111")),TH!D37,""),"")</f>
        <v/>
      </c>
      <c r="B37" s="36">
        <f t="shared" si="2"/>
        <v>1</v>
      </c>
      <c r="C37" s="182">
        <f t="shared" si="3"/>
        <v>42374</v>
      </c>
      <c r="D37" s="189" t="s">
        <v>1079</v>
      </c>
      <c r="E37" s="189">
        <v>42374</v>
      </c>
      <c r="F37" s="190" t="s">
        <v>414</v>
      </c>
      <c r="G37" s="190" t="s">
        <v>866</v>
      </c>
      <c r="H37" s="191" t="s">
        <v>391</v>
      </c>
      <c r="I37" s="252">
        <v>642</v>
      </c>
      <c r="J37" s="252">
        <v>5550</v>
      </c>
      <c r="K37" s="38">
        <f>ROUND(I37*J37,0)</f>
        <v>3563100</v>
      </c>
      <c r="L37" s="192" t="s">
        <v>258</v>
      </c>
      <c r="M37" s="192" t="s">
        <v>173</v>
      </c>
      <c r="N37" s="52" t="str">
        <f>IF(AND('331-CT'!$E$7=TH!H37,OR(L37="331",M37="331")),"331",IF(AND(OR(L37="131",M37="131"),H37='131-CT'!$E$7),"131",""))</f>
        <v/>
      </c>
      <c r="O37" s="818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52"/>
      <c r="AB37" s="552"/>
      <c r="AC37" s="552"/>
      <c r="AD37" s="209"/>
      <c r="AE37" s="552"/>
      <c r="AF37" s="552"/>
    </row>
    <row r="38" spans="1:32" ht="15.75" customHeight="1">
      <c r="A38" s="202" t="str">
        <f>IF(B38&lt;&gt;"",IF(AND(B38&gt;=_TM1,B38&lt;=_TM2,OR(TH!L38="1111",TH!M38="1111")),TH!D38,""),"")</f>
        <v/>
      </c>
      <c r="B38" s="36">
        <f t="shared" si="2"/>
        <v>1</v>
      </c>
      <c r="C38" s="182">
        <f t="shared" si="3"/>
        <v>42374</v>
      </c>
      <c r="D38" s="189" t="s">
        <v>1079</v>
      </c>
      <c r="E38" s="189">
        <v>42374</v>
      </c>
      <c r="F38" s="190" t="s">
        <v>393</v>
      </c>
      <c r="G38" s="451" t="s">
        <v>866</v>
      </c>
      <c r="H38" s="208" t="s">
        <v>391</v>
      </c>
      <c r="I38" s="252"/>
      <c r="J38" s="252"/>
      <c r="K38" s="38">
        <v>1820070</v>
      </c>
      <c r="L38" s="192" t="s">
        <v>258</v>
      </c>
      <c r="M38" s="192" t="s">
        <v>367</v>
      </c>
      <c r="N38" s="52" t="str">
        <f>IF(AND('331-CT'!$E$7=TH!H38,OR(L38="331",M38="331")),"331",IF(AND(OR(L38="131",M38="131"),H38='131-CT'!$E$7),"131",""))</f>
        <v/>
      </c>
      <c r="O38" s="818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52"/>
      <c r="AB38" s="552"/>
      <c r="AC38" s="209"/>
      <c r="AD38" s="209"/>
      <c r="AE38" s="552"/>
      <c r="AF38" s="552"/>
    </row>
    <row r="39" spans="1:32" ht="15.75" customHeight="1">
      <c r="A39" s="202" t="str">
        <f>IF(B39&lt;&gt;"",IF(AND(B39&gt;=_TM1,B39&lt;=_TM2,OR(TH!L39="1111",TH!M39="1111")),TH!D39,""),"")</f>
        <v/>
      </c>
      <c r="B39" s="36">
        <f t="shared" si="2"/>
        <v>1</v>
      </c>
      <c r="C39" s="182">
        <f t="shared" si="3"/>
        <v>42375</v>
      </c>
      <c r="D39" s="182" t="s">
        <v>669</v>
      </c>
      <c r="E39" s="189">
        <v>42375</v>
      </c>
      <c r="F39" s="190" t="s">
        <v>790</v>
      </c>
      <c r="G39" s="448" t="s">
        <v>330</v>
      </c>
      <c r="H39" s="7" t="s">
        <v>1453</v>
      </c>
      <c r="I39" s="251"/>
      <c r="J39" s="251"/>
      <c r="K39" s="38">
        <v>12000000</v>
      </c>
      <c r="L39" s="192" t="s">
        <v>8</v>
      </c>
      <c r="M39" s="561" t="s">
        <v>24</v>
      </c>
      <c r="N39" s="52" t="str">
        <f>IF(AND('331-CT'!$E$7=TH!H39,OR(L39="331",M39="331")),"331",IF(AND(OR(L39="131",M39="131"),H39='131-CT'!$E$7),"131",""))</f>
        <v/>
      </c>
      <c r="O39" s="818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52"/>
      <c r="AB39" s="552"/>
      <c r="AC39" s="552"/>
      <c r="AD39" s="209"/>
      <c r="AE39" s="209"/>
      <c r="AF39" s="209"/>
    </row>
    <row r="40" spans="1:32" ht="15.75" customHeight="1">
      <c r="A40" s="202" t="str">
        <f>IF(B40&lt;&gt;"",IF(AND(B40&gt;=_TM1,B40&lt;=_TM2,OR(TH!L40="1111",TH!M40="1111")),TH!D40,""),"")</f>
        <v/>
      </c>
      <c r="B40" s="36">
        <f t="shared" si="2"/>
        <v>1</v>
      </c>
      <c r="C40" s="182">
        <f t="shared" si="3"/>
        <v>42375</v>
      </c>
      <c r="D40" s="182" t="s">
        <v>669</v>
      </c>
      <c r="E40" s="189">
        <v>42375</v>
      </c>
      <c r="F40" s="190" t="s">
        <v>672</v>
      </c>
      <c r="G40" s="448" t="s">
        <v>330</v>
      </c>
      <c r="H40" s="191"/>
      <c r="I40" s="251"/>
      <c r="J40" s="251"/>
      <c r="K40" s="38">
        <v>15000</v>
      </c>
      <c r="L40" s="192" t="s">
        <v>83</v>
      </c>
      <c r="M40" s="561" t="s">
        <v>24</v>
      </c>
      <c r="N40" s="52" t="str">
        <f>IF(AND('331-CT'!$E$7=TH!H40,OR(L40="331",M40="331")),"331",IF(AND(OR(L40="131",M40="131"),H40='131-CT'!$E$7),"131",""))</f>
        <v/>
      </c>
      <c r="O40" s="818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52"/>
      <c r="AB40" s="552"/>
      <c r="AC40" s="552"/>
      <c r="AD40" s="552"/>
      <c r="AE40" s="209"/>
      <c r="AF40" s="209"/>
    </row>
    <row r="41" spans="1:32" ht="15.75" customHeight="1">
      <c r="A41" s="202" t="str">
        <f>IF(B41&lt;&gt;"",IF(AND(B41&gt;=_TM1,B41&lt;=_TM2,OR(TH!L41="1111",TH!M41="1111")),TH!D41,""),"")</f>
        <v/>
      </c>
      <c r="B41" s="36">
        <f t="shared" si="2"/>
        <v>1</v>
      </c>
      <c r="C41" s="182">
        <f t="shared" si="3"/>
        <v>42375</v>
      </c>
      <c r="D41" s="189" t="s">
        <v>1080</v>
      </c>
      <c r="E41" s="189">
        <v>42375</v>
      </c>
      <c r="F41" s="190" t="s">
        <v>436</v>
      </c>
      <c r="G41" s="190" t="s">
        <v>867</v>
      </c>
      <c r="H41" s="828" t="s">
        <v>565</v>
      </c>
      <c r="I41" s="251">
        <v>1580</v>
      </c>
      <c r="J41" s="251">
        <v>5900</v>
      </c>
      <c r="K41" s="38">
        <f>ROUND(I41*J41,0)</f>
        <v>9322000</v>
      </c>
      <c r="L41" s="192" t="s">
        <v>258</v>
      </c>
      <c r="M41" s="192" t="s">
        <v>173</v>
      </c>
      <c r="N41" s="52" t="str">
        <f>IF(AND('331-CT'!$E$7=TH!H41,OR(L41="331",M41="331")),"331",IF(AND(OR(L41="131",M41="131"),H41='131-CT'!$E$7),"131",""))</f>
        <v/>
      </c>
      <c r="O41" s="818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52"/>
      <c r="AB41" s="552"/>
      <c r="AC41" s="552"/>
      <c r="AD41" s="209"/>
      <c r="AE41" s="552"/>
      <c r="AF41" s="552"/>
    </row>
    <row r="42" spans="1:32" ht="15.75" customHeight="1">
      <c r="A42" s="202" t="str">
        <f>IF(B42&lt;&gt;"",IF(AND(B42&gt;=_TM1,B42&lt;=_TM2,OR(TH!L42="1111",TH!M42="1111")),TH!D42,""),"")</f>
        <v/>
      </c>
      <c r="B42" s="36">
        <f t="shared" si="2"/>
        <v>1</v>
      </c>
      <c r="C42" s="182">
        <f t="shared" si="3"/>
        <v>42375</v>
      </c>
      <c r="D42" s="189" t="s">
        <v>1080</v>
      </c>
      <c r="E42" s="189">
        <v>42375</v>
      </c>
      <c r="F42" s="190" t="s">
        <v>393</v>
      </c>
      <c r="G42" s="451" t="s">
        <v>867</v>
      </c>
      <c r="H42" s="828" t="s">
        <v>565</v>
      </c>
      <c r="I42" s="251"/>
      <c r="J42" s="251"/>
      <c r="K42" s="38">
        <v>932200</v>
      </c>
      <c r="L42" s="192" t="s">
        <v>258</v>
      </c>
      <c r="M42" s="192" t="s">
        <v>367</v>
      </c>
      <c r="N42" s="52" t="str">
        <f>IF(AND('331-CT'!$E$7=TH!H42,OR(L42="331",M42="331")),"331",IF(AND(OR(L42="131",M42="131"),H42='131-CT'!$E$7),"131",""))</f>
        <v/>
      </c>
      <c r="O42" s="818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52"/>
      <c r="AB42" s="552"/>
      <c r="AC42" s="552"/>
      <c r="AD42" s="209"/>
      <c r="AE42" s="552"/>
      <c r="AF42" s="552"/>
    </row>
    <row r="43" spans="1:32" ht="15.75" customHeight="1">
      <c r="A43" s="202" t="str">
        <f>IF(B43&lt;&gt;"",IF(AND(B43&gt;=_TM1,B43&lt;=_TM2,OR(TH!L43="1111",TH!M43="1111")),TH!D43,""),"")</f>
        <v/>
      </c>
      <c r="B43" s="36">
        <f t="shared" si="2"/>
        <v>1</v>
      </c>
      <c r="C43" s="182">
        <f t="shared" si="3"/>
        <v>42376</v>
      </c>
      <c r="D43" s="189" t="s">
        <v>1081</v>
      </c>
      <c r="E43" s="189">
        <v>42376</v>
      </c>
      <c r="F43" s="190" t="s">
        <v>512</v>
      </c>
      <c r="G43" s="190" t="s">
        <v>868</v>
      </c>
      <c r="H43" s="828" t="s">
        <v>565</v>
      </c>
      <c r="I43" s="251">
        <v>358</v>
      </c>
      <c r="J43" s="251">
        <v>4900</v>
      </c>
      <c r="K43" s="38">
        <f>ROUND(I43*J43,0)</f>
        <v>1754200</v>
      </c>
      <c r="L43" s="192" t="s">
        <v>258</v>
      </c>
      <c r="M43" s="192" t="s">
        <v>173</v>
      </c>
      <c r="N43" s="52" t="str">
        <f>IF(AND('331-CT'!$E$7=TH!H43,OR(L43="331",M43="331")),"331",IF(AND(OR(L43="131",M43="131"),H43='131-CT'!$E$7),"131",""))</f>
        <v/>
      </c>
      <c r="O43" s="818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52"/>
      <c r="AB43" s="552"/>
      <c r="AC43" s="552"/>
      <c r="AD43" s="209"/>
      <c r="AE43" s="552"/>
      <c r="AF43" s="552"/>
    </row>
    <row r="44" spans="1:32" ht="15.75" customHeight="1">
      <c r="A44" s="202" t="str">
        <f>IF(B44&lt;&gt;"",IF(AND(B44&gt;=_TM1,B44&lt;=_TM2,OR(TH!L44="1111",TH!M44="1111")),TH!D44,""),"")</f>
        <v/>
      </c>
      <c r="B44" s="36">
        <f t="shared" si="2"/>
        <v>1</v>
      </c>
      <c r="C44" s="182">
        <f t="shared" si="3"/>
        <v>42376</v>
      </c>
      <c r="D44" s="189" t="s">
        <v>1081</v>
      </c>
      <c r="E44" s="189">
        <v>42376</v>
      </c>
      <c r="F44" s="190" t="s">
        <v>393</v>
      </c>
      <c r="G44" s="451" t="s">
        <v>868</v>
      </c>
      <c r="H44" s="828" t="s">
        <v>565</v>
      </c>
      <c r="I44" s="251"/>
      <c r="J44" s="251"/>
      <c r="K44" s="38">
        <v>175420</v>
      </c>
      <c r="L44" s="192" t="s">
        <v>258</v>
      </c>
      <c r="M44" s="192" t="s">
        <v>367</v>
      </c>
      <c r="N44" s="52" t="str">
        <f>IF(AND('331-CT'!$E$7=TH!H44,OR(L44="331",M44="331")),"331",IF(AND(OR(L44="131",M44="131"),H44='131-CT'!$E$7),"131",""))</f>
        <v/>
      </c>
      <c r="O44" s="818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52"/>
      <c r="AB44" s="552"/>
      <c r="AC44" s="552"/>
      <c r="AD44" s="209"/>
      <c r="AE44" s="552"/>
      <c r="AF44" s="552"/>
    </row>
    <row r="45" spans="1:32" ht="15.75" customHeight="1">
      <c r="A45" s="202" t="str">
        <f>IF(B45&lt;&gt;"",IF(AND(B45&gt;=_TM1,B45&lt;=_TM2,OR(TH!L45="1111",TH!M45="1111")),TH!D45,""),"")</f>
        <v/>
      </c>
      <c r="B45" s="36">
        <f t="shared" si="2"/>
        <v>1</v>
      </c>
      <c r="C45" s="182">
        <f t="shared" si="3"/>
        <v>42376</v>
      </c>
      <c r="D45" s="189" t="s">
        <v>1082</v>
      </c>
      <c r="E45" s="189">
        <v>42376</v>
      </c>
      <c r="F45" s="190" t="s">
        <v>649</v>
      </c>
      <c r="G45" s="451" t="s">
        <v>869</v>
      </c>
      <c r="H45" s="711" t="s">
        <v>777</v>
      </c>
      <c r="I45" s="251">
        <v>203</v>
      </c>
      <c r="J45" s="251">
        <v>8900</v>
      </c>
      <c r="K45" s="38">
        <f t="shared" ref="K45:K54" si="4">ROUND(I45*J45,0)</f>
        <v>1806700</v>
      </c>
      <c r="L45" s="192" t="s">
        <v>258</v>
      </c>
      <c r="M45" s="192" t="s">
        <v>173</v>
      </c>
      <c r="N45" s="52" t="str">
        <f>IF(AND('331-CT'!$E$7=TH!H45,OR(L45="331",M45="331")),"331",IF(AND(OR(L45="131",M45="131"),H45='131-CT'!$E$7),"131",""))</f>
        <v>131</v>
      </c>
      <c r="O45" s="818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52"/>
      <c r="AB45" s="552"/>
      <c r="AC45" s="552"/>
      <c r="AD45" s="209"/>
      <c r="AE45" s="552"/>
      <c r="AF45" s="552"/>
    </row>
    <row r="46" spans="1:32" ht="15.75" customHeight="1">
      <c r="A46" s="202" t="str">
        <f>IF(B46&lt;&gt;"",IF(AND(B46&gt;=_TM1,B46&lt;=_TM2,OR(TH!L46="1111",TH!M46="1111")),TH!D46,""),"")</f>
        <v/>
      </c>
      <c r="B46" s="36">
        <f t="shared" si="2"/>
        <v>1</v>
      </c>
      <c r="C46" s="182">
        <f t="shared" si="3"/>
        <v>42376</v>
      </c>
      <c r="D46" s="189" t="s">
        <v>1082</v>
      </c>
      <c r="E46" s="189">
        <v>42376</v>
      </c>
      <c r="F46" s="190" t="s">
        <v>650</v>
      </c>
      <c r="G46" s="451" t="s">
        <v>869</v>
      </c>
      <c r="H46" s="711" t="s">
        <v>777</v>
      </c>
      <c r="I46" s="251">
        <v>104</v>
      </c>
      <c r="J46" s="251">
        <v>11500</v>
      </c>
      <c r="K46" s="38">
        <f t="shared" si="4"/>
        <v>1196000</v>
      </c>
      <c r="L46" s="192" t="s">
        <v>258</v>
      </c>
      <c r="M46" s="192" t="s">
        <v>173</v>
      </c>
      <c r="N46" s="52" t="str">
        <f>IF(AND('331-CT'!$E$7=TH!H46,OR(L46="331",M46="331")),"331",IF(AND(OR(L46="131",M46="131"),H46='131-CT'!$E$7),"131",""))</f>
        <v>131</v>
      </c>
      <c r="O46" s="818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52"/>
      <c r="AB46" s="552"/>
      <c r="AC46" s="209"/>
      <c r="AD46" s="209"/>
      <c r="AE46" s="552"/>
      <c r="AF46" s="552"/>
    </row>
    <row r="47" spans="1:32" ht="15.75" customHeight="1">
      <c r="A47" s="202" t="str">
        <f>IF(B47&lt;&gt;"",IF(AND(B47&gt;=_TM1,B47&lt;=_TM2,OR(TH!L47="1111",TH!M47="1111")),TH!D47,""),"")</f>
        <v/>
      </c>
      <c r="B47" s="36">
        <f t="shared" si="2"/>
        <v>1</v>
      </c>
      <c r="C47" s="182">
        <f t="shared" si="3"/>
        <v>42376</v>
      </c>
      <c r="D47" s="189" t="s">
        <v>1082</v>
      </c>
      <c r="E47" s="189">
        <v>42376</v>
      </c>
      <c r="F47" s="190" t="s">
        <v>870</v>
      </c>
      <c r="G47" s="451" t="s">
        <v>869</v>
      </c>
      <c r="H47" s="711" t="s">
        <v>777</v>
      </c>
      <c r="I47" s="251">
        <v>20</v>
      </c>
      <c r="J47" s="251">
        <v>15000</v>
      </c>
      <c r="K47" s="38">
        <f t="shared" si="4"/>
        <v>300000</v>
      </c>
      <c r="L47" s="192" t="s">
        <v>258</v>
      </c>
      <c r="M47" s="192" t="s">
        <v>173</v>
      </c>
      <c r="N47" s="52" t="str">
        <f>IF(AND('331-CT'!$E$7=TH!H47,OR(L47="331",M47="331")),"331",IF(AND(OR(L47="131",M47="131"),H47='131-CT'!$E$7),"131",""))</f>
        <v>131</v>
      </c>
      <c r="O47" s="818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52"/>
      <c r="AB47" s="552"/>
      <c r="AC47" s="552"/>
      <c r="AD47" s="209"/>
      <c r="AE47" s="209"/>
      <c r="AF47" s="209"/>
    </row>
    <row r="48" spans="1:32" ht="15.75" customHeight="1">
      <c r="A48" s="202" t="str">
        <f>IF(B48&lt;&gt;"",IF(AND(B48&gt;=_TM1,B48&lt;=_TM2,OR(TH!L48="1111",TH!M48="1111")),TH!D48,""),"")</f>
        <v/>
      </c>
      <c r="B48" s="36">
        <f t="shared" si="2"/>
        <v>1</v>
      </c>
      <c r="C48" s="182">
        <f t="shared" si="3"/>
        <v>42376</v>
      </c>
      <c r="D48" s="189" t="s">
        <v>1082</v>
      </c>
      <c r="E48" s="189">
        <v>42376</v>
      </c>
      <c r="F48" s="190" t="s">
        <v>871</v>
      </c>
      <c r="G48" s="451" t="s">
        <v>869</v>
      </c>
      <c r="H48" s="711" t="s">
        <v>777</v>
      </c>
      <c r="I48" s="251">
        <v>23</v>
      </c>
      <c r="J48" s="251">
        <v>17000</v>
      </c>
      <c r="K48" s="38">
        <f t="shared" si="4"/>
        <v>391000</v>
      </c>
      <c r="L48" s="192" t="s">
        <v>258</v>
      </c>
      <c r="M48" s="192" t="s">
        <v>173</v>
      </c>
      <c r="N48" s="52" t="str">
        <f>IF(AND('331-CT'!$E$7=TH!H48,OR(L48="331",M48="331")),"331",IF(AND(OR(L48="131",M48="131"),H48='131-CT'!$E$7),"131",""))</f>
        <v>131</v>
      </c>
      <c r="O48" s="818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52"/>
      <c r="AB48" s="552"/>
      <c r="AC48" s="209"/>
      <c r="AD48" s="209"/>
      <c r="AE48" s="209"/>
      <c r="AF48" s="209"/>
    </row>
    <row r="49" spans="1:32" ht="15.75" customHeight="1">
      <c r="A49" s="202" t="str">
        <f>IF(B49&lt;&gt;"",IF(AND(B49&gt;=_TM1,B49&lt;=_TM2,OR(TH!L49="1111",TH!M49="1111")),TH!D49,""),"")</f>
        <v/>
      </c>
      <c r="B49" s="36">
        <f t="shared" si="2"/>
        <v>1</v>
      </c>
      <c r="C49" s="182">
        <f t="shared" si="3"/>
        <v>42376</v>
      </c>
      <c r="D49" s="189" t="s">
        <v>1082</v>
      </c>
      <c r="E49" s="189">
        <v>42376</v>
      </c>
      <c r="F49" s="190" t="s">
        <v>872</v>
      </c>
      <c r="G49" s="451" t="s">
        <v>869</v>
      </c>
      <c r="H49" s="711" t="s">
        <v>777</v>
      </c>
      <c r="I49" s="251">
        <v>22</v>
      </c>
      <c r="J49" s="251">
        <v>20000</v>
      </c>
      <c r="K49" s="38">
        <f t="shared" si="4"/>
        <v>440000</v>
      </c>
      <c r="L49" s="192" t="s">
        <v>258</v>
      </c>
      <c r="M49" s="192" t="s">
        <v>173</v>
      </c>
      <c r="N49" s="52" t="str">
        <f>IF(AND('331-CT'!$E$7=TH!H49,OR(L49="331",M49="331")),"331",IF(AND(OR(L49="131",M49="131"),H49='131-CT'!$E$7),"131",""))</f>
        <v>131</v>
      </c>
      <c r="O49" s="818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52"/>
      <c r="AB49" s="552"/>
      <c r="AC49" s="552"/>
      <c r="AD49" s="209"/>
      <c r="AE49" s="552"/>
      <c r="AF49" s="552"/>
    </row>
    <row r="50" spans="1:32" ht="15.75" customHeight="1">
      <c r="A50" s="202" t="str">
        <f>IF(B50&lt;&gt;"",IF(AND(B50&gt;=_TM1,B50&lt;=_TM2,OR(TH!L50="1111",TH!M50="1111")),TH!D50,""),"")</f>
        <v/>
      </c>
      <c r="B50" s="36">
        <f t="shared" si="2"/>
        <v>1</v>
      </c>
      <c r="C50" s="182">
        <f t="shared" si="3"/>
        <v>42376</v>
      </c>
      <c r="D50" s="189" t="s">
        <v>1082</v>
      </c>
      <c r="E50" s="189">
        <v>42376</v>
      </c>
      <c r="F50" s="190" t="s">
        <v>873</v>
      </c>
      <c r="G50" s="451" t="s">
        <v>869</v>
      </c>
      <c r="H50" s="711" t="s">
        <v>777</v>
      </c>
      <c r="I50" s="251">
        <v>22</v>
      </c>
      <c r="J50" s="251">
        <v>22000</v>
      </c>
      <c r="K50" s="38">
        <f t="shared" si="4"/>
        <v>484000</v>
      </c>
      <c r="L50" s="192" t="s">
        <v>258</v>
      </c>
      <c r="M50" s="192" t="s">
        <v>173</v>
      </c>
      <c r="N50" s="52" t="str">
        <f>IF(AND('331-CT'!$E$7=TH!H50,OR(L50="331",M50="331")),"331",IF(AND(OR(L50="131",M50="131"),H50='131-CT'!$E$7),"131",""))</f>
        <v>131</v>
      </c>
      <c r="O50" s="818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52"/>
      <c r="AB50" s="552"/>
      <c r="AC50" s="209"/>
      <c r="AD50" s="209"/>
      <c r="AE50" s="552"/>
      <c r="AF50" s="552"/>
    </row>
    <row r="51" spans="1:32" ht="15.75" customHeight="1">
      <c r="A51" s="202" t="str">
        <f>IF(B51&lt;&gt;"",IF(AND(B51&gt;=_TM1,B51&lt;=_TM2,OR(TH!L51="1111",TH!M51="1111")),TH!D51,""),"")</f>
        <v/>
      </c>
      <c r="B51" s="36">
        <f t="shared" si="2"/>
        <v>1</v>
      </c>
      <c r="C51" s="182">
        <f t="shared" si="3"/>
        <v>42376</v>
      </c>
      <c r="D51" s="189" t="s">
        <v>1082</v>
      </c>
      <c r="E51" s="189">
        <v>42376</v>
      </c>
      <c r="F51" s="190" t="s">
        <v>874</v>
      </c>
      <c r="G51" s="451" t="s">
        <v>869</v>
      </c>
      <c r="H51" s="711" t="s">
        <v>777</v>
      </c>
      <c r="I51" s="251">
        <v>21</v>
      </c>
      <c r="J51" s="251">
        <v>24300</v>
      </c>
      <c r="K51" s="38">
        <f t="shared" si="4"/>
        <v>510300</v>
      </c>
      <c r="L51" s="192" t="s">
        <v>258</v>
      </c>
      <c r="M51" s="192" t="s">
        <v>173</v>
      </c>
      <c r="N51" s="52" t="str">
        <f>IF(AND('331-CT'!$E$7=TH!H51,OR(L51="331",M51="331")),"331",IF(AND(OR(L51="131",M51="131"),H51='131-CT'!$E$7),"131",""))</f>
        <v>131</v>
      </c>
      <c r="O51" s="818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52"/>
      <c r="AB51" s="552"/>
      <c r="AC51" s="552"/>
      <c r="AD51" s="209"/>
      <c r="AE51" s="552"/>
      <c r="AF51" s="552"/>
    </row>
    <row r="52" spans="1:32" ht="15.75" customHeight="1">
      <c r="A52" s="202" t="str">
        <f>IF(B52&lt;&gt;"",IF(AND(B52&gt;=_TM1,B52&lt;=_TM2,OR(TH!L52="1111",TH!M52="1111")),TH!D52,""),"")</f>
        <v/>
      </c>
      <c r="B52" s="36">
        <f t="shared" si="2"/>
        <v>1</v>
      </c>
      <c r="C52" s="182">
        <f t="shared" si="3"/>
        <v>42376</v>
      </c>
      <c r="D52" s="189" t="s">
        <v>1082</v>
      </c>
      <c r="E52" s="189">
        <v>42376</v>
      </c>
      <c r="F52" s="190" t="s">
        <v>875</v>
      </c>
      <c r="G52" s="451" t="s">
        <v>869</v>
      </c>
      <c r="H52" s="711" t="s">
        <v>777</v>
      </c>
      <c r="I52" s="251">
        <v>22</v>
      </c>
      <c r="J52" s="251">
        <v>26000</v>
      </c>
      <c r="K52" s="38">
        <f t="shared" si="4"/>
        <v>572000</v>
      </c>
      <c r="L52" s="192" t="s">
        <v>258</v>
      </c>
      <c r="M52" s="192" t="s">
        <v>173</v>
      </c>
      <c r="N52" s="52" t="str">
        <f>IF(AND('331-CT'!$E$7=TH!H52,OR(L52="331",M52="331")),"331",IF(AND(OR(L52="131",M52="131"),H52='131-CT'!$E$7),"131",""))</f>
        <v>131</v>
      </c>
      <c r="O52" s="818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52"/>
      <c r="AB52" s="552"/>
      <c r="AC52" s="209"/>
      <c r="AD52" s="209"/>
      <c r="AE52" s="552"/>
      <c r="AF52" s="552"/>
    </row>
    <row r="53" spans="1:32" ht="15.75" customHeight="1">
      <c r="A53" s="202" t="str">
        <f>IF(B53&lt;&gt;"",IF(AND(B53&gt;=_TM1,B53&lt;=_TM2,OR(TH!L53="1111",TH!M53="1111")),TH!D53,""),"")</f>
        <v/>
      </c>
      <c r="B53" s="36">
        <f t="shared" si="2"/>
        <v>1</v>
      </c>
      <c r="C53" s="182">
        <f t="shared" si="3"/>
        <v>42376</v>
      </c>
      <c r="D53" s="189" t="s">
        <v>1082</v>
      </c>
      <c r="E53" s="189">
        <v>42376</v>
      </c>
      <c r="F53" s="190" t="s">
        <v>876</v>
      </c>
      <c r="G53" s="451" t="s">
        <v>869</v>
      </c>
      <c r="H53" s="711" t="s">
        <v>777</v>
      </c>
      <c r="I53" s="251">
        <v>21</v>
      </c>
      <c r="J53" s="251">
        <v>27800</v>
      </c>
      <c r="K53" s="38">
        <f t="shared" si="4"/>
        <v>583800</v>
      </c>
      <c r="L53" s="192" t="s">
        <v>258</v>
      </c>
      <c r="M53" s="192" t="s">
        <v>173</v>
      </c>
      <c r="N53" s="52" t="str">
        <f>IF(AND('331-CT'!$E$7=TH!H53,OR(L53="331",M53="331")),"331",IF(AND(OR(L53="131",M53="131"),H53='131-CT'!$E$7),"131",""))</f>
        <v>131</v>
      </c>
      <c r="O53" s="818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52"/>
      <c r="AB53" s="552"/>
      <c r="AC53" s="552"/>
      <c r="AD53" s="209"/>
      <c r="AE53" s="552"/>
      <c r="AF53" s="552"/>
    </row>
    <row r="54" spans="1:32" ht="15.75" customHeight="1">
      <c r="A54" s="202" t="str">
        <f>IF(B54&lt;&gt;"",IF(AND(B54&gt;=_TM1,B54&lt;=_TM2,OR(TH!L54="1111",TH!M54="1111")),TH!D54,""),"")</f>
        <v/>
      </c>
      <c r="B54" s="36">
        <f t="shared" si="2"/>
        <v>1</v>
      </c>
      <c r="C54" s="182">
        <f t="shared" si="3"/>
        <v>42376</v>
      </c>
      <c r="D54" s="189" t="s">
        <v>1082</v>
      </c>
      <c r="E54" s="189">
        <v>42376</v>
      </c>
      <c r="F54" s="190" t="s">
        <v>877</v>
      </c>
      <c r="G54" s="190" t="s">
        <v>869</v>
      </c>
      <c r="H54" s="711" t="s">
        <v>777</v>
      </c>
      <c r="I54" s="252">
        <v>24</v>
      </c>
      <c r="J54" s="251">
        <v>31000</v>
      </c>
      <c r="K54" s="38">
        <f t="shared" si="4"/>
        <v>744000</v>
      </c>
      <c r="L54" s="192" t="s">
        <v>258</v>
      </c>
      <c r="M54" s="192" t="s">
        <v>173</v>
      </c>
      <c r="N54" s="52" t="str">
        <f>IF(AND('331-CT'!$E$7=TH!H54,OR(L54="331",M54="331")),"331",IF(AND(OR(L54="131",M54="131"),H54='131-CT'!$E$7),"131",""))</f>
        <v>131</v>
      </c>
      <c r="O54" s="818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52"/>
      <c r="AB54" s="552"/>
      <c r="AC54" s="552"/>
      <c r="AD54" s="209"/>
      <c r="AE54" s="209"/>
      <c r="AF54" s="209"/>
    </row>
    <row r="55" spans="1:32" ht="15.75" customHeight="1">
      <c r="A55" s="202" t="str">
        <f>IF(B55&lt;&gt;"",IF(AND(B55&gt;=_TM1,B55&lt;=_TM2,OR(TH!L55="1111",TH!M55="1111")),TH!D55,""),"")</f>
        <v/>
      </c>
      <c r="B55" s="36">
        <f t="shared" si="2"/>
        <v>1</v>
      </c>
      <c r="C55" s="182">
        <f t="shared" si="3"/>
        <v>42376</v>
      </c>
      <c r="D55" s="189" t="s">
        <v>1082</v>
      </c>
      <c r="E55" s="189">
        <v>42376</v>
      </c>
      <c r="F55" s="190" t="s">
        <v>393</v>
      </c>
      <c r="G55" s="451" t="s">
        <v>869</v>
      </c>
      <c r="H55" s="711" t="s">
        <v>777</v>
      </c>
      <c r="I55" s="252"/>
      <c r="J55" s="252"/>
      <c r="K55" s="38">
        <v>702780</v>
      </c>
      <c r="L55" s="192" t="s">
        <v>258</v>
      </c>
      <c r="M55" s="192" t="s">
        <v>367</v>
      </c>
      <c r="N55" s="52" t="str">
        <f>IF(AND('331-CT'!$E$7=TH!H55,OR(L55="331",M55="331")),"331",IF(AND(OR(L55="131",M55="131"),H55='131-CT'!$E$7),"131",""))</f>
        <v>131</v>
      </c>
      <c r="O55" s="818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52"/>
      <c r="AB55" s="552"/>
      <c r="AC55" s="552"/>
      <c r="AD55" s="209"/>
      <c r="AE55" s="209"/>
      <c r="AF55" s="209"/>
    </row>
    <row r="56" spans="1:32" ht="15.75" customHeight="1">
      <c r="A56" s="202" t="str">
        <f>IF(B56&lt;&gt;"",IF(AND(B56&gt;=_TM1,B56&lt;=_TM2,OR(TH!L56="1111",TH!M56="1111")),TH!D56,""),"")</f>
        <v/>
      </c>
      <c r="B56" s="36">
        <f t="shared" si="2"/>
        <v>1</v>
      </c>
      <c r="C56" s="182">
        <f t="shared" si="3"/>
        <v>42376</v>
      </c>
      <c r="D56" s="189" t="s">
        <v>1083</v>
      </c>
      <c r="E56" s="189">
        <v>42376</v>
      </c>
      <c r="F56" s="190" t="s">
        <v>1205</v>
      </c>
      <c r="G56" s="451" t="s">
        <v>878</v>
      </c>
      <c r="H56" s="208" t="s">
        <v>1204</v>
      </c>
      <c r="I56" s="252">
        <v>320</v>
      </c>
      <c r="J56" s="252">
        <v>14264</v>
      </c>
      <c r="K56" s="38">
        <f t="shared" ref="K56:K65" si="5">ROUND(I56*J56,0)</f>
        <v>4564480</v>
      </c>
      <c r="L56" s="192" t="s">
        <v>258</v>
      </c>
      <c r="M56" s="192" t="s">
        <v>173</v>
      </c>
      <c r="N56" s="52" t="str">
        <f>IF(AND('331-CT'!$E$7=TH!H56,OR(L56="331",M56="331")),"331",IF(AND(OR(L56="131",M56="131"),H56='131-CT'!$E$7),"131",""))</f>
        <v/>
      </c>
      <c r="O56" s="818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52"/>
      <c r="AB56" s="552"/>
      <c r="AC56" s="552"/>
      <c r="AD56" s="209"/>
      <c r="AE56" s="209"/>
      <c r="AF56" s="209"/>
    </row>
    <row r="57" spans="1:32" ht="15.75" customHeight="1">
      <c r="A57" s="202" t="str">
        <f>IF(B57&lt;&gt;"",IF(AND(B57&gt;=_TM1,B57&lt;=_TM2,OR(TH!L57="1111",TH!M57="1111")),TH!D57,""),"")</f>
        <v/>
      </c>
      <c r="B57" s="36">
        <f t="shared" si="2"/>
        <v>1</v>
      </c>
      <c r="C57" s="182">
        <f t="shared" si="3"/>
        <v>42376</v>
      </c>
      <c r="D57" s="189" t="s">
        <v>1083</v>
      </c>
      <c r="E57" s="189">
        <v>42376</v>
      </c>
      <c r="F57" s="190" t="s">
        <v>1206</v>
      </c>
      <c r="G57" s="451" t="s">
        <v>878</v>
      </c>
      <c r="H57" s="208" t="s">
        <v>1204</v>
      </c>
      <c r="I57" s="252">
        <v>280</v>
      </c>
      <c r="J57" s="252">
        <v>5191</v>
      </c>
      <c r="K57" s="38">
        <f t="shared" si="5"/>
        <v>1453480</v>
      </c>
      <c r="L57" s="192" t="s">
        <v>258</v>
      </c>
      <c r="M57" s="192" t="s">
        <v>173</v>
      </c>
      <c r="N57" s="52" t="str">
        <f>IF(AND('331-CT'!$E$7=TH!H57,OR(L57="331",M57="331")),"331",IF(AND(OR(L57="131",M57="131"),H57='131-CT'!$E$7),"131",""))</f>
        <v/>
      </c>
      <c r="O57" s="818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52"/>
      <c r="AB57" s="552"/>
      <c r="AC57" s="552"/>
      <c r="AD57" s="209"/>
      <c r="AE57" s="209"/>
      <c r="AF57" s="209"/>
    </row>
    <row r="58" spans="1:32" ht="15.75" customHeight="1">
      <c r="A58" s="202" t="str">
        <f>IF(B58&lt;&gt;"",IF(AND(B58&gt;=_TM1,B58&lt;=_TM2,OR(TH!L58="1111",TH!M58="1111")),TH!D58,""),"")</f>
        <v/>
      </c>
      <c r="B58" s="36">
        <f t="shared" si="2"/>
        <v>1</v>
      </c>
      <c r="C58" s="182">
        <f t="shared" si="3"/>
        <v>42376</v>
      </c>
      <c r="D58" s="189" t="s">
        <v>1083</v>
      </c>
      <c r="E58" s="189">
        <v>42376</v>
      </c>
      <c r="F58" s="190" t="s">
        <v>1207</v>
      </c>
      <c r="G58" s="451" t="s">
        <v>878</v>
      </c>
      <c r="H58" s="208" t="s">
        <v>1204</v>
      </c>
      <c r="I58" s="252">
        <v>211</v>
      </c>
      <c r="J58" s="252">
        <v>5752</v>
      </c>
      <c r="K58" s="38">
        <f t="shared" si="5"/>
        <v>1213672</v>
      </c>
      <c r="L58" s="192" t="s">
        <v>258</v>
      </c>
      <c r="M58" s="192" t="s">
        <v>173</v>
      </c>
      <c r="N58" s="52" t="str">
        <f>IF(AND('331-CT'!$E$7=TH!H58,OR(L58="331",M58="331")),"331",IF(AND(OR(L58="131",M58="131"),H58='131-CT'!$E$7),"131",""))</f>
        <v/>
      </c>
      <c r="O58" s="818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52"/>
      <c r="AB58" s="552"/>
      <c r="AC58" s="552"/>
      <c r="AD58" s="209"/>
      <c r="AE58" s="552"/>
      <c r="AF58" s="552"/>
    </row>
    <row r="59" spans="1:32" ht="15.75" customHeight="1">
      <c r="A59" s="202" t="str">
        <f>IF(B59&lt;&gt;"",IF(AND(B59&gt;=_TM1,B59&lt;=_TM2,OR(TH!L59="1111",TH!M59="1111")),TH!D59,""),"")</f>
        <v/>
      </c>
      <c r="B59" s="36">
        <f t="shared" si="2"/>
        <v>1</v>
      </c>
      <c r="C59" s="182">
        <f t="shared" si="3"/>
        <v>42376</v>
      </c>
      <c r="D59" s="189" t="s">
        <v>1083</v>
      </c>
      <c r="E59" s="189">
        <v>42376</v>
      </c>
      <c r="F59" s="190" t="s">
        <v>1208</v>
      </c>
      <c r="G59" s="451" t="s">
        <v>878</v>
      </c>
      <c r="H59" s="208" t="s">
        <v>1204</v>
      </c>
      <c r="I59" s="252">
        <v>75</v>
      </c>
      <c r="J59" s="252">
        <v>5544</v>
      </c>
      <c r="K59" s="38">
        <f t="shared" si="5"/>
        <v>415800</v>
      </c>
      <c r="L59" s="192" t="s">
        <v>258</v>
      </c>
      <c r="M59" s="192" t="s">
        <v>173</v>
      </c>
      <c r="N59" s="52" t="str">
        <f>IF(AND('331-CT'!$E$7=TH!H59,OR(L59="331",M59="331")),"331",IF(AND(OR(L59="131",M59="131"),H59='131-CT'!$E$7),"131",""))</f>
        <v/>
      </c>
      <c r="O59" s="818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52"/>
      <c r="AB59" s="552"/>
      <c r="AC59" s="552"/>
      <c r="AD59" s="209"/>
      <c r="AE59" s="552"/>
      <c r="AF59" s="552"/>
    </row>
    <row r="60" spans="1:32" s="552" customFormat="1" ht="15.75" customHeight="1">
      <c r="A60" s="202" t="str">
        <f>IF(B60&lt;&gt;"",IF(AND(B60&gt;=_TM1,B60&lt;=_TM2,OR(TH!L60="1111",TH!M60="1111")),TH!D60,""),"")</f>
        <v/>
      </c>
      <c r="B60" s="36">
        <f t="shared" si="2"/>
        <v>1</v>
      </c>
      <c r="C60" s="182">
        <f t="shared" si="3"/>
        <v>42376</v>
      </c>
      <c r="D60" s="189" t="s">
        <v>1083</v>
      </c>
      <c r="E60" s="189">
        <v>42376</v>
      </c>
      <c r="F60" s="190" t="s">
        <v>1209</v>
      </c>
      <c r="G60" s="451" t="s">
        <v>878</v>
      </c>
      <c r="H60" s="208" t="s">
        <v>1204</v>
      </c>
      <c r="I60" s="252">
        <v>70</v>
      </c>
      <c r="J60" s="252">
        <v>3931</v>
      </c>
      <c r="K60" s="38">
        <f t="shared" si="5"/>
        <v>275170</v>
      </c>
      <c r="L60" s="192" t="s">
        <v>258</v>
      </c>
      <c r="M60" s="192" t="s">
        <v>173</v>
      </c>
      <c r="N60" s="52" t="str">
        <f>IF(AND('331-CT'!$E$7=TH!H60,OR(L60="331",M60="331")),"331",IF(AND(OR(L60="131",M60="131"),H60='131-CT'!$E$7),"131",""))</f>
        <v/>
      </c>
      <c r="O60" s="818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52"/>
      <c r="AD60" s="209"/>
    </row>
    <row r="61" spans="1:32" s="552" customFormat="1" ht="15.75" customHeight="1">
      <c r="A61" s="202" t="str">
        <f>IF(B61&lt;&gt;"",IF(AND(B61&gt;=_TM1,B61&lt;=_TM2,OR(TH!L61="1111",TH!M61="1111")),TH!D61,""),"")</f>
        <v/>
      </c>
      <c r="B61" s="36">
        <f t="shared" si="2"/>
        <v>1</v>
      </c>
      <c r="C61" s="182">
        <f t="shared" si="3"/>
        <v>42376</v>
      </c>
      <c r="D61" s="189" t="s">
        <v>1083</v>
      </c>
      <c r="E61" s="189">
        <v>42376</v>
      </c>
      <c r="F61" s="190" t="s">
        <v>1210</v>
      </c>
      <c r="G61" s="451" t="s">
        <v>878</v>
      </c>
      <c r="H61" s="208" t="s">
        <v>1204</v>
      </c>
      <c r="I61" s="252">
        <v>120</v>
      </c>
      <c r="J61" s="252">
        <v>9855</v>
      </c>
      <c r="K61" s="38">
        <f t="shared" si="5"/>
        <v>1182600</v>
      </c>
      <c r="L61" s="192" t="s">
        <v>258</v>
      </c>
      <c r="M61" s="192" t="s">
        <v>173</v>
      </c>
      <c r="N61" s="52" t="str">
        <f>IF(AND('331-CT'!$E$7=TH!H61,OR(L61="331",M61="331")),"331",IF(AND(OR(L61="131",M61="131"),H61='131-CT'!$E$7),"131",""))</f>
        <v/>
      </c>
      <c r="O61" s="818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52"/>
      <c r="AD61" s="209"/>
    </row>
    <row r="62" spans="1:32" s="552" customFormat="1" ht="15.75" customHeight="1">
      <c r="A62" s="202" t="str">
        <f>IF(B62&lt;&gt;"",IF(AND(B62&gt;=_TM1,B62&lt;=_TM2,OR(TH!L62="1111",TH!M62="1111")),TH!D62,""),"")</f>
        <v/>
      </c>
      <c r="B62" s="36">
        <f t="shared" si="2"/>
        <v>1</v>
      </c>
      <c r="C62" s="182">
        <f t="shared" si="3"/>
        <v>42376</v>
      </c>
      <c r="D62" s="189" t="s">
        <v>1083</v>
      </c>
      <c r="E62" s="189">
        <v>42376</v>
      </c>
      <c r="F62" s="190" t="s">
        <v>1211</v>
      </c>
      <c r="G62" s="451" t="s">
        <v>878</v>
      </c>
      <c r="H62" s="208" t="s">
        <v>1204</v>
      </c>
      <c r="I62" s="252">
        <v>110</v>
      </c>
      <c r="J62" s="252">
        <v>16577</v>
      </c>
      <c r="K62" s="38">
        <f t="shared" si="5"/>
        <v>1823470</v>
      </c>
      <c r="L62" s="192" t="s">
        <v>258</v>
      </c>
      <c r="M62" s="192" t="s">
        <v>173</v>
      </c>
      <c r="N62" s="52" t="str">
        <f>IF(AND('331-CT'!$E$7=TH!H62,OR(L62="331",M62="331")),"331",IF(AND(OR(L62="131",M62="131"),H62='131-CT'!$E$7),"131",""))</f>
        <v/>
      </c>
      <c r="O62" s="818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52"/>
      <c r="AD62" s="209"/>
    </row>
    <row r="63" spans="1:32" s="209" customFormat="1" ht="15.75" customHeight="1">
      <c r="A63" s="202" t="str">
        <f>IF(B63&lt;&gt;"",IF(AND(B63&gt;=_TM1,B63&lt;=_TM2,OR(TH!L63="1111",TH!M63="1111")),TH!D63,""),"")</f>
        <v/>
      </c>
      <c r="B63" s="36">
        <f t="shared" si="2"/>
        <v>1</v>
      </c>
      <c r="C63" s="182">
        <f t="shared" si="3"/>
        <v>42376</v>
      </c>
      <c r="D63" s="189" t="s">
        <v>1083</v>
      </c>
      <c r="E63" s="189">
        <v>42376</v>
      </c>
      <c r="F63" s="190" t="s">
        <v>1212</v>
      </c>
      <c r="G63" s="451" t="s">
        <v>878</v>
      </c>
      <c r="H63" s="208" t="s">
        <v>1204</v>
      </c>
      <c r="I63" s="252">
        <v>96</v>
      </c>
      <c r="J63" s="252">
        <v>16433</v>
      </c>
      <c r="K63" s="38">
        <f t="shared" si="5"/>
        <v>1577568</v>
      </c>
      <c r="L63" s="192" t="s">
        <v>258</v>
      </c>
      <c r="M63" s="192" t="s">
        <v>173</v>
      </c>
      <c r="N63" s="52" t="str">
        <f>IF(AND('331-CT'!$E$7=TH!H63,OR(L63="331",M63="331")),"331",IF(AND(OR(L63="131",M63="131"),H63='131-CT'!$E$7),"131",""))</f>
        <v/>
      </c>
      <c r="O63" s="818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52"/>
      <c r="AB63" s="552"/>
      <c r="AE63" s="552"/>
      <c r="AF63" s="552"/>
    </row>
    <row r="64" spans="1:32" s="209" customFormat="1" ht="15.75" customHeight="1">
      <c r="A64" s="202" t="str">
        <f>IF(B64&lt;&gt;"",IF(AND(B64&gt;=_TM1,B64&lt;=_TM2,OR(TH!L64="1111",TH!M64="1111")),TH!D64,""),"")</f>
        <v/>
      </c>
      <c r="B64" s="36">
        <f t="shared" si="2"/>
        <v>1</v>
      </c>
      <c r="C64" s="182">
        <f t="shared" si="3"/>
        <v>42376</v>
      </c>
      <c r="D64" s="189" t="s">
        <v>1083</v>
      </c>
      <c r="E64" s="189">
        <v>42376</v>
      </c>
      <c r="F64" s="190" t="s">
        <v>1213</v>
      </c>
      <c r="G64" s="451" t="s">
        <v>878</v>
      </c>
      <c r="H64" s="208" t="s">
        <v>1204</v>
      </c>
      <c r="I64" s="252">
        <v>500</v>
      </c>
      <c r="J64" s="252">
        <v>8915</v>
      </c>
      <c r="K64" s="38">
        <f t="shared" si="5"/>
        <v>4457500</v>
      </c>
      <c r="L64" s="192" t="s">
        <v>258</v>
      </c>
      <c r="M64" s="192" t="s">
        <v>173</v>
      </c>
      <c r="N64" s="52" t="str">
        <f>IF(AND('331-CT'!$E$7=TH!H64,OR(L64="331",M64="331")),"331",IF(AND(OR(L64="131",M64="131"),H64='131-CT'!$E$7),"131",""))</f>
        <v/>
      </c>
      <c r="O64" s="818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52"/>
      <c r="AB64" s="552"/>
      <c r="AC64" s="552"/>
      <c r="AE64" s="552"/>
      <c r="AF64" s="552"/>
    </row>
    <row r="65" spans="1:32" s="552" customFormat="1" ht="15.75" customHeight="1">
      <c r="A65" s="202" t="str">
        <f>IF(B65&lt;&gt;"",IF(AND(B65&gt;=_TM1,B65&lt;=_TM2,OR(TH!L65="1111",TH!M65="1111")),TH!D65,""),"")</f>
        <v/>
      </c>
      <c r="B65" s="36">
        <f t="shared" si="2"/>
        <v>1</v>
      </c>
      <c r="C65" s="182">
        <f t="shared" si="3"/>
        <v>42376</v>
      </c>
      <c r="D65" s="189" t="s">
        <v>1083</v>
      </c>
      <c r="E65" s="189">
        <v>42376</v>
      </c>
      <c r="F65" s="190" t="s">
        <v>1214</v>
      </c>
      <c r="G65" s="190" t="s">
        <v>878</v>
      </c>
      <c r="H65" s="208" t="s">
        <v>1204</v>
      </c>
      <c r="I65" s="251">
        <v>86</v>
      </c>
      <c r="J65" s="251">
        <v>6334</v>
      </c>
      <c r="K65" s="38">
        <f t="shared" si="5"/>
        <v>544724</v>
      </c>
      <c r="L65" s="192" t="s">
        <v>258</v>
      </c>
      <c r="M65" s="192" t="s">
        <v>173</v>
      </c>
      <c r="N65" s="52" t="str">
        <f>IF(AND('331-CT'!$E$7=TH!H65,OR(L65="331",M65="331")),"331",IF(AND(OR(L65="131",M65="131"),H65='131-CT'!$E$7),"131",""))</f>
        <v/>
      </c>
      <c r="O65" s="818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52"/>
      <c r="AC65" s="209"/>
      <c r="AD65" s="209"/>
    </row>
    <row r="66" spans="1:32" s="552" customFormat="1" ht="15.75" customHeight="1">
      <c r="A66" s="202" t="str">
        <f>IF(B66&lt;&gt;"",IF(AND(B66&gt;=_TM1,B66&lt;=_TM2,OR(TH!L66="1111",TH!M66="1111")),TH!D66,""),"")</f>
        <v/>
      </c>
      <c r="B66" s="36">
        <f t="shared" si="2"/>
        <v>1</v>
      </c>
      <c r="C66" s="182">
        <f t="shared" si="3"/>
        <v>42376</v>
      </c>
      <c r="D66" s="189" t="s">
        <v>1083</v>
      </c>
      <c r="E66" s="189">
        <v>42376</v>
      </c>
      <c r="F66" s="190" t="s">
        <v>525</v>
      </c>
      <c r="G66" s="451" t="s">
        <v>878</v>
      </c>
      <c r="H66" s="208" t="s">
        <v>1204</v>
      </c>
      <c r="I66" s="251"/>
      <c r="J66" s="251"/>
      <c r="K66" s="38">
        <v>1750846</v>
      </c>
      <c r="L66" s="192" t="s">
        <v>258</v>
      </c>
      <c r="M66" s="192" t="s">
        <v>367</v>
      </c>
      <c r="N66" s="52" t="str">
        <f>IF(AND('331-CT'!$E$7=TH!H66,OR(L66="331",M66="331")),"331",IF(AND(OR(L66="131",M66="131"),H66='131-CT'!$E$7),"131",""))</f>
        <v/>
      </c>
      <c r="O66" s="818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52"/>
      <c r="AD66" s="209"/>
    </row>
    <row r="67" spans="1:32" s="552" customFormat="1" ht="15.75" customHeight="1">
      <c r="A67" s="202" t="str">
        <f>IF(B67&lt;&gt;"",IF(AND(B67&gt;=_TM1,B67&lt;=_TM2,OR(TH!L67="1111",TH!M67="1111")),TH!D67,""),"")</f>
        <v/>
      </c>
      <c r="B67" s="36">
        <f t="shared" si="2"/>
        <v>1</v>
      </c>
      <c r="C67" s="182">
        <f t="shared" si="3"/>
        <v>42376</v>
      </c>
      <c r="D67" s="189" t="s">
        <v>1084</v>
      </c>
      <c r="E67" s="189">
        <v>42376</v>
      </c>
      <c r="F67" s="190" t="s">
        <v>879</v>
      </c>
      <c r="G67" s="451" t="s">
        <v>880</v>
      </c>
      <c r="H67" s="711" t="s">
        <v>777</v>
      </c>
      <c r="I67" s="251">
        <v>22</v>
      </c>
      <c r="J67" s="251">
        <v>33000</v>
      </c>
      <c r="K67" s="38">
        <f>ROUND(I67*J67,0)</f>
        <v>726000</v>
      </c>
      <c r="L67" s="192" t="s">
        <v>258</v>
      </c>
      <c r="M67" s="192" t="s">
        <v>173</v>
      </c>
      <c r="N67" s="52" t="str">
        <f>IF(AND('331-CT'!$E$7=TH!H67,OR(L67="331",M67="331")),"331",IF(AND(OR(L67="131",M67="131"),H67='131-CT'!$E$7),"131",""))</f>
        <v>131</v>
      </c>
      <c r="O67" s="818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52"/>
      <c r="AD67" s="209"/>
    </row>
    <row r="68" spans="1:32" s="552" customFormat="1" ht="15.75" customHeight="1">
      <c r="A68" s="202" t="str">
        <f>IF(B68&lt;&gt;"",IF(AND(B68&gt;=_TM1,B68&lt;=_TM2,OR(TH!L68="1111",TH!M68="1111")),TH!D68,""),"")</f>
        <v/>
      </c>
      <c r="B68" s="36">
        <f t="shared" si="2"/>
        <v>1</v>
      </c>
      <c r="C68" s="182">
        <f t="shared" si="3"/>
        <v>42376</v>
      </c>
      <c r="D68" s="189" t="s">
        <v>1084</v>
      </c>
      <c r="E68" s="189">
        <v>42376</v>
      </c>
      <c r="F68" s="190" t="s">
        <v>881</v>
      </c>
      <c r="G68" s="451" t="s">
        <v>880</v>
      </c>
      <c r="H68" s="711" t="s">
        <v>777</v>
      </c>
      <c r="I68" s="251">
        <v>10</v>
      </c>
      <c r="J68" s="251">
        <v>35000</v>
      </c>
      <c r="K68" s="38">
        <f>ROUND(I68*J68,0)</f>
        <v>350000</v>
      </c>
      <c r="L68" s="192" t="s">
        <v>258</v>
      </c>
      <c r="M68" s="192" t="s">
        <v>173</v>
      </c>
      <c r="N68" s="52" t="str">
        <f>IF(AND('331-CT'!$E$7=TH!H68,OR(L68="331",M68="331")),"331",IF(AND(OR(L68="131",M68="131"),H68='131-CT'!$E$7),"131",""))</f>
        <v>131</v>
      </c>
      <c r="O68" s="818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52"/>
      <c r="AD68" s="209"/>
    </row>
    <row r="69" spans="1:32" s="552" customFormat="1" ht="15.75" customHeight="1">
      <c r="A69" s="202" t="str">
        <f>IF(B69&lt;&gt;"",IF(AND(B69&gt;=_TM1,B69&lt;=_TM2,OR(TH!L69="1111",TH!M69="1111")),TH!D69,""),"")</f>
        <v/>
      </c>
      <c r="B69" s="36">
        <f t="shared" si="2"/>
        <v>1</v>
      </c>
      <c r="C69" s="182">
        <f t="shared" si="3"/>
        <v>42376</v>
      </c>
      <c r="D69" s="189" t="s">
        <v>1084</v>
      </c>
      <c r="E69" s="189">
        <v>42376</v>
      </c>
      <c r="F69" s="190" t="s">
        <v>882</v>
      </c>
      <c r="G69" s="451" t="s">
        <v>880</v>
      </c>
      <c r="H69" s="711" t="s">
        <v>777</v>
      </c>
      <c r="I69" s="251">
        <v>10</v>
      </c>
      <c r="J69" s="251">
        <v>60000</v>
      </c>
      <c r="K69" s="38">
        <f>ROUND(I69*J69,0)</f>
        <v>600000</v>
      </c>
      <c r="L69" s="192" t="s">
        <v>258</v>
      </c>
      <c r="M69" s="192" t="s">
        <v>173</v>
      </c>
      <c r="N69" s="52" t="str">
        <f>IF(AND('331-CT'!$E$7=TH!H69,OR(L69="331",M69="331")),"331",IF(AND(OR(L69="131",M69="131"),H69='131-CT'!$E$7),"131",""))</f>
        <v>131</v>
      </c>
      <c r="O69" s="818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52"/>
      <c r="AD69" s="209"/>
    </row>
    <row r="70" spans="1:32" s="552" customFormat="1" ht="15.75" customHeight="1">
      <c r="A70" s="202" t="str">
        <f>IF(B70&lt;&gt;"",IF(AND(B70&gt;=_TM1,B70&lt;=_TM2,OR(TH!L70="1111",TH!M70="1111")),TH!D70,""),"")</f>
        <v/>
      </c>
      <c r="B70" s="36">
        <f t="shared" si="2"/>
        <v>1</v>
      </c>
      <c r="C70" s="182">
        <f t="shared" si="3"/>
        <v>42376</v>
      </c>
      <c r="D70" s="189" t="s">
        <v>1084</v>
      </c>
      <c r="E70" s="189">
        <v>42376</v>
      </c>
      <c r="F70" s="40" t="s">
        <v>680</v>
      </c>
      <c r="G70" s="190" t="s">
        <v>880</v>
      </c>
      <c r="H70" s="711" t="s">
        <v>777</v>
      </c>
      <c r="I70" s="251">
        <v>300</v>
      </c>
      <c r="J70" s="251">
        <v>9300</v>
      </c>
      <c r="K70" s="38">
        <f>ROUND(I70*J70,0)</f>
        <v>2790000</v>
      </c>
      <c r="L70" s="192" t="s">
        <v>258</v>
      </c>
      <c r="M70" s="192" t="s">
        <v>173</v>
      </c>
      <c r="N70" s="52" t="str">
        <f>IF(AND('331-CT'!$E$7=TH!H70,OR(L70="331",M70="331")),"331",IF(AND(OR(L70="131",M70="131"),H70='131-CT'!$E$7),"131",""))</f>
        <v>131</v>
      </c>
      <c r="O70" s="818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52"/>
      <c r="AD70" s="209"/>
    </row>
    <row r="71" spans="1:32" s="552" customFormat="1" ht="15.75" customHeight="1">
      <c r="A71" s="202" t="str">
        <f>IF(B71&lt;&gt;"",IF(AND(B71&gt;=_TM1,B71&lt;=_TM2,OR(TH!L71="1111",TH!M71="1111")),TH!D71,""),"")</f>
        <v/>
      </c>
      <c r="B71" s="36">
        <f t="shared" si="2"/>
        <v>1</v>
      </c>
      <c r="C71" s="182">
        <f t="shared" si="3"/>
        <v>42376</v>
      </c>
      <c r="D71" s="189" t="s">
        <v>1084</v>
      </c>
      <c r="E71" s="189">
        <v>42376</v>
      </c>
      <c r="F71" s="190" t="s">
        <v>393</v>
      </c>
      <c r="G71" s="451" t="s">
        <v>880</v>
      </c>
      <c r="H71" s="711" t="s">
        <v>777</v>
      </c>
      <c r="I71" s="251"/>
      <c r="J71" s="251"/>
      <c r="K71" s="38">
        <v>446600</v>
      </c>
      <c r="L71" s="192" t="s">
        <v>258</v>
      </c>
      <c r="M71" s="192" t="s">
        <v>367</v>
      </c>
      <c r="N71" s="52" t="str">
        <f>IF(AND('331-CT'!$E$7=TH!H71,OR(L71="331",M71="331")),"331",IF(AND(OR(L71="131",M71="131"),H71='131-CT'!$E$7),"131",""))</f>
        <v>131</v>
      </c>
      <c r="O71" s="818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52"/>
      <c r="AC71" s="209"/>
      <c r="AD71" s="209"/>
    </row>
    <row r="72" spans="1:32" s="552" customFormat="1" ht="15.75" customHeight="1">
      <c r="A72" s="202" t="str">
        <f>IF(B72&lt;&gt;"",IF(AND(B72&gt;=_TM1,B72&lt;=_TM2,OR(TH!L72="1111",TH!M72="1111")),TH!D72,""),"")</f>
        <v/>
      </c>
      <c r="B72" s="36">
        <f t="shared" si="2"/>
        <v>1</v>
      </c>
      <c r="C72" s="182">
        <f t="shared" si="3"/>
        <v>42376</v>
      </c>
      <c r="D72" s="189" t="s">
        <v>1085</v>
      </c>
      <c r="E72" s="189">
        <v>42376</v>
      </c>
      <c r="F72" s="40" t="s">
        <v>680</v>
      </c>
      <c r="G72" s="190" t="s">
        <v>883</v>
      </c>
      <c r="H72" s="711" t="s">
        <v>777</v>
      </c>
      <c r="I72" s="251">
        <v>53</v>
      </c>
      <c r="J72" s="251">
        <v>9300</v>
      </c>
      <c r="K72" s="38">
        <f>ROUND(I72*J72,0)</f>
        <v>492900</v>
      </c>
      <c r="L72" s="192" t="s">
        <v>258</v>
      </c>
      <c r="M72" s="192" t="s">
        <v>173</v>
      </c>
      <c r="N72" s="52" t="str">
        <f>IF(AND('331-CT'!$E$7=TH!H72,OR(L72="331",M72="331")),"331",IF(AND(OR(L72="131",M72="131"),H72='131-CT'!$E$7),"131",""))</f>
        <v>131</v>
      </c>
      <c r="O72" s="818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52"/>
      <c r="AD72" s="209"/>
    </row>
    <row r="73" spans="1:32" s="552" customFormat="1" ht="15.75" customHeight="1">
      <c r="A73" s="202" t="str">
        <f>IF(B73&lt;&gt;"",IF(AND(B73&gt;=_TM1,B73&lt;=_TM2,OR(TH!L73="1111",TH!M73="1111")),TH!D73,""),"")</f>
        <v/>
      </c>
      <c r="B73" s="36">
        <f t="shared" si="2"/>
        <v>1</v>
      </c>
      <c r="C73" s="182">
        <f t="shared" si="3"/>
        <v>42376</v>
      </c>
      <c r="D73" s="189" t="s">
        <v>1085</v>
      </c>
      <c r="E73" s="189">
        <v>42376</v>
      </c>
      <c r="F73" s="190" t="s">
        <v>393</v>
      </c>
      <c r="G73" s="451" t="s">
        <v>883</v>
      </c>
      <c r="H73" s="711" t="s">
        <v>777</v>
      </c>
      <c r="I73" s="251"/>
      <c r="J73" s="251"/>
      <c r="K73" s="38">
        <v>49290</v>
      </c>
      <c r="L73" s="192" t="s">
        <v>258</v>
      </c>
      <c r="M73" s="192" t="s">
        <v>367</v>
      </c>
      <c r="N73" s="52" t="str">
        <f>IF(AND('331-CT'!$E$7=TH!H73,OR(L73="331",M73="331")),"331",IF(AND(OR(L73="131",M73="131"),H73='131-CT'!$E$7),"131",""))</f>
        <v>131</v>
      </c>
      <c r="O73" s="818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52"/>
      <c r="AD73" s="209"/>
    </row>
    <row r="74" spans="1:32" s="552" customFormat="1" ht="15.75" customHeight="1">
      <c r="A74" s="202" t="str">
        <f>IF(B74&lt;&gt;"",IF(AND(B74&gt;=_TM1,B74&lt;=_TM2,OR(TH!L74="1111",TH!M74="1111")),TH!D74,""),"")</f>
        <v/>
      </c>
      <c r="B74" s="36">
        <f t="shared" si="2"/>
        <v>1</v>
      </c>
      <c r="C74" s="182">
        <f t="shared" si="3"/>
        <v>42376</v>
      </c>
      <c r="D74" s="182" t="s">
        <v>355</v>
      </c>
      <c r="E74" s="189">
        <v>42376</v>
      </c>
      <c r="F74" s="40" t="s">
        <v>666</v>
      </c>
      <c r="G74" s="451" t="s">
        <v>1591</v>
      </c>
      <c r="H74" s="7" t="s">
        <v>648</v>
      </c>
      <c r="I74" s="252"/>
      <c r="J74" s="252"/>
      <c r="K74" s="560">
        <v>2371600</v>
      </c>
      <c r="L74" s="561" t="s">
        <v>47</v>
      </c>
      <c r="M74" s="561" t="s">
        <v>258</v>
      </c>
      <c r="N74" s="52" t="str">
        <f>IF(AND('331-CT'!$E$7=TH!H74,OR(L74="331",M74="331")),"331",IF(AND(OR(L74="131",M74="131"),H74='131-CT'!$E$7),"131",""))</f>
        <v/>
      </c>
      <c r="O74" s="818" t="str">
        <f>IF(AND('341-CT'!$E$9=H74,OR(LEFT(L74,3)=$O$7,LEFT(M74,3)=$O$7)),"x","")</f>
        <v/>
      </c>
      <c r="P74" s="52" t="str">
        <f>IF(AND($B74&gt;='111'!$N$11,$B74&lt;='111'!$O$11,OR($L74=$P$7,$M74=$P$7)),"x","")</f>
        <v>x</v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52"/>
      <c r="AD74" s="209"/>
      <c r="AE74" s="209"/>
      <c r="AF74" s="209"/>
    </row>
    <row r="75" spans="1:32" s="552" customFormat="1" ht="15.75" customHeight="1">
      <c r="A75" s="202" t="str">
        <f>IF(B75&lt;&gt;"",IF(AND(B75&gt;=_TM1,B75&lt;=_TM2,OR(TH!L75="1111",TH!M75="1111")),TH!D75,""),"")</f>
        <v/>
      </c>
      <c r="B75" s="36">
        <f t="shared" si="2"/>
        <v>1</v>
      </c>
      <c r="C75" s="182">
        <f t="shared" si="3"/>
        <v>42377</v>
      </c>
      <c r="D75" s="189" t="s">
        <v>1086</v>
      </c>
      <c r="E75" s="189">
        <v>42377</v>
      </c>
      <c r="F75" s="190" t="s">
        <v>610</v>
      </c>
      <c r="G75" s="190" t="s">
        <v>884</v>
      </c>
      <c r="H75" s="191" t="s">
        <v>612</v>
      </c>
      <c r="I75" s="251">
        <v>153</v>
      </c>
      <c r="J75" s="251">
        <v>22750</v>
      </c>
      <c r="K75" s="38">
        <f>ROUND(I75*J75,0)</f>
        <v>3480750</v>
      </c>
      <c r="L75" s="192" t="s">
        <v>258</v>
      </c>
      <c r="M75" s="192" t="s">
        <v>173</v>
      </c>
      <c r="N75" s="52" t="str">
        <f>IF(AND('331-CT'!$E$7=TH!H75,OR(L75="331",M75="331")),"331",IF(AND(OR(L75="131",M75="131"),H75='131-CT'!$E$7),"131",""))</f>
        <v/>
      </c>
      <c r="O75" s="818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52"/>
      <c r="AD75" s="209"/>
    </row>
    <row r="76" spans="1:32" s="552" customFormat="1" ht="15.75" customHeight="1">
      <c r="A76" s="202" t="str">
        <f>IF(B76&lt;&gt;"",IF(AND(B76&gt;=_TM1,B76&lt;=_TM2,OR(TH!L76="1111",TH!M76="1111")),TH!D76,""),"")</f>
        <v/>
      </c>
      <c r="B76" s="36">
        <f t="shared" si="2"/>
        <v>1</v>
      </c>
      <c r="C76" s="182">
        <f t="shared" si="3"/>
        <v>42377</v>
      </c>
      <c r="D76" s="189" t="s">
        <v>1086</v>
      </c>
      <c r="E76" s="189">
        <v>42377</v>
      </c>
      <c r="F76" s="190" t="s">
        <v>393</v>
      </c>
      <c r="G76" s="451" t="s">
        <v>884</v>
      </c>
      <c r="H76" s="191" t="s">
        <v>612</v>
      </c>
      <c r="I76" s="251"/>
      <c r="J76" s="251"/>
      <c r="K76" s="38">
        <v>348075</v>
      </c>
      <c r="L76" s="192" t="s">
        <v>258</v>
      </c>
      <c r="M76" s="192" t="s">
        <v>367</v>
      </c>
      <c r="N76" s="52" t="str">
        <f>IF(AND('331-CT'!$E$7=TH!H76,OR(L76="331",M76="331")),"331",IF(AND(OR(L76="131",M76="131"),H76='131-CT'!$E$7),"131",""))</f>
        <v/>
      </c>
      <c r="O76" s="818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52"/>
      <c r="AD76" s="209"/>
    </row>
    <row r="77" spans="1:32" s="552" customFormat="1" ht="15.75" customHeight="1">
      <c r="A77" s="202" t="str">
        <f>IF(B77&lt;&gt;"",IF(AND(B77&gt;=_TM1,B77&lt;=_TM2,OR(TH!L77="1111",TH!M77="1111")),TH!D77,""),"")</f>
        <v/>
      </c>
      <c r="B77" s="36">
        <f t="shared" si="2"/>
        <v>1</v>
      </c>
      <c r="C77" s="182">
        <f t="shared" si="3"/>
        <v>42378</v>
      </c>
      <c r="D77" s="182" t="s">
        <v>359</v>
      </c>
      <c r="E77" s="189">
        <v>42378</v>
      </c>
      <c r="F77" s="40" t="s">
        <v>666</v>
      </c>
      <c r="G77" s="451" t="s">
        <v>1575</v>
      </c>
      <c r="H77" s="7" t="s">
        <v>551</v>
      </c>
      <c r="I77" s="252"/>
      <c r="J77" s="252"/>
      <c r="K77" s="560">
        <v>19525000</v>
      </c>
      <c r="L77" s="561" t="s">
        <v>47</v>
      </c>
      <c r="M77" s="561" t="s">
        <v>258</v>
      </c>
      <c r="N77" s="52" t="str">
        <f>IF(AND('331-CT'!$E$7=TH!H77,OR(L77="331",M77="331")),"331",IF(AND(OR(L77="131",M77="131"),H77='131-CT'!$E$7),"131",""))</f>
        <v/>
      </c>
      <c r="O77" s="818" t="str">
        <f>IF(AND('341-CT'!$E$9=H77,OR(LEFT(L77,3)=$O$7,LEFT(M77,3)=$O$7)),"x","")</f>
        <v/>
      </c>
      <c r="P77" s="52" t="str">
        <f>IF(AND($B77&gt;='111'!$N$11,$B77&lt;='111'!$O$11,OR($L77=$P$7,$M77=$P$7)),"x","")</f>
        <v>x</v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52"/>
      <c r="AD77" s="209"/>
      <c r="AE77" s="209"/>
      <c r="AF77" s="209"/>
    </row>
    <row r="78" spans="1:32" s="552" customFormat="1" ht="15.75" customHeight="1">
      <c r="A78" s="202" t="str">
        <f>IF(B78&lt;&gt;"",IF(AND(B78&gt;=_TM1,B78&lt;=_TM2,OR(TH!L78="1111",TH!M78="1111")),TH!D78,""),"")</f>
        <v/>
      </c>
      <c r="B78" s="36">
        <f t="shared" si="2"/>
        <v>1</v>
      </c>
      <c r="C78" s="182">
        <f t="shared" si="3"/>
        <v>42380</v>
      </c>
      <c r="D78" s="182" t="s">
        <v>665</v>
      </c>
      <c r="E78" s="182">
        <v>42380</v>
      </c>
      <c r="F78" s="187" t="s">
        <v>666</v>
      </c>
      <c r="G78" s="448" t="s">
        <v>330</v>
      </c>
      <c r="H78" s="711" t="s">
        <v>777</v>
      </c>
      <c r="I78" s="251"/>
      <c r="J78" s="251"/>
      <c r="K78" s="560">
        <v>7730580</v>
      </c>
      <c r="L78" s="561" t="s">
        <v>24</v>
      </c>
      <c r="M78" s="561" t="s">
        <v>258</v>
      </c>
      <c r="N78" s="52" t="str">
        <f>IF(AND('331-CT'!$E$7=TH!H78,OR(L78="331",M78="331")),"331",IF(AND(OR(L78="131",M78="131"),H78='131-CT'!$E$7),"131",""))</f>
        <v>131</v>
      </c>
      <c r="O78" s="818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52"/>
    </row>
    <row r="79" spans="1:32" s="552" customFormat="1" ht="15.75" customHeight="1">
      <c r="A79" s="202" t="str">
        <f>IF(B79&lt;&gt;"",IF(AND(B79&gt;=_TM1,B79&lt;=_TM2,OR(TH!L79="1111",TH!M79="1111")),TH!D79,""),"")</f>
        <v/>
      </c>
      <c r="B79" s="36">
        <f t="shared" si="2"/>
        <v>1</v>
      </c>
      <c r="C79" s="182">
        <f t="shared" si="3"/>
        <v>42380</v>
      </c>
      <c r="D79" s="182" t="s">
        <v>665</v>
      </c>
      <c r="E79" s="182">
        <v>42380</v>
      </c>
      <c r="F79" s="187" t="s">
        <v>666</v>
      </c>
      <c r="G79" s="448" t="s">
        <v>330</v>
      </c>
      <c r="H79" s="7" t="s">
        <v>778</v>
      </c>
      <c r="I79" s="251"/>
      <c r="J79" s="251"/>
      <c r="K79" s="560">
        <v>5850000</v>
      </c>
      <c r="L79" s="561" t="s">
        <v>24</v>
      </c>
      <c r="M79" s="561" t="s">
        <v>258</v>
      </c>
      <c r="N79" s="52" t="str">
        <f>IF(AND('331-CT'!$E$7=TH!H79,OR(L79="331",M79="331")),"331",IF(AND(OR(L79="131",M79="131"),H79='131-CT'!$E$7),"131",""))</f>
        <v/>
      </c>
      <c r="O79" s="818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52"/>
    </row>
    <row r="80" spans="1:32" s="552" customFormat="1" ht="15.75" customHeight="1">
      <c r="A80" s="202" t="str">
        <f>IF(B80&lt;&gt;"",IF(AND(B80&gt;=_TM1,B80&lt;=_TM2,OR(TH!L80="1111",TH!M80="1111")),TH!D80,""),"")</f>
        <v/>
      </c>
      <c r="B80" s="36">
        <f t="shared" si="2"/>
        <v>1</v>
      </c>
      <c r="C80" s="182">
        <f t="shared" si="3"/>
        <v>42381</v>
      </c>
      <c r="D80" s="182" t="s">
        <v>665</v>
      </c>
      <c r="E80" s="182">
        <v>42381</v>
      </c>
      <c r="F80" s="187" t="s">
        <v>666</v>
      </c>
      <c r="G80" s="448" t="s">
        <v>330</v>
      </c>
      <c r="H80" s="7" t="s">
        <v>615</v>
      </c>
      <c r="I80" s="251"/>
      <c r="J80" s="251"/>
      <c r="K80" s="560">
        <v>29539400</v>
      </c>
      <c r="L80" s="561" t="s">
        <v>24</v>
      </c>
      <c r="M80" s="561" t="s">
        <v>258</v>
      </c>
      <c r="N80" s="52" t="str">
        <f>IF(AND('331-CT'!$E$7=TH!H80,OR(L80="331",M80="331")),"331",IF(AND(OR(L80="131",M80="131"),H80='131-CT'!$E$7),"131",""))</f>
        <v/>
      </c>
      <c r="O80" s="818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52"/>
    </row>
    <row r="81" spans="1:32" s="552" customFormat="1" ht="15.75" customHeight="1">
      <c r="A81" s="202" t="str">
        <f>IF(B81&lt;&gt;"",IF(AND(B81&gt;=_TM1,B81&lt;=_TM2,OR(TH!L81="1111",TH!M81="1111")),TH!D81,""),"")</f>
        <v/>
      </c>
      <c r="B81" s="36">
        <f t="shared" si="2"/>
        <v>1</v>
      </c>
      <c r="C81" s="182">
        <f t="shared" si="3"/>
        <v>42381</v>
      </c>
      <c r="D81" s="182" t="s">
        <v>665</v>
      </c>
      <c r="E81" s="182">
        <v>42381</v>
      </c>
      <c r="F81" s="187" t="s">
        <v>666</v>
      </c>
      <c r="G81" s="448" t="s">
        <v>330</v>
      </c>
      <c r="H81" s="7" t="s">
        <v>609</v>
      </c>
      <c r="I81" s="251"/>
      <c r="J81" s="251"/>
      <c r="K81" s="560">
        <v>25488100</v>
      </c>
      <c r="L81" s="561" t="s">
        <v>24</v>
      </c>
      <c r="M81" s="561" t="s">
        <v>258</v>
      </c>
      <c r="N81" s="52" t="str">
        <f>IF(AND('331-CT'!$E$7=TH!H81,OR(L81="331",M81="331")),"331",IF(AND(OR(L81="131",M81="131"),H81='131-CT'!$E$7),"131",""))</f>
        <v/>
      </c>
      <c r="O81" s="818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52"/>
    </row>
    <row r="82" spans="1:32" s="209" customFormat="1" ht="15.75" customHeight="1">
      <c r="A82" s="202" t="str">
        <f>IF(B82&lt;&gt;"",IF(AND(B82&gt;=_TM1,B82&lt;=_TM2,OR(TH!L82="1111",TH!M82="1111")),TH!D82,""),"")</f>
        <v/>
      </c>
      <c r="B82" s="36">
        <f t="shared" si="2"/>
        <v>1</v>
      </c>
      <c r="C82" s="182">
        <f t="shared" si="3"/>
        <v>42381</v>
      </c>
      <c r="D82" s="189" t="s">
        <v>1087</v>
      </c>
      <c r="E82" s="189">
        <v>42381</v>
      </c>
      <c r="F82" s="190" t="s">
        <v>454</v>
      </c>
      <c r="G82" s="190" t="s">
        <v>885</v>
      </c>
      <c r="H82" s="191" t="s">
        <v>391</v>
      </c>
      <c r="I82" s="251">
        <v>287</v>
      </c>
      <c r="J82" s="251">
        <v>10670</v>
      </c>
      <c r="K82" s="38">
        <f>ROUND(I82*J82,0)</f>
        <v>3062290</v>
      </c>
      <c r="L82" s="192" t="s">
        <v>258</v>
      </c>
      <c r="M82" s="192" t="s">
        <v>173</v>
      </c>
      <c r="N82" s="52" t="str">
        <f>IF(AND('331-CT'!$E$7=TH!H82,OR(L82="331",M82="331")),"331",IF(AND(OR(L82="131",M82="131"),H82='131-CT'!$E$7),"131",""))</f>
        <v/>
      </c>
      <c r="O82" s="818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52"/>
      <c r="AB82" s="552"/>
      <c r="AE82" s="552"/>
      <c r="AF82" s="552"/>
    </row>
    <row r="83" spans="1:32" s="209" customFormat="1" ht="15.75" customHeight="1">
      <c r="A83" s="202" t="str">
        <f>IF(B83&lt;&gt;"",IF(AND(B83&gt;=_TM1,B83&lt;=_TM2,OR(TH!L83="1111",TH!M83="1111")),TH!D83,""),"")</f>
        <v/>
      </c>
      <c r="B83" s="36">
        <f t="shared" si="2"/>
        <v>1</v>
      </c>
      <c r="C83" s="182">
        <f t="shared" si="3"/>
        <v>42381</v>
      </c>
      <c r="D83" s="189" t="s">
        <v>1087</v>
      </c>
      <c r="E83" s="189">
        <v>42381</v>
      </c>
      <c r="F83" s="190" t="s">
        <v>393</v>
      </c>
      <c r="G83" s="451" t="s">
        <v>885</v>
      </c>
      <c r="H83" s="191" t="s">
        <v>391</v>
      </c>
      <c r="I83" s="251"/>
      <c r="J83" s="251"/>
      <c r="K83" s="38">
        <v>306229</v>
      </c>
      <c r="L83" s="192" t="s">
        <v>258</v>
      </c>
      <c r="M83" s="192" t="s">
        <v>367</v>
      </c>
      <c r="N83" s="52" t="str">
        <f>IF(AND('331-CT'!$E$7=TH!H83,OR(L83="331",M83="331")),"331",IF(AND(OR(L83="131",M83="131"),H83='131-CT'!$E$7),"131",""))</f>
        <v/>
      </c>
      <c r="O83" s="818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52"/>
      <c r="AB83" s="552"/>
      <c r="AC83" s="552"/>
      <c r="AE83" s="552"/>
      <c r="AF83" s="552"/>
    </row>
    <row r="84" spans="1:32" s="552" customFormat="1" ht="15.75" customHeight="1">
      <c r="A84" s="202" t="str">
        <f>IF(B84&lt;&gt;"",IF(AND(B84&gt;=_TM1,B84&lt;=_TM2,OR(TH!L84="1111",TH!M84="1111")),TH!D84,""),"")</f>
        <v/>
      </c>
      <c r="B84" s="36">
        <f t="shared" ref="B84:B147" si="6">IF(C84&lt;&gt;"",MONTH(C84),"")</f>
        <v>1</v>
      </c>
      <c r="C84" s="182">
        <f t="shared" ref="C84:C147" si="7">E84</f>
        <v>42382</v>
      </c>
      <c r="D84" s="182" t="s">
        <v>665</v>
      </c>
      <c r="E84" s="182">
        <v>42382</v>
      </c>
      <c r="F84" s="187" t="s">
        <v>666</v>
      </c>
      <c r="G84" s="448" t="s">
        <v>330</v>
      </c>
      <c r="H84" s="711" t="s">
        <v>777</v>
      </c>
      <c r="I84" s="251"/>
      <c r="J84" s="251"/>
      <c r="K84" s="560">
        <v>5454790</v>
      </c>
      <c r="L84" s="561" t="s">
        <v>24</v>
      </c>
      <c r="M84" s="561" t="s">
        <v>258</v>
      </c>
      <c r="N84" s="52" t="str">
        <f>IF(AND('331-CT'!$E$7=TH!H84,OR(L84="331",M84="331")),"331",IF(AND(OR(L84="131",M84="131"),H84='131-CT'!$E$7),"131",""))</f>
        <v>131</v>
      </c>
      <c r="O84" s="818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52"/>
    </row>
    <row r="85" spans="1:32" s="552" customFormat="1" ht="15.75" customHeight="1">
      <c r="A85" s="202" t="str">
        <f>IF(B85&lt;&gt;"",IF(AND(B85&gt;=_TM1,B85&lt;=_TM2,OR(TH!L85="1111",TH!M85="1111")),TH!D85,""),"")</f>
        <v/>
      </c>
      <c r="B85" s="36">
        <f t="shared" si="6"/>
        <v>1</v>
      </c>
      <c r="C85" s="182">
        <f t="shared" si="7"/>
        <v>42382</v>
      </c>
      <c r="D85" s="182" t="s">
        <v>1619</v>
      </c>
      <c r="E85" s="189">
        <v>42382</v>
      </c>
      <c r="F85" s="187" t="s">
        <v>776</v>
      </c>
      <c r="G85" s="448" t="s">
        <v>330</v>
      </c>
      <c r="H85" s="191" t="s">
        <v>675</v>
      </c>
      <c r="I85" s="251"/>
      <c r="J85" s="251"/>
      <c r="K85" s="38">
        <v>17000000</v>
      </c>
      <c r="L85" s="192" t="s">
        <v>47</v>
      </c>
      <c r="M85" s="561" t="s">
        <v>24</v>
      </c>
      <c r="N85" s="52" t="str">
        <f>IF(AND('331-CT'!$E$7=TH!H85,OR(L85="331",M85="331")),"331",IF(AND(OR(L85="131",M85="131"),H85='131-CT'!$E$7),"131",""))</f>
        <v/>
      </c>
      <c r="O85" s="818" t="str">
        <f>IF(AND('341-CT'!$E$9=H85,OR(LEFT(L85,3)=$O$7,LEFT(M85,3)=$O$7)),"x","")</f>
        <v/>
      </c>
      <c r="P85" s="52" t="str">
        <f>IF(AND($B85&gt;='111'!$N$11,$B85&lt;='111'!$O$11,OR($L85=$P$7,$M85=$P$7)),"x","")</f>
        <v>x</v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52"/>
    </row>
    <row r="86" spans="1:32" s="552" customFormat="1" ht="15.75" customHeight="1">
      <c r="A86" s="202" t="str">
        <f>IF(B86&lt;&gt;"",IF(AND(B86&gt;=_TM1,B86&lt;=_TM2,OR(TH!L86="1111",TH!M86="1111")),TH!D86,""),"")</f>
        <v/>
      </c>
      <c r="B86" s="36">
        <f t="shared" si="6"/>
        <v>1</v>
      </c>
      <c r="C86" s="182">
        <f t="shared" si="7"/>
        <v>42382</v>
      </c>
      <c r="D86" s="189" t="s">
        <v>1088</v>
      </c>
      <c r="E86" s="189">
        <v>42382</v>
      </c>
      <c r="F86" s="190" t="s">
        <v>540</v>
      </c>
      <c r="G86" s="190" t="s">
        <v>886</v>
      </c>
      <c r="H86" s="7" t="s">
        <v>783</v>
      </c>
      <c r="I86" s="251">
        <v>504</v>
      </c>
      <c r="J86" s="251">
        <v>6400</v>
      </c>
      <c r="K86" s="38">
        <f>ROUND(I86*J86,0)</f>
        <v>3225600</v>
      </c>
      <c r="L86" s="192" t="s">
        <v>258</v>
      </c>
      <c r="M86" s="192" t="s">
        <v>173</v>
      </c>
      <c r="N86" s="52" t="str">
        <f>IF(AND('331-CT'!$E$7=TH!H86,OR(L86="331",M86="331")),"331",IF(AND(OR(L86="131",M86="131"),H86='131-CT'!$E$7),"131",""))</f>
        <v/>
      </c>
      <c r="O86" s="818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52"/>
      <c r="AD86" s="209"/>
    </row>
    <row r="87" spans="1:32" s="552" customFormat="1" ht="15.75" customHeight="1">
      <c r="A87" s="202" t="str">
        <f>IF(B87&lt;&gt;"",IF(AND(B87&gt;=_TM1,B87&lt;=_TM2,OR(TH!L87="1111",TH!M87="1111")),TH!D87,""),"")</f>
        <v/>
      </c>
      <c r="B87" s="36">
        <f t="shared" si="6"/>
        <v>1</v>
      </c>
      <c r="C87" s="182">
        <f t="shared" si="7"/>
        <v>42382</v>
      </c>
      <c r="D87" s="189" t="s">
        <v>1088</v>
      </c>
      <c r="E87" s="189">
        <v>42382</v>
      </c>
      <c r="F87" s="190" t="s">
        <v>393</v>
      </c>
      <c r="G87" s="190" t="s">
        <v>886</v>
      </c>
      <c r="H87" s="7" t="s">
        <v>783</v>
      </c>
      <c r="I87" s="251"/>
      <c r="J87" s="251"/>
      <c r="K87" s="38">
        <v>322560</v>
      </c>
      <c r="L87" s="192" t="s">
        <v>258</v>
      </c>
      <c r="M87" s="192" t="s">
        <v>367</v>
      </c>
      <c r="N87" s="52" t="str">
        <f>IF(AND('331-CT'!$E$7=TH!H87,OR(L87="331",M87="331")),"331",IF(AND(OR(L87="131",M87="131"),H87='131-CT'!$E$7),"131",""))</f>
        <v/>
      </c>
      <c r="O87" s="818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52"/>
      <c r="AC87" s="209"/>
      <c r="AD87" s="209"/>
    </row>
    <row r="88" spans="1:32" s="552" customFormat="1" ht="15.75" customHeight="1">
      <c r="A88" s="202" t="str">
        <f>IF(B88&lt;&gt;"",IF(AND(B88&gt;=_TM1,B88&lt;=_TM2,OR(TH!L88="1111",TH!M88="1111")),TH!D88,""),"")</f>
        <v/>
      </c>
      <c r="B88" s="36">
        <f t="shared" si="6"/>
        <v>1</v>
      </c>
      <c r="C88" s="182">
        <f t="shared" si="7"/>
        <v>42382</v>
      </c>
      <c r="D88" s="189" t="s">
        <v>1089</v>
      </c>
      <c r="E88" s="189">
        <v>42382</v>
      </c>
      <c r="F88" s="190" t="s">
        <v>415</v>
      </c>
      <c r="G88" s="190" t="s">
        <v>887</v>
      </c>
      <c r="H88" s="191" t="s">
        <v>417</v>
      </c>
      <c r="I88" s="251">
        <v>132</v>
      </c>
      <c r="J88" s="251">
        <v>12900</v>
      </c>
      <c r="K88" s="38">
        <f>ROUND(I88*J88,0)</f>
        <v>1702800</v>
      </c>
      <c r="L88" s="192" t="s">
        <v>258</v>
      </c>
      <c r="M88" s="192" t="s">
        <v>173</v>
      </c>
      <c r="N88" s="52" t="str">
        <f>IF(AND('331-CT'!$E$7=TH!H88,OR(L88="331",M88="331")),"331",IF(AND(OR(L88="131",M88="131"),H88='131-CT'!$E$7),"131",""))</f>
        <v/>
      </c>
      <c r="O88" s="818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52"/>
      <c r="AD88" s="209"/>
    </row>
    <row r="89" spans="1:32" s="552" customFormat="1" ht="15.75" customHeight="1">
      <c r="A89" s="202" t="str">
        <f>IF(B89&lt;&gt;"",IF(AND(B89&gt;=_TM1,B89&lt;=_TM2,OR(TH!L89="1111",TH!M89="1111")),TH!D89,""),"")</f>
        <v/>
      </c>
      <c r="B89" s="36">
        <f t="shared" si="6"/>
        <v>1</v>
      </c>
      <c r="C89" s="182">
        <f t="shared" si="7"/>
        <v>42382</v>
      </c>
      <c r="D89" s="189" t="s">
        <v>1089</v>
      </c>
      <c r="E89" s="189">
        <v>42382</v>
      </c>
      <c r="F89" s="190" t="s">
        <v>477</v>
      </c>
      <c r="G89" s="190" t="s">
        <v>887</v>
      </c>
      <c r="H89" s="712" t="s">
        <v>417</v>
      </c>
      <c r="I89" s="251">
        <v>222</v>
      </c>
      <c r="J89" s="251">
        <v>6400</v>
      </c>
      <c r="K89" s="38">
        <f>ROUND(I89*J89,0)</f>
        <v>1420800</v>
      </c>
      <c r="L89" s="192" t="s">
        <v>258</v>
      </c>
      <c r="M89" s="192" t="s">
        <v>173</v>
      </c>
      <c r="N89" s="52" t="str">
        <f>IF(AND('331-CT'!$E$7=TH!H89,OR(L89="331",M89="331")),"331",IF(AND(OR(L89="131",M89="131"),H89='131-CT'!$E$7),"131",""))</f>
        <v/>
      </c>
      <c r="O89" s="818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52"/>
      <c r="AC89" s="209"/>
      <c r="AD89" s="209"/>
    </row>
    <row r="90" spans="1:32" s="552" customFormat="1" ht="15.75" customHeight="1">
      <c r="A90" s="202" t="str">
        <f>IF(B90&lt;&gt;"",IF(AND(B90&gt;=_TM1,B90&lt;=_TM2,OR(TH!L90="1111",TH!M90="1111")),TH!D90,""),"")</f>
        <v/>
      </c>
      <c r="B90" s="36">
        <f t="shared" si="6"/>
        <v>1</v>
      </c>
      <c r="C90" s="182">
        <f t="shared" si="7"/>
        <v>42382</v>
      </c>
      <c r="D90" s="189" t="s">
        <v>1089</v>
      </c>
      <c r="E90" s="189">
        <v>42382</v>
      </c>
      <c r="F90" s="190" t="s">
        <v>393</v>
      </c>
      <c r="G90" s="190" t="s">
        <v>887</v>
      </c>
      <c r="H90" s="712" t="s">
        <v>417</v>
      </c>
      <c r="I90" s="253"/>
      <c r="J90" s="251"/>
      <c r="K90" s="38">
        <v>312360</v>
      </c>
      <c r="L90" s="192" t="s">
        <v>258</v>
      </c>
      <c r="M90" s="192" t="s">
        <v>367</v>
      </c>
      <c r="N90" s="52" t="str">
        <f>IF(AND('331-CT'!$E$7=TH!H90,OR(L90="331",M90="331")),"331",IF(AND(OR(L90="131",M90="131"),H90='131-CT'!$E$7),"131",""))</f>
        <v/>
      </c>
      <c r="O90" s="818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52"/>
      <c r="AD90" s="209"/>
    </row>
    <row r="91" spans="1:32" s="552" customFormat="1" ht="15.75" customHeight="1">
      <c r="A91" s="202" t="str">
        <f>IF(B91&lt;&gt;"",IF(AND(B91&gt;=_TM1,B91&lt;=_TM2,OR(TH!L91="1111",TH!M91="1111")),TH!D91,""),"")</f>
        <v/>
      </c>
      <c r="B91" s="36">
        <f t="shared" si="6"/>
        <v>1</v>
      </c>
      <c r="C91" s="182">
        <f t="shared" si="7"/>
        <v>42382</v>
      </c>
      <c r="D91" s="182" t="s">
        <v>1620</v>
      </c>
      <c r="E91" s="189">
        <v>42382</v>
      </c>
      <c r="F91" s="40" t="s">
        <v>666</v>
      </c>
      <c r="G91" s="451" t="s">
        <v>1583</v>
      </c>
      <c r="H91" s="7" t="s">
        <v>527</v>
      </c>
      <c r="I91" s="252"/>
      <c r="J91" s="252"/>
      <c r="K91" s="38">
        <v>18439429</v>
      </c>
      <c r="L91" s="561" t="s">
        <v>47</v>
      </c>
      <c r="M91" s="561" t="s">
        <v>258</v>
      </c>
      <c r="N91" s="52" t="str">
        <f>IF(AND('331-CT'!$E$7=TH!H91,OR(L91="331",M91="331")),"331",IF(AND(OR(L91="131",M91="131"),H91='131-CT'!$E$7),"131",""))</f>
        <v/>
      </c>
      <c r="O91" s="818" t="str">
        <f>IF(AND('341-CT'!$E$9=H91,OR(LEFT(L91,3)=$O$7,LEFT(M91,3)=$O$7)),"x","")</f>
        <v/>
      </c>
      <c r="P91" s="52" t="str">
        <f>IF(AND($B91&gt;='111'!$N$11,$B91&lt;='111'!$O$11,OR($L91=$P$7,$M91=$P$7)),"x","")</f>
        <v>x</v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52"/>
      <c r="AD91" s="209"/>
      <c r="AE91" s="209"/>
      <c r="AF91" s="209"/>
    </row>
    <row r="92" spans="1:32" s="552" customFormat="1" ht="15.75" customHeight="1">
      <c r="A92" s="202" t="str">
        <f>IF(B92&lt;&gt;"",IF(AND(B92&gt;=_TM1,B92&lt;=_TM2,OR(TH!L92="1111",TH!M92="1111")),TH!D92,""),"")</f>
        <v/>
      </c>
      <c r="B92" s="36">
        <f t="shared" si="6"/>
        <v>1</v>
      </c>
      <c r="C92" s="182">
        <f t="shared" si="7"/>
        <v>42383</v>
      </c>
      <c r="D92" s="189" t="s">
        <v>1090</v>
      </c>
      <c r="E92" s="189">
        <v>42383</v>
      </c>
      <c r="F92" s="190" t="s">
        <v>415</v>
      </c>
      <c r="G92" s="451" t="s">
        <v>832</v>
      </c>
      <c r="H92" s="191" t="s">
        <v>417</v>
      </c>
      <c r="I92" s="251">
        <v>273</v>
      </c>
      <c r="J92" s="251">
        <v>12900</v>
      </c>
      <c r="K92" s="38">
        <f>ROUND(I92*J92,0)</f>
        <v>3521700</v>
      </c>
      <c r="L92" s="192" t="s">
        <v>258</v>
      </c>
      <c r="M92" s="192" t="s">
        <v>173</v>
      </c>
      <c r="N92" s="52" t="str">
        <f>IF(AND('331-CT'!$E$7=TH!H92,OR(L92="331",M92="331")),"331",IF(AND(OR(L92="131",M92="131"),H92='131-CT'!$E$7),"131",""))</f>
        <v/>
      </c>
      <c r="O92" s="818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52"/>
      <c r="AC92" s="209"/>
      <c r="AD92" s="209"/>
    </row>
    <row r="93" spans="1:32" s="552" customFormat="1" ht="15.75" customHeight="1">
      <c r="A93" s="202" t="str">
        <f>IF(B93&lt;&gt;"",IF(AND(B93&gt;=_TM1,B93&lt;=_TM2,OR(TH!L93="1111",TH!M93="1111")),TH!D93,""),"")</f>
        <v/>
      </c>
      <c r="B93" s="36">
        <f t="shared" si="6"/>
        <v>1</v>
      </c>
      <c r="C93" s="182">
        <f t="shared" si="7"/>
        <v>42383</v>
      </c>
      <c r="D93" s="189" t="s">
        <v>1090</v>
      </c>
      <c r="E93" s="189">
        <v>42383</v>
      </c>
      <c r="F93" s="190" t="s">
        <v>962</v>
      </c>
      <c r="G93" s="190" t="s">
        <v>832</v>
      </c>
      <c r="H93" s="828" t="s">
        <v>417</v>
      </c>
      <c r="I93" s="251">
        <v>500</v>
      </c>
      <c r="J93" s="251">
        <v>7900</v>
      </c>
      <c r="K93" s="38">
        <f>ROUND(I93*J93,0)</f>
        <v>3950000</v>
      </c>
      <c r="L93" s="192" t="s">
        <v>258</v>
      </c>
      <c r="M93" s="192" t="s">
        <v>173</v>
      </c>
      <c r="N93" s="52" t="str">
        <f>IF(AND('331-CT'!$E$7=TH!H93,OR(L93="331",M93="331")),"331",IF(AND(OR(L93="131",M93="131"),H93='131-CT'!$E$7),"131",""))</f>
        <v/>
      </c>
      <c r="O93" s="818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52"/>
      <c r="AD93" s="209"/>
    </row>
    <row r="94" spans="1:32" s="552" customFormat="1" ht="15.75" customHeight="1">
      <c r="A94" s="202" t="str">
        <f>IF(B94&lt;&gt;"",IF(AND(B94&gt;=_TM1,B94&lt;=_TM2,OR(TH!L94="1111",TH!M94="1111")),TH!D94,""),"")</f>
        <v/>
      </c>
      <c r="B94" s="36">
        <f t="shared" si="6"/>
        <v>1</v>
      </c>
      <c r="C94" s="182">
        <f t="shared" si="7"/>
        <v>42383</v>
      </c>
      <c r="D94" s="189" t="s">
        <v>1090</v>
      </c>
      <c r="E94" s="189">
        <v>42383</v>
      </c>
      <c r="F94" s="190" t="s">
        <v>393</v>
      </c>
      <c r="G94" s="834" t="s">
        <v>832</v>
      </c>
      <c r="H94" s="208" t="s">
        <v>417</v>
      </c>
      <c r="I94" s="252"/>
      <c r="J94" s="252"/>
      <c r="K94" s="38">
        <v>747170</v>
      </c>
      <c r="L94" s="192" t="s">
        <v>258</v>
      </c>
      <c r="M94" s="192" t="s">
        <v>367</v>
      </c>
      <c r="N94" s="52" t="str">
        <f>IF(AND('331-CT'!$E$7=TH!H94,OR(L94="331",M94="331")),"331",IF(AND(OR(L94="131",M94="131"),H94='131-CT'!$E$7),"131",""))</f>
        <v/>
      </c>
      <c r="O94" s="818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52"/>
      <c r="AD94" s="209"/>
    </row>
    <row r="95" spans="1:32" s="552" customFormat="1" ht="15.75" customHeight="1">
      <c r="A95" s="202" t="str">
        <f>IF(B95&lt;&gt;"",IF(AND(B95&gt;=_TM1,B95&lt;=_TM2,OR(TH!L95="1111",TH!M95="1111")),TH!D95,""),"")</f>
        <v/>
      </c>
      <c r="B95" s="36">
        <f t="shared" si="6"/>
        <v>1</v>
      </c>
      <c r="C95" s="182">
        <f t="shared" si="7"/>
        <v>42383</v>
      </c>
      <c r="D95" s="189" t="s">
        <v>1091</v>
      </c>
      <c r="E95" s="189">
        <v>42383</v>
      </c>
      <c r="F95" s="190" t="s">
        <v>646</v>
      </c>
      <c r="G95" s="190" t="s">
        <v>833</v>
      </c>
      <c r="H95" s="208" t="s">
        <v>501</v>
      </c>
      <c r="I95" s="251">
        <v>1000</v>
      </c>
      <c r="J95" s="251">
        <v>6950</v>
      </c>
      <c r="K95" s="38">
        <f>ROUND(I95*J95,0)</f>
        <v>6950000</v>
      </c>
      <c r="L95" s="192" t="s">
        <v>258</v>
      </c>
      <c r="M95" s="192" t="s">
        <v>173</v>
      </c>
      <c r="N95" s="52" t="str">
        <f>IF(AND('331-CT'!$E$7=TH!H95,OR(L95="331",M95="331")),"331",IF(AND(OR(L95="131",M95="131"),H95='131-CT'!$E$7),"131",""))</f>
        <v/>
      </c>
      <c r="O95" s="818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52"/>
      <c r="AD95" s="209"/>
    </row>
    <row r="96" spans="1:32" s="552" customFormat="1" ht="15.75" customHeight="1">
      <c r="A96" s="202" t="str">
        <f>IF(B96&lt;&gt;"",IF(AND(B96&gt;=_TM1,B96&lt;=_TM2,OR(TH!L96="1111",TH!M96="1111")),TH!D96,""),"")</f>
        <v/>
      </c>
      <c r="B96" s="36">
        <f t="shared" si="6"/>
        <v>1</v>
      </c>
      <c r="C96" s="182">
        <f t="shared" si="7"/>
        <v>42383</v>
      </c>
      <c r="D96" s="189" t="s">
        <v>1091</v>
      </c>
      <c r="E96" s="189">
        <v>42383</v>
      </c>
      <c r="F96" s="190" t="s">
        <v>393</v>
      </c>
      <c r="G96" s="834" t="s">
        <v>833</v>
      </c>
      <c r="H96" s="208" t="s">
        <v>501</v>
      </c>
      <c r="I96" s="252"/>
      <c r="J96" s="252"/>
      <c r="K96" s="38">
        <v>695000</v>
      </c>
      <c r="L96" s="192" t="s">
        <v>258</v>
      </c>
      <c r="M96" s="192" t="s">
        <v>367</v>
      </c>
      <c r="N96" s="52" t="str">
        <f>IF(AND('331-CT'!$E$7=TH!H96,OR(L96="331",M96="331")),"331",IF(AND(OR(L96="131",M96="131"),H96='131-CT'!$E$7),"131",""))</f>
        <v/>
      </c>
      <c r="O96" s="818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52"/>
      <c r="AD96" s="209"/>
    </row>
    <row r="97" spans="1:32" s="552" customFormat="1" ht="15.75" customHeight="1">
      <c r="A97" s="202" t="str">
        <f>IF(B97&lt;&gt;"",IF(AND(B97&gt;=_TM1,B97&lt;=_TM2,OR(TH!L97="1111",TH!M97="1111")),TH!D97,""),"")</f>
        <v/>
      </c>
      <c r="B97" s="36">
        <f t="shared" si="6"/>
        <v>1</v>
      </c>
      <c r="C97" s="182">
        <f t="shared" si="7"/>
        <v>42383</v>
      </c>
      <c r="D97" s="189" t="s">
        <v>1092</v>
      </c>
      <c r="E97" s="189">
        <v>42383</v>
      </c>
      <c r="F97" s="187" t="s">
        <v>1434</v>
      </c>
      <c r="G97" s="190" t="s">
        <v>888</v>
      </c>
      <c r="H97" s="191" t="s">
        <v>615</v>
      </c>
      <c r="I97" s="252">
        <v>100</v>
      </c>
      <c r="J97" s="252">
        <v>10900</v>
      </c>
      <c r="K97" s="38">
        <f>ROUND(I97*J97,0)</f>
        <v>1090000</v>
      </c>
      <c r="L97" s="192" t="s">
        <v>258</v>
      </c>
      <c r="M97" s="192" t="s">
        <v>173</v>
      </c>
      <c r="N97" s="52" t="str">
        <f>IF(AND('331-CT'!$E$7=TH!H97,OR(L97="331",M97="331")),"331",IF(AND(OR(L97="131",M97="131"),H97='131-CT'!$E$7),"131",""))</f>
        <v/>
      </c>
      <c r="O97" s="818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52"/>
      <c r="AD97" s="209"/>
    </row>
    <row r="98" spans="1:32" s="552" customFormat="1" ht="15.75" customHeight="1">
      <c r="A98" s="202" t="str">
        <f>IF(B98&lt;&gt;"",IF(AND(B98&gt;=_TM1,B98&lt;=_TM2,OR(TH!L98="1111",TH!M98="1111")),TH!D98,""),"")</f>
        <v/>
      </c>
      <c r="B98" s="36">
        <f t="shared" si="6"/>
        <v>1</v>
      </c>
      <c r="C98" s="182">
        <f t="shared" si="7"/>
        <v>42383</v>
      </c>
      <c r="D98" s="189" t="s">
        <v>1092</v>
      </c>
      <c r="E98" s="189">
        <v>42383</v>
      </c>
      <c r="F98" s="190" t="s">
        <v>1435</v>
      </c>
      <c r="G98" s="190" t="s">
        <v>888</v>
      </c>
      <c r="H98" s="191" t="s">
        <v>615</v>
      </c>
      <c r="I98" s="251">
        <v>20</v>
      </c>
      <c r="J98" s="251">
        <v>11700</v>
      </c>
      <c r="K98" s="38">
        <f>ROUND(I98*J98,0)</f>
        <v>234000</v>
      </c>
      <c r="L98" s="192" t="s">
        <v>258</v>
      </c>
      <c r="M98" s="192" t="s">
        <v>173</v>
      </c>
      <c r="N98" s="52" t="str">
        <f>IF(AND('331-CT'!$E$7=TH!H98,OR(L98="331",M98="331")),"331",IF(AND(OR(L98="131",M98="131"),H98='131-CT'!$E$7),"131",""))</f>
        <v/>
      </c>
      <c r="O98" s="818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52"/>
      <c r="AC98" s="209"/>
      <c r="AD98" s="209"/>
    </row>
    <row r="99" spans="1:32" s="552" customFormat="1" ht="15.75" customHeight="1">
      <c r="A99" s="202" t="str">
        <f>IF(B99&lt;&gt;"",IF(AND(B99&gt;=_TM1,B99&lt;=_TM2,OR(TH!L99="1111",TH!M99="1111")),TH!D99,""),"")</f>
        <v/>
      </c>
      <c r="B99" s="36">
        <f t="shared" si="6"/>
        <v>1</v>
      </c>
      <c r="C99" s="182">
        <f t="shared" si="7"/>
        <v>42383</v>
      </c>
      <c r="D99" s="189" t="s">
        <v>1092</v>
      </c>
      <c r="E99" s="189">
        <v>42383</v>
      </c>
      <c r="F99" s="187" t="s">
        <v>1306</v>
      </c>
      <c r="G99" s="190" t="s">
        <v>888</v>
      </c>
      <c r="H99" s="191" t="s">
        <v>615</v>
      </c>
      <c r="I99" s="251">
        <v>20</v>
      </c>
      <c r="J99" s="251">
        <v>12400</v>
      </c>
      <c r="K99" s="38">
        <f>ROUND(I99*J99,0)</f>
        <v>248000</v>
      </c>
      <c r="L99" s="192" t="s">
        <v>258</v>
      </c>
      <c r="M99" s="192" t="s">
        <v>173</v>
      </c>
      <c r="N99" s="52" t="str">
        <f>IF(AND('331-CT'!$E$7=TH!H99,OR(L99="331",M99="331")),"331",IF(AND(OR(L99="131",M99="131"),H99='131-CT'!$E$7),"131",""))</f>
        <v/>
      </c>
      <c r="O99" s="818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52"/>
      <c r="AD99" s="209"/>
    </row>
    <row r="100" spans="1:32" s="552" customFormat="1" ht="15.75" customHeight="1">
      <c r="A100" s="202" t="str">
        <f>IF(B100&lt;&gt;"",IF(AND(B100&gt;=_TM1,B100&lt;=_TM2,OR(TH!L100="1111",TH!M100="1111")),TH!D100,""),"")</f>
        <v/>
      </c>
      <c r="B100" s="36">
        <f t="shared" si="6"/>
        <v>1</v>
      </c>
      <c r="C100" s="182">
        <f t="shared" si="7"/>
        <v>42383</v>
      </c>
      <c r="D100" s="189" t="s">
        <v>1092</v>
      </c>
      <c r="E100" s="189">
        <v>42383</v>
      </c>
      <c r="F100" s="187" t="s">
        <v>1310</v>
      </c>
      <c r="G100" s="451" t="s">
        <v>888</v>
      </c>
      <c r="H100" s="191" t="s">
        <v>615</v>
      </c>
      <c r="I100" s="251">
        <v>20</v>
      </c>
      <c r="J100" s="251">
        <v>15300</v>
      </c>
      <c r="K100" s="38">
        <f>ROUND(I100*J100,0)</f>
        <v>306000</v>
      </c>
      <c r="L100" s="192" t="s">
        <v>258</v>
      </c>
      <c r="M100" s="192" t="s">
        <v>173</v>
      </c>
      <c r="N100" s="52" t="str">
        <f>IF(AND('331-CT'!$E$7=TH!H100,OR(L100="331",M100="331")),"331",IF(AND(OR(L100="131",M100="131"),H100='131-CT'!$E$7),"131",""))</f>
        <v/>
      </c>
      <c r="O100" s="818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52"/>
      <c r="AC100" s="209"/>
      <c r="AD100" s="209"/>
      <c r="AE100" s="209"/>
      <c r="AF100" s="209"/>
    </row>
    <row r="101" spans="1:32" s="552" customFormat="1" ht="15.75" customHeight="1">
      <c r="A101" s="202" t="str">
        <f>IF(B101&lt;&gt;"",IF(AND(B101&gt;=_TM1,B101&lt;=_TM2,OR(TH!L101="1111",TH!M101="1111")),TH!D101,""),"")</f>
        <v/>
      </c>
      <c r="B101" s="36">
        <f t="shared" si="6"/>
        <v>1</v>
      </c>
      <c r="C101" s="182">
        <f t="shared" si="7"/>
        <v>42383</v>
      </c>
      <c r="D101" s="189" t="s">
        <v>1092</v>
      </c>
      <c r="E101" s="189">
        <v>42383</v>
      </c>
      <c r="F101" s="190" t="s">
        <v>393</v>
      </c>
      <c r="G101" s="190" t="s">
        <v>888</v>
      </c>
      <c r="H101" s="191" t="s">
        <v>615</v>
      </c>
      <c r="I101" s="251"/>
      <c r="J101" s="251"/>
      <c r="K101" s="38">
        <v>187800</v>
      </c>
      <c r="L101" s="192" t="s">
        <v>258</v>
      </c>
      <c r="M101" s="192" t="s">
        <v>367</v>
      </c>
      <c r="N101" s="52" t="str">
        <f>IF(AND('331-CT'!$E$7=TH!H101,OR(L101="331",M101="331")),"331",IF(AND(OR(L101="131",M101="131"),H101='131-CT'!$E$7),"131",""))</f>
        <v/>
      </c>
      <c r="O101" s="818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52"/>
      <c r="AD101" s="209"/>
      <c r="AE101" s="209"/>
      <c r="AF101" s="209"/>
    </row>
    <row r="102" spans="1:32" s="552" customFormat="1" ht="15.75" customHeight="1">
      <c r="A102" s="202" t="str">
        <f>IF(B102&lt;&gt;"",IF(AND(B102&gt;=_TM1,B102&lt;=_TM2,OR(TH!L102="1111",TH!M102="1111")),TH!D102,""),"")</f>
        <v/>
      </c>
      <c r="B102" s="36">
        <f t="shared" si="6"/>
        <v>1</v>
      </c>
      <c r="C102" s="182">
        <f t="shared" si="7"/>
        <v>42383</v>
      </c>
      <c r="D102" s="189" t="s">
        <v>1093</v>
      </c>
      <c r="E102" s="189">
        <v>42383</v>
      </c>
      <c r="F102" s="190" t="s">
        <v>1443</v>
      </c>
      <c r="G102" s="451" t="s">
        <v>889</v>
      </c>
      <c r="H102" s="191" t="s">
        <v>399</v>
      </c>
      <c r="I102" s="251">
        <v>314</v>
      </c>
      <c r="J102" s="251">
        <v>10500</v>
      </c>
      <c r="K102" s="38">
        <f>ROUND(I102*J102,0)</f>
        <v>3297000</v>
      </c>
      <c r="L102" s="192" t="s">
        <v>258</v>
      </c>
      <c r="M102" s="192" t="s">
        <v>173</v>
      </c>
      <c r="N102" s="52" t="str">
        <f>IF(AND('331-CT'!$E$7=TH!H102,OR(L102="331",M102="331")),"331",IF(AND(OR(L102="131",M102="131"),H102='131-CT'!$E$7),"131",""))</f>
        <v/>
      </c>
      <c r="O102" s="818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52"/>
      <c r="AD102" s="209"/>
      <c r="AE102" s="209"/>
      <c r="AF102" s="209"/>
    </row>
    <row r="103" spans="1:32" s="552" customFormat="1" ht="15.75" customHeight="1">
      <c r="A103" s="202" t="str">
        <f>IF(B103&lt;&gt;"",IF(AND(B103&gt;=_TM1,B103&lt;=_TM2,OR(TH!L103="1111",TH!M103="1111")),TH!D103,""),"")</f>
        <v/>
      </c>
      <c r="B103" s="36">
        <f t="shared" si="6"/>
        <v>1</v>
      </c>
      <c r="C103" s="182">
        <f t="shared" si="7"/>
        <v>42383</v>
      </c>
      <c r="D103" s="189" t="s">
        <v>1093</v>
      </c>
      <c r="E103" s="189">
        <v>42383</v>
      </c>
      <c r="F103" s="190" t="s">
        <v>393</v>
      </c>
      <c r="G103" s="190" t="s">
        <v>889</v>
      </c>
      <c r="H103" s="191" t="s">
        <v>399</v>
      </c>
      <c r="I103" s="251"/>
      <c r="J103" s="251"/>
      <c r="K103" s="38">
        <v>329700</v>
      </c>
      <c r="L103" s="192" t="s">
        <v>258</v>
      </c>
      <c r="M103" s="192" t="s">
        <v>367</v>
      </c>
      <c r="N103" s="52" t="str">
        <f>IF(AND('331-CT'!$E$7=TH!H103,OR(L103="331",M103="331")),"331",IF(AND(OR(L103="131",M103="131"),H103='131-CT'!$E$7),"131",""))</f>
        <v/>
      </c>
      <c r="O103" s="818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52"/>
      <c r="AD103" s="209"/>
      <c r="AE103" s="209"/>
      <c r="AF103" s="209"/>
    </row>
    <row r="104" spans="1:32" s="552" customFormat="1" ht="15.75" customHeight="1">
      <c r="A104" s="202" t="str">
        <f>IF(B104&lt;&gt;"",IF(AND(B104&gt;=_TM1,B104&lt;=_TM2,OR(TH!L104="1111",TH!M104="1111")),TH!D104,""),"")</f>
        <v/>
      </c>
      <c r="B104" s="36">
        <f t="shared" si="6"/>
        <v>1</v>
      </c>
      <c r="C104" s="182">
        <f t="shared" si="7"/>
        <v>42383</v>
      </c>
      <c r="D104" s="189" t="s">
        <v>1094</v>
      </c>
      <c r="E104" s="189">
        <v>42383</v>
      </c>
      <c r="F104" s="190" t="s">
        <v>659</v>
      </c>
      <c r="G104" s="451" t="s">
        <v>890</v>
      </c>
      <c r="H104" s="7" t="s">
        <v>785</v>
      </c>
      <c r="I104" s="251">
        <v>214</v>
      </c>
      <c r="J104" s="251">
        <v>10920</v>
      </c>
      <c r="K104" s="38">
        <f>ROUND(I104*J104,0)</f>
        <v>2336880</v>
      </c>
      <c r="L104" s="192" t="s">
        <v>258</v>
      </c>
      <c r="M104" s="192" t="s">
        <v>173</v>
      </c>
      <c r="N104" s="52" t="str">
        <f>IF(AND('331-CT'!$E$7=TH!H104,OR(L104="331",M104="331")),"331",IF(AND(OR(L104="131",M104="131"),H104='131-CT'!$E$7),"131",""))</f>
        <v/>
      </c>
      <c r="O104" s="818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52"/>
      <c r="AD104" s="209"/>
      <c r="AE104" s="209"/>
      <c r="AF104" s="209"/>
    </row>
    <row r="105" spans="1:32" s="552" customFormat="1" ht="15.75" customHeight="1">
      <c r="A105" s="202" t="str">
        <f>IF(B105&lt;&gt;"",IF(AND(B105&gt;=_TM1,B105&lt;=_TM2,OR(TH!L105="1111",TH!M105="1111")),TH!D105,""),"")</f>
        <v/>
      </c>
      <c r="B105" s="36">
        <f t="shared" si="6"/>
        <v>1</v>
      </c>
      <c r="C105" s="182">
        <f t="shared" si="7"/>
        <v>42383</v>
      </c>
      <c r="D105" s="189" t="s">
        <v>1094</v>
      </c>
      <c r="E105" s="189">
        <v>42383</v>
      </c>
      <c r="F105" s="190" t="s">
        <v>658</v>
      </c>
      <c r="G105" s="190" t="s">
        <v>890</v>
      </c>
      <c r="H105" s="7" t="s">
        <v>785</v>
      </c>
      <c r="I105" s="251">
        <v>621</v>
      </c>
      <c r="J105" s="251">
        <v>6450</v>
      </c>
      <c r="K105" s="38">
        <f>ROUND(I105*J105,0)</f>
        <v>4005450</v>
      </c>
      <c r="L105" s="192" t="s">
        <v>258</v>
      </c>
      <c r="M105" s="192" t="s">
        <v>173</v>
      </c>
      <c r="N105" s="52" t="str">
        <f>IF(AND('331-CT'!$E$7=TH!H105,OR(L105="331",M105="331")),"331",IF(AND(OR(L105="131",M105="131"),H105='131-CT'!$E$7),"131",""))</f>
        <v/>
      </c>
      <c r="O105" s="818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52"/>
      <c r="AD105" s="209"/>
      <c r="AE105" s="209"/>
      <c r="AF105" s="209"/>
    </row>
    <row r="106" spans="1:32" s="552" customFormat="1" ht="15.75" customHeight="1">
      <c r="A106" s="202" t="str">
        <f>IF(B106&lt;&gt;"",IF(AND(B106&gt;=_TM1,B106&lt;=_TM2,OR(TH!L106="1111",TH!M106="1111")),TH!D106,""),"")</f>
        <v/>
      </c>
      <c r="B106" s="36">
        <f t="shared" si="6"/>
        <v>1</v>
      </c>
      <c r="C106" s="182">
        <f t="shared" si="7"/>
        <v>42383</v>
      </c>
      <c r="D106" s="189" t="s">
        <v>1094</v>
      </c>
      <c r="E106" s="189">
        <v>42383</v>
      </c>
      <c r="F106" s="190" t="s">
        <v>393</v>
      </c>
      <c r="G106" s="451" t="s">
        <v>890</v>
      </c>
      <c r="H106" s="7" t="s">
        <v>785</v>
      </c>
      <c r="I106" s="251"/>
      <c r="J106" s="251"/>
      <c r="K106" s="38">
        <v>634233</v>
      </c>
      <c r="L106" s="192" t="s">
        <v>258</v>
      </c>
      <c r="M106" s="192" t="s">
        <v>367</v>
      </c>
      <c r="N106" s="52" t="str">
        <f>IF(AND('331-CT'!$E$7=TH!H106,OR(L106="331",M106="331")),"331",IF(AND(OR(L106="131",M106="131"),H106='131-CT'!$E$7),"131",""))</f>
        <v/>
      </c>
      <c r="O106" s="818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52"/>
      <c r="AE106" s="209"/>
      <c r="AF106" s="209"/>
    </row>
    <row r="107" spans="1:32" s="552" customFormat="1" ht="15.75" customHeight="1">
      <c r="A107" s="202" t="str">
        <f>IF(B107&lt;&gt;"",IF(AND(B107&gt;=_TM1,B107&lt;=_TM2,OR(TH!L107="1111",TH!M107="1111")),TH!D107,""),"")</f>
        <v/>
      </c>
      <c r="B107" s="36">
        <f t="shared" si="6"/>
        <v>1</v>
      </c>
      <c r="C107" s="182">
        <f t="shared" si="7"/>
        <v>42383</v>
      </c>
      <c r="D107" s="189" t="s">
        <v>1095</v>
      </c>
      <c r="E107" s="189">
        <v>42383</v>
      </c>
      <c r="F107" s="190" t="s">
        <v>698</v>
      </c>
      <c r="G107" s="190" t="s">
        <v>891</v>
      </c>
      <c r="H107" s="208" t="s">
        <v>1204</v>
      </c>
      <c r="I107" s="252">
        <v>170</v>
      </c>
      <c r="J107" s="252">
        <v>12039</v>
      </c>
      <c r="K107" s="38">
        <f t="shared" ref="K107:K114" si="8">ROUND(I107*J107,0)</f>
        <v>2046630</v>
      </c>
      <c r="L107" s="192" t="s">
        <v>258</v>
      </c>
      <c r="M107" s="192" t="s">
        <v>173</v>
      </c>
      <c r="N107" s="52" t="str">
        <f>IF(AND('331-CT'!$E$7=TH!H107,OR(L107="331",M107="331")),"331",IF(AND(OR(L107="131",M107="131"),H107='131-CT'!$E$7),"131",""))</f>
        <v/>
      </c>
      <c r="O107" s="818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52"/>
      <c r="AE107" s="209"/>
      <c r="AF107" s="209"/>
    </row>
    <row r="108" spans="1:32" s="552" customFormat="1" ht="15.75" customHeight="1">
      <c r="A108" s="202" t="str">
        <f>IF(B108&lt;&gt;"",IF(AND(B108&gt;=_TM1,B108&lt;=_TM2,OR(TH!L108="1111",TH!M108="1111")),TH!D108,""),"")</f>
        <v/>
      </c>
      <c r="B108" s="36">
        <f t="shared" si="6"/>
        <v>1</v>
      </c>
      <c r="C108" s="182">
        <f t="shared" si="7"/>
        <v>42383</v>
      </c>
      <c r="D108" s="189" t="s">
        <v>1095</v>
      </c>
      <c r="E108" s="189">
        <v>42383</v>
      </c>
      <c r="F108" s="190" t="s">
        <v>706</v>
      </c>
      <c r="G108" s="190" t="s">
        <v>891</v>
      </c>
      <c r="H108" s="208" t="s">
        <v>1204</v>
      </c>
      <c r="I108" s="251">
        <v>40</v>
      </c>
      <c r="J108" s="251">
        <v>8818</v>
      </c>
      <c r="K108" s="38">
        <f t="shared" si="8"/>
        <v>352720</v>
      </c>
      <c r="L108" s="192" t="s">
        <v>258</v>
      </c>
      <c r="M108" s="192" t="s">
        <v>173</v>
      </c>
      <c r="N108" s="52" t="str">
        <f>IF(AND('331-CT'!$E$7=TH!H108,OR(L108="331",M108="331")),"331",IF(AND(OR(L108="131",M108="131"),H108='131-CT'!$E$7),"131",""))</f>
        <v/>
      </c>
      <c r="O108" s="818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52"/>
      <c r="AE108" s="209"/>
      <c r="AF108" s="209"/>
    </row>
    <row r="109" spans="1:32" s="552" customFormat="1" ht="15.75" customHeight="1">
      <c r="A109" s="202" t="str">
        <f>IF(B109&lt;&gt;"",IF(AND(B109&gt;=_TM1,B109&lt;=_TM2,OR(TH!L109="1111",TH!M109="1111")),TH!D109,""),"")</f>
        <v/>
      </c>
      <c r="B109" s="36">
        <f t="shared" si="6"/>
        <v>1</v>
      </c>
      <c r="C109" s="182">
        <f t="shared" si="7"/>
        <v>42383</v>
      </c>
      <c r="D109" s="189" t="s">
        <v>1095</v>
      </c>
      <c r="E109" s="189">
        <v>42383</v>
      </c>
      <c r="F109" s="190" t="s">
        <v>1215</v>
      </c>
      <c r="G109" s="190" t="s">
        <v>891</v>
      </c>
      <c r="H109" s="208" t="s">
        <v>1204</v>
      </c>
      <c r="I109" s="251">
        <v>25</v>
      </c>
      <c r="J109" s="251">
        <v>7862</v>
      </c>
      <c r="K109" s="38">
        <f t="shared" si="8"/>
        <v>196550</v>
      </c>
      <c r="L109" s="192" t="s">
        <v>258</v>
      </c>
      <c r="M109" s="192" t="s">
        <v>173</v>
      </c>
      <c r="N109" s="52" t="str">
        <f>IF(AND('331-CT'!$E$7=TH!H109,OR(L109="331",M109="331")),"331",IF(AND(OR(L109="131",M109="131"),H109='131-CT'!$E$7),"131",""))</f>
        <v/>
      </c>
      <c r="O109" s="818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52"/>
      <c r="AD109" s="209"/>
      <c r="AE109" s="209"/>
      <c r="AF109" s="209"/>
    </row>
    <row r="110" spans="1:32" s="552" customFormat="1" ht="15.75" customHeight="1">
      <c r="A110" s="202" t="str">
        <f>IF(B110&lt;&gt;"",IF(AND(B110&gt;=_TM1,B110&lt;=_TM2,OR(TH!L110="1111",TH!M110="1111")),TH!D110,""),"")</f>
        <v/>
      </c>
      <c r="B110" s="36">
        <f t="shared" si="6"/>
        <v>1</v>
      </c>
      <c r="C110" s="182">
        <f t="shared" si="7"/>
        <v>42383</v>
      </c>
      <c r="D110" s="189" t="s">
        <v>1095</v>
      </c>
      <c r="E110" s="189">
        <v>42383</v>
      </c>
      <c r="F110" s="190" t="s">
        <v>1216</v>
      </c>
      <c r="G110" s="190" t="s">
        <v>891</v>
      </c>
      <c r="H110" s="208" t="s">
        <v>1204</v>
      </c>
      <c r="I110" s="252">
        <v>10</v>
      </c>
      <c r="J110" s="252">
        <v>10156</v>
      </c>
      <c r="K110" s="38">
        <f t="shared" si="8"/>
        <v>101560</v>
      </c>
      <c r="L110" s="192" t="s">
        <v>258</v>
      </c>
      <c r="M110" s="192" t="s">
        <v>173</v>
      </c>
      <c r="N110" s="52" t="str">
        <f>IF(AND('331-CT'!$E$7=TH!H110,OR(L110="331",M110="331")),"331",IF(AND(OR(L110="131",M110="131"),H110='131-CT'!$E$7),"131",""))</f>
        <v/>
      </c>
      <c r="O110" s="818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52"/>
      <c r="AD110" s="209"/>
      <c r="AE110" s="209"/>
      <c r="AF110" s="209"/>
    </row>
    <row r="111" spans="1:32" s="552" customFormat="1" ht="15.75" customHeight="1">
      <c r="A111" s="202" t="str">
        <f>IF(B111&lt;&gt;"",IF(AND(B111&gt;=_TM1,B111&lt;=_TM2,OR(TH!L111="1111",TH!M111="1111")),TH!D111,""),"")</f>
        <v/>
      </c>
      <c r="B111" s="36">
        <f t="shared" si="6"/>
        <v>1</v>
      </c>
      <c r="C111" s="182">
        <f t="shared" si="7"/>
        <v>42383</v>
      </c>
      <c r="D111" s="189" t="s">
        <v>1095</v>
      </c>
      <c r="E111" s="189">
        <v>42383</v>
      </c>
      <c r="F111" s="190" t="s">
        <v>1217</v>
      </c>
      <c r="G111" s="190" t="s">
        <v>891</v>
      </c>
      <c r="H111" s="208" t="s">
        <v>1204</v>
      </c>
      <c r="I111" s="251">
        <v>580</v>
      </c>
      <c r="J111" s="251">
        <v>8938</v>
      </c>
      <c r="K111" s="38">
        <f t="shared" si="8"/>
        <v>5184040</v>
      </c>
      <c r="L111" s="192" t="s">
        <v>258</v>
      </c>
      <c r="M111" s="192" t="s">
        <v>173</v>
      </c>
      <c r="N111" s="52" t="str">
        <f>IF(AND('331-CT'!$E$7=TH!H111,OR(L111="331",M111="331")),"331",IF(AND(OR(L111="131",M111="131"),H111='131-CT'!$E$7),"131",""))</f>
        <v/>
      </c>
      <c r="O111" s="818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52"/>
      <c r="AC111" s="209"/>
      <c r="AD111" s="209"/>
      <c r="AE111" s="209"/>
      <c r="AF111" s="209"/>
    </row>
    <row r="112" spans="1:32" s="552" customFormat="1" ht="15.75" customHeight="1">
      <c r="A112" s="202" t="str">
        <f>IF(B112&lt;&gt;"",IF(AND(B112&gt;=_TM1,B112&lt;=_TM2,OR(TH!L112="1111",TH!M112="1111")),TH!D112,""),"")</f>
        <v/>
      </c>
      <c r="B112" s="36">
        <f t="shared" si="6"/>
        <v>1</v>
      </c>
      <c r="C112" s="182">
        <f t="shared" si="7"/>
        <v>42383</v>
      </c>
      <c r="D112" s="189" t="s">
        <v>1095</v>
      </c>
      <c r="E112" s="189">
        <v>42383</v>
      </c>
      <c r="F112" s="190" t="s">
        <v>1218</v>
      </c>
      <c r="G112" s="190" t="s">
        <v>891</v>
      </c>
      <c r="H112" s="208" t="s">
        <v>1204</v>
      </c>
      <c r="I112" s="251">
        <v>900</v>
      </c>
      <c r="J112" s="251">
        <v>8287</v>
      </c>
      <c r="K112" s="38">
        <f t="shared" si="8"/>
        <v>7458300</v>
      </c>
      <c r="L112" s="192" t="s">
        <v>258</v>
      </c>
      <c r="M112" s="192" t="s">
        <v>173</v>
      </c>
      <c r="N112" s="52" t="str">
        <f>IF(AND('331-CT'!$E$7=TH!H112,OR(L112="331",M112="331")),"331",IF(AND(OR(L112="131",M112="131"),H112='131-CT'!$E$7),"131",""))</f>
        <v/>
      </c>
      <c r="O112" s="818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52"/>
      <c r="AD112" s="209"/>
      <c r="AE112" s="209"/>
      <c r="AF112" s="209"/>
    </row>
    <row r="113" spans="1:32" s="552" customFormat="1" ht="15.75" customHeight="1">
      <c r="A113" s="202" t="str">
        <f>IF(B113&lt;&gt;"",IF(AND(B113&gt;=_TM1,B113&lt;=_TM2,OR(TH!L113="1111",TH!M113="1111")),TH!D113,""),"")</f>
        <v/>
      </c>
      <c r="B113" s="36">
        <f t="shared" si="6"/>
        <v>1</v>
      </c>
      <c r="C113" s="182">
        <f t="shared" si="7"/>
        <v>42383</v>
      </c>
      <c r="D113" s="189" t="s">
        <v>1095</v>
      </c>
      <c r="E113" s="189">
        <v>42383</v>
      </c>
      <c r="F113" s="190" t="s">
        <v>1219</v>
      </c>
      <c r="G113" s="190" t="s">
        <v>891</v>
      </c>
      <c r="H113" s="208" t="s">
        <v>1204</v>
      </c>
      <c r="I113" s="251">
        <v>12</v>
      </c>
      <c r="J113" s="251">
        <v>13653</v>
      </c>
      <c r="K113" s="38">
        <f t="shared" si="8"/>
        <v>163836</v>
      </c>
      <c r="L113" s="192" t="s">
        <v>258</v>
      </c>
      <c r="M113" s="192" t="s">
        <v>173</v>
      </c>
      <c r="N113" s="52" t="str">
        <f>IF(AND('331-CT'!$E$7=TH!H113,OR(L113="331",M113="331")),"331",IF(AND(OR(L113="131",M113="131"),H113='131-CT'!$E$7),"131",""))</f>
        <v/>
      </c>
      <c r="O113" s="818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52"/>
      <c r="AC113" s="209"/>
      <c r="AD113" s="209"/>
      <c r="AE113" s="209"/>
      <c r="AF113" s="209"/>
    </row>
    <row r="114" spans="1:32" s="552" customFormat="1" ht="15.75" customHeight="1">
      <c r="A114" s="202" t="str">
        <f>IF(B114&lt;&gt;"",IF(AND(B114&gt;=_TM1,B114&lt;=_TM2,OR(TH!L114="1111",TH!M114="1111")),TH!D114,""),"")</f>
        <v/>
      </c>
      <c r="B114" s="36">
        <f t="shared" si="6"/>
        <v>1</v>
      </c>
      <c r="C114" s="182">
        <f t="shared" si="7"/>
        <v>42383</v>
      </c>
      <c r="D114" s="189" t="s">
        <v>1095</v>
      </c>
      <c r="E114" s="189">
        <v>42383</v>
      </c>
      <c r="F114" s="190" t="s">
        <v>1220</v>
      </c>
      <c r="G114" s="190" t="s">
        <v>891</v>
      </c>
      <c r="H114" s="208" t="s">
        <v>1204</v>
      </c>
      <c r="I114" s="251">
        <v>13</v>
      </c>
      <c r="J114" s="251">
        <v>8832</v>
      </c>
      <c r="K114" s="38">
        <f t="shared" si="8"/>
        <v>114816</v>
      </c>
      <c r="L114" s="192" t="s">
        <v>258</v>
      </c>
      <c r="M114" s="192" t="s">
        <v>173</v>
      </c>
      <c r="N114" s="52" t="str">
        <f>IF(AND('331-CT'!$E$7=TH!H114,OR(L114="331",M114="331")),"331",IF(AND(OR(L114="131",M114="131"),H114='131-CT'!$E$7),"131",""))</f>
        <v/>
      </c>
      <c r="O114" s="818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52"/>
      <c r="AD114" s="209"/>
      <c r="AE114" s="209"/>
      <c r="AF114" s="209"/>
    </row>
    <row r="115" spans="1:32" s="552" customFormat="1" ht="15.75" customHeight="1">
      <c r="A115" s="202" t="str">
        <f>IF(B115&lt;&gt;"",IF(AND(B115&gt;=_TM1,B115&lt;=_TM2,OR(TH!L115="1111",TH!M115="1111")),TH!D115,""),"")</f>
        <v/>
      </c>
      <c r="B115" s="36">
        <f t="shared" si="6"/>
        <v>1</v>
      </c>
      <c r="C115" s="182">
        <f t="shared" si="7"/>
        <v>42383</v>
      </c>
      <c r="D115" s="189" t="s">
        <v>1095</v>
      </c>
      <c r="E115" s="189">
        <v>42383</v>
      </c>
      <c r="F115" s="190" t="s">
        <v>525</v>
      </c>
      <c r="G115" s="190" t="s">
        <v>891</v>
      </c>
      <c r="H115" s="208" t="s">
        <v>1204</v>
      </c>
      <c r="I115" s="251"/>
      <c r="J115" s="251"/>
      <c r="K115" s="38">
        <v>1561845</v>
      </c>
      <c r="L115" s="192" t="s">
        <v>258</v>
      </c>
      <c r="M115" s="192" t="s">
        <v>367</v>
      </c>
      <c r="N115" s="52" t="str">
        <f>IF(AND('331-CT'!$E$7=TH!H115,OR(L115="331",M115="331")),"331",IF(AND(OR(L115="131",M115="131"),H115='131-CT'!$E$7),"131",""))</f>
        <v/>
      </c>
      <c r="O115" s="818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52"/>
      <c r="AD115" s="209"/>
      <c r="AE115" s="209"/>
      <c r="AF115" s="209"/>
    </row>
    <row r="116" spans="1:32" s="552" customFormat="1" ht="15.75" customHeight="1">
      <c r="A116" s="202" t="str">
        <f>IF(B116&lt;&gt;"",IF(AND(B116&gt;=_TM1,B116&lt;=_TM2,OR(TH!L116="1111",TH!M116="1111")),TH!D116,""),"")</f>
        <v/>
      </c>
      <c r="B116" s="36">
        <f t="shared" si="6"/>
        <v>1</v>
      </c>
      <c r="C116" s="182">
        <f t="shared" si="7"/>
        <v>42384</v>
      </c>
      <c r="D116" s="182" t="s">
        <v>665</v>
      </c>
      <c r="E116" s="182">
        <v>42384</v>
      </c>
      <c r="F116" s="187" t="s">
        <v>666</v>
      </c>
      <c r="G116" s="448" t="s">
        <v>330</v>
      </c>
      <c r="H116" s="7" t="s">
        <v>391</v>
      </c>
      <c r="I116" s="251"/>
      <c r="J116" s="251"/>
      <c r="K116" s="560">
        <v>20020770</v>
      </c>
      <c r="L116" s="561" t="s">
        <v>24</v>
      </c>
      <c r="M116" s="561" t="s">
        <v>258</v>
      </c>
      <c r="N116" s="52" t="str">
        <f>IF(AND('331-CT'!$E$7=TH!H116,OR(L116="331",M116="331")),"331",IF(AND(OR(L116="131",M116="131"),H116='131-CT'!$E$7),"131",""))</f>
        <v/>
      </c>
      <c r="O116" s="818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52"/>
      <c r="AC116" s="209"/>
    </row>
    <row r="117" spans="1:32" s="552" customFormat="1" ht="15.75" customHeight="1">
      <c r="A117" s="202" t="str">
        <f>IF(B117&lt;&gt;"",IF(AND(B117&gt;=_TM1,B117&lt;=_TM2,OR(TH!L117="1111",TH!M117="1111")),TH!D117,""),"")</f>
        <v/>
      </c>
      <c r="B117" s="36">
        <f t="shared" si="6"/>
        <v>1</v>
      </c>
      <c r="C117" s="182">
        <f t="shared" si="7"/>
        <v>42384</v>
      </c>
      <c r="D117" s="182" t="s">
        <v>1621</v>
      </c>
      <c r="E117" s="189">
        <v>42384</v>
      </c>
      <c r="F117" s="187" t="s">
        <v>776</v>
      </c>
      <c r="G117" s="448" t="s">
        <v>330</v>
      </c>
      <c r="H117" s="191" t="s">
        <v>675</v>
      </c>
      <c r="I117" s="251"/>
      <c r="J117" s="251"/>
      <c r="K117" s="38">
        <v>81000000</v>
      </c>
      <c r="L117" s="192" t="s">
        <v>47</v>
      </c>
      <c r="M117" s="561" t="s">
        <v>24</v>
      </c>
      <c r="N117" s="52" t="str">
        <f>IF(AND('331-CT'!$E$7=TH!H117,OR(L117="331",M117="331")),"331",IF(AND(OR(L117="131",M117="131"),H117='131-CT'!$E$7),"131",""))</f>
        <v/>
      </c>
      <c r="O117" s="818" t="str">
        <f>IF(AND('341-CT'!$E$9=H117,OR(LEFT(L117,3)=$O$7,LEFT(M117,3)=$O$7)),"x","")</f>
        <v/>
      </c>
      <c r="P117" s="52" t="str">
        <f>IF(AND($B117&gt;='111'!$N$11,$B117&lt;='111'!$O$11,OR($L117=$P$7,$M117=$P$7)),"x","")</f>
        <v>x</v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52"/>
      <c r="AD117" s="209"/>
    </row>
    <row r="118" spans="1:32" s="552" customFormat="1" ht="15.75" customHeight="1">
      <c r="A118" s="202" t="str">
        <f>IF(B118&lt;&gt;"",IF(AND(B118&gt;=_TM1,B118&lt;=_TM2,OR(TH!L118="1111",TH!M118="1111")),TH!D118,""),"")</f>
        <v/>
      </c>
      <c r="B118" s="36">
        <f t="shared" si="6"/>
        <v>1</v>
      </c>
      <c r="C118" s="182">
        <f t="shared" si="7"/>
        <v>42385</v>
      </c>
      <c r="D118" s="189" t="s">
        <v>1096</v>
      </c>
      <c r="E118" s="189">
        <v>42385</v>
      </c>
      <c r="F118" s="190" t="s">
        <v>441</v>
      </c>
      <c r="G118" s="190" t="s">
        <v>892</v>
      </c>
      <c r="H118" s="191" t="s">
        <v>391</v>
      </c>
      <c r="I118" s="251">
        <v>619</v>
      </c>
      <c r="J118" s="251">
        <v>9700</v>
      </c>
      <c r="K118" s="38">
        <f>ROUND(I118*J118,0)</f>
        <v>6004300</v>
      </c>
      <c r="L118" s="192" t="s">
        <v>258</v>
      </c>
      <c r="M118" s="192" t="s">
        <v>173</v>
      </c>
      <c r="N118" s="52" t="str">
        <f>IF(AND('331-CT'!$E$7=TH!H118,OR(L118="331",M118="331")),"331",IF(AND(OR(L118="131",M118="131"),H118='131-CT'!$E$7),"131",""))</f>
        <v/>
      </c>
      <c r="O118" s="818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52"/>
      <c r="AD118" s="209"/>
      <c r="AE118" s="209"/>
      <c r="AF118" s="209"/>
    </row>
    <row r="119" spans="1:32" s="552" customFormat="1" ht="15.75" customHeight="1">
      <c r="A119" s="202" t="str">
        <f>IF(B119&lt;&gt;"",IF(AND(B119&gt;=_TM1,B119&lt;=_TM2,OR(TH!L119="1111",TH!M119="1111")),TH!D119,""),"")</f>
        <v/>
      </c>
      <c r="B119" s="36">
        <f t="shared" si="6"/>
        <v>1</v>
      </c>
      <c r="C119" s="182">
        <f t="shared" si="7"/>
        <v>42385</v>
      </c>
      <c r="D119" s="189" t="s">
        <v>1096</v>
      </c>
      <c r="E119" s="189">
        <v>42385</v>
      </c>
      <c r="F119" s="190" t="s">
        <v>393</v>
      </c>
      <c r="G119" s="190" t="s">
        <v>892</v>
      </c>
      <c r="H119" s="191" t="s">
        <v>391</v>
      </c>
      <c r="I119" s="251"/>
      <c r="J119" s="251"/>
      <c r="K119" s="38">
        <v>600430</v>
      </c>
      <c r="L119" s="192" t="s">
        <v>258</v>
      </c>
      <c r="M119" s="192" t="s">
        <v>367</v>
      </c>
      <c r="N119" s="52" t="str">
        <f>IF(AND('331-CT'!$E$7=TH!H119,OR(L119="331",M119="331")),"331",IF(AND(OR(L119="131",M119="131"),H119='131-CT'!$E$7),"131",""))</f>
        <v/>
      </c>
      <c r="O119" s="818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52"/>
      <c r="AD119" s="209"/>
      <c r="AE119" s="209"/>
      <c r="AF119" s="209"/>
    </row>
    <row r="120" spans="1:32" s="552" customFormat="1" ht="15.75" customHeight="1">
      <c r="A120" s="202" t="str">
        <f>IF(B120&lt;&gt;"",IF(AND(B120&gt;=_TM1,B120&lt;=_TM2,OR(TH!L120="1111",TH!M120="1111")),TH!D120,""),"")</f>
        <v/>
      </c>
      <c r="B120" s="36">
        <f t="shared" si="6"/>
        <v>1</v>
      </c>
      <c r="C120" s="182">
        <f t="shared" si="7"/>
        <v>42385</v>
      </c>
      <c r="D120" s="189" t="s">
        <v>1097</v>
      </c>
      <c r="E120" s="189">
        <v>42385</v>
      </c>
      <c r="F120" s="190" t="s">
        <v>893</v>
      </c>
      <c r="G120" s="190" t="s">
        <v>894</v>
      </c>
      <c r="H120" s="208" t="s">
        <v>501</v>
      </c>
      <c r="I120" s="251">
        <v>200</v>
      </c>
      <c r="J120" s="251">
        <v>6000</v>
      </c>
      <c r="K120" s="38">
        <f>ROUND(I120*J120,0)</f>
        <v>1200000</v>
      </c>
      <c r="L120" s="192" t="s">
        <v>258</v>
      </c>
      <c r="M120" s="192" t="s">
        <v>173</v>
      </c>
      <c r="N120" s="52" t="str">
        <f>IF(AND('331-CT'!$E$7=TH!H120,OR(L120="331",M120="331")),"331",IF(AND(OR(L120="131",M120="131"),H120='131-CT'!$E$7),"131",""))</f>
        <v/>
      </c>
      <c r="O120" s="818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52"/>
      <c r="AC120" s="209"/>
      <c r="AD120" s="209"/>
      <c r="AE120" s="209"/>
      <c r="AF120" s="209"/>
    </row>
    <row r="121" spans="1:32" s="552" customFormat="1" ht="15.75" customHeight="1">
      <c r="A121" s="202" t="str">
        <f>IF(B121&lt;&gt;"",IF(AND(B121&gt;=_TM1,B121&lt;=_TM2,OR(TH!L121="1111",TH!M121="1111")),TH!D121,""),"")</f>
        <v/>
      </c>
      <c r="B121" s="36">
        <f t="shared" si="6"/>
        <v>1</v>
      </c>
      <c r="C121" s="182">
        <f t="shared" si="7"/>
        <v>42385</v>
      </c>
      <c r="D121" s="189" t="s">
        <v>1097</v>
      </c>
      <c r="E121" s="189">
        <v>42385</v>
      </c>
      <c r="F121" s="190" t="s">
        <v>895</v>
      </c>
      <c r="G121" s="190" t="s">
        <v>894</v>
      </c>
      <c r="H121" s="208" t="s">
        <v>501</v>
      </c>
      <c r="I121" s="251">
        <v>200</v>
      </c>
      <c r="J121" s="251">
        <v>5900</v>
      </c>
      <c r="K121" s="38">
        <f>ROUND(I121*J121,0)</f>
        <v>1180000</v>
      </c>
      <c r="L121" s="192" t="s">
        <v>258</v>
      </c>
      <c r="M121" s="192" t="s">
        <v>173</v>
      </c>
      <c r="N121" s="52" t="str">
        <f>IF(AND('331-CT'!$E$7=TH!H121,OR(L121="331",M121="331")),"331",IF(AND(OR(L121="131",M121="131"),H121='131-CT'!$E$7),"131",""))</f>
        <v/>
      </c>
      <c r="O121" s="818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52"/>
      <c r="AD121" s="209"/>
      <c r="AE121" s="209"/>
      <c r="AF121" s="209"/>
    </row>
    <row r="122" spans="1:32" s="552" customFormat="1" ht="15.75" customHeight="1">
      <c r="A122" s="202" t="str">
        <f>IF(B122&lt;&gt;"",IF(AND(B122&gt;=_TM1,B122&lt;=_TM2,OR(TH!L122="1111",TH!M122="1111")),TH!D122,""),"")</f>
        <v/>
      </c>
      <c r="B122" s="36">
        <f t="shared" si="6"/>
        <v>1</v>
      </c>
      <c r="C122" s="182">
        <f t="shared" si="7"/>
        <v>42385</v>
      </c>
      <c r="D122" s="189" t="s">
        <v>1097</v>
      </c>
      <c r="E122" s="189">
        <v>42385</v>
      </c>
      <c r="F122" s="190" t="s">
        <v>896</v>
      </c>
      <c r="G122" s="190" t="s">
        <v>894</v>
      </c>
      <c r="H122" s="208" t="s">
        <v>501</v>
      </c>
      <c r="I122" s="251">
        <v>200</v>
      </c>
      <c r="J122" s="251">
        <v>6000</v>
      </c>
      <c r="K122" s="38">
        <f>ROUND(I122*J122,0)</f>
        <v>1200000</v>
      </c>
      <c r="L122" s="192" t="s">
        <v>258</v>
      </c>
      <c r="M122" s="192" t="s">
        <v>173</v>
      </c>
      <c r="N122" s="52" t="str">
        <f>IF(AND('331-CT'!$E$7=TH!H122,OR(L122="331",M122="331")),"331",IF(AND(OR(L122="131",M122="131"),H122='131-CT'!$E$7),"131",""))</f>
        <v/>
      </c>
      <c r="O122" s="818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52"/>
      <c r="AD122" s="209"/>
      <c r="AE122" s="209"/>
      <c r="AF122" s="209"/>
    </row>
    <row r="123" spans="1:32" s="552" customFormat="1" ht="15.75" customHeight="1">
      <c r="A123" s="202" t="str">
        <f>IF(B123&lt;&gt;"",IF(AND(B123&gt;=_TM1,B123&lt;=_TM2,OR(TH!L123="1111",TH!M123="1111")),TH!D123,""),"")</f>
        <v/>
      </c>
      <c r="B123" s="36">
        <f t="shared" si="6"/>
        <v>1</v>
      </c>
      <c r="C123" s="182">
        <f t="shared" si="7"/>
        <v>42385</v>
      </c>
      <c r="D123" s="189" t="s">
        <v>1097</v>
      </c>
      <c r="E123" s="189">
        <v>42385</v>
      </c>
      <c r="F123" s="190" t="s">
        <v>393</v>
      </c>
      <c r="G123" s="190" t="s">
        <v>894</v>
      </c>
      <c r="H123" s="208" t="s">
        <v>501</v>
      </c>
      <c r="I123" s="251"/>
      <c r="J123" s="251"/>
      <c r="K123" s="38">
        <v>358000</v>
      </c>
      <c r="L123" s="192" t="s">
        <v>258</v>
      </c>
      <c r="M123" s="192" t="s">
        <v>367</v>
      </c>
      <c r="N123" s="52" t="str">
        <f>IF(AND('331-CT'!$E$7=TH!H123,OR(L123="331",M123="331")),"331",IF(AND(OR(L123="131",M123="131"),H123='131-CT'!$E$7),"131",""))</f>
        <v/>
      </c>
      <c r="O123" s="818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52"/>
      <c r="AD123" s="209"/>
      <c r="AE123" s="209"/>
      <c r="AF123" s="209"/>
    </row>
    <row r="124" spans="1:32" s="552" customFormat="1" ht="15.75" customHeight="1">
      <c r="A124" s="202" t="str">
        <f>IF(B124&lt;&gt;"",IF(AND(B124&gt;=_TM1,B124&lt;=_TM2,OR(TH!L124="1111",TH!M124="1111")),TH!D124,""),"")</f>
        <v/>
      </c>
      <c r="B124" s="36">
        <f t="shared" si="6"/>
        <v>1</v>
      </c>
      <c r="C124" s="182">
        <f t="shared" si="7"/>
        <v>42387</v>
      </c>
      <c r="D124" s="182" t="s">
        <v>665</v>
      </c>
      <c r="E124" s="182">
        <v>42387</v>
      </c>
      <c r="F124" s="187" t="s">
        <v>666</v>
      </c>
      <c r="G124" s="448" t="s">
        <v>330</v>
      </c>
      <c r="H124" s="7" t="s">
        <v>391</v>
      </c>
      <c r="I124" s="251"/>
      <c r="J124" s="251"/>
      <c r="K124" s="560">
        <v>9973249</v>
      </c>
      <c r="L124" s="561" t="s">
        <v>24</v>
      </c>
      <c r="M124" s="561" t="s">
        <v>258</v>
      </c>
      <c r="N124" s="52" t="str">
        <f>IF(AND('331-CT'!$E$7=TH!H124,OR(L124="331",M124="331")),"331",IF(AND(OR(L124="131",M124="131"),H124='131-CT'!$E$7),"131",""))</f>
        <v/>
      </c>
      <c r="O124" s="818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52"/>
    </row>
    <row r="125" spans="1:32" s="552" customFormat="1" ht="15.75" customHeight="1">
      <c r="A125" s="202" t="str">
        <f>IF(B125&lt;&gt;"",IF(AND(B125&gt;=_TM1,B125&lt;=_TM2,OR(TH!L125="1111",TH!M125="1111")),TH!D125,""),"")</f>
        <v/>
      </c>
      <c r="B125" s="36">
        <f t="shared" si="6"/>
        <v>1</v>
      </c>
      <c r="C125" s="182">
        <f t="shared" si="7"/>
        <v>42388</v>
      </c>
      <c r="D125" s="182" t="s">
        <v>1622</v>
      </c>
      <c r="E125" s="182">
        <v>42388</v>
      </c>
      <c r="F125" s="187" t="s">
        <v>754</v>
      </c>
      <c r="G125" s="448" t="s">
        <v>330</v>
      </c>
      <c r="H125" s="191" t="s">
        <v>779</v>
      </c>
      <c r="I125" s="251"/>
      <c r="J125" s="251"/>
      <c r="K125" s="560">
        <v>2000000</v>
      </c>
      <c r="L125" s="561" t="s">
        <v>24</v>
      </c>
      <c r="M125" s="561" t="s">
        <v>47</v>
      </c>
      <c r="N125" s="52" t="str">
        <f>IF(AND('331-CT'!$E$7=TH!H125,OR(L125="331",M125="331")),"331",IF(AND(OR(L125="131",M125="131"),H125='131-CT'!$E$7),"131",""))</f>
        <v/>
      </c>
      <c r="O125" s="818" t="str">
        <f>IF(AND('341-CT'!$E$9=H125,OR(LEFT(L125,3)=$O$7,LEFT(M125,3)=$O$7)),"x","")</f>
        <v/>
      </c>
      <c r="P125" s="52" t="str">
        <f>IF(AND($B125&gt;='111'!$N$11,$B125&lt;='111'!$O$11,OR($L125=$P$7,$M125=$P$7)),"x","")</f>
        <v>x</v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52"/>
      <c r="AC125" s="209"/>
    </row>
    <row r="126" spans="1:32" s="552" customFormat="1" ht="15.75" customHeight="1">
      <c r="A126" s="202" t="str">
        <f>IF(B126&lt;&gt;"",IF(AND(B126&gt;=_TM1,B126&lt;=_TM2,OR(TH!L126="1111",TH!M126="1111")),TH!D126,""),"")</f>
        <v/>
      </c>
      <c r="B126" s="36">
        <f t="shared" si="6"/>
        <v>1</v>
      </c>
      <c r="C126" s="182">
        <f t="shared" si="7"/>
        <v>42388</v>
      </c>
      <c r="D126" s="182" t="s">
        <v>669</v>
      </c>
      <c r="E126" s="189">
        <v>42388</v>
      </c>
      <c r="F126" s="190" t="s">
        <v>790</v>
      </c>
      <c r="G126" s="448" t="s">
        <v>330</v>
      </c>
      <c r="H126" s="7" t="s">
        <v>1453</v>
      </c>
      <c r="I126" s="251"/>
      <c r="J126" s="251"/>
      <c r="K126" s="38">
        <v>12000000</v>
      </c>
      <c r="L126" s="192" t="s">
        <v>8</v>
      </c>
      <c r="M126" s="561" t="s">
        <v>24</v>
      </c>
      <c r="N126" s="52" t="str">
        <f>IF(AND('331-CT'!$E$7=TH!H126,OR(L126="331",M126="331")),"331",IF(AND(OR(L126="131",M126="131"),H126='131-CT'!$E$7),"131",""))</f>
        <v/>
      </c>
      <c r="O126" s="818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52"/>
    </row>
    <row r="127" spans="1:32" s="552" customFormat="1" ht="15.75" customHeight="1">
      <c r="A127" s="202" t="str">
        <f>IF(B127&lt;&gt;"",IF(AND(B127&gt;=_TM1,B127&lt;=_TM2,OR(TH!L127="1111",TH!M127="1111")),TH!D127,""),"")</f>
        <v/>
      </c>
      <c r="B127" s="36">
        <f t="shared" si="6"/>
        <v>1</v>
      </c>
      <c r="C127" s="182">
        <f t="shared" si="7"/>
        <v>42388</v>
      </c>
      <c r="D127" s="189" t="s">
        <v>1098</v>
      </c>
      <c r="E127" s="189">
        <v>42388</v>
      </c>
      <c r="F127" s="190" t="s">
        <v>897</v>
      </c>
      <c r="G127" s="190" t="s">
        <v>898</v>
      </c>
      <c r="H127" s="191" t="s">
        <v>609</v>
      </c>
      <c r="I127" s="251">
        <v>35</v>
      </c>
      <c r="J127" s="251">
        <v>14600</v>
      </c>
      <c r="K127" s="38">
        <f t="shared" ref="K127:K134" si="9">ROUND(I127*J127,0)</f>
        <v>511000</v>
      </c>
      <c r="L127" s="192" t="s">
        <v>258</v>
      </c>
      <c r="M127" s="192" t="s">
        <v>173</v>
      </c>
      <c r="N127" s="52" t="str">
        <f>IF(AND('331-CT'!$E$7=TH!H127,OR(L127="331",M127="331")),"331",IF(AND(OR(L127="131",M127="131"),H127='131-CT'!$E$7),"131",""))</f>
        <v/>
      </c>
      <c r="O127" s="818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52"/>
      <c r="AD127" s="209"/>
      <c r="AE127" s="209"/>
      <c r="AF127" s="209"/>
    </row>
    <row r="128" spans="1:32" s="552" customFormat="1" ht="15.75" customHeight="1">
      <c r="A128" s="202" t="str">
        <f>IF(B128&lt;&gt;"",IF(AND(B128&gt;=_TM1,B128&lt;=_TM2,OR(TH!L128="1111",TH!M128="1111")),TH!D128,""),"")</f>
        <v/>
      </c>
      <c r="B128" s="36">
        <f t="shared" si="6"/>
        <v>1</v>
      </c>
      <c r="C128" s="182">
        <f t="shared" si="7"/>
        <v>42388</v>
      </c>
      <c r="D128" s="189" t="s">
        <v>1098</v>
      </c>
      <c r="E128" s="189">
        <v>42388</v>
      </c>
      <c r="F128" s="190" t="s">
        <v>899</v>
      </c>
      <c r="G128" s="190" t="s">
        <v>898</v>
      </c>
      <c r="H128" s="191" t="s">
        <v>609</v>
      </c>
      <c r="I128" s="251">
        <v>55</v>
      </c>
      <c r="J128" s="251">
        <v>9000</v>
      </c>
      <c r="K128" s="38">
        <f t="shared" si="9"/>
        <v>495000</v>
      </c>
      <c r="L128" s="192" t="s">
        <v>258</v>
      </c>
      <c r="M128" s="192" t="s">
        <v>173</v>
      </c>
      <c r="N128" s="52" t="str">
        <f>IF(AND('331-CT'!$E$7=TH!H128,OR(L128="331",M128="331")),"331",IF(AND(OR(L128="131",M128="131"),H128='131-CT'!$E$7),"131",""))</f>
        <v/>
      </c>
      <c r="O128" s="818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52"/>
      <c r="AD128" s="209"/>
      <c r="AE128" s="209"/>
      <c r="AF128" s="209"/>
    </row>
    <row r="129" spans="1:32" s="552" customFormat="1" ht="15.75" customHeight="1">
      <c r="A129" s="202" t="str">
        <f>IF(B129&lt;&gt;"",IF(AND(B129&gt;=_TM1,B129&lt;=_TM2,OR(TH!L129="1111",TH!M129="1111")),TH!D129,""),"")</f>
        <v/>
      </c>
      <c r="B129" s="36">
        <f t="shared" si="6"/>
        <v>1</v>
      </c>
      <c r="C129" s="182">
        <f t="shared" si="7"/>
        <v>42388</v>
      </c>
      <c r="D129" s="189" t="s">
        <v>1098</v>
      </c>
      <c r="E129" s="189">
        <v>42388</v>
      </c>
      <c r="F129" s="190" t="s">
        <v>900</v>
      </c>
      <c r="G129" s="190" t="s">
        <v>898</v>
      </c>
      <c r="H129" s="191" t="s">
        <v>609</v>
      </c>
      <c r="I129" s="251">
        <v>50</v>
      </c>
      <c r="J129" s="251">
        <v>13900</v>
      </c>
      <c r="K129" s="38">
        <f t="shared" si="9"/>
        <v>695000</v>
      </c>
      <c r="L129" s="192" t="s">
        <v>258</v>
      </c>
      <c r="M129" s="192" t="s">
        <v>173</v>
      </c>
      <c r="N129" s="52" t="str">
        <f>IF(AND('331-CT'!$E$7=TH!H129,OR(L129="331",M129="331")),"331",IF(AND(OR(L129="131",M129="131"),H129='131-CT'!$E$7),"131",""))</f>
        <v/>
      </c>
      <c r="O129" s="818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52"/>
      <c r="AD129" s="209"/>
      <c r="AE129" s="209"/>
      <c r="AF129" s="209"/>
    </row>
    <row r="130" spans="1:32" s="552" customFormat="1" ht="15.75" customHeight="1">
      <c r="A130" s="202" t="str">
        <f>IF(B130&lt;&gt;"",IF(AND(B130&gt;=_TM1,B130&lt;=_TM2,OR(TH!L130="1111",TH!M130="1111")),TH!D130,""),"")</f>
        <v/>
      </c>
      <c r="B130" s="36">
        <f t="shared" si="6"/>
        <v>1</v>
      </c>
      <c r="C130" s="182">
        <f t="shared" si="7"/>
        <v>42388</v>
      </c>
      <c r="D130" s="189" t="s">
        <v>1098</v>
      </c>
      <c r="E130" s="189">
        <v>42388</v>
      </c>
      <c r="F130" s="190" t="s">
        <v>480</v>
      </c>
      <c r="G130" s="190" t="s">
        <v>898</v>
      </c>
      <c r="H130" s="191" t="s">
        <v>609</v>
      </c>
      <c r="I130" s="253">
        <v>510</v>
      </c>
      <c r="J130" s="253">
        <v>8950</v>
      </c>
      <c r="K130" s="38">
        <f t="shared" si="9"/>
        <v>4564500</v>
      </c>
      <c r="L130" s="192" t="s">
        <v>258</v>
      </c>
      <c r="M130" s="192" t="s">
        <v>173</v>
      </c>
      <c r="N130" s="52" t="str">
        <f>IF(AND('331-CT'!$E$7=TH!H130,OR(L130="331",M130="331")),"331",IF(AND(OR(L130="131",M130="131"),H130='131-CT'!$E$7),"131",""))</f>
        <v/>
      </c>
      <c r="O130" s="818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52"/>
      <c r="AD130" s="209"/>
      <c r="AE130" s="209"/>
      <c r="AF130" s="209"/>
    </row>
    <row r="131" spans="1:32" s="552" customFormat="1" ht="15.75" customHeight="1">
      <c r="A131" s="202" t="str">
        <f>IF(B131&lt;&gt;"",IF(AND(B131&gt;=_TM1,B131&lt;=_TM2,OR(TH!L131="1111",TH!M131="1111")),TH!D131,""),"")</f>
        <v/>
      </c>
      <c r="B131" s="36">
        <f t="shared" si="6"/>
        <v>1</v>
      </c>
      <c r="C131" s="182">
        <f t="shared" si="7"/>
        <v>42388</v>
      </c>
      <c r="D131" s="189" t="s">
        <v>1098</v>
      </c>
      <c r="E131" s="189">
        <v>42388</v>
      </c>
      <c r="F131" s="190" t="s">
        <v>901</v>
      </c>
      <c r="G131" s="190" t="s">
        <v>898</v>
      </c>
      <c r="H131" s="191" t="s">
        <v>609</v>
      </c>
      <c r="I131" s="253">
        <v>235</v>
      </c>
      <c r="J131" s="253">
        <v>8800</v>
      </c>
      <c r="K131" s="38">
        <f t="shared" si="9"/>
        <v>2068000</v>
      </c>
      <c r="L131" s="192" t="s">
        <v>258</v>
      </c>
      <c r="M131" s="192" t="s">
        <v>173</v>
      </c>
      <c r="N131" s="52" t="str">
        <f>IF(AND('331-CT'!$E$7=TH!H131,OR(L131="331",M131="331")),"331",IF(AND(OR(L131="131",M131="131"),H131='131-CT'!$E$7),"131",""))</f>
        <v/>
      </c>
      <c r="O131" s="818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52"/>
      <c r="AD131" s="209"/>
      <c r="AE131" s="209"/>
      <c r="AF131" s="209"/>
    </row>
    <row r="132" spans="1:32" s="552" customFormat="1" ht="15.75" customHeight="1">
      <c r="A132" s="202" t="str">
        <f>IF(B132&lt;&gt;"",IF(AND(B132&gt;=_TM1,B132&lt;=_TM2,OR(TH!L132="1111",TH!M132="1111")),TH!D132,""),"")</f>
        <v/>
      </c>
      <c r="B132" s="36">
        <f t="shared" si="6"/>
        <v>1</v>
      </c>
      <c r="C132" s="182">
        <f t="shared" si="7"/>
        <v>42388</v>
      </c>
      <c r="D132" s="189" t="s">
        <v>1098</v>
      </c>
      <c r="E132" s="189">
        <v>42388</v>
      </c>
      <c r="F132" s="190" t="s">
        <v>481</v>
      </c>
      <c r="G132" s="190" t="s">
        <v>898</v>
      </c>
      <c r="H132" s="191" t="s">
        <v>609</v>
      </c>
      <c r="I132" s="251">
        <v>110</v>
      </c>
      <c r="J132" s="251">
        <v>6300</v>
      </c>
      <c r="K132" s="38">
        <f t="shared" si="9"/>
        <v>693000</v>
      </c>
      <c r="L132" s="192" t="s">
        <v>258</v>
      </c>
      <c r="M132" s="192" t="s">
        <v>173</v>
      </c>
      <c r="N132" s="52" t="str">
        <f>IF(AND('331-CT'!$E$7=TH!H132,OR(L132="331",M132="331")),"331",IF(AND(OR(L132="131",M132="131"),H132='131-CT'!$E$7),"131",""))</f>
        <v/>
      </c>
      <c r="O132" s="818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52"/>
      <c r="AD132" s="209"/>
      <c r="AE132" s="209"/>
      <c r="AF132" s="209"/>
    </row>
    <row r="133" spans="1:32" s="552" customFormat="1" ht="15.75" customHeight="1">
      <c r="A133" s="202" t="str">
        <f>IF(B133&lt;&gt;"",IF(AND(B133&gt;=_TM1,B133&lt;=_TM2,OR(TH!L133="1111",TH!M133="1111")),TH!D133,""),"")</f>
        <v/>
      </c>
      <c r="B133" s="36">
        <f t="shared" si="6"/>
        <v>1</v>
      </c>
      <c r="C133" s="182">
        <f t="shared" si="7"/>
        <v>42388</v>
      </c>
      <c r="D133" s="189" t="s">
        <v>1098</v>
      </c>
      <c r="E133" s="189">
        <v>42388</v>
      </c>
      <c r="F133" s="190" t="s">
        <v>902</v>
      </c>
      <c r="G133" s="190" t="s">
        <v>898</v>
      </c>
      <c r="H133" s="191" t="s">
        <v>609</v>
      </c>
      <c r="I133" s="251">
        <v>24</v>
      </c>
      <c r="J133" s="251">
        <v>11100</v>
      </c>
      <c r="K133" s="38">
        <f t="shared" si="9"/>
        <v>266400</v>
      </c>
      <c r="L133" s="192" t="s">
        <v>258</v>
      </c>
      <c r="M133" s="192" t="s">
        <v>173</v>
      </c>
      <c r="N133" s="52" t="str">
        <f>IF(AND('331-CT'!$E$7=TH!H133,OR(L133="331",M133="331")),"331",IF(AND(OR(L133="131",M133="131"),H133='131-CT'!$E$7),"131",""))</f>
        <v/>
      </c>
      <c r="O133" s="818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52"/>
      <c r="AD133" s="209"/>
      <c r="AE133" s="209"/>
      <c r="AF133" s="209"/>
    </row>
    <row r="134" spans="1:32" s="552" customFormat="1" ht="15.75" customHeight="1">
      <c r="A134" s="202" t="str">
        <f>IF(B134&lt;&gt;"",IF(AND(B134&gt;=_TM1,B134&lt;=_TM2,OR(TH!L134="1111",TH!M134="1111")),TH!D134,""),"")</f>
        <v/>
      </c>
      <c r="B134" s="36">
        <f t="shared" si="6"/>
        <v>1</v>
      </c>
      <c r="C134" s="182">
        <f t="shared" si="7"/>
        <v>42388</v>
      </c>
      <c r="D134" s="189" t="s">
        <v>1098</v>
      </c>
      <c r="E134" s="189">
        <v>42388</v>
      </c>
      <c r="F134" s="190" t="s">
        <v>473</v>
      </c>
      <c r="G134" s="190" t="s">
        <v>898</v>
      </c>
      <c r="H134" s="191" t="s">
        <v>609</v>
      </c>
      <c r="I134" s="251">
        <v>55</v>
      </c>
      <c r="J134" s="251">
        <v>7300</v>
      </c>
      <c r="K134" s="38">
        <f t="shared" si="9"/>
        <v>401500</v>
      </c>
      <c r="L134" s="192" t="s">
        <v>258</v>
      </c>
      <c r="M134" s="192" t="s">
        <v>173</v>
      </c>
      <c r="N134" s="52" t="str">
        <f>IF(AND('331-CT'!$E$7=TH!H134,OR(L134="331",M134="331")),"331",IF(AND(OR(L134="131",M134="131"),H134='131-CT'!$E$7),"131",""))</f>
        <v/>
      </c>
      <c r="O134" s="818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52"/>
      <c r="AC134" s="209"/>
      <c r="AD134" s="209"/>
      <c r="AE134" s="209"/>
      <c r="AF134" s="209"/>
    </row>
    <row r="135" spans="1:32" s="552" customFormat="1" ht="15.75" customHeight="1">
      <c r="A135" s="202" t="str">
        <f>IF(B135&lt;&gt;"",IF(AND(B135&gt;=_TM1,B135&lt;=_TM2,OR(TH!L135="1111",TH!M135="1111")),TH!D135,""),"")</f>
        <v/>
      </c>
      <c r="B135" s="36">
        <f t="shared" si="6"/>
        <v>1</v>
      </c>
      <c r="C135" s="182">
        <f t="shared" si="7"/>
        <v>42388</v>
      </c>
      <c r="D135" s="189" t="s">
        <v>1098</v>
      </c>
      <c r="E135" s="189">
        <v>42388</v>
      </c>
      <c r="F135" s="190" t="s">
        <v>393</v>
      </c>
      <c r="G135" s="190" t="s">
        <v>898</v>
      </c>
      <c r="H135" s="191" t="s">
        <v>609</v>
      </c>
      <c r="I135" s="251"/>
      <c r="J135" s="251"/>
      <c r="K135" s="38">
        <v>969440</v>
      </c>
      <c r="L135" s="192" t="s">
        <v>258</v>
      </c>
      <c r="M135" s="192" t="s">
        <v>367</v>
      </c>
      <c r="N135" s="52" t="str">
        <f>IF(AND('331-CT'!$E$7=TH!H135,OR(L135="331",M135="331")),"331",IF(AND(OR(L135="131",M135="131"),H135='131-CT'!$E$7),"131",""))</f>
        <v/>
      </c>
      <c r="O135" s="818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52"/>
      <c r="AE135" s="209"/>
      <c r="AF135" s="209"/>
    </row>
    <row r="136" spans="1:32" s="552" customFormat="1" ht="15.75" customHeight="1">
      <c r="A136" s="202" t="str">
        <f>IF(B136&lt;&gt;"",IF(AND(B136&gt;=_TM1,B136&lt;=_TM2,OR(TH!L136="1111",TH!M136="1111")),TH!D136,""),"")</f>
        <v/>
      </c>
      <c r="B136" s="36">
        <f t="shared" si="6"/>
        <v>1</v>
      </c>
      <c r="C136" s="182">
        <f t="shared" si="7"/>
        <v>42388</v>
      </c>
      <c r="D136" s="189" t="s">
        <v>1099</v>
      </c>
      <c r="E136" s="189">
        <v>42388</v>
      </c>
      <c r="F136" s="190" t="s">
        <v>1435</v>
      </c>
      <c r="G136" s="190" t="s">
        <v>903</v>
      </c>
      <c r="H136" s="191" t="s">
        <v>615</v>
      </c>
      <c r="I136" s="252">
        <v>2000</v>
      </c>
      <c r="J136" s="252">
        <v>11300</v>
      </c>
      <c r="K136" s="38">
        <f>ROUND(I136*J136,0)</f>
        <v>22600000</v>
      </c>
      <c r="L136" s="192" t="s">
        <v>258</v>
      </c>
      <c r="M136" s="192" t="s">
        <v>173</v>
      </c>
      <c r="N136" s="52" t="str">
        <f>IF(AND('331-CT'!$E$7=TH!H136,OR(L136="331",M136="331")),"331",IF(AND(OR(L136="131",M136="131"),H136='131-CT'!$E$7),"131",""))</f>
        <v/>
      </c>
      <c r="O136" s="818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52"/>
      <c r="AE136" s="209"/>
      <c r="AF136" s="209"/>
    </row>
    <row r="137" spans="1:32" s="552" customFormat="1" ht="15.75" customHeight="1">
      <c r="A137" s="202" t="str">
        <f>IF(B137&lt;&gt;"",IF(AND(B137&gt;=_TM1,B137&lt;=_TM2,OR(TH!L137="1111",TH!M137="1111")),TH!D137,""),"")</f>
        <v/>
      </c>
      <c r="B137" s="36">
        <f t="shared" si="6"/>
        <v>1</v>
      </c>
      <c r="C137" s="182">
        <f t="shared" si="7"/>
        <v>42388</v>
      </c>
      <c r="D137" s="189" t="s">
        <v>1099</v>
      </c>
      <c r="E137" s="189">
        <v>42388</v>
      </c>
      <c r="F137" s="190" t="s">
        <v>393</v>
      </c>
      <c r="G137" s="190" t="s">
        <v>903</v>
      </c>
      <c r="H137" s="191" t="s">
        <v>615</v>
      </c>
      <c r="I137" s="251"/>
      <c r="J137" s="251"/>
      <c r="K137" s="38">
        <v>2260000</v>
      </c>
      <c r="L137" s="192" t="s">
        <v>258</v>
      </c>
      <c r="M137" s="192" t="s">
        <v>367</v>
      </c>
      <c r="N137" s="52" t="str">
        <f>IF(AND('331-CT'!$E$7=TH!H137,OR(L137="331",M137="331")),"331",IF(AND(OR(L137="131",M137="131"),H137='131-CT'!$E$7),"131",""))</f>
        <v/>
      </c>
      <c r="O137" s="818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52"/>
      <c r="AC137" s="209"/>
      <c r="AD137" s="209"/>
      <c r="AE137" s="209"/>
      <c r="AF137" s="209"/>
    </row>
    <row r="138" spans="1:32" s="552" customFormat="1" ht="15.75" customHeight="1">
      <c r="A138" s="202" t="str">
        <f>IF(B138&lt;&gt;"",IF(AND(B138&gt;=_TM1,B138&lt;=_TM2,OR(TH!L138="1111",TH!M138="1111")),TH!D138,""),"")</f>
        <v/>
      </c>
      <c r="B138" s="36">
        <f t="shared" si="6"/>
        <v>1</v>
      </c>
      <c r="C138" s="182">
        <f t="shared" si="7"/>
        <v>42388</v>
      </c>
      <c r="D138" s="189" t="s">
        <v>1100</v>
      </c>
      <c r="E138" s="189">
        <v>42388</v>
      </c>
      <c r="F138" s="190" t="s">
        <v>870</v>
      </c>
      <c r="G138" s="190" t="s">
        <v>904</v>
      </c>
      <c r="H138" s="191" t="s">
        <v>1283</v>
      </c>
      <c r="I138" s="251">
        <v>2539</v>
      </c>
      <c r="J138" s="251">
        <v>15000</v>
      </c>
      <c r="K138" s="38">
        <f>ROUND(I138*J138,0)</f>
        <v>38085000</v>
      </c>
      <c r="L138" s="192" t="s">
        <v>258</v>
      </c>
      <c r="M138" s="192" t="s">
        <v>173</v>
      </c>
      <c r="N138" s="52" t="str">
        <f>IF(AND('331-CT'!$E$7=TH!H138,OR(L138="331",M138="331")),"331",IF(AND(OR(L138="131",M138="131"),H138='131-CT'!$E$7),"131",""))</f>
        <v/>
      </c>
      <c r="O138" s="818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52"/>
      <c r="AD138" s="209"/>
      <c r="AE138" s="209"/>
      <c r="AF138" s="209"/>
    </row>
    <row r="139" spans="1:32" s="552" customFormat="1" ht="15.75" customHeight="1">
      <c r="A139" s="202" t="str">
        <f>IF(B139&lt;&gt;"",IF(AND(B139&gt;=_TM1,B139&lt;=_TM2,OR(TH!L139="1111",TH!M139="1111")),TH!D139,""),"")</f>
        <v/>
      </c>
      <c r="B139" s="36">
        <f t="shared" si="6"/>
        <v>1</v>
      </c>
      <c r="C139" s="182">
        <f t="shared" si="7"/>
        <v>42388</v>
      </c>
      <c r="D139" s="189" t="s">
        <v>1100</v>
      </c>
      <c r="E139" s="189">
        <v>42388</v>
      </c>
      <c r="F139" s="190" t="s">
        <v>393</v>
      </c>
      <c r="G139" s="190" t="s">
        <v>904</v>
      </c>
      <c r="H139" s="190" t="s">
        <v>905</v>
      </c>
      <c r="I139" s="251"/>
      <c r="J139" s="251"/>
      <c r="K139" s="38">
        <v>3808500</v>
      </c>
      <c r="L139" s="192" t="s">
        <v>258</v>
      </c>
      <c r="M139" s="192" t="s">
        <v>367</v>
      </c>
      <c r="N139" s="52" t="str">
        <f>IF(AND('331-CT'!$E$7=TH!H139,OR(L139="331",M139="331")),"331",IF(AND(OR(L139="131",M139="131"),H139='131-CT'!$E$7),"131",""))</f>
        <v/>
      </c>
      <c r="O139" s="818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52"/>
      <c r="AD139" s="209"/>
      <c r="AE139" s="209"/>
      <c r="AF139" s="209"/>
    </row>
    <row r="140" spans="1:32" s="552" customFormat="1" ht="15.75" customHeight="1">
      <c r="A140" s="202" t="str">
        <f>IF(B140&lt;&gt;"",IF(AND(B140&gt;=_TM1,B140&lt;=_TM2,OR(TH!L140="1111",TH!M140="1111")),TH!D140,""),"")</f>
        <v/>
      </c>
      <c r="B140" s="36">
        <f t="shared" si="6"/>
        <v>1</v>
      </c>
      <c r="C140" s="182">
        <f t="shared" si="7"/>
        <v>42389</v>
      </c>
      <c r="D140" s="182" t="s">
        <v>669</v>
      </c>
      <c r="E140" s="189">
        <v>42389</v>
      </c>
      <c r="F140" s="187" t="s">
        <v>789</v>
      </c>
      <c r="G140" s="448" t="s">
        <v>330</v>
      </c>
      <c r="H140" s="191"/>
      <c r="I140" s="251"/>
      <c r="J140" s="251"/>
      <c r="K140" s="38">
        <v>15000</v>
      </c>
      <c r="L140" s="192" t="s">
        <v>83</v>
      </c>
      <c r="M140" s="561" t="s">
        <v>24</v>
      </c>
      <c r="N140" s="52" t="str">
        <f>IF(AND('331-CT'!$E$7=TH!H140,OR(L140="331",M140="331")),"331",IF(AND(OR(L140="131",M140="131"),H140='131-CT'!$E$7),"131",""))</f>
        <v/>
      </c>
      <c r="O140" s="818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52"/>
    </row>
    <row r="141" spans="1:32" s="552" customFormat="1" ht="15.75" customHeight="1">
      <c r="A141" s="202" t="str">
        <f>IF(B141&lt;&gt;"",IF(AND(B141&gt;=_TM1,B141&lt;=_TM2,OR(TH!L141="1111",TH!M141="1111")),TH!D141,""),"")</f>
        <v/>
      </c>
      <c r="B141" s="36">
        <f t="shared" si="6"/>
        <v>1</v>
      </c>
      <c r="C141" s="182">
        <f t="shared" si="7"/>
        <v>42389</v>
      </c>
      <c r="D141" s="182" t="s">
        <v>669</v>
      </c>
      <c r="E141" s="189">
        <v>42389</v>
      </c>
      <c r="F141" s="187" t="s">
        <v>789</v>
      </c>
      <c r="G141" s="448" t="s">
        <v>330</v>
      </c>
      <c r="H141" s="191"/>
      <c r="I141" s="251"/>
      <c r="J141" s="251"/>
      <c r="K141" s="38">
        <v>15000</v>
      </c>
      <c r="L141" s="192" t="s">
        <v>83</v>
      </c>
      <c r="M141" s="561" t="s">
        <v>24</v>
      </c>
      <c r="N141" s="52" t="str">
        <f>IF(AND('331-CT'!$E$7=TH!H141,OR(L141="331",M141="331")),"331",IF(AND(OR(L141="131",M141="131"),H141='131-CT'!$E$7),"131",""))</f>
        <v/>
      </c>
      <c r="O141" s="818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>x</v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52"/>
    </row>
    <row r="142" spans="1:32" s="552" customFormat="1" ht="15.75" customHeight="1">
      <c r="A142" s="202" t="str">
        <f>IF(B142&lt;&gt;"",IF(AND(B142&gt;=_TM1,B142&lt;=_TM2,OR(TH!L142="1111",TH!M142="1111")),TH!D142,""),"")</f>
        <v/>
      </c>
      <c r="B142" s="36">
        <f t="shared" si="6"/>
        <v>1</v>
      </c>
      <c r="C142" s="182">
        <f t="shared" si="7"/>
        <v>42389</v>
      </c>
      <c r="D142" s="189" t="s">
        <v>1101</v>
      </c>
      <c r="E142" s="189">
        <v>42389</v>
      </c>
      <c r="F142" s="190" t="s">
        <v>627</v>
      </c>
      <c r="G142" s="190" t="s">
        <v>906</v>
      </c>
      <c r="H142" s="712" t="s">
        <v>399</v>
      </c>
      <c r="I142" s="253">
        <v>313</v>
      </c>
      <c r="J142" s="253">
        <v>6400</v>
      </c>
      <c r="K142" s="38">
        <f>ROUND(I142*J142,0)</f>
        <v>2003200</v>
      </c>
      <c r="L142" s="192" t="s">
        <v>258</v>
      </c>
      <c r="M142" s="192" t="s">
        <v>173</v>
      </c>
      <c r="N142" s="52" t="str">
        <f>IF(AND('331-CT'!$E$7=TH!H142,OR(L142="331",M142="331")),"331",IF(AND(OR(L142="131",M142="131"),H142='131-CT'!$E$7),"131",""))</f>
        <v/>
      </c>
      <c r="O142" s="818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52"/>
      <c r="AD142" s="209"/>
      <c r="AE142" s="209"/>
      <c r="AF142" s="209"/>
    </row>
    <row r="143" spans="1:32" s="552" customFormat="1" ht="15.75" customHeight="1">
      <c r="A143" s="202" t="str">
        <f>IF(B143&lt;&gt;"",IF(AND(B143&gt;=_TM1,B143&lt;=_TM2,OR(TH!L143="1111",TH!M143="1111")),TH!D143,""),"")</f>
        <v/>
      </c>
      <c r="B143" s="36">
        <f t="shared" si="6"/>
        <v>1</v>
      </c>
      <c r="C143" s="182">
        <f t="shared" si="7"/>
        <v>42389</v>
      </c>
      <c r="D143" s="189" t="s">
        <v>1101</v>
      </c>
      <c r="E143" s="189">
        <v>42389</v>
      </c>
      <c r="F143" s="190" t="s">
        <v>1443</v>
      </c>
      <c r="G143" s="451" t="s">
        <v>906</v>
      </c>
      <c r="H143" s="191" t="s">
        <v>399</v>
      </c>
      <c r="I143" s="251">
        <v>321</v>
      </c>
      <c r="J143" s="251">
        <v>10500</v>
      </c>
      <c r="K143" s="38">
        <f>ROUND(I143*J143,0)</f>
        <v>3370500</v>
      </c>
      <c r="L143" s="192" t="s">
        <v>258</v>
      </c>
      <c r="M143" s="192" t="s">
        <v>173</v>
      </c>
      <c r="N143" s="52" t="str">
        <f>IF(AND('331-CT'!$E$7=TH!H143,OR(L143="331",M143="331")),"331",IF(AND(OR(L143="131",M143="131"),H143='131-CT'!$E$7),"131",""))</f>
        <v/>
      </c>
      <c r="O143" s="818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52"/>
      <c r="AD143" s="209"/>
      <c r="AE143" s="209"/>
      <c r="AF143" s="209"/>
    </row>
    <row r="144" spans="1:32" s="552" customFormat="1" ht="15.75" customHeight="1">
      <c r="A144" s="202" t="str">
        <f>IF(B144&lt;&gt;"",IF(AND(B144&gt;=_TM1,B144&lt;=_TM2,OR(TH!L144="1111",TH!M144="1111")),TH!D144,""),"")</f>
        <v/>
      </c>
      <c r="B144" s="36">
        <f t="shared" si="6"/>
        <v>1</v>
      </c>
      <c r="C144" s="182">
        <f t="shared" si="7"/>
        <v>42389</v>
      </c>
      <c r="D144" s="189" t="s">
        <v>1101</v>
      </c>
      <c r="E144" s="189">
        <v>42389</v>
      </c>
      <c r="F144" s="190" t="s">
        <v>1443</v>
      </c>
      <c r="G144" s="190" t="s">
        <v>906</v>
      </c>
      <c r="H144" s="191" t="s">
        <v>399</v>
      </c>
      <c r="I144" s="251">
        <v>105</v>
      </c>
      <c r="J144" s="251">
        <v>10500</v>
      </c>
      <c r="K144" s="38">
        <f>ROUND(I144*J144,0)</f>
        <v>1102500</v>
      </c>
      <c r="L144" s="192" t="s">
        <v>258</v>
      </c>
      <c r="M144" s="192" t="s">
        <v>173</v>
      </c>
      <c r="N144" s="52" t="str">
        <f>IF(AND('331-CT'!$E$7=TH!H144,OR(L144="331",M144="331")),"331",IF(AND(OR(L144="131",M144="131"),H144='131-CT'!$E$7),"131",""))</f>
        <v/>
      </c>
      <c r="O144" s="818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52"/>
      <c r="AC144" s="209"/>
      <c r="AD144" s="209"/>
      <c r="AE144" s="209"/>
      <c r="AF144" s="209"/>
    </row>
    <row r="145" spans="1:32" s="552" customFormat="1" ht="15.75" customHeight="1">
      <c r="A145" s="202" t="str">
        <f>IF(B145&lt;&gt;"",IF(AND(B145&gt;=_TM1,B145&lt;=_TM2,OR(TH!L145="1111",TH!M145="1111")),TH!D145,""),"")</f>
        <v/>
      </c>
      <c r="B145" s="36">
        <f t="shared" si="6"/>
        <v>1</v>
      </c>
      <c r="C145" s="182">
        <f t="shared" si="7"/>
        <v>42389</v>
      </c>
      <c r="D145" s="189" t="s">
        <v>1101</v>
      </c>
      <c r="E145" s="189">
        <v>42389</v>
      </c>
      <c r="F145" s="190" t="s">
        <v>1443</v>
      </c>
      <c r="G145" s="451" t="s">
        <v>906</v>
      </c>
      <c r="H145" s="191" t="s">
        <v>399</v>
      </c>
      <c r="I145" s="251">
        <v>203</v>
      </c>
      <c r="J145" s="251">
        <v>10500</v>
      </c>
      <c r="K145" s="38">
        <f>ROUND(I145*J145,0)</f>
        <v>2131500</v>
      </c>
      <c r="L145" s="192" t="s">
        <v>258</v>
      </c>
      <c r="M145" s="192" t="s">
        <v>173</v>
      </c>
      <c r="N145" s="52" t="str">
        <f>IF(AND('331-CT'!$E$7=TH!H145,OR(L145="331",M145="331")),"331",IF(AND(OR(L145="131",M145="131"),H145='131-CT'!$E$7),"131",""))</f>
        <v/>
      </c>
      <c r="O145" s="818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52"/>
      <c r="AD145" s="209"/>
      <c r="AE145" s="209"/>
      <c r="AF145" s="209"/>
    </row>
    <row r="146" spans="1:32" s="552" customFormat="1" ht="15.75" customHeight="1">
      <c r="A146" s="202" t="str">
        <f>IF(B146&lt;&gt;"",IF(AND(B146&gt;=_TM1,B146&lt;=_TM2,OR(TH!L146="1111",TH!M146="1111")),TH!D146,""),"")</f>
        <v/>
      </c>
      <c r="B146" s="36">
        <f t="shared" si="6"/>
        <v>1</v>
      </c>
      <c r="C146" s="182">
        <f t="shared" si="7"/>
        <v>42389</v>
      </c>
      <c r="D146" s="189" t="s">
        <v>1101</v>
      </c>
      <c r="E146" s="189">
        <v>42389</v>
      </c>
      <c r="F146" s="190" t="s">
        <v>393</v>
      </c>
      <c r="G146" s="190" t="s">
        <v>906</v>
      </c>
      <c r="H146" s="191" t="s">
        <v>399</v>
      </c>
      <c r="I146" s="251"/>
      <c r="J146" s="251"/>
      <c r="K146" s="38">
        <v>860770</v>
      </c>
      <c r="L146" s="192" t="s">
        <v>258</v>
      </c>
      <c r="M146" s="192" t="s">
        <v>367</v>
      </c>
      <c r="N146" s="52" t="str">
        <f>IF(AND('331-CT'!$E$7=TH!H146,OR(L146="331",M146="331")),"331",IF(AND(OR(L146="131",M146="131"),H146='131-CT'!$E$7),"131",""))</f>
        <v/>
      </c>
      <c r="O146" s="818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52"/>
      <c r="AD146" s="209"/>
      <c r="AE146" s="209"/>
      <c r="AF146" s="209"/>
    </row>
    <row r="147" spans="1:32" s="552" customFormat="1" ht="15.75" customHeight="1">
      <c r="A147" s="202" t="str">
        <f>IF(B147&lt;&gt;"",IF(AND(B147&gt;=_TM1,B147&lt;=_TM2,OR(TH!L147="1111",TH!M147="1111")),TH!D147,""),"")</f>
        <v/>
      </c>
      <c r="B147" s="36">
        <f t="shared" si="6"/>
        <v>1</v>
      </c>
      <c r="C147" s="182">
        <f t="shared" si="7"/>
        <v>42389</v>
      </c>
      <c r="D147" s="189" t="s">
        <v>1102</v>
      </c>
      <c r="E147" s="189">
        <v>42389</v>
      </c>
      <c r="F147" s="187" t="s">
        <v>1309</v>
      </c>
      <c r="G147" s="190" t="s">
        <v>390</v>
      </c>
      <c r="H147" s="191" t="s">
        <v>615</v>
      </c>
      <c r="I147" s="251">
        <v>100</v>
      </c>
      <c r="J147" s="251">
        <v>19940</v>
      </c>
      <c r="K147" s="38">
        <f>ROUND(I147*J147,0)</f>
        <v>1994000</v>
      </c>
      <c r="L147" s="192" t="s">
        <v>258</v>
      </c>
      <c r="M147" s="192" t="s">
        <v>173</v>
      </c>
      <c r="N147" s="52" t="str">
        <f>IF(AND('331-CT'!$E$7=TH!H147,OR(L147="331",M147="331")),"331",IF(AND(OR(L147="131",M147="131"),H147='131-CT'!$E$7),"131",""))</f>
        <v/>
      </c>
      <c r="O147" s="818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52"/>
      <c r="AD147" s="209"/>
      <c r="AE147" s="209"/>
      <c r="AF147" s="209"/>
    </row>
    <row r="148" spans="1:32" s="552" customFormat="1" ht="15.75" customHeight="1">
      <c r="A148" s="202" t="str">
        <f>IF(B148&lt;&gt;"",IF(AND(B148&gt;=_TM1,B148&lt;=_TM2,OR(TH!L148="1111",TH!M148="1111")),TH!D148,""),"")</f>
        <v/>
      </c>
      <c r="B148" s="36">
        <f t="shared" ref="B148:B211" si="10">IF(C148&lt;&gt;"",MONTH(C148),"")</f>
        <v>1</v>
      </c>
      <c r="C148" s="182">
        <f t="shared" ref="C148:C211" si="11">E148</f>
        <v>42389</v>
      </c>
      <c r="D148" s="189" t="s">
        <v>1102</v>
      </c>
      <c r="E148" s="189">
        <v>42389</v>
      </c>
      <c r="F148" s="190" t="s">
        <v>393</v>
      </c>
      <c r="G148" s="190" t="s">
        <v>390</v>
      </c>
      <c r="H148" s="191" t="s">
        <v>615</v>
      </c>
      <c r="I148" s="252"/>
      <c r="J148" s="252"/>
      <c r="K148" s="38">
        <v>199400</v>
      </c>
      <c r="L148" s="192" t="s">
        <v>258</v>
      </c>
      <c r="M148" s="192" t="s">
        <v>367</v>
      </c>
      <c r="N148" s="52" t="str">
        <f>IF(AND('331-CT'!$E$7=TH!H148,OR(L148="331",M148="331")),"331",IF(AND(OR(L148="131",M148="131"),H148='131-CT'!$E$7),"131",""))</f>
        <v/>
      </c>
      <c r="O148" s="818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52"/>
      <c r="AE148" s="209"/>
      <c r="AF148" s="209"/>
    </row>
    <row r="149" spans="1:32" s="552" customFormat="1" ht="15.75" customHeight="1">
      <c r="A149" s="202" t="str">
        <f>IF(B149&lt;&gt;"",IF(AND(B149&gt;=_TM1,B149&lt;=_TM2,OR(TH!L149="1111",TH!M149="1111")),TH!D149,""),"")</f>
        <v/>
      </c>
      <c r="B149" s="36">
        <f t="shared" si="10"/>
        <v>1</v>
      </c>
      <c r="C149" s="182">
        <f t="shared" si="11"/>
        <v>42390</v>
      </c>
      <c r="D149" s="182" t="s">
        <v>665</v>
      </c>
      <c r="E149" s="182">
        <v>42390</v>
      </c>
      <c r="F149" s="187" t="s">
        <v>666</v>
      </c>
      <c r="G149" s="448" t="s">
        <v>330</v>
      </c>
      <c r="H149" s="7" t="s">
        <v>615</v>
      </c>
      <c r="I149" s="251"/>
      <c r="J149" s="251"/>
      <c r="K149" s="560">
        <v>26925800</v>
      </c>
      <c r="L149" s="561" t="s">
        <v>24</v>
      </c>
      <c r="M149" s="561" t="s">
        <v>258</v>
      </c>
      <c r="N149" s="52" t="str">
        <f>IF(AND('331-CT'!$E$7=TH!H149,OR(L149="331",M149="331")),"331",IF(AND(OR(L149="131",M149="131"),H149='131-CT'!$E$7),"131",""))</f>
        <v/>
      </c>
      <c r="O149" s="818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52"/>
    </row>
    <row r="150" spans="1:32" s="552" customFormat="1" ht="15.75" customHeight="1">
      <c r="A150" s="202" t="str">
        <f>IF(B150&lt;&gt;"",IF(AND(B150&gt;=_TM1,B150&lt;=_TM2,OR(TH!L150="1111",TH!M150="1111")),TH!D150,""),"")</f>
        <v/>
      </c>
      <c r="B150" s="36">
        <f t="shared" si="10"/>
        <v>1</v>
      </c>
      <c r="C150" s="182">
        <f t="shared" si="11"/>
        <v>42390</v>
      </c>
      <c r="D150" s="189" t="s">
        <v>1103</v>
      </c>
      <c r="E150" s="189">
        <v>42390</v>
      </c>
      <c r="F150" s="190" t="s">
        <v>389</v>
      </c>
      <c r="G150" s="190" t="s">
        <v>394</v>
      </c>
      <c r="H150" s="191" t="s">
        <v>615</v>
      </c>
      <c r="I150" s="251">
        <v>951</v>
      </c>
      <c r="J150" s="251">
        <v>5000</v>
      </c>
      <c r="K150" s="38">
        <f>ROUND(I150*J150,0)</f>
        <v>4755000</v>
      </c>
      <c r="L150" s="192" t="s">
        <v>258</v>
      </c>
      <c r="M150" s="192" t="s">
        <v>173</v>
      </c>
      <c r="N150" s="52" t="str">
        <f>IF(AND('331-CT'!$E$7=TH!H150,OR(L150="331",M150="331")),"331",IF(AND(OR(L150="131",M150="131"),H150='131-CT'!$E$7),"131",""))</f>
        <v/>
      </c>
      <c r="O150" s="818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52"/>
      <c r="AE150" s="209"/>
      <c r="AF150" s="209"/>
    </row>
    <row r="151" spans="1:32" s="552" customFormat="1" ht="15.75" customHeight="1">
      <c r="A151" s="202" t="str">
        <f>IF(B151&lt;&gt;"",IF(AND(B151&gt;=_TM1,B151&lt;=_TM2,OR(TH!L151="1111",TH!M151="1111")),TH!D151,""),"")</f>
        <v/>
      </c>
      <c r="B151" s="36">
        <f t="shared" si="10"/>
        <v>1</v>
      </c>
      <c r="C151" s="182">
        <f t="shared" si="11"/>
        <v>42390</v>
      </c>
      <c r="D151" s="189" t="s">
        <v>1103</v>
      </c>
      <c r="E151" s="189">
        <v>42390</v>
      </c>
      <c r="F151" s="190" t="s">
        <v>393</v>
      </c>
      <c r="G151" s="190" t="s">
        <v>394</v>
      </c>
      <c r="H151" s="45" t="s">
        <v>391</v>
      </c>
      <c r="I151" s="252"/>
      <c r="J151" s="252"/>
      <c r="K151" s="38">
        <v>475500</v>
      </c>
      <c r="L151" s="192" t="s">
        <v>258</v>
      </c>
      <c r="M151" s="192" t="s">
        <v>367</v>
      </c>
      <c r="N151" s="52" t="str">
        <f>IF(AND('331-CT'!$E$7=TH!H151,OR(L151="331",M151="331")),"331",IF(AND(OR(L151="131",M151="131"),H151='131-CT'!$E$7),"131",""))</f>
        <v/>
      </c>
      <c r="O151" s="818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52"/>
      <c r="AE151" s="209"/>
      <c r="AF151" s="209"/>
    </row>
    <row r="152" spans="1:32" s="552" customFormat="1" ht="15.75" customHeight="1">
      <c r="A152" s="202" t="str">
        <f>IF(B152&lt;&gt;"",IF(AND(B152&gt;=_TM1,B152&lt;=_TM2,OR(TH!L152="1111",TH!M152="1111")),TH!D152,""),"")</f>
        <v/>
      </c>
      <c r="B152" s="36">
        <f t="shared" si="10"/>
        <v>1</v>
      </c>
      <c r="C152" s="182">
        <f t="shared" si="11"/>
        <v>42391</v>
      </c>
      <c r="D152" s="182" t="s">
        <v>665</v>
      </c>
      <c r="E152" s="182">
        <v>42391</v>
      </c>
      <c r="F152" s="187" t="s">
        <v>765</v>
      </c>
      <c r="G152" s="562" t="s">
        <v>764</v>
      </c>
      <c r="H152" s="191"/>
      <c r="I152" s="251"/>
      <c r="J152" s="251"/>
      <c r="K152" s="560">
        <v>30704000</v>
      </c>
      <c r="L152" s="561" t="s">
        <v>24</v>
      </c>
      <c r="M152" s="561" t="s">
        <v>24</v>
      </c>
      <c r="N152" s="52" t="str">
        <f>IF(AND('331-CT'!$E$7=TH!H152,OR(L152="331",M152="331")),"331",IF(AND(OR(L152="131",M152="131"),H152='131-CT'!$E$7),"131",""))</f>
        <v/>
      </c>
      <c r="O152" s="818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52"/>
    </row>
    <row r="153" spans="1:32" s="552" customFormat="1" ht="15.75" customHeight="1">
      <c r="A153" s="202" t="str">
        <f>IF(B153&lt;&gt;"",IF(AND(B153&gt;=_TM1,B153&lt;=_TM2,OR(TH!L153="1111",TH!M153="1111")),TH!D153,""),"")</f>
        <v/>
      </c>
      <c r="B153" s="36">
        <f t="shared" si="10"/>
        <v>1</v>
      </c>
      <c r="C153" s="182">
        <f t="shared" si="11"/>
        <v>42391</v>
      </c>
      <c r="D153" s="182" t="s">
        <v>669</v>
      </c>
      <c r="E153" s="182">
        <v>42391</v>
      </c>
      <c r="F153" s="187" t="s">
        <v>769</v>
      </c>
      <c r="G153" s="448" t="s">
        <v>756</v>
      </c>
      <c r="H153" s="191" t="s">
        <v>763</v>
      </c>
      <c r="I153" s="251"/>
      <c r="J153" s="251"/>
      <c r="K153" s="560">
        <v>16500000</v>
      </c>
      <c r="L153" s="561" t="s">
        <v>755</v>
      </c>
      <c r="M153" s="561" t="s">
        <v>24</v>
      </c>
      <c r="N153" s="52" t="str">
        <f>IF(AND('331-CT'!$E$7=TH!H153,OR(L153="331",M153="331")),"331",IF(AND(OR(L153="131",M153="131"),H153='131-CT'!$E$7),"131",""))</f>
        <v/>
      </c>
      <c r="O153" s="818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52"/>
    </row>
    <row r="154" spans="1:32" s="552" customFormat="1" ht="15.75" customHeight="1">
      <c r="A154" s="202" t="str">
        <f>IF(B154&lt;&gt;"",IF(AND(B154&gt;=_TM1,B154&lt;=_TM2,OR(TH!L154="1111",TH!M154="1111")),TH!D154,""),"")</f>
        <v/>
      </c>
      <c r="B154" s="36">
        <f t="shared" si="10"/>
        <v>1</v>
      </c>
      <c r="C154" s="182">
        <f t="shared" si="11"/>
        <v>42391</v>
      </c>
      <c r="D154" s="182" t="s">
        <v>669</v>
      </c>
      <c r="E154" s="182">
        <v>42391</v>
      </c>
      <c r="F154" s="187" t="s">
        <v>770</v>
      </c>
      <c r="G154" s="448" t="s">
        <v>756</v>
      </c>
      <c r="H154" s="191" t="s">
        <v>763</v>
      </c>
      <c r="I154" s="251"/>
      <c r="J154" s="251"/>
      <c r="K154" s="560">
        <v>2436003</v>
      </c>
      <c r="L154" s="561" t="s">
        <v>81</v>
      </c>
      <c r="M154" s="561" t="s">
        <v>24</v>
      </c>
      <c r="N154" s="52" t="str">
        <f>IF(AND('331-CT'!$E$7=TH!H154,OR(L154="331",M154="331")),"331",IF(AND(OR(L154="131",M154="131"),H154='131-CT'!$E$7),"131",""))</f>
        <v/>
      </c>
      <c r="O154" s="818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52"/>
    </row>
    <row r="155" spans="1:32" s="552" customFormat="1" ht="15.75" customHeight="1">
      <c r="A155" s="202" t="str">
        <f>IF(B155&lt;&gt;"",IF(AND(B155&gt;=_TM1,B155&lt;=_TM2,OR(TH!L155="1111",TH!M155="1111")),TH!D155,""),"")</f>
        <v/>
      </c>
      <c r="B155" s="36">
        <f t="shared" si="10"/>
        <v>1</v>
      </c>
      <c r="C155" s="182">
        <f t="shared" si="11"/>
        <v>42391</v>
      </c>
      <c r="D155" s="182" t="s">
        <v>669</v>
      </c>
      <c r="E155" s="182">
        <v>42391</v>
      </c>
      <c r="F155" s="187" t="s">
        <v>770</v>
      </c>
      <c r="G155" s="448" t="s">
        <v>756</v>
      </c>
      <c r="H155" s="191" t="s">
        <v>757</v>
      </c>
      <c r="I155" s="251"/>
      <c r="J155" s="251"/>
      <c r="K155" s="560">
        <v>11866202</v>
      </c>
      <c r="L155" s="561" t="s">
        <v>81</v>
      </c>
      <c r="M155" s="561" t="s">
        <v>24</v>
      </c>
      <c r="N155" s="52" t="str">
        <f>IF(AND('331-CT'!$E$7=TH!H155,OR(L155="331",M155="331")),"331",IF(AND(OR(L155="131",M155="131"),H155='131-CT'!$E$7),"131",""))</f>
        <v/>
      </c>
      <c r="O155" s="818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52"/>
    </row>
    <row r="156" spans="1:32" s="552" customFormat="1" ht="15.75" customHeight="1">
      <c r="A156" s="202" t="str">
        <f>IF(B156&lt;&gt;"",IF(AND(B156&gt;=_TM1,B156&lt;=_TM2,OR(TH!L156="1111",TH!M156="1111")),TH!D156,""),"")</f>
        <v/>
      </c>
      <c r="B156" s="36">
        <f t="shared" si="10"/>
        <v>1</v>
      </c>
      <c r="C156" s="182">
        <f t="shared" si="11"/>
        <v>42391</v>
      </c>
      <c r="D156" s="182" t="s">
        <v>665</v>
      </c>
      <c r="E156" s="182">
        <v>42391</v>
      </c>
      <c r="F156" s="187" t="s">
        <v>666</v>
      </c>
      <c r="G156" s="448" t="s">
        <v>330</v>
      </c>
      <c r="H156" s="7" t="s">
        <v>609</v>
      </c>
      <c r="I156" s="251"/>
      <c r="J156" s="251"/>
      <c r="K156" s="560">
        <v>45691525</v>
      </c>
      <c r="L156" s="561" t="s">
        <v>24</v>
      </c>
      <c r="M156" s="561" t="s">
        <v>258</v>
      </c>
      <c r="N156" s="52" t="str">
        <f>IF(AND('331-CT'!$E$7=TH!H156,OR(L156="331",M156="331")),"331",IF(AND(OR(L156="131",M156="131"),H156='131-CT'!$E$7),"131",""))</f>
        <v/>
      </c>
      <c r="O156" s="818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52"/>
    </row>
    <row r="157" spans="1:32" s="552" customFormat="1" ht="15.75" customHeight="1">
      <c r="A157" s="202" t="str">
        <f>IF(B157&lt;&gt;"",IF(AND(B157&gt;=_TM1,B157&lt;=_TM2,OR(TH!L157="1111",TH!M157="1111")),TH!D157,""),"")</f>
        <v/>
      </c>
      <c r="B157" s="36">
        <f t="shared" si="10"/>
        <v>1</v>
      </c>
      <c r="C157" s="182">
        <f t="shared" si="11"/>
        <v>42391</v>
      </c>
      <c r="D157" s="182" t="s">
        <v>1623</v>
      </c>
      <c r="E157" s="189">
        <v>42391</v>
      </c>
      <c r="F157" s="187" t="s">
        <v>776</v>
      </c>
      <c r="G157" s="448" t="s">
        <v>330</v>
      </c>
      <c r="H157" s="191" t="s">
        <v>779</v>
      </c>
      <c r="I157" s="251"/>
      <c r="J157" s="251"/>
      <c r="K157" s="38">
        <v>42000000</v>
      </c>
      <c r="L157" s="192" t="s">
        <v>47</v>
      </c>
      <c r="M157" s="561" t="s">
        <v>24</v>
      </c>
      <c r="N157" s="52" t="str">
        <f>IF(AND('331-CT'!$E$7=TH!H157,OR(L157="331",M157="331")),"331",IF(AND(OR(L157="131",M157="131"),H157='131-CT'!$E$7),"131",""))</f>
        <v/>
      </c>
      <c r="O157" s="818" t="str">
        <f>IF(AND('341-CT'!$E$9=H157,OR(LEFT(L157,3)=$O$7,LEFT(M157,3)=$O$7)),"x","")</f>
        <v/>
      </c>
      <c r="P157" s="52" t="str">
        <f>IF(AND($B157&gt;='111'!$N$11,$B157&lt;='111'!$O$11,OR($L157=$P$7,$M157=$P$7)),"x","")</f>
        <v>x</v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52"/>
    </row>
    <row r="158" spans="1:32" s="552" customFormat="1" ht="15.75" customHeight="1">
      <c r="A158" s="202" t="str">
        <f>IF(B158&lt;&gt;"",IF(AND(B158&gt;=_TM1,B158&lt;=_TM2,OR(TH!L158="1111",TH!M158="1111")),TH!D158,""),"")</f>
        <v/>
      </c>
      <c r="B158" s="36">
        <f t="shared" si="10"/>
        <v>1</v>
      </c>
      <c r="C158" s="182">
        <f t="shared" si="11"/>
        <v>42391</v>
      </c>
      <c r="D158" s="182" t="s">
        <v>669</v>
      </c>
      <c r="E158" s="189">
        <v>42391</v>
      </c>
      <c r="F158" s="190" t="s">
        <v>672</v>
      </c>
      <c r="G158" s="448" t="s">
        <v>330</v>
      </c>
      <c r="H158" s="191"/>
      <c r="I158" s="251"/>
      <c r="J158" s="251"/>
      <c r="K158" s="38">
        <v>15000</v>
      </c>
      <c r="L158" s="192" t="s">
        <v>83</v>
      </c>
      <c r="M158" s="561" t="s">
        <v>24</v>
      </c>
      <c r="N158" s="52" t="str">
        <f>IF(AND('331-CT'!$E$7=TH!H158,OR(L158="331",M158="331")),"331",IF(AND(OR(L158="131",M158="131"),H158='131-CT'!$E$7),"131",""))</f>
        <v/>
      </c>
      <c r="O158" s="818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>x</v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52"/>
    </row>
    <row r="159" spans="1:32" s="552" customFormat="1" ht="15.75" customHeight="1">
      <c r="A159" s="202" t="str">
        <f>IF(B159&lt;&gt;"",IF(AND(B159&gt;=_TM1,B159&lt;=_TM2,OR(TH!L159="1111",TH!M159="1111")),TH!D159,""),"")</f>
        <v/>
      </c>
      <c r="B159" s="36">
        <f t="shared" si="10"/>
        <v>1</v>
      </c>
      <c r="C159" s="182">
        <f t="shared" si="11"/>
        <v>42391</v>
      </c>
      <c r="D159" s="189" t="s">
        <v>1624</v>
      </c>
      <c r="E159" s="189">
        <v>42391</v>
      </c>
      <c r="F159" s="190" t="s">
        <v>370</v>
      </c>
      <c r="G159" s="451" t="s">
        <v>808</v>
      </c>
      <c r="H159" s="191" t="s">
        <v>809</v>
      </c>
      <c r="I159" s="251"/>
      <c r="J159" s="253"/>
      <c r="K159" s="38">
        <v>10460000</v>
      </c>
      <c r="L159" s="192" t="s">
        <v>164</v>
      </c>
      <c r="M159" s="192" t="s">
        <v>47</v>
      </c>
      <c r="N159" s="52" t="str">
        <f>IF(AND('331-CT'!$E$7=TH!H159,OR(L159="331",M159="331")),"331",IF(AND(OR(L159="131",M159="131"),H159='131-CT'!$E$7),"131",""))</f>
        <v/>
      </c>
      <c r="O159" s="818" t="str">
        <f>IF(AND('341-CT'!$E$9=H159,OR(LEFT(L159,3)=$O$7,LEFT(M159,3)=$O$7)),"x","")</f>
        <v/>
      </c>
      <c r="P159" s="52" t="str">
        <f>IF(AND($B159&gt;='111'!$N$11,$B159&lt;='111'!$O$11,OR($L159=$P$7,$M159=$P$7)),"x","")</f>
        <v>x</v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52">
        <v>1</v>
      </c>
      <c r="AD159" s="209"/>
    </row>
    <row r="160" spans="1:32" s="552" customFormat="1" ht="15.75" customHeight="1">
      <c r="A160" s="202" t="str">
        <f>IF(B160&lt;&gt;"",IF(AND(B160&gt;=_TM1,B160&lt;=_TM2,OR(TH!L160="1111",TH!M160="1111")),TH!D160,""),"")</f>
        <v/>
      </c>
      <c r="B160" s="36">
        <f t="shared" si="10"/>
        <v>1</v>
      </c>
      <c r="C160" s="182">
        <f t="shared" si="11"/>
        <v>42391</v>
      </c>
      <c r="D160" s="189" t="s">
        <v>1624</v>
      </c>
      <c r="E160" s="189">
        <v>42391</v>
      </c>
      <c r="F160" s="190" t="s">
        <v>677</v>
      </c>
      <c r="G160" s="451" t="s">
        <v>808</v>
      </c>
      <c r="H160" s="191" t="s">
        <v>809</v>
      </c>
      <c r="I160" s="252"/>
      <c r="J160" s="253"/>
      <c r="K160" s="38">
        <v>1046000</v>
      </c>
      <c r="L160" s="192" t="s">
        <v>9</v>
      </c>
      <c r="M160" s="192" t="s">
        <v>47</v>
      </c>
      <c r="N160" s="52" t="str">
        <f>IF(AND('331-CT'!$E$7=TH!H160,OR(L160="331",M160="331")),"331",IF(AND(OR(L160="131",M160="131"),H160='131-CT'!$E$7),"131",""))</f>
        <v/>
      </c>
      <c r="O160" s="818" t="str">
        <f>IF(AND('341-CT'!$E$9=H160,OR(LEFT(L160,3)=$O$7,LEFT(M160,3)=$O$7)),"x","")</f>
        <v/>
      </c>
      <c r="P160" s="52" t="str">
        <f>IF(AND($B160&gt;='111'!$N$11,$B160&lt;='111'!$O$11,OR($L160=$P$7,$M160=$P$7)),"x","")</f>
        <v>x</v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52">
        <v>1</v>
      </c>
      <c r="AD160" s="209"/>
    </row>
    <row r="161" spans="1:32" s="552" customFormat="1" ht="15.75" customHeight="1">
      <c r="A161" s="202" t="str">
        <f>IF(B161&lt;&gt;"",IF(AND(B161&gt;=_TM1,B161&lt;=_TM2,OR(TH!L161="1111",TH!M161="1111")),TH!D161,""),"")</f>
        <v/>
      </c>
      <c r="B161" s="36">
        <f t="shared" si="10"/>
        <v>1</v>
      </c>
      <c r="C161" s="182">
        <f t="shared" si="11"/>
        <v>42391</v>
      </c>
      <c r="D161" s="189" t="s">
        <v>1104</v>
      </c>
      <c r="E161" s="189">
        <v>42391</v>
      </c>
      <c r="F161" s="190" t="s">
        <v>660</v>
      </c>
      <c r="G161" s="190" t="s">
        <v>395</v>
      </c>
      <c r="H161" s="7" t="s">
        <v>780</v>
      </c>
      <c r="I161" s="251">
        <v>312</v>
      </c>
      <c r="J161" s="251">
        <v>6400</v>
      </c>
      <c r="K161" s="38">
        <f>ROUND(I161*J161,0)</f>
        <v>1996800</v>
      </c>
      <c r="L161" s="192" t="s">
        <v>258</v>
      </c>
      <c r="M161" s="192" t="s">
        <v>173</v>
      </c>
      <c r="N161" s="52" t="str">
        <f>IF(AND('331-CT'!$E$7=TH!H161,OR(L161="331",M161="331")),"331",IF(AND(OR(L161="131",M161="131"),H161='131-CT'!$E$7),"131",""))</f>
        <v/>
      </c>
      <c r="O161" s="818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52"/>
      <c r="AE161" s="209"/>
      <c r="AF161" s="209"/>
    </row>
    <row r="162" spans="1:32" s="552" customFormat="1" ht="15.75" customHeight="1">
      <c r="A162" s="202" t="str">
        <f>IF(B162&lt;&gt;"",IF(AND(B162&gt;=_TM1,B162&lt;=_TM2,OR(TH!L162="1111",TH!M162="1111")),TH!D162,""),"")</f>
        <v/>
      </c>
      <c r="B162" s="36">
        <f t="shared" si="10"/>
        <v>1</v>
      </c>
      <c r="C162" s="182">
        <f t="shared" si="11"/>
        <v>42391</v>
      </c>
      <c r="D162" s="189" t="s">
        <v>1104</v>
      </c>
      <c r="E162" s="189">
        <v>42391</v>
      </c>
      <c r="F162" s="190" t="s">
        <v>907</v>
      </c>
      <c r="G162" s="190" t="s">
        <v>395</v>
      </c>
      <c r="H162" s="7" t="s">
        <v>780</v>
      </c>
      <c r="I162" s="252">
        <v>500</v>
      </c>
      <c r="J162" s="252">
        <v>7700</v>
      </c>
      <c r="K162" s="38">
        <f>ROUND(I162*J162,0)</f>
        <v>3850000</v>
      </c>
      <c r="L162" s="192" t="s">
        <v>258</v>
      </c>
      <c r="M162" s="192" t="s">
        <v>173</v>
      </c>
      <c r="N162" s="52" t="str">
        <f>IF(AND('331-CT'!$E$7=TH!H162,OR(L162="331",M162="331")),"331",IF(AND(OR(L162="131",M162="131"),H162='131-CT'!$E$7),"131",""))</f>
        <v/>
      </c>
      <c r="O162" s="818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52"/>
      <c r="AE162" s="209"/>
      <c r="AF162" s="209"/>
    </row>
    <row r="163" spans="1:32" s="552" customFormat="1" ht="15.75" customHeight="1">
      <c r="A163" s="202" t="str">
        <f>IF(B163&lt;&gt;"",IF(AND(B163&gt;=_TM1,B163&lt;=_TM2,OR(TH!L163="1111",TH!M163="1111")),TH!D163,""),"")</f>
        <v/>
      </c>
      <c r="B163" s="36">
        <f t="shared" si="10"/>
        <v>1</v>
      </c>
      <c r="C163" s="182">
        <f t="shared" si="11"/>
        <v>42391</v>
      </c>
      <c r="D163" s="189" t="s">
        <v>1104</v>
      </c>
      <c r="E163" s="189">
        <v>42391</v>
      </c>
      <c r="F163" s="190" t="s">
        <v>908</v>
      </c>
      <c r="G163" s="190" t="s">
        <v>395</v>
      </c>
      <c r="H163" s="7" t="s">
        <v>780</v>
      </c>
      <c r="I163" s="251">
        <v>348</v>
      </c>
      <c r="J163" s="251">
        <v>5000</v>
      </c>
      <c r="K163" s="38">
        <f>ROUND(I163*J163,0)</f>
        <v>1740000</v>
      </c>
      <c r="L163" s="192" t="s">
        <v>258</v>
      </c>
      <c r="M163" s="192" t="s">
        <v>173</v>
      </c>
      <c r="N163" s="52" t="str">
        <f>IF(AND('331-CT'!$E$7=TH!H163,OR(L163="331",M163="331")),"331",IF(AND(OR(L163="131",M163="131"),H163='131-CT'!$E$7),"131",""))</f>
        <v/>
      </c>
      <c r="O163" s="818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52"/>
      <c r="AE163" s="209"/>
      <c r="AF163" s="209"/>
    </row>
    <row r="164" spans="1:32" s="552" customFormat="1" ht="15.75" customHeight="1">
      <c r="A164" s="202" t="str">
        <f>IF(B164&lt;&gt;"",IF(AND(B164&gt;=_TM1,B164&lt;=_TM2,OR(TH!L164="1111",TH!M164="1111")),TH!D164,""),"")</f>
        <v/>
      </c>
      <c r="B164" s="36">
        <f t="shared" si="10"/>
        <v>1</v>
      </c>
      <c r="C164" s="182">
        <f t="shared" si="11"/>
        <v>42391</v>
      </c>
      <c r="D164" s="189" t="s">
        <v>1104</v>
      </c>
      <c r="E164" s="189">
        <v>42391</v>
      </c>
      <c r="F164" s="190" t="s">
        <v>393</v>
      </c>
      <c r="G164" s="190" t="s">
        <v>395</v>
      </c>
      <c r="H164" s="7" t="s">
        <v>780</v>
      </c>
      <c r="I164" s="252"/>
      <c r="J164" s="252"/>
      <c r="K164" s="38">
        <v>758680</v>
      </c>
      <c r="L164" s="192" t="s">
        <v>258</v>
      </c>
      <c r="M164" s="192" t="s">
        <v>367</v>
      </c>
      <c r="N164" s="52" t="str">
        <f>IF(AND('331-CT'!$E$7=TH!H164,OR(L164="331",M164="331")),"331",IF(AND(OR(L164="131",M164="131"),H164='131-CT'!$E$7),"131",""))</f>
        <v/>
      </c>
      <c r="O164" s="818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52"/>
      <c r="AE164" s="209"/>
      <c r="AF164" s="209"/>
    </row>
    <row r="165" spans="1:32" s="552" customFormat="1" ht="15.75" customHeight="1">
      <c r="A165" s="202" t="str">
        <f>IF(B165&lt;&gt;"",IF(AND(B165&gt;=_TM1,B165&lt;=_TM2,OR(TH!L165="1111",TH!M165="1111")),TH!D165,""),"")</f>
        <v/>
      </c>
      <c r="B165" s="36">
        <f t="shared" si="10"/>
        <v>1</v>
      </c>
      <c r="C165" s="182">
        <f t="shared" si="11"/>
        <v>42391</v>
      </c>
      <c r="D165" s="189" t="s">
        <v>1105</v>
      </c>
      <c r="E165" s="189">
        <v>42391</v>
      </c>
      <c r="F165" s="190" t="s">
        <v>1221</v>
      </c>
      <c r="G165" s="190" t="s">
        <v>397</v>
      </c>
      <c r="H165" s="208" t="s">
        <v>1204</v>
      </c>
      <c r="I165" s="251">
        <v>22</v>
      </c>
      <c r="J165" s="251">
        <v>11799</v>
      </c>
      <c r="K165" s="38">
        <f t="shared" ref="K165:K174" si="12">ROUND(I165*J165,0)</f>
        <v>259578</v>
      </c>
      <c r="L165" s="192" t="s">
        <v>258</v>
      </c>
      <c r="M165" s="192" t="s">
        <v>173</v>
      </c>
      <c r="N165" s="52" t="str">
        <f>IF(AND('331-CT'!$E$7=TH!H165,OR(L165="331",M165="331")),"331",IF(AND(OR(L165="131",M165="131"),H165='131-CT'!$E$7),"131",""))</f>
        <v/>
      </c>
      <c r="O165" s="818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52"/>
      <c r="AE165" s="209"/>
      <c r="AF165" s="209"/>
    </row>
    <row r="166" spans="1:32" s="552" customFormat="1" ht="15.75" customHeight="1">
      <c r="A166" s="202" t="str">
        <f>IF(B166&lt;&gt;"",IF(AND(B166&gt;=_TM1,B166&lt;=_TM2,OR(TH!L166="1111",TH!M166="1111")),TH!D166,""),"")</f>
        <v/>
      </c>
      <c r="B166" s="36">
        <f t="shared" si="10"/>
        <v>1</v>
      </c>
      <c r="C166" s="182">
        <f t="shared" si="11"/>
        <v>42391</v>
      </c>
      <c r="D166" s="189" t="s">
        <v>1105</v>
      </c>
      <c r="E166" s="189">
        <v>42391</v>
      </c>
      <c r="F166" s="190" t="s">
        <v>1222</v>
      </c>
      <c r="G166" s="190" t="s">
        <v>397</v>
      </c>
      <c r="H166" s="208" t="s">
        <v>1204</v>
      </c>
      <c r="I166" s="252">
        <v>50</v>
      </c>
      <c r="J166" s="252">
        <v>8272</v>
      </c>
      <c r="K166" s="38">
        <f t="shared" si="12"/>
        <v>413600</v>
      </c>
      <c r="L166" s="192" t="s">
        <v>258</v>
      </c>
      <c r="M166" s="192" t="s">
        <v>173</v>
      </c>
      <c r="N166" s="52" t="str">
        <f>IF(AND('331-CT'!$E$7=TH!H166,OR(L166="331",M166="331")),"331",IF(AND(OR(L166="131",M166="131"),H166='131-CT'!$E$7),"131",""))</f>
        <v/>
      </c>
      <c r="O166" s="818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52"/>
      <c r="AE166" s="209"/>
      <c r="AF166" s="209"/>
    </row>
    <row r="167" spans="1:32" s="552" customFormat="1" ht="15.75" customHeight="1">
      <c r="A167" s="202" t="str">
        <f>IF(B167&lt;&gt;"",IF(AND(B167&gt;=_TM1,B167&lt;=_TM2,OR(TH!L167="1111",TH!M167="1111")),TH!D167,""),"")</f>
        <v/>
      </c>
      <c r="B167" s="36">
        <f t="shared" si="10"/>
        <v>1</v>
      </c>
      <c r="C167" s="182">
        <f t="shared" si="11"/>
        <v>42391</v>
      </c>
      <c r="D167" s="189" t="s">
        <v>1105</v>
      </c>
      <c r="E167" s="189">
        <v>42391</v>
      </c>
      <c r="F167" s="190" t="s">
        <v>1207</v>
      </c>
      <c r="G167" s="190" t="s">
        <v>397</v>
      </c>
      <c r="H167" s="208" t="s">
        <v>1204</v>
      </c>
      <c r="I167" s="252">
        <v>70</v>
      </c>
      <c r="J167" s="252">
        <v>5752</v>
      </c>
      <c r="K167" s="38">
        <f t="shared" si="12"/>
        <v>402640</v>
      </c>
      <c r="L167" s="192" t="s">
        <v>258</v>
      </c>
      <c r="M167" s="192" t="s">
        <v>173</v>
      </c>
      <c r="N167" s="52" t="str">
        <f>IF(AND('331-CT'!$E$7=TH!H167,OR(L167="331",M167="331")),"331",IF(AND(OR(L167="131",M167="131"),H167='131-CT'!$E$7),"131",""))</f>
        <v/>
      </c>
      <c r="O167" s="818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52"/>
      <c r="AE167" s="209"/>
      <c r="AF167" s="209"/>
    </row>
    <row r="168" spans="1:32" s="552" customFormat="1" ht="15.75" customHeight="1">
      <c r="A168" s="202" t="str">
        <f>IF(B168&lt;&gt;"",IF(AND(B168&gt;=_TM1,B168&lt;=_TM2,OR(TH!L168="1111",TH!M168="1111")),TH!D168,""),"")</f>
        <v/>
      </c>
      <c r="B168" s="36">
        <f t="shared" si="10"/>
        <v>1</v>
      </c>
      <c r="C168" s="182">
        <f t="shared" si="11"/>
        <v>42391</v>
      </c>
      <c r="D168" s="189" t="s">
        <v>1105</v>
      </c>
      <c r="E168" s="189">
        <v>42391</v>
      </c>
      <c r="F168" s="190" t="s">
        <v>711</v>
      </c>
      <c r="G168" s="190" t="s">
        <v>397</v>
      </c>
      <c r="H168" s="208" t="s">
        <v>1204</v>
      </c>
      <c r="I168" s="252">
        <v>297</v>
      </c>
      <c r="J168" s="252">
        <v>4682</v>
      </c>
      <c r="K168" s="38">
        <f t="shared" si="12"/>
        <v>1390554</v>
      </c>
      <c r="L168" s="192" t="s">
        <v>258</v>
      </c>
      <c r="M168" s="192" t="s">
        <v>173</v>
      </c>
      <c r="N168" s="52" t="str">
        <f>IF(AND('331-CT'!$E$7=TH!H168,OR(L168="331",M168="331")),"331",IF(AND(OR(L168="131",M168="131"),H168='131-CT'!$E$7),"131",""))</f>
        <v/>
      </c>
      <c r="O168" s="818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52"/>
      <c r="AE168" s="209"/>
      <c r="AF168" s="209"/>
    </row>
    <row r="169" spans="1:32" s="552" customFormat="1" ht="15.75" customHeight="1">
      <c r="A169" s="202" t="str">
        <f>IF(B169&lt;&gt;"",IF(AND(B169&gt;=_TM1,B169&lt;=_TM2,OR(TH!L169="1111",TH!M169="1111")),TH!D169,""),"")</f>
        <v/>
      </c>
      <c r="B169" s="36">
        <f t="shared" si="10"/>
        <v>1</v>
      </c>
      <c r="C169" s="182">
        <f t="shared" si="11"/>
        <v>42391</v>
      </c>
      <c r="D169" s="189" t="s">
        <v>1105</v>
      </c>
      <c r="E169" s="189">
        <v>42391</v>
      </c>
      <c r="F169" s="190" t="s">
        <v>1223</v>
      </c>
      <c r="G169" s="190" t="s">
        <v>397</v>
      </c>
      <c r="H169" s="208" t="s">
        <v>1204</v>
      </c>
      <c r="I169" s="251">
        <v>900</v>
      </c>
      <c r="J169" s="251">
        <v>8352</v>
      </c>
      <c r="K169" s="38">
        <f t="shared" si="12"/>
        <v>7516800</v>
      </c>
      <c r="L169" s="192" t="s">
        <v>258</v>
      </c>
      <c r="M169" s="192" t="s">
        <v>173</v>
      </c>
      <c r="N169" s="52" t="str">
        <f>IF(AND('331-CT'!$E$7=TH!H169,OR(L169="331",M169="331")),"331",IF(AND(OR(L169="131",M169="131"),H169='131-CT'!$E$7),"131",""))</f>
        <v/>
      </c>
      <c r="O169" s="818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52"/>
      <c r="AE169" s="209"/>
      <c r="AF169" s="209"/>
    </row>
    <row r="170" spans="1:32" s="552" customFormat="1" ht="15.75" customHeight="1">
      <c r="A170" s="202" t="str">
        <f>IF(B170&lt;&gt;"",IF(AND(B170&gt;=_TM1,B170&lt;=_TM2,OR(TH!L170="1111",TH!M170="1111")),TH!D170,""),"")</f>
        <v/>
      </c>
      <c r="B170" s="36">
        <f t="shared" si="10"/>
        <v>1</v>
      </c>
      <c r="C170" s="182">
        <f t="shared" si="11"/>
        <v>42391</v>
      </c>
      <c r="D170" s="189" t="s">
        <v>1105</v>
      </c>
      <c r="E170" s="189">
        <v>42391</v>
      </c>
      <c r="F170" s="190" t="s">
        <v>709</v>
      </c>
      <c r="G170" s="190" t="s">
        <v>397</v>
      </c>
      <c r="H170" s="208" t="s">
        <v>1204</v>
      </c>
      <c r="I170" s="251">
        <v>300</v>
      </c>
      <c r="J170" s="251">
        <v>13913</v>
      </c>
      <c r="K170" s="38">
        <f t="shared" si="12"/>
        <v>4173900</v>
      </c>
      <c r="L170" s="192" t="s">
        <v>258</v>
      </c>
      <c r="M170" s="192" t="s">
        <v>173</v>
      </c>
      <c r="N170" s="52" t="str">
        <f>IF(AND('331-CT'!$E$7=TH!H170,OR(L170="331",M170="331")),"331",IF(AND(OR(L170="131",M170="131"),H170='131-CT'!$E$7),"131",""))</f>
        <v/>
      </c>
      <c r="O170" s="818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52"/>
      <c r="AE170" s="209"/>
      <c r="AF170" s="209"/>
    </row>
    <row r="171" spans="1:32" s="552" customFormat="1" ht="15.75" customHeight="1">
      <c r="A171" s="202" t="str">
        <f>IF(B171&lt;&gt;"",IF(AND(B171&gt;=_TM1,B171&lt;=_TM2,OR(TH!L171="1111",TH!M171="1111")),TH!D171,""),"")</f>
        <v/>
      </c>
      <c r="B171" s="36">
        <f t="shared" si="10"/>
        <v>1</v>
      </c>
      <c r="C171" s="182">
        <f t="shared" si="11"/>
        <v>42391</v>
      </c>
      <c r="D171" s="189" t="s">
        <v>1105</v>
      </c>
      <c r="E171" s="189">
        <v>42391</v>
      </c>
      <c r="F171" s="190" t="s">
        <v>713</v>
      </c>
      <c r="G171" s="190" t="s">
        <v>397</v>
      </c>
      <c r="H171" s="208" t="s">
        <v>1204</v>
      </c>
      <c r="I171" s="251">
        <v>10</v>
      </c>
      <c r="J171" s="251">
        <v>18200</v>
      </c>
      <c r="K171" s="38">
        <f t="shared" si="12"/>
        <v>182000</v>
      </c>
      <c r="L171" s="192" t="s">
        <v>258</v>
      </c>
      <c r="M171" s="192" t="s">
        <v>173</v>
      </c>
      <c r="N171" s="52" t="str">
        <f>IF(AND('331-CT'!$E$7=TH!H171,OR(L171="331",M171="331")),"331",IF(AND(OR(L171="131",M171="131"),H171='131-CT'!$E$7),"131",""))</f>
        <v/>
      </c>
      <c r="O171" s="818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52"/>
      <c r="AE171" s="209"/>
      <c r="AF171" s="209"/>
    </row>
    <row r="172" spans="1:32" s="209" customFormat="1" ht="15.75" customHeight="1">
      <c r="A172" s="202" t="str">
        <f>IF(B172&lt;&gt;"",IF(AND(B172&gt;=_TM1,B172&lt;=_TM2,OR(TH!L172="1111",TH!M172="1111")),TH!D172,""),"")</f>
        <v/>
      </c>
      <c r="B172" s="36">
        <f t="shared" si="10"/>
        <v>1</v>
      </c>
      <c r="C172" s="182">
        <f t="shared" si="11"/>
        <v>42391</v>
      </c>
      <c r="D172" s="189" t="s">
        <v>1105</v>
      </c>
      <c r="E172" s="189">
        <v>42391</v>
      </c>
      <c r="F172" s="190" t="s">
        <v>1224</v>
      </c>
      <c r="G172" s="451" t="s">
        <v>397</v>
      </c>
      <c r="H172" s="208" t="s">
        <v>1204</v>
      </c>
      <c r="I172" s="251">
        <v>10</v>
      </c>
      <c r="J172" s="251">
        <v>15907</v>
      </c>
      <c r="K172" s="38">
        <f t="shared" si="12"/>
        <v>159070</v>
      </c>
      <c r="L172" s="192" t="s">
        <v>258</v>
      </c>
      <c r="M172" s="192" t="s">
        <v>173</v>
      </c>
      <c r="N172" s="52" t="str">
        <f>IF(AND('331-CT'!$E$7=TH!H172,OR(L172="331",M172="331")),"331",IF(AND(OR(L172="131",M172="131"),H172='131-CT'!$E$7),"131",""))</f>
        <v/>
      </c>
      <c r="O172" s="818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52"/>
      <c r="AB172" s="552"/>
      <c r="AC172" s="552"/>
      <c r="AD172" s="552"/>
    </row>
    <row r="173" spans="1:32" s="209" customFormat="1" ht="15.75" customHeight="1">
      <c r="A173" s="202" t="str">
        <f>IF(B173&lt;&gt;"",IF(AND(B173&gt;=_TM1,B173&lt;=_TM2,OR(TH!L173="1111",TH!M173="1111")),TH!D173,""),"")</f>
        <v/>
      </c>
      <c r="B173" s="36">
        <f t="shared" si="10"/>
        <v>1</v>
      </c>
      <c r="C173" s="182">
        <f t="shared" si="11"/>
        <v>42391</v>
      </c>
      <c r="D173" s="189" t="s">
        <v>1105</v>
      </c>
      <c r="E173" s="189">
        <v>42391</v>
      </c>
      <c r="F173" s="190" t="s">
        <v>712</v>
      </c>
      <c r="G173" s="190" t="s">
        <v>397</v>
      </c>
      <c r="H173" s="208" t="s">
        <v>1204</v>
      </c>
      <c r="I173" s="252">
        <v>10</v>
      </c>
      <c r="J173" s="252">
        <v>8918</v>
      </c>
      <c r="K173" s="38">
        <f t="shared" si="12"/>
        <v>89180</v>
      </c>
      <c r="L173" s="192" t="s">
        <v>258</v>
      </c>
      <c r="M173" s="192" t="s">
        <v>173</v>
      </c>
      <c r="N173" s="52" t="str">
        <f>IF(AND('331-CT'!$E$7=TH!H173,OR(L173="331",M173="331")),"331",IF(AND(OR(L173="131",M173="131"),H173='131-CT'!$E$7),"131",""))</f>
        <v/>
      </c>
      <c r="O173" s="818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52"/>
      <c r="AB173" s="552"/>
      <c r="AC173" s="552"/>
      <c r="AD173" s="552"/>
    </row>
    <row r="174" spans="1:32" s="209" customFormat="1" ht="15.75" customHeight="1">
      <c r="A174" s="202" t="str">
        <f>IF(B174&lt;&gt;"",IF(AND(B174&gt;=_TM1,B174&lt;=_TM2,OR(TH!L174="1111",TH!M174="1111")),TH!D174,""),"")</f>
        <v/>
      </c>
      <c r="B174" s="36">
        <f t="shared" si="10"/>
        <v>1</v>
      </c>
      <c r="C174" s="182">
        <f t="shared" si="11"/>
        <v>42391</v>
      </c>
      <c r="D174" s="189" t="s">
        <v>1105</v>
      </c>
      <c r="E174" s="189">
        <v>42391</v>
      </c>
      <c r="F174" s="190" t="s">
        <v>1210</v>
      </c>
      <c r="G174" s="190" t="s">
        <v>397</v>
      </c>
      <c r="H174" s="208" t="s">
        <v>1204</v>
      </c>
      <c r="I174" s="251">
        <v>10</v>
      </c>
      <c r="J174" s="251">
        <v>9855</v>
      </c>
      <c r="K174" s="38">
        <f t="shared" si="12"/>
        <v>98550</v>
      </c>
      <c r="L174" s="192" t="s">
        <v>258</v>
      </c>
      <c r="M174" s="192" t="s">
        <v>173</v>
      </c>
      <c r="N174" s="52" t="str">
        <f>IF(AND('331-CT'!$E$7=TH!H174,OR(L174="331",M174="331")),"331",IF(AND(OR(L174="131",M174="131"),H174='131-CT'!$E$7),"131",""))</f>
        <v/>
      </c>
      <c r="O174" s="818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52"/>
      <c r="AB174" s="552"/>
      <c r="AC174" s="552"/>
      <c r="AD174" s="552"/>
    </row>
    <row r="175" spans="1:32" s="209" customFormat="1" ht="15.75" customHeight="1">
      <c r="A175" s="202" t="str">
        <f>IF(B175&lt;&gt;"",IF(AND(B175&gt;=_TM1,B175&lt;=_TM2,OR(TH!L175="1111",TH!M175="1111")),TH!D175,""),"")</f>
        <v/>
      </c>
      <c r="B175" s="36">
        <f t="shared" si="10"/>
        <v>1</v>
      </c>
      <c r="C175" s="182">
        <f t="shared" si="11"/>
        <v>42391</v>
      </c>
      <c r="D175" s="189" t="s">
        <v>1105</v>
      </c>
      <c r="E175" s="189">
        <v>42391</v>
      </c>
      <c r="F175" s="190" t="s">
        <v>525</v>
      </c>
      <c r="G175" s="190" t="s">
        <v>397</v>
      </c>
      <c r="H175" s="208" t="s">
        <v>1204</v>
      </c>
      <c r="I175" s="251"/>
      <c r="J175" s="251"/>
      <c r="K175" s="38">
        <v>1468587</v>
      </c>
      <c r="L175" s="192" t="s">
        <v>258</v>
      </c>
      <c r="M175" s="192" t="s">
        <v>367</v>
      </c>
      <c r="N175" s="52" t="str">
        <f>IF(AND('331-CT'!$E$7=TH!H175,OR(L175="331",M175="331")),"331",IF(AND(OR(L175="131",M175="131"),H175='131-CT'!$E$7),"131",""))</f>
        <v/>
      </c>
      <c r="O175" s="818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52"/>
      <c r="AB175" s="552"/>
      <c r="AC175" s="552"/>
      <c r="AD175" s="552"/>
    </row>
    <row r="176" spans="1:32" s="552" customFormat="1" ht="15.75" customHeight="1">
      <c r="A176" s="202" t="str">
        <f>IF(B176&lt;&gt;"",IF(AND(B176&gt;=_TM1,B176&lt;=_TM2,OR(TH!L176="1111",TH!M176="1111")),TH!D176,""),"")</f>
        <v/>
      </c>
      <c r="B176" s="36">
        <f t="shared" si="10"/>
        <v>1</v>
      </c>
      <c r="C176" s="182">
        <f t="shared" si="11"/>
        <v>42392</v>
      </c>
      <c r="D176" s="182" t="s">
        <v>665</v>
      </c>
      <c r="E176" s="182">
        <v>42392</v>
      </c>
      <c r="F176" s="187" t="s">
        <v>666</v>
      </c>
      <c r="G176" s="448" t="s">
        <v>330</v>
      </c>
      <c r="H176" s="7" t="s">
        <v>391</v>
      </c>
      <c r="I176" s="251"/>
      <c r="J176" s="251"/>
      <c r="K176" s="560">
        <v>5230500</v>
      </c>
      <c r="L176" s="561" t="s">
        <v>24</v>
      </c>
      <c r="M176" s="561" t="s">
        <v>258</v>
      </c>
      <c r="N176" s="52" t="str">
        <f>IF(AND('331-CT'!$E$7=TH!H176,OR(L176="331",M176="331")),"331",IF(AND(OR(L176="131",M176="131"),H176='131-CT'!$E$7),"131",""))</f>
        <v/>
      </c>
      <c r="O176" s="818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52"/>
    </row>
    <row r="177" spans="1:32" s="552" customFormat="1" ht="15.75" customHeight="1">
      <c r="A177" s="202" t="str">
        <f>IF(B177&lt;&gt;"",IF(AND(B177&gt;=_TM1,B177&lt;=_TM2,OR(TH!L177="1111",TH!M177="1111")),TH!D177,""),"")</f>
        <v/>
      </c>
      <c r="B177" s="36">
        <f t="shared" si="10"/>
        <v>1</v>
      </c>
      <c r="C177" s="182">
        <f t="shared" si="11"/>
        <v>42394</v>
      </c>
      <c r="D177" s="182" t="s">
        <v>665</v>
      </c>
      <c r="E177" s="182">
        <v>42394</v>
      </c>
      <c r="F177" s="187" t="s">
        <v>666</v>
      </c>
      <c r="G177" s="448" t="s">
        <v>330</v>
      </c>
      <c r="H177" s="7" t="s">
        <v>780</v>
      </c>
      <c r="I177" s="251"/>
      <c r="J177" s="251"/>
      <c r="K177" s="560">
        <v>14181860</v>
      </c>
      <c r="L177" s="561" t="s">
        <v>24</v>
      </c>
      <c r="M177" s="561" t="s">
        <v>258</v>
      </c>
      <c r="N177" s="52" t="str">
        <f>IF(AND('331-CT'!$E$7=TH!H177,OR(L177="331",M177="331")),"331",IF(AND(OR(L177="131",M177="131"),H177='131-CT'!$E$7),"131",""))</f>
        <v/>
      </c>
      <c r="O177" s="818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52"/>
    </row>
    <row r="178" spans="1:32" s="552" customFormat="1" ht="15.75" customHeight="1">
      <c r="A178" s="202" t="str">
        <f>IF(B178&lt;&gt;"",IF(AND(B178&gt;=_TM1,B178&lt;=_TM2,OR(TH!L178="1111",TH!M178="1111")),TH!D178,""),"")</f>
        <v/>
      </c>
      <c r="B178" s="36">
        <f t="shared" si="10"/>
        <v>1</v>
      </c>
      <c r="C178" s="182">
        <f t="shared" si="11"/>
        <v>42394</v>
      </c>
      <c r="D178" s="182" t="s">
        <v>665</v>
      </c>
      <c r="E178" s="182">
        <v>42394</v>
      </c>
      <c r="F178" s="187" t="s">
        <v>666</v>
      </c>
      <c r="G178" s="448" t="s">
        <v>330</v>
      </c>
      <c r="H178" s="7" t="s">
        <v>780</v>
      </c>
      <c r="I178" s="251"/>
      <c r="J178" s="251"/>
      <c r="K178" s="560">
        <v>7149780</v>
      </c>
      <c r="L178" s="561" t="s">
        <v>24</v>
      </c>
      <c r="M178" s="561" t="s">
        <v>258</v>
      </c>
      <c r="N178" s="52" t="str">
        <f>IF(AND('331-CT'!$E$7=TH!H178,OR(L178="331",M178="331")),"331",IF(AND(OR(L178="131",M178="131"),H178='131-CT'!$E$7),"131",""))</f>
        <v/>
      </c>
      <c r="O178" s="818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52"/>
    </row>
    <row r="179" spans="1:32" s="552" customFormat="1" ht="15.75" customHeight="1">
      <c r="A179" s="202" t="str">
        <f>IF(B179&lt;&gt;"",IF(AND(B179&gt;=_TM1,B179&lt;=_TM2,OR(TH!L179="1111",TH!M179="1111")),TH!D179,""),"")</f>
        <v/>
      </c>
      <c r="B179" s="36">
        <f t="shared" si="10"/>
        <v>1</v>
      </c>
      <c r="C179" s="182">
        <f t="shared" si="11"/>
        <v>42394</v>
      </c>
      <c r="D179" s="182" t="s">
        <v>665</v>
      </c>
      <c r="E179" s="182">
        <v>42394</v>
      </c>
      <c r="F179" s="187" t="s">
        <v>781</v>
      </c>
      <c r="G179" s="448" t="s">
        <v>330</v>
      </c>
      <c r="H179" s="191"/>
      <c r="I179" s="251"/>
      <c r="J179" s="251"/>
      <c r="K179" s="560">
        <v>5798</v>
      </c>
      <c r="L179" s="561" t="s">
        <v>24</v>
      </c>
      <c r="M179" s="561" t="s">
        <v>40</v>
      </c>
      <c r="N179" s="52" t="str">
        <f>IF(AND('331-CT'!$E$7=TH!H179,OR(L179="331",M179="331")),"331",IF(AND(OR(L179="131",M179="131"),H179='131-CT'!$E$7),"131",""))</f>
        <v/>
      </c>
      <c r="O179" s="818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52"/>
    </row>
    <row r="180" spans="1:32" s="552" customFormat="1" ht="15.75" customHeight="1">
      <c r="A180" s="202" t="str">
        <f>IF(B180&lt;&gt;"",IF(AND(B180&gt;=_TM1,B180&lt;=_TM2,OR(TH!L180="1111",TH!M180="1111")),TH!D180,""),"")</f>
        <v/>
      </c>
      <c r="B180" s="36">
        <f t="shared" si="10"/>
        <v>1</v>
      </c>
      <c r="C180" s="182">
        <f t="shared" si="11"/>
        <v>42394</v>
      </c>
      <c r="D180" s="189" t="s">
        <v>1106</v>
      </c>
      <c r="E180" s="189">
        <v>42394</v>
      </c>
      <c r="F180" s="187" t="s">
        <v>1309</v>
      </c>
      <c r="G180" s="190" t="s">
        <v>398</v>
      </c>
      <c r="H180" s="191" t="s">
        <v>615</v>
      </c>
      <c r="I180" s="251">
        <v>100</v>
      </c>
      <c r="J180" s="251">
        <v>19940</v>
      </c>
      <c r="K180" s="38">
        <f>ROUND(I180*J180,0)</f>
        <v>1994000</v>
      </c>
      <c r="L180" s="192" t="s">
        <v>258</v>
      </c>
      <c r="M180" s="192" t="s">
        <v>173</v>
      </c>
      <c r="N180" s="52" t="str">
        <f>IF(AND('331-CT'!$E$7=TH!H180,OR(L180="331",M180="331")),"331",IF(AND(OR(L180="131",M180="131"),H180='131-CT'!$E$7),"131",""))</f>
        <v/>
      </c>
      <c r="O180" s="818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52"/>
      <c r="AE180" s="209"/>
      <c r="AF180" s="209"/>
    </row>
    <row r="181" spans="1:32" s="552" customFormat="1" ht="15.75" customHeight="1">
      <c r="A181" s="202" t="str">
        <f>IF(B181&lt;&gt;"",IF(AND(B181&gt;=_TM1,B181&lt;=_TM2,OR(TH!L181="1111",TH!M181="1111")),TH!D181,""),"")</f>
        <v/>
      </c>
      <c r="B181" s="36">
        <f t="shared" si="10"/>
        <v>1</v>
      </c>
      <c r="C181" s="182">
        <f t="shared" si="11"/>
        <v>42394</v>
      </c>
      <c r="D181" s="189" t="s">
        <v>1106</v>
      </c>
      <c r="E181" s="189">
        <v>42394</v>
      </c>
      <c r="F181" s="190" t="s">
        <v>393</v>
      </c>
      <c r="G181" s="190" t="s">
        <v>398</v>
      </c>
      <c r="H181" s="191" t="s">
        <v>615</v>
      </c>
      <c r="I181" s="251"/>
      <c r="J181" s="251"/>
      <c r="K181" s="38">
        <v>199400</v>
      </c>
      <c r="L181" s="192" t="s">
        <v>258</v>
      </c>
      <c r="M181" s="192" t="s">
        <v>367</v>
      </c>
      <c r="N181" s="52" t="str">
        <f>IF(AND('331-CT'!$E$7=TH!H181,OR(L181="331",M181="331")),"331",IF(AND(OR(L181="131",M181="131"),H181='131-CT'!$E$7),"131",""))</f>
        <v/>
      </c>
      <c r="O181" s="818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52"/>
      <c r="AE181" s="209"/>
      <c r="AF181" s="209"/>
    </row>
    <row r="182" spans="1:32" s="552" customFormat="1" ht="15.75" customHeight="1">
      <c r="A182" s="202" t="str">
        <f>IF(B182&lt;&gt;"",IF(AND(B182&gt;=_TM1,B182&lt;=_TM2,OR(TH!L182="1111",TH!M182="1111")),TH!D182,""),"")</f>
        <v/>
      </c>
      <c r="B182" s="36">
        <f t="shared" si="10"/>
        <v>1</v>
      </c>
      <c r="C182" s="182">
        <f t="shared" si="11"/>
        <v>42395</v>
      </c>
      <c r="D182" s="182" t="s">
        <v>669</v>
      </c>
      <c r="E182" s="189">
        <v>42395</v>
      </c>
      <c r="F182" s="190" t="s">
        <v>790</v>
      </c>
      <c r="G182" s="448" t="s">
        <v>330</v>
      </c>
      <c r="H182" s="7" t="s">
        <v>1455</v>
      </c>
      <c r="I182" s="251"/>
      <c r="J182" s="251"/>
      <c r="K182" s="38">
        <v>20000000</v>
      </c>
      <c r="L182" s="192" t="s">
        <v>8</v>
      </c>
      <c r="M182" s="561" t="s">
        <v>24</v>
      </c>
      <c r="N182" s="52" t="str">
        <f>IF(AND('331-CT'!$E$7=TH!H182,OR(L182="331",M182="331")),"331",IF(AND(OR(L182="131",M182="131"),H182='131-CT'!$E$7),"131",""))</f>
        <v/>
      </c>
      <c r="O182" s="818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52"/>
      <c r="AD182" s="209"/>
    </row>
    <row r="183" spans="1:32" s="552" customFormat="1" ht="15.75" customHeight="1">
      <c r="A183" s="202" t="str">
        <f>IF(B183&lt;&gt;"",IF(AND(B183&gt;=_TM1,B183&lt;=_TM2,OR(TH!L183="1111",TH!M183="1111")),TH!D183,""),"")</f>
        <v/>
      </c>
      <c r="B183" s="36">
        <f t="shared" si="10"/>
        <v>1</v>
      </c>
      <c r="C183" s="182">
        <f t="shared" si="11"/>
        <v>42395</v>
      </c>
      <c r="D183" s="182" t="s">
        <v>669</v>
      </c>
      <c r="E183" s="189">
        <v>42395</v>
      </c>
      <c r="F183" s="190" t="s">
        <v>672</v>
      </c>
      <c r="G183" s="448" t="s">
        <v>330</v>
      </c>
      <c r="H183" s="191"/>
      <c r="I183" s="251"/>
      <c r="J183" s="251"/>
      <c r="K183" s="38">
        <v>20000</v>
      </c>
      <c r="L183" s="192" t="s">
        <v>83</v>
      </c>
      <c r="M183" s="561" t="s">
        <v>24</v>
      </c>
      <c r="N183" s="52" t="str">
        <f>IF(AND('331-CT'!$E$7=TH!H183,OR(L183="331",M183="331")),"331",IF(AND(OR(L183="131",M183="131"),H183='131-CT'!$E$7),"131",""))</f>
        <v/>
      </c>
      <c r="O183" s="818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>x</v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52"/>
      <c r="AD183" s="209"/>
    </row>
    <row r="184" spans="1:32" s="552" customFormat="1" ht="15.75" customHeight="1">
      <c r="A184" s="202" t="str">
        <f>IF(B184&lt;&gt;"",IF(AND(B184&gt;=_TM1,B184&lt;=_TM2,OR(TH!L184="1111",TH!M184="1111")),TH!D184,""),"")</f>
        <v/>
      </c>
      <c r="B184" s="36">
        <f t="shared" si="10"/>
        <v>1</v>
      </c>
      <c r="C184" s="182">
        <f t="shared" si="11"/>
        <v>42395</v>
      </c>
      <c r="D184" s="189" t="s">
        <v>1107</v>
      </c>
      <c r="E184" s="189">
        <v>42395</v>
      </c>
      <c r="F184" s="190" t="s">
        <v>1435</v>
      </c>
      <c r="G184" s="190" t="s">
        <v>909</v>
      </c>
      <c r="H184" s="191" t="s">
        <v>615</v>
      </c>
      <c r="I184" s="251">
        <v>1500</v>
      </c>
      <c r="J184" s="251">
        <v>11300</v>
      </c>
      <c r="K184" s="38">
        <f>ROUND(I184*J184,0)</f>
        <v>16950000</v>
      </c>
      <c r="L184" s="192" t="s">
        <v>258</v>
      </c>
      <c r="M184" s="192" t="s">
        <v>173</v>
      </c>
      <c r="N184" s="52" t="str">
        <f>IF(AND('331-CT'!$E$7=TH!H184,OR(L184="331",M184="331")),"331",IF(AND(OR(L184="131",M184="131"),H184='131-CT'!$E$7),"131",""))</f>
        <v/>
      </c>
      <c r="O184" s="818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52"/>
      <c r="AE184" s="209"/>
      <c r="AF184" s="209"/>
    </row>
    <row r="185" spans="1:32" s="552" customFormat="1" ht="15.75" customHeight="1">
      <c r="A185" s="202" t="str">
        <f>IF(B185&lt;&gt;"",IF(AND(B185&gt;=_TM1,B185&lt;=_TM2,OR(TH!L185="1111",TH!M185="1111")),TH!D185,""),"")</f>
        <v/>
      </c>
      <c r="B185" s="36">
        <f t="shared" si="10"/>
        <v>1</v>
      </c>
      <c r="C185" s="182">
        <f t="shared" si="11"/>
        <v>42395</v>
      </c>
      <c r="D185" s="189" t="s">
        <v>1107</v>
      </c>
      <c r="E185" s="189">
        <v>42395</v>
      </c>
      <c r="F185" s="187" t="s">
        <v>1306</v>
      </c>
      <c r="G185" s="190" t="s">
        <v>909</v>
      </c>
      <c r="H185" s="191" t="s">
        <v>615</v>
      </c>
      <c r="I185" s="251">
        <v>1300</v>
      </c>
      <c r="J185" s="251">
        <v>11800</v>
      </c>
      <c r="K185" s="38">
        <f>ROUND(I185*J185,0)</f>
        <v>15340000</v>
      </c>
      <c r="L185" s="192" t="s">
        <v>258</v>
      </c>
      <c r="M185" s="192" t="s">
        <v>173</v>
      </c>
      <c r="N185" s="52" t="str">
        <f>IF(AND('331-CT'!$E$7=TH!H185,OR(L185="331",M185="331")),"331",IF(AND(OR(L185="131",M185="131"),H185='131-CT'!$E$7),"131",""))</f>
        <v/>
      </c>
      <c r="O185" s="818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52"/>
      <c r="AE185" s="209"/>
      <c r="AF185" s="209"/>
    </row>
    <row r="186" spans="1:32" s="552" customFormat="1" ht="15.75" customHeight="1">
      <c r="A186" s="202" t="str">
        <f>IF(B186&lt;&gt;"",IF(AND(B186&gt;=_TM1,B186&lt;=_TM2,OR(TH!L186="1111",TH!M186="1111")),TH!D186,""),"")</f>
        <v/>
      </c>
      <c r="B186" s="36">
        <f t="shared" si="10"/>
        <v>1</v>
      </c>
      <c r="C186" s="182">
        <f t="shared" si="11"/>
        <v>42395</v>
      </c>
      <c r="D186" s="189" t="s">
        <v>1107</v>
      </c>
      <c r="E186" s="189">
        <v>42395</v>
      </c>
      <c r="F186" s="190" t="s">
        <v>393</v>
      </c>
      <c r="G186" s="190" t="s">
        <v>909</v>
      </c>
      <c r="H186" s="191" t="s">
        <v>615</v>
      </c>
      <c r="I186" s="251"/>
      <c r="J186" s="251"/>
      <c r="K186" s="38">
        <v>3229000</v>
      </c>
      <c r="L186" s="192" t="s">
        <v>258</v>
      </c>
      <c r="M186" s="192" t="s">
        <v>367</v>
      </c>
      <c r="N186" s="52" t="str">
        <f>IF(AND('331-CT'!$E$7=TH!H186,OR(L186="331",M186="331")),"331",IF(AND(OR(L186="131",M186="131"),H186='131-CT'!$E$7),"131",""))</f>
        <v/>
      </c>
      <c r="O186" s="818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52"/>
      <c r="AE186" s="209"/>
      <c r="AF186" s="209"/>
    </row>
    <row r="187" spans="1:32" s="552" customFormat="1" ht="15.75" customHeight="1">
      <c r="A187" s="202" t="str">
        <f>IF(B187&lt;&gt;"",IF(AND(B187&gt;=_TM1,B187&lt;=_TM2,OR(TH!L187="1111",TH!M187="1111")),TH!D187,""),"")</f>
        <v/>
      </c>
      <c r="B187" s="36">
        <f t="shared" si="10"/>
        <v>1</v>
      </c>
      <c r="C187" s="182">
        <f t="shared" si="11"/>
        <v>42395</v>
      </c>
      <c r="D187" s="189" t="s">
        <v>1108</v>
      </c>
      <c r="E187" s="189">
        <v>42395</v>
      </c>
      <c r="F187" s="190" t="s">
        <v>653</v>
      </c>
      <c r="G187" s="451" t="s">
        <v>401</v>
      </c>
      <c r="H187" s="191" t="s">
        <v>654</v>
      </c>
      <c r="I187" s="251">
        <v>50</v>
      </c>
      <c r="J187" s="251">
        <v>36036</v>
      </c>
      <c r="K187" s="38">
        <f>ROUND(I187*J187,0)</f>
        <v>1801800</v>
      </c>
      <c r="L187" s="192" t="s">
        <v>258</v>
      </c>
      <c r="M187" s="192" t="s">
        <v>173</v>
      </c>
      <c r="N187" s="52" t="str">
        <f>IF(AND('331-CT'!$E$7=TH!H187,OR(L187="331",M187="331")),"331",IF(AND(OR(L187="131",M187="131"),H187='131-CT'!$E$7),"131",""))</f>
        <v/>
      </c>
      <c r="O187" s="818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52"/>
      <c r="AD187" s="209"/>
      <c r="AE187" s="209"/>
      <c r="AF187" s="209"/>
    </row>
    <row r="188" spans="1:32" s="552" customFormat="1" ht="15.75" customHeight="1">
      <c r="A188" s="202" t="str">
        <f>IF(B188&lt;&gt;"",IF(AND(B188&gt;=_TM1,B188&lt;=_TM2,OR(TH!L188="1111",TH!M188="1111")),TH!D188,""),"")</f>
        <v/>
      </c>
      <c r="B188" s="36">
        <f t="shared" si="10"/>
        <v>1</v>
      </c>
      <c r="C188" s="182">
        <f t="shared" si="11"/>
        <v>42395</v>
      </c>
      <c r="D188" s="189" t="s">
        <v>1108</v>
      </c>
      <c r="E188" s="189">
        <v>42395</v>
      </c>
      <c r="F188" s="190" t="s">
        <v>656</v>
      </c>
      <c r="G188" s="190" t="s">
        <v>401</v>
      </c>
      <c r="H188" s="191" t="s">
        <v>654</v>
      </c>
      <c r="I188" s="251">
        <v>98</v>
      </c>
      <c r="J188" s="251">
        <v>29388</v>
      </c>
      <c r="K188" s="38">
        <f>ROUND(I188*J188,0)</f>
        <v>2880024</v>
      </c>
      <c r="L188" s="192" t="s">
        <v>258</v>
      </c>
      <c r="M188" s="192" t="s">
        <v>173</v>
      </c>
      <c r="N188" s="52" t="str">
        <f>IF(AND('331-CT'!$E$7=TH!H188,OR(L188="331",M188="331")),"331",IF(AND(OR(L188="131",M188="131"),H188='131-CT'!$E$7),"131",""))</f>
        <v/>
      </c>
      <c r="O188" s="818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52"/>
      <c r="AD188" s="209"/>
      <c r="AE188" s="209"/>
      <c r="AF188" s="209"/>
    </row>
    <row r="189" spans="1:32" s="552" customFormat="1" ht="15.75" customHeight="1">
      <c r="A189" s="202" t="str">
        <f>IF(B189&lt;&gt;"",IF(AND(B189&gt;=_TM1,B189&lt;=_TM2,OR(TH!L189="1111",TH!M189="1111")),TH!D189,""),"")</f>
        <v/>
      </c>
      <c r="B189" s="36">
        <f t="shared" si="10"/>
        <v>1</v>
      </c>
      <c r="C189" s="182">
        <f t="shared" si="11"/>
        <v>42395</v>
      </c>
      <c r="D189" s="189" t="s">
        <v>1108</v>
      </c>
      <c r="E189" s="189">
        <v>42395</v>
      </c>
      <c r="F189" s="190" t="s">
        <v>655</v>
      </c>
      <c r="G189" s="190" t="s">
        <v>401</v>
      </c>
      <c r="H189" s="191" t="s">
        <v>654</v>
      </c>
      <c r="I189" s="251">
        <v>55</v>
      </c>
      <c r="J189" s="251">
        <v>36192</v>
      </c>
      <c r="K189" s="38">
        <f>ROUND(I189*J189,0)</f>
        <v>1990560</v>
      </c>
      <c r="L189" s="192" t="s">
        <v>258</v>
      </c>
      <c r="M189" s="192" t="s">
        <v>173</v>
      </c>
      <c r="N189" s="52" t="str">
        <f>IF(AND('331-CT'!$E$7=TH!H189,OR(L189="331",M189="331")),"331",IF(AND(OR(L189="131",M189="131"),H189='131-CT'!$E$7),"131",""))</f>
        <v/>
      </c>
      <c r="O189" s="818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52"/>
      <c r="AC189" s="209"/>
      <c r="AD189" s="209"/>
      <c r="AE189" s="209"/>
      <c r="AF189" s="209"/>
    </row>
    <row r="190" spans="1:32" s="552" customFormat="1" ht="15.75" customHeight="1">
      <c r="A190" s="202" t="str">
        <f>IF(B190&lt;&gt;"",IF(AND(B190&gt;=_TM1,B190&lt;=_TM2,OR(TH!L190="1111",TH!M190="1111")),TH!D190,""),"")</f>
        <v/>
      </c>
      <c r="B190" s="36">
        <f t="shared" si="10"/>
        <v>1</v>
      </c>
      <c r="C190" s="182">
        <f t="shared" si="11"/>
        <v>42395</v>
      </c>
      <c r="D190" s="189" t="s">
        <v>1108</v>
      </c>
      <c r="E190" s="189">
        <v>42395</v>
      </c>
      <c r="F190" s="190" t="s">
        <v>393</v>
      </c>
      <c r="G190" s="190" t="s">
        <v>401</v>
      </c>
      <c r="H190" s="191" t="s">
        <v>654</v>
      </c>
      <c r="I190" s="251"/>
      <c r="J190" s="251"/>
      <c r="K190" s="38">
        <v>667236</v>
      </c>
      <c r="L190" s="192" t="s">
        <v>258</v>
      </c>
      <c r="M190" s="192" t="s">
        <v>367</v>
      </c>
      <c r="N190" s="52" t="str">
        <f>IF(AND('331-CT'!$E$7=TH!H190,OR(L190="331",M190="331")),"331",IF(AND(OR(L190="131",M190="131"),H190='131-CT'!$E$7),"131",""))</f>
        <v/>
      </c>
      <c r="O190" s="818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52"/>
      <c r="AD190" s="209"/>
      <c r="AE190" s="209"/>
      <c r="AF190" s="209"/>
    </row>
    <row r="191" spans="1:32" s="552" customFormat="1" ht="15.75" customHeight="1">
      <c r="A191" s="202" t="str">
        <f>IF(B191&lt;&gt;"",IF(AND(B191&gt;=_TM1,B191&lt;=_TM2,OR(TH!L191="1111",TH!M191="1111")),TH!D191,""),"")</f>
        <v/>
      </c>
      <c r="B191" s="36">
        <f t="shared" si="10"/>
        <v>1</v>
      </c>
      <c r="C191" s="182">
        <f t="shared" si="11"/>
        <v>42395</v>
      </c>
      <c r="D191" s="189" t="s">
        <v>1109</v>
      </c>
      <c r="E191" s="189">
        <v>42395</v>
      </c>
      <c r="F191" s="190" t="s">
        <v>1233</v>
      </c>
      <c r="G191" s="451" t="s">
        <v>402</v>
      </c>
      <c r="H191" s="191" t="s">
        <v>654</v>
      </c>
      <c r="I191" s="251">
        <v>196</v>
      </c>
      <c r="J191" s="251">
        <v>2205</v>
      </c>
      <c r="K191" s="38">
        <f t="shared" ref="K191:K198" si="13">ROUND(I191*J191,0)</f>
        <v>432180</v>
      </c>
      <c r="L191" s="192" t="s">
        <v>258</v>
      </c>
      <c r="M191" s="192" t="s">
        <v>173</v>
      </c>
      <c r="N191" s="52" t="str">
        <f>IF(AND('331-CT'!$E$7=TH!H191,OR(L191="331",M191="331")),"331",IF(AND(OR(L191="131",M191="131"),H191='131-CT'!$E$7),"131",""))</f>
        <v/>
      </c>
      <c r="O191" s="818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52"/>
      <c r="AC191" s="209"/>
      <c r="AD191" s="209"/>
      <c r="AE191" s="209"/>
      <c r="AF191" s="209"/>
    </row>
    <row r="192" spans="1:32" s="209" customFormat="1" ht="15.75" customHeight="1">
      <c r="A192" s="202" t="str">
        <f>IF(B192&lt;&gt;"",IF(AND(B192&gt;=_TM1,B192&lt;=_TM2,OR(TH!L192="1111",TH!M192="1111")),TH!D192,""),"")</f>
        <v/>
      </c>
      <c r="B192" s="36">
        <f t="shared" si="10"/>
        <v>1</v>
      </c>
      <c r="C192" s="182">
        <f t="shared" si="11"/>
        <v>42395</v>
      </c>
      <c r="D192" s="189" t="s">
        <v>1109</v>
      </c>
      <c r="E192" s="189">
        <v>42395</v>
      </c>
      <c r="F192" s="190" t="s">
        <v>1234</v>
      </c>
      <c r="G192" s="190" t="s">
        <v>402</v>
      </c>
      <c r="H192" s="191" t="s">
        <v>654</v>
      </c>
      <c r="I192" s="251">
        <v>500</v>
      </c>
      <c r="J192" s="251">
        <v>1147</v>
      </c>
      <c r="K192" s="38">
        <f t="shared" si="13"/>
        <v>573500</v>
      </c>
      <c r="L192" s="192" t="s">
        <v>258</v>
      </c>
      <c r="M192" s="192" t="s">
        <v>173</v>
      </c>
      <c r="N192" s="52" t="str">
        <f>IF(AND('331-CT'!$E$7=TH!H192,OR(L192="331",M192="331")),"331",IF(AND(OR(L192="131",M192="131"),H192='131-CT'!$E$7),"131",""))</f>
        <v/>
      </c>
      <c r="O192" s="818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52"/>
      <c r="AB192" s="552"/>
      <c r="AC192" s="552"/>
    </row>
    <row r="193" spans="1:30" s="209" customFormat="1" ht="15.75" customHeight="1">
      <c r="A193" s="202" t="str">
        <f>IF(B193&lt;&gt;"",IF(AND(B193&gt;=_TM1,B193&lt;=_TM2,OR(TH!L193="1111",TH!M193="1111")),TH!D193,""),"")</f>
        <v/>
      </c>
      <c r="B193" s="36">
        <f t="shared" si="10"/>
        <v>1</v>
      </c>
      <c r="C193" s="182">
        <f t="shared" si="11"/>
        <v>42395</v>
      </c>
      <c r="D193" s="189" t="s">
        <v>1109</v>
      </c>
      <c r="E193" s="189">
        <v>42395</v>
      </c>
      <c r="F193" s="190" t="s">
        <v>1235</v>
      </c>
      <c r="G193" s="451" t="s">
        <v>402</v>
      </c>
      <c r="H193" s="191" t="s">
        <v>654</v>
      </c>
      <c r="I193" s="251">
        <v>100</v>
      </c>
      <c r="J193" s="251">
        <v>2958</v>
      </c>
      <c r="K193" s="38">
        <f t="shared" si="13"/>
        <v>295800</v>
      </c>
      <c r="L193" s="192" t="s">
        <v>258</v>
      </c>
      <c r="M193" s="192" t="s">
        <v>173</v>
      </c>
      <c r="N193" s="52" t="str">
        <f>IF(AND('331-CT'!$E$7=TH!H193,OR(L193="331",M193="331")),"331",IF(AND(OR(L193="131",M193="131"),H193='131-CT'!$E$7),"131",""))</f>
        <v/>
      </c>
      <c r="O193" s="818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52"/>
      <c r="AB193" s="552"/>
    </row>
    <row r="194" spans="1:30" s="209" customFormat="1" ht="15.75" customHeight="1">
      <c r="A194" s="202" t="str">
        <f>IF(B194&lt;&gt;"",IF(AND(B194&gt;=_TM1,B194&lt;=_TM2,OR(TH!L194="1111",TH!M194="1111")),TH!D194,""),"")</f>
        <v/>
      </c>
      <c r="B194" s="36">
        <f t="shared" si="10"/>
        <v>1</v>
      </c>
      <c r="C194" s="182">
        <f t="shared" si="11"/>
        <v>42395</v>
      </c>
      <c r="D194" s="189" t="s">
        <v>1109</v>
      </c>
      <c r="E194" s="189">
        <v>42395</v>
      </c>
      <c r="F194" s="190" t="s">
        <v>1236</v>
      </c>
      <c r="G194" s="190" t="s">
        <v>402</v>
      </c>
      <c r="H194" s="191" t="s">
        <v>654</v>
      </c>
      <c r="I194" s="251">
        <v>50</v>
      </c>
      <c r="J194" s="251">
        <v>1183</v>
      </c>
      <c r="K194" s="38">
        <f t="shared" si="13"/>
        <v>59150</v>
      </c>
      <c r="L194" s="192" t="s">
        <v>258</v>
      </c>
      <c r="M194" s="192" t="s">
        <v>173</v>
      </c>
      <c r="N194" s="52" t="str">
        <f>IF(AND('331-CT'!$E$7=TH!H194,OR(L194="331",M194="331")),"331",IF(AND(OR(L194="131",M194="131"),H194='131-CT'!$E$7),"131",""))</f>
        <v/>
      </c>
      <c r="O194" s="818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52"/>
      <c r="AB194" s="552"/>
      <c r="AC194" s="552"/>
    </row>
    <row r="195" spans="1:30" s="209" customFormat="1" ht="15.75" customHeight="1">
      <c r="A195" s="202" t="str">
        <f>IF(B195&lt;&gt;"",IF(AND(B195&gt;=_TM1,B195&lt;=_TM2,OR(TH!L195="1111",TH!M195="1111")),TH!D195,""),"")</f>
        <v/>
      </c>
      <c r="B195" s="36">
        <f t="shared" si="10"/>
        <v>1</v>
      </c>
      <c r="C195" s="182">
        <f t="shared" si="11"/>
        <v>42395</v>
      </c>
      <c r="D195" s="189" t="s">
        <v>1109</v>
      </c>
      <c r="E195" s="189">
        <v>42395</v>
      </c>
      <c r="F195" s="190" t="s">
        <v>1237</v>
      </c>
      <c r="G195" s="451" t="s">
        <v>402</v>
      </c>
      <c r="H195" s="191" t="s">
        <v>654</v>
      </c>
      <c r="I195" s="251">
        <v>400</v>
      </c>
      <c r="J195" s="251">
        <v>605</v>
      </c>
      <c r="K195" s="38">
        <f t="shared" si="13"/>
        <v>242000</v>
      </c>
      <c r="L195" s="192" t="s">
        <v>258</v>
      </c>
      <c r="M195" s="192" t="s">
        <v>173</v>
      </c>
      <c r="N195" s="52" t="str">
        <f>IF(AND('331-CT'!$E$7=TH!H195,OR(L195="331",M195="331")),"331",IF(AND(OR(L195="131",M195="131"),H195='131-CT'!$E$7),"131",""))</f>
        <v/>
      </c>
      <c r="O195" s="818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52"/>
      <c r="AB195" s="552"/>
      <c r="AD195" s="552"/>
    </row>
    <row r="196" spans="1:30" s="209" customFormat="1" ht="15.75" customHeight="1">
      <c r="A196" s="202" t="str">
        <f>IF(B196&lt;&gt;"",IF(AND(B196&gt;=_TM1,B196&lt;=_TM2,OR(TH!L196="1111",TH!M196="1111")),TH!D196,""),"")</f>
        <v/>
      </c>
      <c r="B196" s="36">
        <f t="shared" si="10"/>
        <v>1</v>
      </c>
      <c r="C196" s="182">
        <f t="shared" si="11"/>
        <v>42395</v>
      </c>
      <c r="D196" s="189" t="s">
        <v>1109</v>
      </c>
      <c r="E196" s="189">
        <v>42395</v>
      </c>
      <c r="F196" s="190" t="s">
        <v>1238</v>
      </c>
      <c r="G196" s="190" t="s">
        <v>402</v>
      </c>
      <c r="H196" s="191" t="s">
        <v>654</v>
      </c>
      <c r="I196" s="251">
        <v>110</v>
      </c>
      <c r="J196" s="251">
        <v>3150</v>
      </c>
      <c r="K196" s="38">
        <f t="shared" si="13"/>
        <v>346500</v>
      </c>
      <c r="L196" s="192" t="s">
        <v>258</v>
      </c>
      <c r="M196" s="192" t="s">
        <v>173</v>
      </c>
      <c r="N196" s="52" t="str">
        <f>IF(AND('331-CT'!$E$7=TH!H196,OR(L196="331",M196="331")),"331",IF(AND(OR(L196="131",M196="131"),H196='131-CT'!$E$7),"131",""))</f>
        <v/>
      </c>
      <c r="O196" s="818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52"/>
      <c r="AB196" s="552"/>
      <c r="AC196" s="552"/>
      <c r="AD196" s="552"/>
    </row>
    <row r="197" spans="1:30" s="209" customFormat="1" ht="15.75" customHeight="1">
      <c r="A197" s="202" t="str">
        <f>IF(B197&lt;&gt;"",IF(AND(B197&gt;=_TM1,B197&lt;=_TM2,OR(TH!L197="1111",TH!M197="1111")),TH!D197,""),"")</f>
        <v/>
      </c>
      <c r="B197" s="36">
        <f t="shared" si="10"/>
        <v>1</v>
      </c>
      <c r="C197" s="182">
        <f t="shared" si="11"/>
        <v>42395</v>
      </c>
      <c r="D197" s="189" t="s">
        <v>1109</v>
      </c>
      <c r="E197" s="189">
        <v>42395</v>
      </c>
      <c r="F197" s="190" t="s">
        <v>1239</v>
      </c>
      <c r="G197" s="451" t="s">
        <v>402</v>
      </c>
      <c r="H197" s="191" t="s">
        <v>654</v>
      </c>
      <c r="I197" s="251">
        <v>55</v>
      </c>
      <c r="J197" s="251">
        <v>1176</v>
      </c>
      <c r="K197" s="38">
        <f t="shared" si="13"/>
        <v>64680</v>
      </c>
      <c r="L197" s="192" t="s">
        <v>258</v>
      </c>
      <c r="M197" s="192" t="s">
        <v>173</v>
      </c>
      <c r="N197" s="52" t="str">
        <f>IF(AND('331-CT'!$E$7=TH!H197,OR(L197="331",M197="331")),"331",IF(AND(OR(L197="131",M197="131"),H197='131-CT'!$E$7),"131",""))</f>
        <v/>
      </c>
      <c r="O197" s="818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52"/>
      <c r="AB197" s="552"/>
      <c r="AC197" s="552"/>
      <c r="AD197" s="552"/>
    </row>
    <row r="198" spans="1:30" s="209" customFormat="1" ht="15.75" customHeight="1">
      <c r="A198" s="202" t="str">
        <f>IF(B198&lt;&gt;"",IF(AND(B198&gt;=_TM1,B198&lt;=_TM2,OR(TH!L198="1111",TH!M198="1111")),TH!D198,""),"")</f>
        <v/>
      </c>
      <c r="B198" s="36">
        <f t="shared" si="10"/>
        <v>1</v>
      </c>
      <c r="C198" s="182">
        <f t="shared" si="11"/>
        <v>42395</v>
      </c>
      <c r="D198" s="189" t="s">
        <v>1109</v>
      </c>
      <c r="E198" s="189">
        <v>42395</v>
      </c>
      <c r="F198" s="190" t="s">
        <v>1240</v>
      </c>
      <c r="G198" s="190" t="s">
        <v>402</v>
      </c>
      <c r="H198" s="191" t="s">
        <v>654</v>
      </c>
      <c r="I198" s="251">
        <v>440</v>
      </c>
      <c r="J198" s="251">
        <v>751</v>
      </c>
      <c r="K198" s="38">
        <f t="shared" si="13"/>
        <v>330440</v>
      </c>
      <c r="L198" s="192" t="s">
        <v>258</v>
      </c>
      <c r="M198" s="192" t="s">
        <v>173</v>
      </c>
      <c r="N198" s="52" t="str">
        <f>IF(AND('331-CT'!$E$7=TH!H198,OR(L198="331",M198="331")),"331",IF(AND(OR(L198="131",M198="131"),H198='131-CT'!$E$7),"131",""))</f>
        <v/>
      </c>
      <c r="O198" s="818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52"/>
      <c r="AB198" s="552"/>
      <c r="AC198" s="552"/>
      <c r="AD198" s="552"/>
    </row>
    <row r="199" spans="1:30" s="209" customFormat="1" ht="15.75" customHeight="1">
      <c r="A199" s="202" t="str">
        <f>IF(B199&lt;&gt;"",IF(AND(B199&gt;=_TM1,B199&lt;=_TM2,OR(TH!L199="1111",TH!M199="1111")),TH!D199,""),"")</f>
        <v/>
      </c>
      <c r="B199" s="36">
        <f t="shared" si="10"/>
        <v>1</v>
      </c>
      <c r="C199" s="182">
        <f t="shared" si="11"/>
        <v>42395</v>
      </c>
      <c r="D199" s="189" t="s">
        <v>1109</v>
      </c>
      <c r="E199" s="189">
        <v>42395</v>
      </c>
      <c r="F199" s="190" t="s">
        <v>657</v>
      </c>
      <c r="G199" s="190" t="s">
        <v>402</v>
      </c>
      <c r="H199" s="191" t="s">
        <v>654</v>
      </c>
      <c r="I199" s="253"/>
      <c r="J199" s="253"/>
      <c r="K199" s="38">
        <v>234425</v>
      </c>
      <c r="L199" s="192" t="s">
        <v>258</v>
      </c>
      <c r="M199" s="192" t="s">
        <v>367</v>
      </c>
      <c r="N199" s="52" t="str">
        <f>IF(AND('331-CT'!$E$7=TH!H199,OR(L199="331",M199="331")),"331",IF(AND(OR(L199="131",M199="131"),H199='131-CT'!$E$7),"131",""))</f>
        <v/>
      </c>
      <c r="O199" s="818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52"/>
      <c r="AB199" s="552"/>
      <c r="AC199" s="552"/>
      <c r="AD199" s="552"/>
    </row>
    <row r="200" spans="1:30" s="209" customFormat="1" ht="15.75" customHeight="1">
      <c r="A200" s="202" t="str">
        <f>IF(B200&lt;&gt;"",IF(AND(B200&gt;=_TM1,B200&lt;=_TM2,OR(TH!L200="1111",TH!M200="1111")),TH!D200,""),"")</f>
        <v/>
      </c>
      <c r="B200" s="36">
        <f t="shared" si="10"/>
        <v>1</v>
      </c>
      <c r="C200" s="182">
        <f t="shared" si="11"/>
        <v>42395</v>
      </c>
      <c r="D200" s="189" t="s">
        <v>1110</v>
      </c>
      <c r="E200" s="189">
        <v>42395</v>
      </c>
      <c r="F200" s="190" t="s">
        <v>708</v>
      </c>
      <c r="G200" s="451" t="s">
        <v>403</v>
      </c>
      <c r="H200" s="208" t="s">
        <v>1204</v>
      </c>
      <c r="I200" s="251">
        <v>50</v>
      </c>
      <c r="J200" s="251">
        <v>13250</v>
      </c>
      <c r="K200" s="38">
        <f t="shared" ref="K200:K208" si="14">ROUND(I200*J200,0)</f>
        <v>662500</v>
      </c>
      <c r="L200" s="192" t="s">
        <v>258</v>
      </c>
      <c r="M200" s="192" t="s">
        <v>173</v>
      </c>
      <c r="N200" s="52" t="str">
        <f>IF(AND('331-CT'!$E$7=TH!H200,OR(L200="331",M200="331")),"331",IF(AND(OR(L200="131",M200="131"),H200='131-CT'!$E$7),"131",""))</f>
        <v/>
      </c>
      <c r="O200" s="818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52"/>
      <c r="AB200" s="552"/>
      <c r="AC200" s="552"/>
      <c r="AD200" s="552"/>
    </row>
    <row r="201" spans="1:30" s="209" customFormat="1" ht="15.75" customHeight="1">
      <c r="A201" s="202" t="str">
        <f>IF(B201&lt;&gt;"",IF(AND(B201&gt;=_TM1,B201&lt;=_TM2,OR(TH!L201="1111",TH!M201="1111")),TH!D201,""),"")</f>
        <v/>
      </c>
      <c r="B201" s="36">
        <f t="shared" si="10"/>
        <v>1</v>
      </c>
      <c r="C201" s="182">
        <f t="shared" si="11"/>
        <v>42395</v>
      </c>
      <c r="D201" s="189" t="s">
        <v>1110</v>
      </c>
      <c r="E201" s="189">
        <v>42395</v>
      </c>
      <c r="F201" s="190" t="s">
        <v>1225</v>
      </c>
      <c r="G201" s="190" t="s">
        <v>403</v>
      </c>
      <c r="H201" s="208" t="s">
        <v>1204</v>
      </c>
      <c r="I201" s="253">
        <v>100</v>
      </c>
      <c r="J201" s="253">
        <v>4764</v>
      </c>
      <c r="K201" s="38">
        <f t="shared" si="14"/>
        <v>476400</v>
      </c>
      <c r="L201" s="192" t="s">
        <v>258</v>
      </c>
      <c r="M201" s="192" t="s">
        <v>173</v>
      </c>
      <c r="N201" s="52" t="str">
        <f>IF(AND('331-CT'!$E$7=TH!H201,OR(L201="331",M201="331")),"331",IF(AND(OR(L201="131",M201="131"),H201='131-CT'!$E$7),"131",""))</f>
        <v/>
      </c>
      <c r="O201" s="818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52"/>
      <c r="AB201" s="552"/>
      <c r="AC201" s="552"/>
      <c r="AD201" s="552"/>
    </row>
    <row r="202" spans="1:30" s="209" customFormat="1" ht="15.75" customHeight="1">
      <c r="A202" s="202" t="str">
        <f>IF(B202&lt;&gt;"",IF(AND(B202&gt;=_TM1,B202&lt;=_TM2,OR(TH!L202="1111",TH!M202="1111")),TH!D202,""),"")</f>
        <v/>
      </c>
      <c r="B202" s="36">
        <f t="shared" si="10"/>
        <v>1</v>
      </c>
      <c r="C202" s="182">
        <f t="shared" si="11"/>
        <v>42395</v>
      </c>
      <c r="D202" s="189" t="s">
        <v>1110</v>
      </c>
      <c r="E202" s="189">
        <v>42395</v>
      </c>
      <c r="F202" s="190" t="s">
        <v>1226</v>
      </c>
      <c r="G202" s="451" t="s">
        <v>403</v>
      </c>
      <c r="H202" s="208" t="s">
        <v>1204</v>
      </c>
      <c r="I202" s="251">
        <v>1000</v>
      </c>
      <c r="J202" s="251">
        <v>1288</v>
      </c>
      <c r="K202" s="38">
        <f t="shared" si="14"/>
        <v>1288000</v>
      </c>
      <c r="L202" s="192" t="s">
        <v>258</v>
      </c>
      <c r="M202" s="192" t="s">
        <v>173</v>
      </c>
      <c r="N202" s="52" t="str">
        <f>IF(AND('331-CT'!$E$7=TH!H202,OR(L202="331",M202="331")),"331",IF(AND(OR(L202="131",M202="131"),H202='131-CT'!$E$7),"131",""))</f>
        <v/>
      </c>
      <c r="O202" s="818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52"/>
      <c r="AB202" s="552"/>
      <c r="AC202" s="552"/>
      <c r="AD202" s="552"/>
    </row>
    <row r="203" spans="1:30" s="209" customFormat="1" ht="15.75" customHeight="1">
      <c r="A203" s="202" t="str">
        <f>IF(B203&lt;&gt;"",IF(AND(B203&gt;=_TM1,B203&lt;=_TM2,OR(TH!L203="1111",TH!M203="1111")),TH!D203,""),"")</f>
        <v/>
      </c>
      <c r="B203" s="36">
        <f t="shared" si="10"/>
        <v>1</v>
      </c>
      <c r="C203" s="182">
        <f t="shared" si="11"/>
        <v>42395</v>
      </c>
      <c r="D203" s="189" t="s">
        <v>1110</v>
      </c>
      <c r="E203" s="189">
        <v>42395</v>
      </c>
      <c r="F203" s="190" t="s">
        <v>700</v>
      </c>
      <c r="G203" s="190" t="s">
        <v>403</v>
      </c>
      <c r="H203" s="208" t="s">
        <v>1204</v>
      </c>
      <c r="I203" s="251">
        <v>190</v>
      </c>
      <c r="J203" s="251">
        <v>7826</v>
      </c>
      <c r="K203" s="38">
        <f t="shared" si="14"/>
        <v>1486940</v>
      </c>
      <c r="L203" s="192" t="s">
        <v>258</v>
      </c>
      <c r="M203" s="192" t="s">
        <v>173</v>
      </c>
      <c r="N203" s="52" t="str">
        <f>IF(AND('331-CT'!$E$7=TH!H203,OR(L203="331",M203="331")),"331",IF(AND(OR(L203="131",M203="131"),H203='131-CT'!$E$7),"131",""))</f>
        <v/>
      </c>
      <c r="O203" s="818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52"/>
      <c r="AB203" s="552"/>
      <c r="AC203" s="552"/>
      <c r="AD203" s="552"/>
    </row>
    <row r="204" spans="1:30" s="209" customFormat="1" ht="15.75" customHeight="1">
      <c r="A204" s="202" t="str">
        <f>IF(B204&lt;&gt;"",IF(AND(B204&gt;=_TM1,B204&lt;=_TM2,OR(TH!L204="1111",TH!M204="1111")),TH!D204,""),"")</f>
        <v/>
      </c>
      <c r="B204" s="36">
        <f t="shared" si="10"/>
        <v>1</v>
      </c>
      <c r="C204" s="182">
        <f t="shared" si="11"/>
        <v>42395</v>
      </c>
      <c r="D204" s="189" t="s">
        <v>1110</v>
      </c>
      <c r="E204" s="189">
        <v>42395</v>
      </c>
      <c r="F204" s="190" t="s">
        <v>701</v>
      </c>
      <c r="G204" s="451" t="s">
        <v>403</v>
      </c>
      <c r="H204" s="208" t="s">
        <v>1204</v>
      </c>
      <c r="I204" s="251">
        <v>195</v>
      </c>
      <c r="J204" s="251">
        <v>7175</v>
      </c>
      <c r="K204" s="38">
        <f t="shared" si="14"/>
        <v>1399125</v>
      </c>
      <c r="L204" s="192" t="s">
        <v>258</v>
      </c>
      <c r="M204" s="192" t="s">
        <v>173</v>
      </c>
      <c r="N204" s="52" t="str">
        <f>IF(AND('331-CT'!$E$7=TH!H204,OR(L204="331",M204="331")),"331",IF(AND(OR(L204="131",M204="131"),H204='131-CT'!$E$7),"131",""))</f>
        <v/>
      </c>
      <c r="O204" s="818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52"/>
      <c r="AB204" s="552"/>
      <c r="AC204" s="552"/>
      <c r="AD204" s="552"/>
    </row>
    <row r="205" spans="1:30" s="209" customFormat="1" ht="15.75" customHeight="1">
      <c r="A205" s="202" t="str">
        <f>IF(B205&lt;&gt;"",IF(AND(B205&gt;=_TM1,B205&lt;=_TM2,OR(TH!L205="1111",TH!M205="1111")),TH!D205,""),"")</f>
        <v/>
      </c>
      <c r="B205" s="36">
        <f t="shared" si="10"/>
        <v>1</v>
      </c>
      <c r="C205" s="182">
        <f t="shared" si="11"/>
        <v>42395</v>
      </c>
      <c r="D205" s="189" t="s">
        <v>1110</v>
      </c>
      <c r="E205" s="189">
        <v>42395</v>
      </c>
      <c r="F205" s="190" t="s">
        <v>702</v>
      </c>
      <c r="G205" s="190" t="s">
        <v>403</v>
      </c>
      <c r="H205" s="208" t="s">
        <v>1204</v>
      </c>
      <c r="I205" s="251">
        <v>125</v>
      </c>
      <c r="J205" s="251">
        <v>10556</v>
      </c>
      <c r="K205" s="38">
        <f t="shared" si="14"/>
        <v>1319500</v>
      </c>
      <c r="L205" s="192" t="s">
        <v>258</v>
      </c>
      <c r="M205" s="192" t="s">
        <v>173</v>
      </c>
      <c r="N205" s="52" t="str">
        <f>IF(AND('331-CT'!$E$7=TH!H205,OR(L205="331",M205="331")),"331",IF(AND(OR(L205="131",M205="131"),H205='131-CT'!$E$7),"131",""))</f>
        <v/>
      </c>
      <c r="O205" s="818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52"/>
      <c r="AB205" s="552"/>
      <c r="AC205" s="552"/>
    </row>
    <row r="206" spans="1:30" s="209" customFormat="1" ht="15.75" customHeight="1">
      <c r="A206" s="202" t="str">
        <f>IF(B206&lt;&gt;"",IF(AND(B206&gt;=_TM1,B206&lt;=_TM2,OR(TH!L206="1111",TH!M206="1111")),TH!D206,""),"")</f>
        <v/>
      </c>
      <c r="B206" s="36">
        <f t="shared" si="10"/>
        <v>1</v>
      </c>
      <c r="C206" s="182">
        <f t="shared" si="11"/>
        <v>42395</v>
      </c>
      <c r="D206" s="189" t="s">
        <v>1110</v>
      </c>
      <c r="E206" s="189">
        <v>42395</v>
      </c>
      <c r="F206" s="190" t="s">
        <v>703</v>
      </c>
      <c r="G206" s="451" t="s">
        <v>403</v>
      </c>
      <c r="H206" s="208" t="s">
        <v>1204</v>
      </c>
      <c r="I206" s="251">
        <v>125</v>
      </c>
      <c r="J206" s="251">
        <v>9769</v>
      </c>
      <c r="K206" s="38">
        <f t="shared" si="14"/>
        <v>1221125</v>
      </c>
      <c r="L206" s="192" t="s">
        <v>258</v>
      </c>
      <c r="M206" s="192" t="s">
        <v>173</v>
      </c>
      <c r="N206" s="52" t="str">
        <f>IF(AND('331-CT'!$E$7=TH!H206,OR(L206="331",M206="331")),"331",IF(AND(OR(L206="131",M206="131"),H206='131-CT'!$E$7),"131",""))</f>
        <v/>
      </c>
      <c r="O206" s="818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52"/>
      <c r="AB206" s="552"/>
      <c r="AC206" s="552"/>
      <c r="AD206" s="552"/>
    </row>
    <row r="207" spans="1:30" s="209" customFormat="1" ht="15.75" customHeight="1">
      <c r="A207" s="202" t="str">
        <f>IF(B207&lt;&gt;"",IF(AND(B207&gt;=_TM1,B207&lt;=_TM2,OR(TH!L207="1111",TH!M207="1111")),TH!D207,""),"")</f>
        <v/>
      </c>
      <c r="B207" s="36">
        <f t="shared" si="10"/>
        <v>1</v>
      </c>
      <c r="C207" s="182">
        <f t="shared" si="11"/>
        <v>42395</v>
      </c>
      <c r="D207" s="189" t="s">
        <v>1110</v>
      </c>
      <c r="E207" s="189">
        <v>42395</v>
      </c>
      <c r="F207" s="190" t="s">
        <v>1227</v>
      </c>
      <c r="G207" s="190" t="s">
        <v>403</v>
      </c>
      <c r="H207" s="208" t="s">
        <v>1204</v>
      </c>
      <c r="I207" s="252">
        <v>390</v>
      </c>
      <c r="J207" s="252">
        <v>16207</v>
      </c>
      <c r="K207" s="38">
        <f t="shared" si="14"/>
        <v>6320730</v>
      </c>
      <c r="L207" s="192" t="s">
        <v>258</v>
      </c>
      <c r="M207" s="192" t="s">
        <v>173</v>
      </c>
      <c r="N207" s="52" t="str">
        <f>IF(AND('331-CT'!$E$7=TH!H207,OR(L207="331",M207="331")),"331",IF(AND(OR(L207="131",M207="131"),H207='131-CT'!$E$7),"131",""))</f>
        <v/>
      </c>
      <c r="O207" s="818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52"/>
      <c r="AB207" s="552"/>
      <c r="AC207" s="552"/>
      <c r="AD207" s="552"/>
    </row>
    <row r="208" spans="1:30" s="209" customFormat="1" ht="15.75" customHeight="1">
      <c r="A208" s="202" t="str">
        <f>IF(B208&lt;&gt;"",IF(AND(B208&gt;=_TM1,B208&lt;=_TM2,OR(TH!L208="1111",TH!M208="1111")),TH!D208,""),"")</f>
        <v/>
      </c>
      <c r="B208" s="36">
        <f t="shared" si="10"/>
        <v>1</v>
      </c>
      <c r="C208" s="182">
        <f t="shared" si="11"/>
        <v>42395</v>
      </c>
      <c r="D208" s="189" t="s">
        <v>1110</v>
      </c>
      <c r="E208" s="189">
        <v>42395</v>
      </c>
      <c r="F208" s="190" t="s">
        <v>1228</v>
      </c>
      <c r="G208" s="190" t="s">
        <v>403</v>
      </c>
      <c r="H208" s="208" t="s">
        <v>1204</v>
      </c>
      <c r="I208" s="251">
        <v>420</v>
      </c>
      <c r="J208" s="251">
        <v>8845</v>
      </c>
      <c r="K208" s="38">
        <f t="shared" si="14"/>
        <v>3714900</v>
      </c>
      <c r="L208" s="192" t="s">
        <v>258</v>
      </c>
      <c r="M208" s="192" t="s">
        <v>173</v>
      </c>
      <c r="N208" s="52" t="str">
        <f>IF(AND('331-CT'!$E$7=TH!H208,OR(L208="331",M208="331")),"331",IF(AND(OR(L208="131",M208="131"),H208='131-CT'!$E$7),"131",""))</f>
        <v/>
      </c>
      <c r="O208" s="818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52"/>
      <c r="AB208" s="552"/>
      <c r="AC208" s="552"/>
      <c r="AD208" s="552"/>
    </row>
    <row r="209" spans="1:32" s="209" customFormat="1" ht="15.75" customHeight="1">
      <c r="A209" s="202" t="str">
        <f>IF(B209&lt;&gt;"",IF(AND(B209&gt;=_TM1,B209&lt;=_TM2,OR(TH!L209="1111",TH!M209="1111")),TH!D209,""),"")</f>
        <v/>
      </c>
      <c r="B209" s="36">
        <f t="shared" si="10"/>
        <v>1</v>
      </c>
      <c r="C209" s="182">
        <f t="shared" si="11"/>
        <v>42395</v>
      </c>
      <c r="D209" s="189" t="s">
        <v>1110</v>
      </c>
      <c r="E209" s="189">
        <v>42395</v>
      </c>
      <c r="F209" s="190" t="s">
        <v>525</v>
      </c>
      <c r="G209" s="190" t="s">
        <v>403</v>
      </c>
      <c r="H209" s="208" t="s">
        <v>1204</v>
      </c>
      <c r="I209" s="251"/>
      <c r="J209" s="251"/>
      <c r="K209" s="38">
        <v>1788922</v>
      </c>
      <c r="L209" s="192" t="s">
        <v>258</v>
      </c>
      <c r="M209" s="192" t="s">
        <v>367</v>
      </c>
      <c r="N209" s="52" t="str">
        <f>IF(AND('331-CT'!$E$7=TH!H209,OR(L209="331",M209="331")),"331",IF(AND(OR(L209="131",M209="131"),H209='131-CT'!$E$7),"131",""))</f>
        <v/>
      </c>
      <c r="O209" s="818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52"/>
      <c r="AB209" s="552"/>
      <c r="AC209" s="552"/>
      <c r="AD209" s="552"/>
    </row>
    <row r="210" spans="1:32" s="209" customFormat="1" ht="15.75" customHeight="1">
      <c r="A210" s="202" t="str">
        <f>IF(B210&lt;&gt;"",IF(AND(B210&gt;=_TM1,B210&lt;=_TM2,OR(TH!L210="1111",TH!M210="1111")),TH!D210,""),"")</f>
        <v/>
      </c>
      <c r="B210" s="36">
        <f t="shared" si="10"/>
        <v>1</v>
      </c>
      <c r="C210" s="182">
        <f t="shared" si="11"/>
        <v>42395</v>
      </c>
      <c r="D210" s="182" t="s">
        <v>1625</v>
      </c>
      <c r="E210" s="189">
        <v>42395</v>
      </c>
      <c r="F210" s="40" t="s">
        <v>666</v>
      </c>
      <c r="G210" s="451" t="s">
        <v>1584</v>
      </c>
      <c r="H210" s="7" t="s">
        <v>399</v>
      </c>
      <c r="I210" s="252"/>
      <c r="J210" s="252"/>
      <c r="K210" s="560">
        <v>24043690</v>
      </c>
      <c r="L210" s="561" t="s">
        <v>47</v>
      </c>
      <c r="M210" s="561" t="s">
        <v>258</v>
      </c>
      <c r="N210" s="52" t="str">
        <f>IF(AND('331-CT'!$E$7=TH!H210,OR(L210="331",M210="331")),"331",IF(AND(OR(L210="131",M210="131"),H210='131-CT'!$E$7),"131",""))</f>
        <v/>
      </c>
      <c r="O210" s="818" t="str">
        <f>IF(AND('341-CT'!$E$9=H210,OR(LEFT(L210,3)=$O$7,LEFT(M210,3)=$O$7)),"x","")</f>
        <v/>
      </c>
      <c r="P210" s="52" t="str">
        <f>IF(AND($B210&gt;='111'!$N$11,$B210&lt;='111'!$O$11,OR($L210=$P$7,$M210=$P$7)),"x","")</f>
        <v>x</v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52"/>
      <c r="AB210" s="552"/>
    </row>
    <row r="211" spans="1:32" s="209" customFormat="1" ht="15.75" customHeight="1">
      <c r="A211" s="202" t="str">
        <f>IF(B211&lt;&gt;"",IF(AND(B211&gt;=_TM1,B211&lt;=_TM2,OR(TH!L211="1111",TH!M211="1111")),TH!D211,""),"")</f>
        <v/>
      </c>
      <c r="B211" s="36">
        <f t="shared" si="10"/>
        <v>1</v>
      </c>
      <c r="C211" s="182">
        <f t="shared" si="11"/>
        <v>42396</v>
      </c>
      <c r="D211" s="182" t="s">
        <v>1626</v>
      </c>
      <c r="E211" s="182">
        <v>42396</v>
      </c>
      <c r="F211" s="187" t="s">
        <v>754</v>
      </c>
      <c r="G211" s="448" t="s">
        <v>330</v>
      </c>
      <c r="H211" s="191" t="s">
        <v>782</v>
      </c>
      <c r="I211" s="251"/>
      <c r="J211" s="251"/>
      <c r="K211" s="560">
        <v>19000000</v>
      </c>
      <c r="L211" s="561" t="s">
        <v>24</v>
      </c>
      <c r="M211" s="561" t="s">
        <v>47</v>
      </c>
      <c r="N211" s="52" t="str">
        <f>IF(AND('331-CT'!$E$7=TH!H211,OR(L211="331",M211="331")),"331",IF(AND(OR(L211="131",M211="131"),H211='131-CT'!$E$7),"131",""))</f>
        <v/>
      </c>
      <c r="O211" s="818" t="str">
        <f>IF(AND('341-CT'!$E$9=H211,OR(LEFT(L211,3)=$O$7,LEFT(M211,3)=$O$7)),"x","")</f>
        <v/>
      </c>
      <c r="P211" s="52" t="str">
        <f>IF(AND($B211&gt;='111'!$N$11,$B211&lt;='111'!$O$11,OR($L211=$P$7,$M211=$P$7)),"x","")</f>
        <v>x</v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52"/>
      <c r="AB211" s="552"/>
      <c r="AC211" s="552"/>
      <c r="AD211" s="552"/>
      <c r="AE211" s="552"/>
      <c r="AF211" s="552"/>
    </row>
    <row r="212" spans="1:32" s="209" customFormat="1" ht="15.75" customHeight="1">
      <c r="A212" s="202" t="str">
        <f>IF(B212&lt;&gt;"",IF(AND(B212&gt;=_TM1,B212&lt;=_TM2,OR(TH!L212="1111",TH!M212="1111")),TH!D212,""),"")</f>
        <v/>
      </c>
      <c r="B212" s="36">
        <f t="shared" ref="B212:B275" si="15">IF(C212&lt;&gt;"",MONTH(C212),"")</f>
        <v>1</v>
      </c>
      <c r="C212" s="182">
        <f t="shared" ref="C212:C275" si="16">E212</f>
        <v>42396</v>
      </c>
      <c r="D212" s="182" t="s">
        <v>669</v>
      </c>
      <c r="E212" s="189">
        <v>42396</v>
      </c>
      <c r="F212" s="190" t="s">
        <v>790</v>
      </c>
      <c r="G212" s="448" t="s">
        <v>330</v>
      </c>
      <c r="H212" s="7" t="s">
        <v>1452</v>
      </c>
      <c r="I212" s="251"/>
      <c r="J212" s="251"/>
      <c r="K212" s="38">
        <v>25000000</v>
      </c>
      <c r="L212" s="192" t="s">
        <v>8</v>
      </c>
      <c r="M212" s="561" t="s">
        <v>24</v>
      </c>
      <c r="N212" s="52" t="str">
        <f>IF(AND('331-CT'!$E$7=TH!H212,OR(L212="331",M212="331")),"331",IF(AND(OR(L212="131",M212="131"),H212='131-CT'!$E$7),"131",""))</f>
        <v/>
      </c>
      <c r="O212" s="818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52"/>
      <c r="AB212" s="552"/>
      <c r="AE212" s="552"/>
      <c r="AF212" s="552"/>
    </row>
    <row r="213" spans="1:32" s="209" customFormat="1" ht="15.75" customHeight="1">
      <c r="A213" s="202" t="str">
        <f>IF(B213&lt;&gt;"",IF(AND(B213&gt;=_TM1,B213&lt;=_TM2,OR(TH!L213="1111",TH!M213="1111")),TH!D213,""),"")</f>
        <v/>
      </c>
      <c r="B213" s="36">
        <f t="shared" si="15"/>
        <v>1</v>
      </c>
      <c r="C213" s="182">
        <f t="shared" si="16"/>
        <v>42396</v>
      </c>
      <c r="D213" s="182" t="s">
        <v>669</v>
      </c>
      <c r="E213" s="189">
        <v>42396</v>
      </c>
      <c r="F213" s="190" t="s">
        <v>672</v>
      </c>
      <c r="G213" s="448" t="s">
        <v>330</v>
      </c>
      <c r="H213" s="191"/>
      <c r="I213" s="251"/>
      <c r="J213" s="251"/>
      <c r="K213" s="38">
        <v>15000</v>
      </c>
      <c r="L213" s="192" t="s">
        <v>83</v>
      </c>
      <c r="M213" s="561" t="s">
        <v>24</v>
      </c>
      <c r="N213" s="52" t="str">
        <f>IF(AND('331-CT'!$E$7=TH!H213,OR(L213="331",M213="331")),"331",IF(AND(OR(L213="131",M213="131"),H213='131-CT'!$E$7),"131",""))</f>
        <v/>
      </c>
      <c r="O213" s="818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52"/>
      <c r="AB213" s="552"/>
      <c r="AC213" s="552"/>
      <c r="AE213" s="552"/>
      <c r="AF213" s="552"/>
    </row>
    <row r="214" spans="1:32" s="209" customFormat="1" ht="15.75" customHeight="1">
      <c r="A214" s="202" t="str">
        <f>IF(B214&lt;&gt;"",IF(AND(B214&gt;=_TM1,B214&lt;=_TM2,OR(TH!L214="1111",TH!M214="1111")),TH!D214,""),"")</f>
        <v/>
      </c>
      <c r="B214" s="36">
        <f t="shared" si="15"/>
        <v>1</v>
      </c>
      <c r="C214" s="182">
        <f t="shared" si="16"/>
        <v>42396</v>
      </c>
      <c r="D214" s="182" t="s">
        <v>669</v>
      </c>
      <c r="E214" s="189">
        <v>42396</v>
      </c>
      <c r="F214" s="190" t="s">
        <v>672</v>
      </c>
      <c r="G214" s="448" t="s">
        <v>330</v>
      </c>
      <c r="H214" s="191"/>
      <c r="I214" s="251"/>
      <c r="J214" s="251"/>
      <c r="K214" s="38">
        <v>10000</v>
      </c>
      <c r="L214" s="192" t="s">
        <v>83</v>
      </c>
      <c r="M214" s="561" t="s">
        <v>24</v>
      </c>
      <c r="N214" s="52" t="str">
        <f>IF(AND('331-CT'!$E$7=TH!H214,OR(L214="331",M214="331")),"331",IF(AND(OR(L214="131",M214="131"),H214='131-CT'!$E$7),"131",""))</f>
        <v/>
      </c>
      <c r="O214" s="818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>x</v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52"/>
      <c r="AB214" s="552"/>
      <c r="AC214" s="552"/>
      <c r="AE214" s="552"/>
      <c r="AF214" s="552"/>
    </row>
    <row r="215" spans="1:32" s="209" customFormat="1" ht="15.75" customHeight="1">
      <c r="A215" s="202" t="str">
        <f>IF(B215&lt;&gt;"",IF(AND(B215&gt;=_TM1,B215&lt;=_TM2,OR(TH!L215="1111",TH!M215="1111")),TH!D215,""),"")</f>
        <v/>
      </c>
      <c r="B215" s="36">
        <f t="shared" si="15"/>
        <v>1</v>
      </c>
      <c r="C215" s="182">
        <f t="shared" si="16"/>
        <v>42396</v>
      </c>
      <c r="D215" s="189" t="s">
        <v>1182</v>
      </c>
      <c r="E215" s="189">
        <v>42396</v>
      </c>
      <c r="F215" s="190" t="s">
        <v>335</v>
      </c>
      <c r="G215" s="451" t="s">
        <v>810</v>
      </c>
      <c r="H215" s="7" t="s">
        <v>811</v>
      </c>
      <c r="I215" s="252">
        <v>24</v>
      </c>
      <c r="J215" s="253">
        <v>40000</v>
      </c>
      <c r="K215" s="38">
        <f>ROUND(I215*J215,0)</f>
        <v>960000</v>
      </c>
      <c r="L215" s="192" t="s">
        <v>160</v>
      </c>
      <c r="M215" s="192" t="s">
        <v>8</v>
      </c>
      <c r="N215" s="52" t="str">
        <f>IF(AND('331-CT'!$E$7=TH!H215,OR(L215="331",M215="331")),"331",IF(AND(OR(L215="131",M215="131"),H215='131-CT'!$E$7),"131",""))</f>
        <v/>
      </c>
      <c r="O215" s="818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52">
        <v>1</v>
      </c>
      <c r="AB215" s="552"/>
      <c r="AC215" s="209" t="str">
        <f>IF(VLOOKUP(H215,DSKH,1,0)=H215,"","x")</f>
        <v/>
      </c>
      <c r="AE215" s="552"/>
      <c r="AF215" s="552"/>
    </row>
    <row r="216" spans="1:32" s="209" customFormat="1" ht="15.75" customHeight="1">
      <c r="A216" s="202" t="str">
        <f>IF(B216&lt;&gt;"",IF(AND(B216&gt;=_TM1,B216&lt;=_TM2,OR(TH!L216="1111",TH!M216="1111")),TH!D216,""),"")</f>
        <v/>
      </c>
      <c r="B216" s="36">
        <f t="shared" si="15"/>
        <v>1</v>
      </c>
      <c r="C216" s="182">
        <f t="shared" si="16"/>
        <v>42396</v>
      </c>
      <c r="D216" s="189" t="s">
        <v>1182</v>
      </c>
      <c r="E216" s="189">
        <v>42396</v>
      </c>
      <c r="F216" s="190" t="s">
        <v>678</v>
      </c>
      <c r="G216" s="451" t="s">
        <v>810</v>
      </c>
      <c r="H216" s="7" t="s">
        <v>811</v>
      </c>
      <c r="I216" s="251"/>
      <c r="J216" s="253"/>
      <c r="K216" s="38">
        <v>96000</v>
      </c>
      <c r="L216" s="192" t="s">
        <v>9</v>
      </c>
      <c r="M216" s="192" t="s">
        <v>8</v>
      </c>
      <c r="N216" s="52" t="str">
        <f>IF(AND('331-CT'!$E$7=TH!H216,OR(L216="331",M216="331")),"331",IF(AND(OR(L216="131",M216="131"),H216='131-CT'!$E$7),"131",""))</f>
        <v/>
      </c>
      <c r="O216" s="818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52">
        <v>1</v>
      </c>
      <c r="AB216" s="552"/>
      <c r="AC216" s="209" t="str">
        <f>IF(VLOOKUP(H216,DSKH,1,0)=H216,"","x")</f>
        <v/>
      </c>
      <c r="AE216" s="552"/>
      <c r="AF216" s="552"/>
    </row>
    <row r="217" spans="1:32" s="209" customFormat="1" ht="15.75" customHeight="1">
      <c r="A217" s="202" t="str">
        <f>IF(B217&lt;&gt;"",IF(AND(B217&gt;=_TM1,B217&lt;=_TM2,OR(TH!L217="1111",TH!M217="1111")),TH!D217,""),"")</f>
        <v/>
      </c>
      <c r="B217" s="36">
        <f t="shared" si="15"/>
        <v>1</v>
      </c>
      <c r="C217" s="182">
        <f t="shared" si="16"/>
        <v>42396</v>
      </c>
      <c r="D217" s="189" t="s">
        <v>1627</v>
      </c>
      <c r="E217" s="189">
        <v>42396</v>
      </c>
      <c r="F217" s="190" t="s">
        <v>812</v>
      </c>
      <c r="G217" s="451" t="s">
        <v>810</v>
      </c>
      <c r="H217" s="7" t="s">
        <v>811</v>
      </c>
      <c r="I217" s="251"/>
      <c r="J217" s="251"/>
      <c r="K217" s="560">
        <v>1056000</v>
      </c>
      <c r="L217" s="192" t="s">
        <v>8</v>
      </c>
      <c r="M217" s="192" t="s">
        <v>47</v>
      </c>
      <c r="N217" s="52" t="str">
        <f>IF(AND('331-CT'!$E$7=TH!H217,OR(L217="331",M217="331")),"331",IF(AND(OR(L217="131",M217="131"),H217='131-CT'!$E$7),"131",""))</f>
        <v/>
      </c>
      <c r="O217" s="818" t="str">
        <f>IF(AND('341-CT'!$E$9=H217,OR(LEFT(L217,3)=$O$7,LEFT(M217,3)=$O$7)),"x","")</f>
        <v/>
      </c>
      <c r="P217" s="52" t="str">
        <f>IF(AND($B217&gt;='111'!$N$11,$B217&lt;='111'!$O$11,OR($L217=$P$7,$M217=$P$7)),"x","")</f>
        <v>x</v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52"/>
      <c r="AB217" s="552"/>
      <c r="AC217" s="552"/>
      <c r="AE217" s="552"/>
      <c r="AF217" s="552"/>
    </row>
    <row r="218" spans="1:32" s="209" customFormat="1" ht="15.75" customHeight="1">
      <c r="A218" s="202" t="str">
        <f>IF(B218&lt;&gt;"",IF(AND(B218&gt;=_TM1,B218&lt;=_TM2,OR(TH!L218="1111",TH!M218="1111")),TH!D218,""),"")</f>
        <v/>
      </c>
      <c r="B218" s="36">
        <f t="shared" si="15"/>
        <v>1</v>
      </c>
      <c r="C218" s="182">
        <f t="shared" si="16"/>
        <v>42397</v>
      </c>
      <c r="D218" s="182" t="s">
        <v>665</v>
      </c>
      <c r="E218" s="182">
        <v>42397</v>
      </c>
      <c r="F218" s="187" t="s">
        <v>666</v>
      </c>
      <c r="G218" s="448" t="s">
        <v>330</v>
      </c>
      <c r="H218" s="7" t="s">
        <v>615</v>
      </c>
      <c r="I218" s="251"/>
      <c r="J218" s="251"/>
      <c r="K218" s="560">
        <v>39905800</v>
      </c>
      <c r="L218" s="561" t="s">
        <v>24</v>
      </c>
      <c r="M218" s="561" t="s">
        <v>258</v>
      </c>
      <c r="N218" s="52" t="str">
        <f>IF(AND('331-CT'!$E$7=TH!H218,OR(L218="331",M218="331")),"331",IF(AND(OR(L218="131",M218="131"),H218='131-CT'!$E$7),"131",""))</f>
        <v/>
      </c>
      <c r="O218" s="818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52"/>
      <c r="AB218" s="552"/>
      <c r="AC218" s="552"/>
      <c r="AD218" s="552"/>
      <c r="AE218" s="552"/>
      <c r="AF218" s="552"/>
    </row>
    <row r="219" spans="1:32" s="209" customFormat="1" ht="15.75" customHeight="1">
      <c r="A219" s="202" t="str">
        <f>IF(B219&lt;&gt;"",IF(AND(B219&gt;=_TM1,B219&lt;=_TM2,OR(TH!L219="1111",TH!M219="1111")),TH!D219,""),"")</f>
        <v/>
      </c>
      <c r="B219" s="36">
        <f t="shared" si="15"/>
        <v>1</v>
      </c>
      <c r="C219" s="182">
        <f t="shared" si="16"/>
        <v>42397</v>
      </c>
      <c r="D219" s="189" t="s">
        <v>1111</v>
      </c>
      <c r="E219" s="189">
        <v>42397</v>
      </c>
      <c r="F219" s="190" t="s">
        <v>710</v>
      </c>
      <c r="G219" s="190" t="s">
        <v>405</v>
      </c>
      <c r="H219" s="208" t="s">
        <v>1204</v>
      </c>
      <c r="I219" s="251">
        <v>500</v>
      </c>
      <c r="J219" s="251">
        <v>11968</v>
      </c>
      <c r="K219" s="38">
        <f>ROUND(I219*J219,0)</f>
        <v>5984000</v>
      </c>
      <c r="L219" s="192" t="s">
        <v>258</v>
      </c>
      <c r="M219" s="192" t="s">
        <v>173</v>
      </c>
      <c r="N219" s="52" t="str">
        <f>IF(AND('331-CT'!$E$7=TH!H219,OR(L219="331",M219="331")),"331",IF(AND(OR(L219="131",M219="131"),H219='131-CT'!$E$7),"131",""))</f>
        <v/>
      </c>
      <c r="O219" s="818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52"/>
      <c r="AB219" s="552"/>
      <c r="AC219" s="552"/>
    </row>
    <row r="220" spans="1:32" s="209" customFormat="1" ht="15.75" customHeight="1">
      <c r="A220" s="202" t="str">
        <f>IF(B220&lt;&gt;"",IF(AND(B220&gt;=_TM1,B220&lt;=_TM2,OR(TH!L220="1111",TH!M220="1111")),TH!D220,""),"")</f>
        <v/>
      </c>
      <c r="B220" s="36">
        <f t="shared" si="15"/>
        <v>1</v>
      </c>
      <c r="C220" s="182">
        <f t="shared" si="16"/>
        <v>42397</v>
      </c>
      <c r="D220" s="189" t="s">
        <v>1111</v>
      </c>
      <c r="E220" s="189">
        <v>42397</v>
      </c>
      <c r="F220" s="190" t="s">
        <v>533</v>
      </c>
      <c r="G220" s="190" t="s">
        <v>405</v>
      </c>
      <c r="H220" s="208" t="s">
        <v>1204</v>
      </c>
      <c r="I220" s="251">
        <v>2000</v>
      </c>
      <c r="J220" s="251">
        <v>4050</v>
      </c>
      <c r="K220" s="38">
        <f>ROUND(I220*J220,0)</f>
        <v>8100000</v>
      </c>
      <c r="L220" s="192" t="s">
        <v>258</v>
      </c>
      <c r="M220" s="192" t="s">
        <v>173</v>
      </c>
      <c r="N220" s="52" t="str">
        <f>IF(AND('331-CT'!$E$7=TH!H220,OR(L220="331",M220="331")),"331",IF(AND(OR(L220="131",M220="131"),H220='131-CT'!$E$7),"131",""))</f>
        <v/>
      </c>
      <c r="O220" s="818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52"/>
      <c r="AB220" s="552"/>
      <c r="AC220" s="552"/>
    </row>
    <row r="221" spans="1:32" s="209" customFormat="1" ht="15.75" customHeight="1">
      <c r="A221" s="202" t="str">
        <f>IF(B221&lt;&gt;"",IF(AND(B221&gt;=_TM1,B221&lt;=_TM2,OR(TH!L221="1111",TH!M221="1111")),TH!D221,""),"")</f>
        <v/>
      </c>
      <c r="B221" s="36">
        <f t="shared" si="15"/>
        <v>1</v>
      </c>
      <c r="C221" s="182">
        <f t="shared" si="16"/>
        <v>42397</v>
      </c>
      <c r="D221" s="189" t="s">
        <v>1111</v>
      </c>
      <c r="E221" s="704">
        <v>42397</v>
      </c>
      <c r="F221" s="190" t="s">
        <v>531</v>
      </c>
      <c r="G221" s="190" t="s">
        <v>405</v>
      </c>
      <c r="H221" s="208" t="s">
        <v>1204</v>
      </c>
      <c r="I221" s="254">
        <v>300</v>
      </c>
      <c r="J221" s="254">
        <v>9350</v>
      </c>
      <c r="K221" s="38">
        <f>ROUND(I221*J221,0)</f>
        <v>2805000</v>
      </c>
      <c r="L221" s="192" t="s">
        <v>258</v>
      </c>
      <c r="M221" s="192" t="s">
        <v>173</v>
      </c>
      <c r="N221" s="52" t="str">
        <f>IF(AND('331-CT'!$E$7=TH!H221,OR(L221="331",M221="331")),"331",IF(AND(OR(L221="131",M221="131"),H221='131-CT'!$E$7),"131",""))</f>
        <v/>
      </c>
      <c r="O221" s="818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52"/>
      <c r="AB221" s="552"/>
      <c r="AC221" s="552"/>
    </row>
    <row r="222" spans="1:32" s="209" customFormat="1" ht="15.75" customHeight="1">
      <c r="A222" s="202" t="str">
        <f>IF(B222&lt;&gt;"",IF(AND(B222&gt;=_TM1,B222&lt;=_TM2,OR(TH!L222="1111",TH!M222="1111")),TH!D222,""),"")</f>
        <v/>
      </c>
      <c r="B222" s="36">
        <f t="shared" si="15"/>
        <v>1</v>
      </c>
      <c r="C222" s="182">
        <f t="shared" si="16"/>
        <v>42397</v>
      </c>
      <c r="D222" s="189" t="s">
        <v>1111</v>
      </c>
      <c r="E222" s="189">
        <v>42397</v>
      </c>
      <c r="F222" s="190" t="s">
        <v>525</v>
      </c>
      <c r="G222" s="451" t="s">
        <v>405</v>
      </c>
      <c r="H222" s="208" t="s">
        <v>1204</v>
      </c>
      <c r="I222" s="251"/>
      <c r="J222" s="251"/>
      <c r="K222" s="38">
        <v>1688900</v>
      </c>
      <c r="L222" s="192" t="s">
        <v>258</v>
      </c>
      <c r="M222" s="192" t="s">
        <v>367</v>
      </c>
      <c r="N222" s="52" t="str">
        <f>IF(AND('331-CT'!$E$7=TH!H222,OR(L222="331",M222="331")),"331",IF(AND(OR(L222="131",M222="131"),H222='131-CT'!$E$7),"131",""))</f>
        <v/>
      </c>
      <c r="O222" s="818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52"/>
      <c r="AB222" s="552"/>
      <c r="AC222" s="552"/>
      <c r="AD222" s="552"/>
    </row>
    <row r="223" spans="1:32" s="209" customFormat="1" ht="15.75" customHeight="1">
      <c r="A223" s="202" t="str">
        <f>IF(B223&lt;&gt;"",IF(AND(B223&gt;=_TM1,B223&lt;=_TM2,OR(TH!L223="1111",TH!M223="1111")),TH!D223,""),"")</f>
        <v/>
      </c>
      <c r="B223" s="36">
        <f t="shared" si="15"/>
        <v>1</v>
      </c>
      <c r="C223" s="182">
        <f t="shared" si="16"/>
        <v>42397</v>
      </c>
      <c r="D223" s="189" t="s">
        <v>1112</v>
      </c>
      <c r="E223" s="189">
        <v>42397</v>
      </c>
      <c r="F223" s="190" t="s">
        <v>448</v>
      </c>
      <c r="G223" s="190" t="s">
        <v>406</v>
      </c>
      <c r="H223" s="191" t="s">
        <v>557</v>
      </c>
      <c r="I223" s="251">
        <v>1004</v>
      </c>
      <c r="J223" s="251">
        <v>8500</v>
      </c>
      <c r="K223" s="38">
        <f>ROUND(I223*J223,0)</f>
        <v>8534000</v>
      </c>
      <c r="L223" s="192" t="s">
        <v>258</v>
      </c>
      <c r="M223" s="192" t="s">
        <v>173</v>
      </c>
      <c r="N223" s="52" t="str">
        <f>IF(AND('331-CT'!$E$7=TH!H223,OR(L223="331",M223="331")),"331",IF(AND(OR(L223="131",M223="131"),H223='131-CT'!$E$7),"131",""))</f>
        <v/>
      </c>
      <c r="O223" s="818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52"/>
      <c r="AB223" s="552"/>
      <c r="AC223" s="552"/>
      <c r="AD223" s="552"/>
    </row>
    <row r="224" spans="1:32" s="209" customFormat="1" ht="15.75" customHeight="1">
      <c r="A224" s="202" t="str">
        <f>IF(B224&lt;&gt;"",IF(AND(B224&gt;=_TM1,B224&lt;=_TM2,OR(TH!L224="1111",TH!M224="1111")),TH!D224,""),"")</f>
        <v/>
      </c>
      <c r="B224" s="36">
        <f t="shared" si="15"/>
        <v>1</v>
      </c>
      <c r="C224" s="182">
        <f t="shared" si="16"/>
        <v>42397</v>
      </c>
      <c r="D224" s="189" t="s">
        <v>1112</v>
      </c>
      <c r="E224" s="189">
        <v>42397</v>
      </c>
      <c r="F224" s="190" t="s">
        <v>1241</v>
      </c>
      <c r="G224" s="451" t="s">
        <v>406</v>
      </c>
      <c r="H224" s="191" t="s">
        <v>557</v>
      </c>
      <c r="I224" s="251">
        <v>1004</v>
      </c>
      <c r="J224" s="251">
        <v>1020</v>
      </c>
      <c r="K224" s="38">
        <f>ROUND(I224*J224,0)</f>
        <v>1024080</v>
      </c>
      <c r="L224" s="192" t="s">
        <v>258</v>
      </c>
      <c r="M224" s="192" t="s">
        <v>173</v>
      </c>
      <c r="N224" s="52" t="str">
        <f>IF(AND('331-CT'!$E$7=TH!H224,OR(L224="331",M224="331")),"331",IF(AND(OR(L224="131",M224="131"),H224='131-CT'!$E$7),"131",""))</f>
        <v/>
      </c>
      <c r="O224" s="818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52"/>
      <c r="AB224" s="552"/>
      <c r="AC224" s="552"/>
    </row>
    <row r="225" spans="1:30" s="209" customFormat="1" ht="15.75" customHeight="1">
      <c r="A225" s="202" t="str">
        <f>IF(B225&lt;&gt;"",IF(AND(B225&gt;=_TM1,B225&lt;=_TM2,OR(TH!L225="1111",TH!M225="1111")),TH!D225,""),"")</f>
        <v/>
      </c>
      <c r="B225" s="36">
        <f t="shared" si="15"/>
        <v>1</v>
      </c>
      <c r="C225" s="182">
        <f t="shared" si="16"/>
        <v>42397</v>
      </c>
      <c r="D225" s="189" t="s">
        <v>1112</v>
      </c>
      <c r="E225" s="189">
        <v>42397</v>
      </c>
      <c r="F225" s="190" t="s">
        <v>910</v>
      </c>
      <c r="G225" s="190" t="s">
        <v>406</v>
      </c>
      <c r="H225" s="191" t="s">
        <v>557</v>
      </c>
      <c r="I225" s="251">
        <v>502</v>
      </c>
      <c r="J225" s="251">
        <v>9700</v>
      </c>
      <c r="K225" s="38">
        <f>ROUND(I225*J225,0)</f>
        <v>4869400</v>
      </c>
      <c r="L225" s="192" t="s">
        <v>258</v>
      </c>
      <c r="M225" s="192" t="s">
        <v>173</v>
      </c>
      <c r="N225" s="52" t="str">
        <f>IF(AND('331-CT'!$E$7=TH!H225,OR(L225="331",M225="331")),"331",IF(AND(OR(L225="131",M225="131"),H225='131-CT'!$E$7),"131",""))</f>
        <v/>
      </c>
      <c r="O225" s="818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52"/>
      <c r="AB225" s="552"/>
      <c r="AC225" s="552"/>
    </row>
    <row r="226" spans="1:30" s="209" customFormat="1" ht="15.75" customHeight="1">
      <c r="A226" s="202" t="str">
        <f>IF(B226&lt;&gt;"",IF(AND(B226&gt;=_TM1,B226&lt;=_TM2,OR(TH!L226="1111",TH!M226="1111")),TH!D226,""),"")</f>
        <v/>
      </c>
      <c r="B226" s="36">
        <f t="shared" si="15"/>
        <v>1</v>
      </c>
      <c r="C226" s="182">
        <f t="shared" si="16"/>
        <v>42397</v>
      </c>
      <c r="D226" s="189" t="s">
        <v>1112</v>
      </c>
      <c r="E226" s="189">
        <v>42397</v>
      </c>
      <c r="F226" s="190" t="s">
        <v>1237</v>
      </c>
      <c r="G226" s="190" t="s">
        <v>406</v>
      </c>
      <c r="H226" s="191" t="s">
        <v>557</v>
      </c>
      <c r="I226" s="251">
        <v>502</v>
      </c>
      <c r="J226" s="251">
        <v>900</v>
      </c>
      <c r="K226" s="38">
        <f>ROUND(I226*J226,0)</f>
        <v>451800</v>
      </c>
      <c r="L226" s="192" t="s">
        <v>258</v>
      </c>
      <c r="M226" s="192" t="s">
        <v>173</v>
      </c>
      <c r="N226" s="52" t="str">
        <f>IF(AND('331-CT'!$E$7=TH!H226,OR(L226="331",M226="331")),"331",IF(AND(OR(L226="131",M226="131"),H226='131-CT'!$E$7),"131",""))</f>
        <v/>
      </c>
      <c r="O226" s="818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52"/>
      <c r="AB226" s="552"/>
    </row>
    <row r="227" spans="1:30" s="209" customFormat="1" ht="15.75" customHeight="1">
      <c r="A227" s="202" t="str">
        <f>IF(B227&lt;&gt;"",IF(AND(B227&gt;=_TM1,B227&lt;=_TM2,OR(TH!L227="1111",TH!M227="1111")),TH!D227,""),"")</f>
        <v/>
      </c>
      <c r="B227" s="36">
        <f t="shared" si="15"/>
        <v>1</v>
      </c>
      <c r="C227" s="182">
        <f t="shared" si="16"/>
        <v>42397</v>
      </c>
      <c r="D227" s="189" t="s">
        <v>1112</v>
      </c>
      <c r="E227" s="189">
        <v>42397</v>
      </c>
      <c r="F227" s="190" t="s">
        <v>393</v>
      </c>
      <c r="G227" s="190" t="s">
        <v>406</v>
      </c>
      <c r="H227" s="191" t="s">
        <v>557</v>
      </c>
      <c r="I227" s="251"/>
      <c r="J227" s="251"/>
      <c r="K227" s="38">
        <v>1487928</v>
      </c>
      <c r="L227" s="192" t="s">
        <v>258</v>
      </c>
      <c r="M227" s="192" t="s">
        <v>367</v>
      </c>
      <c r="N227" s="52" t="str">
        <f>IF(AND('331-CT'!$E$7=TH!H227,OR(L227="331",M227="331")),"331",IF(AND(OR(L227="131",M227="131"),H227='131-CT'!$E$7),"131",""))</f>
        <v/>
      </c>
      <c r="O227" s="818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52"/>
      <c r="AB227" s="552"/>
      <c r="AC227" s="552"/>
    </row>
    <row r="228" spans="1:30" s="209" customFormat="1" ht="15.75" customHeight="1">
      <c r="A228" s="202" t="str">
        <f>IF(B228&lt;&gt;"",IF(AND(B228&gt;=_TM1,B228&lt;=_TM2,OR(TH!L228="1111",TH!M228="1111")),TH!D228,""),"")</f>
        <v/>
      </c>
      <c r="B228" s="36">
        <f t="shared" si="15"/>
        <v>1</v>
      </c>
      <c r="C228" s="182">
        <f t="shared" si="16"/>
        <v>42397</v>
      </c>
      <c r="D228" s="189" t="s">
        <v>1113</v>
      </c>
      <c r="E228" s="189">
        <v>42397</v>
      </c>
      <c r="F228" s="190" t="s">
        <v>638</v>
      </c>
      <c r="G228" s="190" t="s">
        <v>409</v>
      </c>
      <c r="H228" s="7" t="s">
        <v>788</v>
      </c>
      <c r="I228" s="252">
        <v>210</v>
      </c>
      <c r="J228" s="252">
        <v>6000</v>
      </c>
      <c r="K228" s="38">
        <f>ROUND(I228*J228,0)</f>
        <v>1260000</v>
      </c>
      <c r="L228" s="192" t="s">
        <v>258</v>
      </c>
      <c r="M228" s="192" t="s">
        <v>173</v>
      </c>
      <c r="N228" s="52" t="str">
        <f>IF(AND('331-CT'!$E$7=TH!H228,OR(L228="331",M228="331")),"331",IF(AND(OR(L228="131",M228="131"),H228='131-CT'!$E$7),"131",""))</f>
        <v/>
      </c>
      <c r="O228" s="818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52"/>
      <c r="AB228" s="552"/>
      <c r="AC228" s="552"/>
    </row>
    <row r="229" spans="1:30" s="209" customFormat="1" ht="15.75" customHeight="1">
      <c r="A229" s="202" t="str">
        <f>IF(B229&lt;&gt;"",IF(AND(B229&gt;=_TM1,B229&lt;=_TM2,OR(TH!L229="1111",TH!M229="1111")),TH!D229,""),"")</f>
        <v/>
      </c>
      <c r="B229" s="36">
        <f t="shared" si="15"/>
        <v>1</v>
      </c>
      <c r="C229" s="182">
        <f t="shared" si="16"/>
        <v>42397</v>
      </c>
      <c r="D229" s="189" t="s">
        <v>1113</v>
      </c>
      <c r="E229" s="189">
        <v>42397</v>
      </c>
      <c r="F229" s="190" t="s">
        <v>639</v>
      </c>
      <c r="G229" s="190" t="s">
        <v>409</v>
      </c>
      <c r="H229" s="7" t="s">
        <v>788</v>
      </c>
      <c r="I229" s="251">
        <v>309</v>
      </c>
      <c r="J229" s="251">
        <v>6600</v>
      </c>
      <c r="K229" s="38">
        <f>ROUND(I229*J229,0)</f>
        <v>2039400</v>
      </c>
      <c r="L229" s="192" t="s">
        <v>258</v>
      </c>
      <c r="M229" s="192" t="s">
        <v>173</v>
      </c>
      <c r="N229" s="52" t="str">
        <f>IF(AND('331-CT'!$E$7=TH!H229,OR(L229="331",M229="331")),"331",IF(AND(OR(L229="131",M229="131"),H229='131-CT'!$E$7),"131",""))</f>
        <v/>
      </c>
      <c r="O229" s="818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52"/>
      <c r="AB229" s="552"/>
      <c r="AC229" s="552"/>
    </row>
    <row r="230" spans="1:30" s="209" customFormat="1" ht="15.75" customHeight="1">
      <c r="A230" s="202" t="str">
        <f>IF(B230&lt;&gt;"",IF(AND(B230&gt;=_TM1,B230&lt;=_TM2,OR(TH!L230="1111",TH!M230="1111")),TH!D230,""),"")</f>
        <v/>
      </c>
      <c r="B230" s="36">
        <f t="shared" si="15"/>
        <v>1</v>
      </c>
      <c r="C230" s="182">
        <f t="shared" si="16"/>
        <v>42397</v>
      </c>
      <c r="D230" s="189" t="s">
        <v>1113</v>
      </c>
      <c r="E230" s="189">
        <v>42397</v>
      </c>
      <c r="F230" s="190" t="s">
        <v>393</v>
      </c>
      <c r="G230" s="190" t="s">
        <v>409</v>
      </c>
      <c r="H230" s="7" t="s">
        <v>788</v>
      </c>
      <c r="I230" s="252"/>
      <c r="J230" s="252"/>
      <c r="K230" s="38">
        <v>329940</v>
      </c>
      <c r="L230" s="192" t="s">
        <v>258</v>
      </c>
      <c r="M230" s="192" t="s">
        <v>367</v>
      </c>
      <c r="N230" s="52" t="str">
        <f>IF(AND('331-CT'!$E$7=TH!H230,OR(L230="331",M230="331")),"331",IF(AND(OR(L230="131",M230="131"),H230='131-CT'!$E$7),"131",""))</f>
        <v/>
      </c>
      <c r="O230" s="818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52"/>
      <c r="AB230" s="552"/>
      <c r="AC230" s="552"/>
    </row>
    <row r="231" spans="1:30" s="209" customFormat="1" ht="15.75" customHeight="1">
      <c r="A231" s="202" t="str">
        <f>IF(B231&lt;&gt;"",IF(AND(B231&gt;=_TM1,B231&lt;=_TM2,OR(TH!L231="1111",TH!M231="1111")),TH!D231,""),"")</f>
        <v/>
      </c>
      <c r="B231" s="36">
        <f t="shared" si="15"/>
        <v>1</v>
      </c>
      <c r="C231" s="182">
        <f t="shared" si="16"/>
        <v>42397</v>
      </c>
      <c r="D231" s="189" t="s">
        <v>1114</v>
      </c>
      <c r="E231" s="189">
        <v>42397</v>
      </c>
      <c r="F231" s="190" t="s">
        <v>911</v>
      </c>
      <c r="G231" s="190" t="s">
        <v>412</v>
      </c>
      <c r="H231" s="7" t="s">
        <v>784</v>
      </c>
      <c r="I231" s="251">
        <v>206</v>
      </c>
      <c r="J231" s="251">
        <v>23200</v>
      </c>
      <c r="K231" s="38">
        <f>ROUND(I231*J231,0)</f>
        <v>4779200</v>
      </c>
      <c r="L231" s="192" t="s">
        <v>258</v>
      </c>
      <c r="M231" s="192" t="s">
        <v>173</v>
      </c>
      <c r="N231" s="52" t="str">
        <f>IF(AND('331-CT'!$E$7=TH!H231,OR(L231="331",M231="331")),"331",IF(AND(OR(L231="131",M231="131"),H231='131-CT'!$E$7),"131",""))</f>
        <v/>
      </c>
      <c r="O231" s="818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52"/>
      <c r="AB231" s="552"/>
      <c r="AC231" s="552"/>
    </row>
    <row r="232" spans="1:30" s="209" customFormat="1" ht="15.75" customHeight="1">
      <c r="A232" s="202" t="str">
        <f>IF(B232&lt;&gt;"",IF(AND(B232&gt;=_TM1,B232&lt;=_TM2,OR(TH!L232="1111",TH!M232="1111")),TH!D232,""),"")</f>
        <v/>
      </c>
      <c r="B232" s="36">
        <f t="shared" si="15"/>
        <v>1</v>
      </c>
      <c r="C232" s="182">
        <f t="shared" si="16"/>
        <v>42397</v>
      </c>
      <c r="D232" s="189" t="s">
        <v>1114</v>
      </c>
      <c r="E232" s="189">
        <v>42397</v>
      </c>
      <c r="F232" s="190" t="s">
        <v>1242</v>
      </c>
      <c r="G232" s="190" t="s">
        <v>412</v>
      </c>
      <c r="H232" s="7" t="s">
        <v>784</v>
      </c>
      <c r="I232" s="252">
        <v>500</v>
      </c>
      <c r="J232" s="252">
        <v>2200</v>
      </c>
      <c r="K232" s="38">
        <f>ROUND(I232*J232,0)</f>
        <v>1100000</v>
      </c>
      <c r="L232" s="192" t="s">
        <v>258</v>
      </c>
      <c r="M232" s="192" t="s">
        <v>173</v>
      </c>
      <c r="N232" s="52" t="str">
        <f>IF(AND('331-CT'!$E$7=TH!H232,OR(L232="331",M232="331")),"331",IF(AND(OR(L232="131",M232="131"),H232='131-CT'!$E$7),"131",""))</f>
        <v/>
      </c>
      <c r="O232" s="818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52"/>
      <c r="AB232" s="552"/>
      <c r="AC232" s="552"/>
    </row>
    <row r="233" spans="1:30" s="209" customFormat="1" ht="15.75" customHeight="1">
      <c r="A233" s="202" t="str">
        <f>IF(B233&lt;&gt;"",IF(AND(B233&gt;=_TM1,B233&lt;=_TM2,OR(TH!L233="1111",TH!M233="1111")),TH!D233,""),"")</f>
        <v/>
      </c>
      <c r="B233" s="36">
        <f t="shared" si="15"/>
        <v>1</v>
      </c>
      <c r="C233" s="182">
        <f t="shared" si="16"/>
        <v>42397</v>
      </c>
      <c r="D233" s="189" t="s">
        <v>1114</v>
      </c>
      <c r="E233" s="189">
        <v>42397</v>
      </c>
      <c r="F233" s="190" t="s">
        <v>1243</v>
      </c>
      <c r="G233" s="451" t="s">
        <v>412</v>
      </c>
      <c r="H233" s="7" t="s">
        <v>784</v>
      </c>
      <c r="I233" s="251">
        <v>1500</v>
      </c>
      <c r="J233" s="251">
        <v>3300</v>
      </c>
      <c r="K233" s="38">
        <f>ROUND(I233*J233,0)</f>
        <v>4950000</v>
      </c>
      <c r="L233" s="192" t="s">
        <v>258</v>
      </c>
      <c r="M233" s="192" t="s">
        <v>173</v>
      </c>
      <c r="N233" s="52" t="str">
        <f>IF(AND('331-CT'!$E$7=TH!H233,OR(L233="331",M233="331")),"331",IF(AND(OR(L233="131",M233="131"),H233='131-CT'!$E$7),"131",""))</f>
        <v/>
      </c>
      <c r="O233" s="818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52"/>
      <c r="AB233" s="552"/>
      <c r="AC233" s="552"/>
    </row>
    <row r="234" spans="1:30" s="209" customFormat="1" ht="15.75" customHeight="1">
      <c r="A234" s="202" t="str">
        <f>IF(B234&lt;&gt;"",IF(AND(B234&gt;=_TM1,B234&lt;=_TM2,OR(TH!L234="1111",TH!M234="1111")),TH!D234,""),"")</f>
        <v/>
      </c>
      <c r="B234" s="36">
        <f t="shared" si="15"/>
        <v>1</v>
      </c>
      <c r="C234" s="182">
        <f t="shared" si="16"/>
        <v>42397</v>
      </c>
      <c r="D234" s="189" t="s">
        <v>1114</v>
      </c>
      <c r="E234" s="189">
        <v>42397</v>
      </c>
      <c r="F234" s="190" t="s">
        <v>393</v>
      </c>
      <c r="G234" s="190" t="s">
        <v>412</v>
      </c>
      <c r="H234" s="7" t="s">
        <v>784</v>
      </c>
      <c r="I234" s="251"/>
      <c r="J234" s="251"/>
      <c r="K234" s="38">
        <v>1082920</v>
      </c>
      <c r="L234" s="192" t="s">
        <v>258</v>
      </c>
      <c r="M234" s="192" t="s">
        <v>367</v>
      </c>
      <c r="N234" s="52" t="str">
        <f>IF(AND('331-CT'!$E$7=TH!H234,OR(L234="331",M234="331")),"331",IF(AND(OR(L234="131",M234="131"),H234='131-CT'!$E$7),"131",""))</f>
        <v/>
      </c>
      <c r="O234" s="818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52"/>
      <c r="AB234" s="552"/>
      <c r="AC234" s="552"/>
    </row>
    <row r="235" spans="1:30" s="209" customFormat="1" ht="15.75" customHeight="1">
      <c r="A235" s="202" t="str">
        <f>IF(B235&lt;&gt;"",IF(AND(B235&gt;=_TM1,B235&lt;=_TM2,OR(TH!L235="1111",TH!M235="1111")),TH!D235,""),"")</f>
        <v/>
      </c>
      <c r="B235" s="36">
        <f t="shared" si="15"/>
        <v>1</v>
      </c>
      <c r="C235" s="182">
        <f t="shared" si="16"/>
        <v>42397</v>
      </c>
      <c r="D235" s="189" t="s">
        <v>1115</v>
      </c>
      <c r="E235" s="189">
        <v>42397</v>
      </c>
      <c r="F235" s="190" t="s">
        <v>1237</v>
      </c>
      <c r="G235" s="451" t="s">
        <v>413</v>
      </c>
      <c r="H235" s="191" t="s">
        <v>557</v>
      </c>
      <c r="I235" s="251">
        <v>502</v>
      </c>
      <c r="J235" s="251">
        <v>900</v>
      </c>
      <c r="K235" s="38">
        <f>ROUND(I235*J235,0)</f>
        <v>451800</v>
      </c>
      <c r="L235" s="192" t="s">
        <v>258</v>
      </c>
      <c r="M235" s="192" t="s">
        <v>173</v>
      </c>
      <c r="N235" s="52" t="str">
        <f>IF(AND('331-CT'!$E$7=TH!H235,OR(L235="331",M235="331")),"331",IF(AND(OR(L235="131",M235="131"),H235='131-CT'!$E$7),"131",""))</f>
        <v/>
      </c>
      <c r="O235" s="818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52"/>
      <c r="AB235" s="552"/>
      <c r="AC235" s="552"/>
    </row>
    <row r="236" spans="1:30" s="209" customFormat="1" ht="15.75" customHeight="1">
      <c r="A236" s="202" t="str">
        <f>IF(B236&lt;&gt;"",IF(AND(B236&gt;=_TM1,B236&lt;=_TM2,OR(TH!L236="1111",TH!M236="1111")),TH!D236,""),"")</f>
        <v/>
      </c>
      <c r="B236" s="36">
        <f t="shared" si="15"/>
        <v>1</v>
      </c>
      <c r="C236" s="182">
        <f t="shared" si="16"/>
        <v>42397</v>
      </c>
      <c r="D236" s="189" t="s">
        <v>1115</v>
      </c>
      <c r="E236" s="189">
        <v>42397</v>
      </c>
      <c r="F236" s="190" t="s">
        <v>657</v>
      </c>
      <c r="G236" s="190" t="s">
        <v>413</v>
      </c>
      <c r="H236" s="191" t="s">
        <v>557</v>
      </c>
      <c r="I236" s="251"/>
      <c r="J236" s="251"/>
      <c r="K236" s="38">
        <v>45180</v>
      </c>
      <c r="L236" s="192" t="s">
        <v>258</v>
      </c>
      <c r="M236" s="192" t="s">
        <v>367</v>
      </c>
      <c r="N236" s="52" t="str">
        <f>IF(AND('331-CT'!$E$7=TH!H236,OR(L236="331",M236="331")),"331",IF(AND(OR(L236="131",M236="131"),H236='131-CT'!$E$7),"131",""))</f>
        <v/>
      </c>
      <c r="O236" s="818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52"/>
      <c r="AB236" s="552"/>
      <c r="AC236" s="552"/>
    </row>
    <row r="237" spans="1:30" s="209" customFormat="1" ht="15.75" customHeight="1">
      <c r="A237" s="202" t="str">
        <f>IF(B237&lt;&gt;"",IF(AND(B237&gt;=_TM1,B237&lt;=_TM2,OR(TH!L237="1111",TH!M237="1111")),TH!D237,""),"")</f>
        <v/>
      </c>
      <c r="B237" s="36">
        <f t="shared" si="15"/>
        <v>1</v>
      </c>
      <c r="C237" s="182">
        <f t="shared" si="16"/>
        <v>42397</v>
      </c>
      <c r="D237" s="189" t="s">
        <v>1116</v>
      </c>
      <c r="E237" s="189">
        <v>42397</v>
      </c>
      <c r="F237" s="187" t="s">
        <v>1308</v>
      </c>
      <c r="G237" s="451" t="s">
        <v>416</v>
      </c>
      <c r="H237" s="191" t="s">
        <v>615</v>
      </c>
      <c r="I237" s="251">
        <v>50</v>
      </c>
      <c r="J237" s="251">
        <v>16500</v>
      </c>
      <c r="K237" s="38">
        <f>ROUND(I237*J237,0)</f>
        <v>825000</v>
      </c>
      <c r="L237" s="192" t="s">
        <v>258</v>
      </c>
      <c r="M237" s="192" t="s">
        <v>173</v>
      </c>
      <c r="N237" s="52" t="str">
        <f>IF(AND('331-CT'!$E$7=TH!H237,OR(L237="331",M237="331")),"331",IF(AND(OR(L237="131",M237="131"),H237='131-CT'!$E$7),"131",""))</f>
        <v/>
      </c>
      <c r="O237" s="818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52"/>
      <c r="AB237" s="552"/>
    </row>
    <row r="238" spans="1:30" s="209" customFormat="1" ht="15.75" customHeight="1">
      <c r="A238" s="202" t="str">
        <f>IF(B238&lt;&gt;"",IF(AND(B238&gt;=_TM1,B238&lt;=_TM2,OR(TH!L238="1111",TH!M238="1111")),TH!D238,""),"")</f>
        <v/>
      </c>
      <c r="B238" s="36">
        <f t="shared" si="15"/>
        <v>1</v>
      </c>
      <c r="C238" s="182">
        <f t="shared" si="16"/>
        <v>42397</v>
      </c>
      <c r="D238" s="189" t="s">
        <v>1116</v>
      </c>
      <c r="E238" s="189">
        <v>42397</v>
      </c>
      <c r="F238" s="190" t="s">
        <v>393</v>
      </c>
      <c r="G238" s="190" t="s">
        <v>416</v>
      </c>
      <c r="H238" s="191" t="s">
        <v>615</v>
      </c>
      <c r="I238" s="252"/>
      <c r="J238" s="252"/>
      <c r="K238" s="38">
        <v>82500</v>
      </c>
      <c r="L238" s="192" t="s">
        <v>258</v>
      </c>
      <c r="M238" s="192" t="s">
        <v>367</v>
      </c>
      <c r="N238" s="52" t="str">
        <f>IF(AND('331-CT'!$E$7=TH!H238,OR(L238="331",M238="331")),"331",IF(AND(OR(L238="131",M238="131"),H238='131-CT'!$E$7),"131",""))</f>
        <v/>
      </c>
      <c r="O238" s="818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52"/>
      <c r="AB238" s="552"/>
      <c r="AC238" s="552"/>
      <c r="AD238" s="552"/>
    </row>
    <row r="239" spans="1:30" s="209" customFormat="1" ht="15.75" customHeight="1">
      <c r="A239" s="202" t="str">
        <f>IF(B239&lt;&gt;"",IF(AND(B239&gt;=_TM1,B239&lt;=_TM2,OR(TH!L239="1111",TH!M239="1111")),TH!D239,""),"")</f>
        <v/>
      </c>
      <c r="B239" s="36">
        <f t="shared" si="15"/>
        <v>1</v>
      </c>
      <c r="C239" s="182">
        <f t="shared" si="16"/>
        <v>42397</v>
      </c>
      <c r="D239" s="189" t="s">
        <v>1117</v>
      </c>
      <c r="E239" s="189">
        <v>42397</v>
      </c>
      <c r="F239" s="190" t="s">
        <v>912</v>
      </c>
      <c r="G239" s="451" t="s">
        <v>689</v>
      </c>
      <c r="H239" s="191" t="s">
        <v>527</v>
      </c>
      <c r="I239" s="251">
        <v>59</v>
      </c>
      <c r="J239" s="251">
        <v>73100</v>
      </c>
      <c r="K239" s="38">
        <f>ROUND(I239*J239,0)</f>
        <v>4312900</v>
      </c>
      <c r="L239" s="192" t="s">
        <v>258</v>
      </c>
      <c r="M239" s="192" t="s">
        <v>173</v>
      </c>
      <c r="N239" s="52" t="str">
        <f>IF(AND('331-CT'!$E$7=TH!H239,OR(L239="331",M239="331")),"331",IF(AND(OR(L239="131",M239="131"),H239='131-CT'!$E$7),"131",""))</f>
        <v/>
      </c>
      <c r="O239" s="818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52"/>
      <c r="AB239" s="552"/>
      <c r="AC239" s="552"/>
      <c r="AD239" s="552"/>
    </row>
    <row r="240" spans="1:30" s="209" customFormat="1" ht="15.75" customHeight="1">
      <c r="A240" s="202" t="str">
        <f>IF(B240&lt;&gt;"",IF(AND(B240&gt;=_TM1,B240&lt;=_TM2,OR(TH!L240="1111",TH!M240="1111")),TH!D240,""),"")</f>
        <v/>
      </c>
      <c r="B240" s="36">
        <f t="shared" si="15"/>
        <v>1</v>
      </c>
      <c r="C240" s="182">
        <f t="shared" si="16"/>
        <v>42397</v>
      </c>
      <c r="D240" s="189" t="s">
        <v>1117</v>
      </c>
      <c r="E240" s="189">
        <v>42397</v>
      </c>
      <c r="F240" s="190" t="s">
        <v>663</v>
      </c>
      <c r="G240" s="190" t="s">
        <v>689</v>
      </c>
      <c r="H240" s="208" t="s">
        <v>527</v>
      </c>
      <c r="I240" s="252">
        <v>100</v>
      </c>
      <c r="J240" s="252">
        <v>11534</v>
      </c>
      <c r="K240" s="38">
        <f>ROUND(I240*J240,0)</f>
        <v>1153400</v>
      </c>
      <c r="L240" s="192" t="s">
        <v>258</v>
      </c>
      <c r="M240" s="192" t="s">
        <v>173</v>
      </c>
      <c r="N240" s="52" t="str">
        <f>IF(AND('331-CT'!$E$7=TH!H240,OR(L240="331",M240="331")),"331",IF(AND(OR(L240="131",M240="131"),H240='131-CT'!$E$7),"131",""))</f>
        <v/>
      </c>
      <c r="O240" s="818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52"/>
      <c r="AB240" s="552"/>
      <c r="AC240" s="552"/>
      <c r="AD240" s="552"/>
    </row>
    <row r="241" spans="1:32" s="209" customFormat="1" ht="15.75" customHeight="1">
      <c r="A241" s="202" t="str">
        <f>IF(B241&lt;&gt;"",IF(AND(B241&gt;=_TM1,B241&lt;=_TM2,OR(TH!L241="1111",TH!M241="1111")),TH!D241,""),"")</f>
        <v/>
      </c>
      <c r="B241" s="36">
        <f t="shared" si="15"/>
        <v>1</v>
      </c>
      <c r="C241" s="182">
        <f t="shared" si="16"/>
        <v>42397</v>
      </c>
      <c r="D241" s="189" t="s">
        <v>1117</v>
      </c>
      <c r="E241" s="189">
        <v>42397</v>
      </c>
      <c r="F241" s="190" t="s">
        <v>913</v>
      </c>
      <c r="G241" s="190" t="s">
        <v>689</v>
      </c>
      <c r="H241" s="191" t="s">
        <v>527</v>
      </c>
      <c r="I241" s="251">
        <v>37</v>
      </c>
      <c r="J241" s="251">
        <v>22367</v>
      </c>
      <c r="K241" s="38">
        <f>ROUND(I241*J241,0)</f>
        <v>827579</v>
      </c>
      <c r="L241" s="192" t="s">
        <v>258</v>
      </c>
      <c r="M241" s="192" t="s">
        <v>173</v>
      </c>
      <c r="N241" s="52" t="str">
        <f>IF(AND('331-CT'!$E$7=TH!H241,OR(L241="331",M241="331")),"331",IF(AND(OR(L241="131",M241="131"),H241='131-CT'!$E$7),"131",""))</f>
        <v/>
      </c>
      <c r="O241" s="818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52"/>
      <c r="AB241" s="552"/>
      <c r="AC241" s="552"/>
      <c r="AD241" s="552"/>
    </row>
    <row r="242" spans="1:32" s="209" customFormat="1" ht="15.75" customHeight="1">
      <c r="A242" s="202" t="str">
        <f>IF(B242&lt;&gt;"",IF(AND(B242&gt;=_TM1,B242&lt;=_TM2,OR(TH!L242="1111",TH!M242="1111")),TH!D242,""),"")</f>
        <v/>
      </c>
      <c r="B242" s="36">
        <f t="shared" si="15"/>
        <v>1</v>
      </c>
      <c r="C242" s="182">
        <f t="shared" si="16"/>
        <v>42397</v>
      </c>
      <c r="D242" s="189" t="s">
        <v>1117</v>
      </c>
      <c r="E242" s="189">
        <v>42397</v>
      </c>
      <c r="F242" s="190" t="s">
        <v>418</v>
      </c>
      <c r="G242" s="190" t="s">
        <v>689</v>
      </c>
      <c r="H242" s="208" t="s">
        <v>527</v>
      </c>
      <c r="I242" s="252">
        <v>131</v>
      </c>
      <c r="J242" s="252">
        <v>47449</v>
      </c>
      <c r="K242" s="38">
        <f>ROUND(I242*J242,0)</f>
        <v>6215819</v>
      </c>
      <c r="L242" s="192" t="s">
        <v>258</v>
      </c>
      <c r="M242" s="192" t="s">
        <v>173</v>
      </c>
      <c r="N242" s="52" t="str">
        <f>IF(AND('331-CT'!$E$7=TH!H242,OR(L242="331",M242="331")),"331",IF(AND(OR(L242="131",M242="131"),H242='131-CT'!$E$7),"131",""))</f>
        <v/>
      </c>
      <c r="O242" s="818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52"/>
      <c r="AB242" s="552"/>
      <c r="AC242" s="552"/>
      <c r="AD242" s="552"/>
    </row>
    <row r="243" spans="1:32" s="209" customFormat="1" ht="15.75" customHeight="1">
      <c r="A243" s="202" t="str">
        <f>IF(B243&lt;&gt;"",IF(AND(B243&gt;=_TM1,B243&lt;=_TM2,OR(TH!L243="1111",TH!M243="1111")),TH!D243,""),"")</f>
        <v/>
      </c>
      <c r="B243" s="36">
        <f t="shared" si="15"/>
        <v>1</v>
      </c>
      <c r="C243" s="182">
        <f t="shared" si="16"/>
        <v>42397</v>
      </c>
      <c r="D243" s="189" t="s">
        <v>1117</v>
      </c>
      <c r="E243" s="189">
        <v>42397</v>
      </c>
      <c r="F243" s="190" t="s">
        <v>393</v>
      </c>
      <c r="G243" s="190" t="s">
        <v>689</v>
      </c>
      <c r="H243" s="191" t="s">
        <v>527</v>
      </c>
      <c r="I243" s="251"/>
      <c r="J243" s="251"/>
      <c r="K243" s="38">
        <v>1250970</v>
      </c>
      <c r="L243" s="192" t="s">
        <v>258</v>
      </c>
      <c r="M243" s="192" t="s">
        <v>367</v>
      </c>
      <c r="N243" s="52" t="str">
        <f>IF(AND('331-CT'!$E$7=TH!H243,OR(L243="331",M243="331")),"331",IF(AND(OR(L243="131",M243="131"),H243='131-CT'!$E$7),"131",""))</f>
        <v/>
      </c>
      <c r="O243" s="818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52"/>
      <c r="AB243" s="552"/>
      <c r="AC243" s="552"/>
      <c r="AD243" s="552"/>
    </row>
    <row r="244" spans="1:32" s="209" customFormat="1" ht="15.75" customHeight="1">
      <c r="A244" s="202" t="str">
        <f>IF(B244&lt;&gt;"",IF(AND(B244&gt;=_TM1,B244&lt;=_TM2,OR(TH!L244="1111",TH!M244="1111")),TH!D244,""),"")</f>
        <v/>
      </c>
      <c r="B244" s="36">
        <f t="shared" si="15"/>
        <v>1</v>
      </c>
      <c r="C244" s="182">
        <f t="shared" si="16"/>
        <v>42398</v>
      </c>
      <c r="D244" s="182" t="s">
        <v>665</v>
      </c>
      <c r="E244" s="182">
        <v>42398</v>
      </c>
      <c r="F244" s="187" t="s">
        <v>666</v>
      </c>
      <c r="G244" s="448" t="s">
        <v>330</v>
      </c>
      <c r="H244" s="7" t="s">
        <v>664</v>
      </c>
      <c r="I244" s="251"/>
      <c r="J244" s="251"/>
      <c r="K244" s="560">
        <v>28801080</v>
      </c>
      <c r="L244" s="561" t="s">
        <v>24</v>
      </c>
      <c r="M244" s="561" t="s">
        <v>258</v>
      </c>
      <c r="N244" s="52" t="str">
        <f>IF(AND('331-CT'!$E$7=TH!H244,OR(L244="331",M244="331")),"331",IF(AND(OR(L244="131",M244="131"),H244='131-CT'!$E$7),"131",""))</f>
        <v/>
      </c>
      <c r="O244" s="818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52"/>
      <c r="AB244" s="552"/>
      <c r="AE244" s="552"/>
      <c r="AF244" s="552"/>
    </row>
    <row r="245" spans="1:32" s="209" customFormat="1" ht="15.75" customHeight="1">
      <c r="A245" s="202" t="str">
        <f>IF(B245&lt;&gt;"",IF(AND(B245&gt;=_TM1,B245&lt;=_TM2,OR(TH!L245="1111",TH!M245="1111")),TH!D245,""),"")</f>
        <v/>
      </c>
      <c r="B245" s="36">
        <f t="shared" si="15"/>
        <v>1</v>
      </c>
      <c r="C245" s="182">
        <f t="shared" si="16"/>
        <v>42398</v>
      </c>
      <c r="D245" s="182" t="s">
        <v>665</v>
      </c>
      <c r="E245" s="182">
        <v>42398</v>
      </c>
      <c r="F245" s="187" t="s">
        <v>672</v>
      </c>
      <c r="G245" s="448" t="s">
        <v>330</v>
      </c>
      <c r="H245" s="7" t="s">
        <v>664</v>
      </c>
      <c r="I245" s="251"/>
      <c r="J245" s="251"/>
      <c r="K245" s="560">
        <v>22000</v>
      </c>
      <c r="L245" s="561" t="s">
        <v>83</v>
      </c>
      <c r="M245" s="561" t="s">
        <v>258</v>
      </c>
      <c r="N245" s="52" t="str">
        <f>IF(AND('331-CT'!$E$7=TH!H245,OR(L245="331",M245="331")),"331",IF(AND(OR(L245="131",M245="131"),H245='131-CT'!$E$7),"131",""))</f>
        <v/>
      </c>
      <c r="O245" s="818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>x</v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52"/>
      <c r="AB245" s="552"/>
      <c r="AE245" s="552"/>
      <c r="AF245" s="552"/>
    </row>
    <row r="246" spans="1:32" s="209" customFormat="1" ht="15.75" customHeight="1">
      <c r="A246" s="202" t="str">
        <f>IF(B246&lt;&gt;"",IF(AND(B246&gt;=_TM1,B246&lt;=_TM2,OR(TH!L246="1111",TH!M246="1111")),TH!D246,""),"")</f>
        <v/>
      </c>
      <c r="B246" s="36">
        <f t="shared" si="15"/>
        <v>1</v>
      </c>
      <c r="C246" s="182">
        <f t="shared" si="16"/>
        <v>42398</v>
      </c>
      <c r="D246" s="182" t="s">
        <v>669</v>
      </c>
      <c r="E246" s="189">
        <v>42398</v>
      </c>
      <c r="F246" s="190" t="s">
        <v>790</v>
      </c>
      <c r="G246" s="448" t="s">
        <v>330</v>
      </c>
      <c r="H246" s="7" t="s">
        <v>1452</v>
      </c>
      <c r="I246" s="251"/>
      <c r="J246" s="251"/>
      <c r="K246" s="38">
        <v>30000000</v>
      </c>
      <c r="L246" s="192" t="s">
        <v>8</v>
      </c>
      <c r="M246" s="561" t="s">
        <v>24</v>
      </c>
      <c r="N246" s="52" t="str">
        <f>IF(AND('331-CT'!$E$7=TH!H246,OR(L246="331",M246="331")),"331",IF(AND(OR(L246="131",M246="131"),H246='131-CT'!$E$7),"131",""))</f>
        <v/>
      </c>
      <c r="O246" s="818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52"/>
      <c r="AB246" s="552"/>
      <c r="AC246" s="552"/>
      <c r="AE246" s="552"/>
      <c r="AF246" s="552"/>
    </row>
    <row r="247" spans="1:32" s="209" customFormat="1" ht="15.75" customHeight="1">
      <c r="A247" s="202" t="str">
        <f>IF(B247&lt;&gt;"",IF(AND(B247&gt;=_TM1,B247&lt;=_TM2,OR(TH!L247="1111",TH!M247="1111")),TH!D247,""),"")</f>
        <v/>
      </c>
      <c r="B247" s="36">
        <f t="shared" si="15"/>
        <v>1</v>
      </c>
      <c r="C247" s="182">
        <f t="shared" si="16"/>
        <v>42398</v>
      </c>
      <c r="D247" s="182" t="s">
        <v>669</v>
      </c>
      <c r="E247" s="189">
        <v>42398</v>
      </c>
      <c r="F247" s="190" t="s">
        <v>672</v>
      </c>
      <c r="G247" s="448" t="s">
        <v>330</v>
      </c>
      <c r="H247" s="191"/>
      <c r="I247" s="251"/>
      <c r="J247" s="251"/>
      <c r="K247" s="38">
        <v>10000</v>
      </c>
      <c r="L247" s="192" t="s">
        <v>83</v>
      </c>
      <c r="M247" s="561" t="s">
        <v>24</v>
      </c>
      <c r="N247" s="52" t="str">
        <f>IF(AND('331-CT'!$E$7=TH!H247,OR(L247="331",M247="331")),"331",IF(AND(OR(L247="131",M247="131"),H247='131-CT'!$E$7),"131",""))</f>
        <v/>
      </c>
      <c r="O247" s="818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>x</v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52"/>
      <c r="AB247" s="552"/>
      <c r="AE247" s="552"/>
      <c r="AF247" s="552"/>
    </row>
    <row r="248" spans="1:32" s="209" customFormat="1" ht="15.75" customHeight="1">
      <c r="A248" s="202" t="str">
        <f>IF(B248&lt;&gt;"",IF(AND(B248&gt;=_TM1,B248&lt;=_TM2,OR(TH!L248="1111",TH!M248="1111")),TH!D248,""),"")</f>
        <v/>
      </c>
      <c r="B248" s="36">
        <f t="shared" si="15"/>
        <v>1</v>
      </c>
      <c r="C248" s="182">
        <f t="shared" si="16"/>
        <v>42399</v>
      </c>
      <c r="D248" s="182" t="s">
        <v>669</v>
      </c>
      <c r="E248" s="189">
        <v>42399</v>
      </c>
      <c r="F248" s="190" t="s">
        <v>790</v>
      </c>
      <c r="G248" s="448" t="s">
        <v>330</v>
      </c>
      <c r="H248" s="7" t="s">
        <v>1554</v>
      </c>
      <c r="I248" s="251"/>
      <c r="J248" s="251"/>
      <c r="K248" s="38">
        <v>20000000</v>
      </c>
      <c r="L248" s="192" t="s">
        <v>8</v>
      </c>
      <c r="M248" s="561" t="s">
        <v>24</v>
      </c>
      <c r="N248" s="52" t="str">
        <f>IF(AND('331-CT'!$E$7=TH!H248,OR(L248="331",M248="331")),"331",IF(AND(OR(L248="131",M248="131"),H248='131-CT'!$E$7),"131",""))</f>
        <v/>
      </c>
      <c r="O248" s="818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52"/>
      <c r="AB248" s="552"/>
      <c r="AC248" s="552"/>
      <c r="AE248" s="552"/>
      <c r="AF248" s="552"/>
    </row>
    <row r="249" spans="1:32" s="209" customFormat="1" ht="15.75" customHeight="1">
      <c r="A249" s="202" t="str">
        <f>IF(B249&lt;&gt;"",IF(AND(B249&gt;=_TM1,B249&lt;=_TM2,OR(TH!L249="1111",TH!M249="1111")),TH!D249,""),"")</f>
        <v/>
      </c>
      <c r="B249" s="36">
        <f t="shared" si="15"/>
        <v>1</v>
      </c>
      <c r="C249" s="182">
        <f t="shared" si="16"/>
        <v>42399</v>
      </c>
      <c r="D249" s="189" t="s">
        <v>1183</v>
      </c>
      <c r="E249" s="189">
        <v>42399</v>
      </c>
      <c r="F249" s="190" t="s">
        <v>813</v>
      </c>
      <c r="G249" s="451" t="s">
        <v>629</v>
      </c>
      <c r="H249" s="712" t="s">
        <v>686</v>
      </c>
      <c r="I249" s="253">
        <v>700</v>
      </c>
      <c r="J249" s="253">
        <v>18181</v>
      </c>
      <c r="K249" s="38">
        <f>ROUND(I249*J249,0)</f>
        <v>12726700</v>
      </c>
      <c r="L249" s="192" t="s">
        <v>160</v>
      </c>
      <c r="M249" s="192" t="s">
        <v>8</v>
      </c>
      <c r="N249" s="52" t="str">
        <f>IF(AND('331-CT'!$E$7=TH!H249,OR(L249="331",M249="331")),"331",IF(AND(OR(L249="131",M249="131"),H249='131-CT'!$E$7),"131",""))</f>
        <v/>
      </c>
      <c r="O249" s="818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52">
        <v>1</v>
      </c>
      <c r="AB249" s="552"/>
      <c r="AC249" s="209" t="str">
        <f>IF(VLOOKUP(H249,DSKH,1,0)=H249,"","x")</f>
        <v/>
      </c>
      <c r="AE249" s="552"/>
      <c r="AF249" s="552"/>
    </row>
    <row r="250" spans="1:32" s="209" customFormat="1" ht="15.75" customHeight="1">
      <c r="A250" s="202" t="str">
        <f>IF(B250&lt;&gt;"",IF(AND(B250&gt;=_TM1,B250&lt;=_TM2,OR(TH!L250="1111",TH!M250="1111")),TH!D250,""),"")</f>
        <v/>
      </c>
      <c r="B250" s="36">
        <f t="shared" si="15"/>
        <v>1</v>
      </c>
      <c r="C250" s="182">
        <f t="shared" si="16"/>
        <v>42399</v>
      </c>
      <c r="D250" s="189" t="s">
        <v>1183</v>
      </c>
      <c r="E250" s="189">
        <v>42399</v>
      </c>
      <c r="F250" s="190" t="s">
        <v>814</v>
      </c>
      <c r="G250" s="451" t="s">
        <v>629</v>
      </c>
      <c r="H250" s="712" t="s">
        <v>686</v>
      </c>
      <c r="I250" s="251"/>
      <c r="J250" s="253"/>
      <c r="K250" s="38">
        <v>1272670</v>
      </c>
      <c r="L250" s="192" t="s">
        <v>9</v>
      </c>
      <c r="M250" s="192" t="s">
        <v>8</v>
      </c>
      <c r="N250" s="52" t="str">
        <f>IF(AND('331-CT'!$E$7=TH!H250,OR(L250="331",M250="331")),"331",IF(AND(OR(L250="131",M250="131"),H250='131-CT'!$E$7),"131",""))</f>
        <v/>
      </c>
      <c r="O250" s="818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52">
        <v>1</v>
      </c>
      <c r="AB250" s="552"/>
      <c r="AC250" s="209" t="str">
        <f>IF(VLOOKUP(H250,DSKH,1,0)=H250,"","x")</f>
        <v/>
      </c>
      <c r="AE250" s="552"/>
      <c r="AF250" s="552"/>
    </row>
    <row r="251" spans="1:32" s="209" customFormat="1" ht="15.75" customHeight="1">
      <c r="A251" s="202" t="str">
        <f>IF(B251&lt;&gt;"",IF(AND(B251&gt;=_TM1,B251&lt;=_TM2,OR(TH!L251="1111",TH!M251="1111")),TH!D251,""),"")</f>
        <v/>
      </c>
      <c r="B251" s="36">
        <f t="shared" si="15"/>
        <v>1</v>
      </c>
      <c r="C251" s="182">
        <f t="shared" si="16"/>
        <v>42399</v>
      </c>
      <c r="D251" s="189" t="s">
        <v>1628</v>
      </c>
      <c r="E251" s="189">
        <v>42399</v>
      </c>
      <c r="F251" s="190" t="s">
        <v>815</v>
      </c>
      <c r="G251" s="451" t="s">
        <v>629</v>
      </c>
      <c r="H251" s="712" t="s">
        <v>686</v>
      </c>
      <c r="I251" s="251"/>
      <c r="J251" s="251"/>
      <c r="K251" s="560">
        <v>13999370</v>
      </c>
      <c r="L251" s="192" t="s">
        <v>8</v>
      </c>
      <c r="M251" s="192" t="s">
        <v>47</v>
      </c>
      <c r="N251" s="52" t="str">
        <f>IF(AND('331-CT'!$E$7=TH!H251,OR(L251="331",M251="331")),"331",IF(AND(OR(L251="131",M251="131"),H251='131-CT'!$E$7),"131",""))</f>
        <v/>
      </c>
      <c r="O251" s="818" t="str">
        <f>IF(AND('341-CT'!$E$9=H251,OR(LEFT(L251,3)=$O$7,LEFT(M251,3)=$O$7)),"x","")</f>
        <v/>
      </c>
      <c r="P251" s="52" t="str">
        <f>IF(AND($B251&gt;='111'!$N$11,$B251&lt;='111'!$O$11,OR($L251=$P$7,$M251=$P$7)),"x","")</f>
        <v>x</v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52"/>
      <c r="AB251" s="552"/>
      <c r="AC251" s="552"/>
      <c r="AE251" s="552"/>
      <c r="AF251" s="552"/>
    </row>
    <row r="252" spans="1:32" s="209" customFormat="1" ht="15.75" customHeight="1">
      <c r="A252" s="202" t="str">
        <f>IF(B252&lt;&gt;"",IF(AND(B252&gt;=_TM1,B252&lt;=_TM2,OR(TH!L252="1111",TH!M252="1111")),TH!D252,""),"")</f>
        <v/>
      </c>
      <c r="B252" s="36">
        <f t="shared" si="15"/>
        <v>1</v>
      </c>
      <c r="C252" s="182">
        <f t="shared" si="16"/>
        <v>42399</v>
      </c>
      <c r="D252" s="189" t="s">
        <v>1118</v>
      </c>
      <c r="E252" s="189">
        <v>42399</v>
      </c>
      <c r="F252" s="190" t="s">
        <v>914</v>
      </c>
      <c r="G252" s="190" t="s">
        <v>419</v>
      </c>
      <c r="H252" s="191" t="s">
        <v>609</v>
      </c>
      <c r="I252" s="251">
        <v>51</v>
      </c>
      <c r="J252" s="251">
        <v>6400</v>
      </c>
      <c r="K252" s="38">
        <f>ROUND(I252*J252,0)</f>
        <v>326400</v>
      </c>
      <c r="L252" s="192" t="s">
        <v>258</v>
      </c>
      <c r="M252" s="192" t="s">
        <v>173</v>
      </c>
      <c r="N252" s="52" t="str">
        <f>IF(AND('331-CT'!$E$7=TH!H252,OR(L252="331",M252="331")),"331",IF(AND(OR(L252="131",M252="131"),H252='131-CT'!$E$7),"131",""))</f>
        <v/>
      </c>
      <c r="O252" s="818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52"/>
      <c r="AB252" s="552"/>
      <c r="AC252" s="552"/>
    </row>
    <row r="253" spans="1:32" s="209" customFormat="1" ht="15.75" customHeight="1">
      <c r="A253" s="202" t="str">
        <f>IF(B253&lt;&gt;"",IF(AND(B253&gt;=_TM1,B253&lt;=_TM2,OR(TH!L253="1111",TH!M253="1111")),TH!D253,""),"")</f>
        <v/>
      </c>
      <c r="B253" s="36">
        <f t="shared" si="15"/>
        <v>1</v>
      </c>
      <c r="C253" s="182">
        <f t="shared" si="16"/>
        <v>42399</v>
      </c>
      <c r="D253" s="189" t="s">
        <v>1118</v>
      </c>
      <c r="E253" s="189">
        <v>42399</v>
      </c>
      <c r="F253" s="190" t="s">
        <v>480</v>
      </c>
      <c r="G253" s="190" t="s">
        <v>419</v>
      </c>
      <c r="H253" s="191" t="s">
        <v>609</v>
      </c>
      <c r="I253" s="251">
        <v>978</v>
      </c>
      <c r="J253" s="251">
        <v>8950</v>
      </c>
      <c r="K253" s="38">
        <f>ROUND(I253*J253,0)</f>
        <v>8753100</v>
      </c>
      <c r="L253" s="192" t="s">
        <v>258</v>
      </c>
      <c r="M253" s="192" t="s">
        <v>173</v>
      </c>
      <c r="N253" s="52" t="str">
        <f>IF(AND('331-CT'!$E$7=TH!H253,OR(L253="331",M253="331")),"331",IF(AND(OR(L253="131",M253="131"),H253='131-CT'!$E$7),"131",""))</f>
        <v/>
      </c>
      <c r="O253" s="818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52"/>
      <c r="AB253" s="552"/>
      <c r="AC253" s="552"/>
    </row>
    <row r="254" spans="1:32" s="209" customFormat="1" ht="15.75" customHeight="1">
      <c r="A254" s="202" t="str">
        <f>IF(B254&lt;&gt;"",IF(AND(B254&gt;=_TM1,B254&lt;=_TM2,OR(TH!L254="1111",TH!M254="1111")),TH!D254,""),"")</f>
        <v/>
      </c>
      <c r="B254" s="36">
        <f t="shared" si="15"/>
        <v>1</v>
      </c>
      <c r="C254" s="182">
        <f t="shared" si="16"/>
        <v>42399</v>
      </c>
      <c r="D254" s="189" t="s">
        <v>1118</v>
      </c>
      <c r="E254" s="189">
        <v>42399</v>
      </c>
      <c r="F254" s="190" t="s">
        <v>408</v>
      </c>
      <c r="G254" s="190" t="s">
        <v>419</v>
      </c>
      <c r="H254" s="191" t="s">
        <v>609</v>
      </c>
      <c r="I254" s="251">
        <v>53</v>
      </c>
      <c r="J254" s="251">
        <v>10000</v>
      </c>
      <c r="K254" s="38">
        <f>ROUND(I254*J254,0)</f>
        <v>530000</v>
      </c>
      <c r="L254" s="192" t="s">
        <v>258</v>
      </c>
      <c r="M254" s="192" t="s">
        <v>173</v>
      </c>
      <c r="N254" s="52" t="str">
        <f>IF(AND('331-CT'!$E$7=TH!H254,OR(L254="331",M254="331")),"331",IF(AND(OR(L254="131",M254="131"),H254='131-CT'!$E$7),"131",""))</f>
        <v/>
      </c>
      <c r="O254" s="818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52"/>
      <c r="AB254" s="552"/>
      <c r="AC254" s="552"/>
    </row>
    <row r="255" spans="1:32" s="209" customFormat="1" ht="15.75" customHeight="1">
      <c r="A255" s="202" t="str">
        <f>IF(B255&lt;&gt;"",IF(AND(B255&gt;=_TM1,B255&lt;=_TM2,OR(TH!L255="1111",TH!M255="1111")),TH!D255,""),"")</f>
        <v/>
      </c>
      <c r="B255" s="36">
        <f t="shared" si="15"/>
        <v>1</v>
      </c>
      <c r="C255" s="182">
        <f t="shared" si="16"/>
        <v>42399</v>
      </c>
      <c r="D255" s="189" t="s">
        <v>1118</v>
      </c>
      <c r="E255" s="189">
        <v>42399</v>
      </c>
      <c r="F255" s="190" t="s">
        <v>897</v>
      </c>
      <c r="G255" s="190" t="s">
        <v>419</v>
      </c>
      <c r="H255" s="191" t="s">
        <v>609</v>
      </c>
      <c r="I255" s="251">
        <v>1570</v>
      </c>
      <c r="J255" s="251">
        <v>14600</v>
      </c>
      <c r="K255" s="38">
        <f>ROUND(I255*J255,0)</f>
        <v>22922000</v>
      </c>
      <c r="L255" s="192" t="s">
        <v>258</v>
      </c>
      <c r="M255" s="192" t="s">
        <v>173</v>
      </c>
      <c r="N255" s="52" t="str">
        <f>IF(AND('331-CT'!$E$7=TH!H255,OR(L255="331",M255="331")),"331",IF(AND(OR(L255="131",M255="131"),H255='131-CT'!$E$7),"131",""))</f>
        <v/>
      </c>
      <c r="O255" s="818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52"/>
      <c r="AB255" s="552"/>
      <c r="AC255" s="552"/>
    </row>
    <row r="256" spans="1:32" s="209" customFormat="1" ht="15.75" customHeight="1">
      <c r="A256" s="202" t="str">
        <f>IF(B256&lt;&gt;"",IF(AND(B256&gt;=_TM1,B256&lt;=_TM2,OR(TH!L256="1111",TH!M256="1111")),TH!D256,""),"")</f>
        <v/>
      </c>
      <c r="B256" s="36">
        <f t="shared" si="15"/>
        <v>1</v>
      </c>
      <c r="C256" s="182">
        <f t="shared" si="16"/>
        <v>42399</v>
      </c>
      <c r="D256" s="189" t="s">
        <v>1118</v>
      </c>
      <c r="E256" s="189">
        <v>42399</v>
      </c>
      <c r="F256" s="190" t="s">
        <v>393</v>
      </c>
      <c r="G256" s="190" t="s">
        <v>419</v>
      </c>
      <c r="H256" s="191" t="s">
        <v>609</v>
      </c>
      <c r="I256" s="252"/>
      <c r="J256" s="252"/>
      <c r="K256" s="38">
        <v>3253150</v>
      </c>
      <c r="L256" s="192" t="s">
        <v>258</v>
      </c>
      <c r="M256" s="192" t="s">
        <v>367</v>
      </c>
      <c r="N256" s="52" t="str">
        <f>IF(AND('331-CT'!$E$7=TH!H256,OR(L256="331",M256="331")),"331",IF(AND(OR(L256="131",M256="131"),H256='131-CT'!$E$7),"131",""))</f>
        <v/>
      </c>
      <c r="O256" s="818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52"/>
      <c r="AB256" s="552"/>
      <c r="AC256" s="552"/>
      <c r="AD256" s="552"/>
    </row>
    <row r="257" spans="1:32" s="209" customFormat="1" ht="15.75" customHeight="1">
      <c r="A257" s="202" t="str">
        <f>IF(B257&lt;&gt;"",IF(AND(B257&gt;=_TM1,B257&lt;=_TM2,OR(TH!L257="1111",TH!M257="1111")),TH!D257,""),"")</f>
        <v/>
      </c>
      <c r="B257" s="36">
        <f t="shared" si="15"/>
        <v>1</v>
      </c>
      <c r="C257" s="182">
        <f t="shared" si="16"/>
        <v>42399</v>
      </c>
      <c r="D257" s="189" t="s">
        <v>1119</v>
      </c>
      <c r="E257" s="189">
        <v>42399</v>
      </c>
      <c r="F257" s="190" t="s">
        <v>480</v>
      </c>
      <c r="G257" s="190" t="s">
        <v>915</v>
      </c>
      <c r="H257" s="191" t="s">
        <v>609</v>
      </c>
      <c r="I257" s="251">
        <v>834</v>
      </c>
      <c r="J257" s="251">
        <v>9300</v>
      </c>
      <c r="K257" s="38">
        <f>ROUND(I257*J257,0)</f>
        <v>7756200</v>
      </c>
      <c r="L257" s="192" t="s">
        <v>258</v>
      </c>
      <c r="M257" s="192" t="s">
        <v>173</v>
      </c>
      <c r="N257" s="52" t="str">
        <f>IF(AND('331-CT'!$E$7=TH!H257,OR(L257="331",M257="331")),"331",IF(AND(OR(L257="131",M257="131"),H257='131-CT'!$E$7),"131",""))</f>
        <v/>
      </c>
      <c r="O257" s="818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52"/>
      <c r="AB257" s="552"/>
      <c r="AC257" s="552"/>
      <c r="AD257" s="552"/>
    </row>
    <row r="258" spans="1:32" s="209" customFormat="1" ht="15.75" customHeight="1">
      <c r="A258" s="202" t="str">
        <f>IF(B258&lt;&gt;"",IF(AND(B258&gt;=_TM1,B258&lt;=_TM2,OR(TH!L258="1111",TH!M258="1111")),TH!D258,""),"")</f>
        <v/>
      </c>
      <c r="B258" s="36">
        <f t="shared" si="15"/>
        <v>1</v>
      </c>
      <c r="C258" s="182">
        <f t="shared" si="16"/>
        <v>42399</v>
      </c>
      <c r="D258" s="189" t="s">
        <v>1119</v>
      </c>
      <c r="E258" s="189">
        <v>42399</v>
      </c>
      <c r="F258" s="190" t="s">
        <v>916</v>
      </c>
      <c r="G258" s="190" t="s">
        <v>915</v>
      </c>
      <c r="H258" s="191" t="s">
        <v>609</v>
      </c>
      <c r="I258" s="252">
        <v>106</v>
      </c>
      <c r="J258" s="252">
        <v>9600</v>
      </c>
      <c r="K258" s="38">
        <f>ROUND(I258*J258,0)</f>
        <v>1017600</v>
      </c>
      <c r="L258" s="192" t="s">
        <v>258</v>
      </c>
      <c r="M258" s="192" t="s">
        <v>173</v>
      </c>
      <c r="N258" s="52" t="str">
        <f>IF(AND('331-CT'!$E$7=TH!H258,OR(L258="331",M258="331")),"331",IF(AND(OR(L258="131",M258="131"),H258='131-CT'!$E$7),"131",""))</f>
        <v/>
      </c>
      <c r="O258" s="818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52"/>
      <c r="AB258" s="552"/>
      <c r="AC258" s="552"/>
      <c r="AD258" s="552"/>
    </row>
    <row r="259" spans="1:32" s="209" customFormat="1" ht="15.75" customHeight="1">
      <c r="A259" s="202" t="str">
        <f>IF(B259&lt;&gt;"",IF(AND(B259&gt;=_TM1,B259&lt;=_TM2,OR(TH!L259="1111",TH!M259="1111")),TH!D259,""),"")</f>
        <v/>
      </c>
      <c r="B259" s="36">
        <f t="shared" si="15"/>
        <v>1</v>
      </c>
      <c r="C259" s="182">
        <f t="shared" si="16"/>
        <v>42399</v>
      </c>
      <c r="D259" s="189" t="s">
        <v>1119</v>
      </c>
      <c r="E259" s="189">
        <v>42399</v>
      </c>
      <c r="F259" s="190" t="s">
        <v>917</v>
      </c>
      <c r="G259" s="190" t="s">
        <v>915</v>
      </c>
      <c r="H259" s="191" t="s">
        <v>609</v>
      </c>
      <c r="I259" s="251">
        <v>70</v>
      </c>
      <c r="J259" s="251">
        <v>9700</v>
      </c>
      <c r="K259" s="38">
        <f>ROUND(I259*J259,0)</f>
        <v>679000</v>
      </c>
      <c r="L259" s="192" t="s">
        <v>258</v>
      </c>
      <c r="M259" s="192" t="s">
        <v>173</v>
      </c>
      <c r="N259" s="52" t="str">
        <f>IF(AND('331-CT'!$E$7=TH!H259,OR(L259="331",M259="331")),"331",IF(AND(OR(L259="131",M259="131"),H259='131-CT'!$E$7),"131",""))</f>
        <v/>
      </c>
      <c r="O259" s="818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52"/>
      <c r="AB259" s="552"/>
      <c r="AD259" s="552"/>
    </row>
    <row r="260" spans="1:32" s="209" customFormat="1" ht="15.75" customHeight="1">
      <c r="A260" s="202" t="str">
        <f>IF(B260&lt;&gt;"",IF(AND(B260&gt;=_TM1,B260&lt;=_TM2,OR(TH!L260="1111",TH!M260="1111")),TH!D260,""),"")</f>
        <v/>
      </c>
      <c r="B260" s="36">
        <f t="shared" si="15"/>
        <v>1</v>
      </c>
      <c r="C260" s="182">
        <f t="shared" si="16"/>
        <v>42399</v>
      </c>
      <c r="D260" s="189" t="s">
        <v>1119</v>
      </c>
      <c r="E260" s="189">
        <v>42399</v>
      </c>
      <c r="F260" s="190" t="s">
        <v>918</v>
      </c>
      <c r="G260" s="190" t="s">
        <v>915</v>
      </c>
      <c r="H260" s="191" t="s">
        <v>609</v>
      </c>
      <c r="I260" s="251">
        <v>23</v>
      </c>
      <c r="J260" s="251">
        <v>9000</v>
      </c>
      <c r="K260" s="38">
        <f>ROUND(I260*J260,0)</f>
        <v>207000</v>
      </c>
      <c r="L260" s="192" t="s">
        <v>258</v>
      </c>
      <c r="M260" s="192" t="s">
        <v>173</v>
      </c>
      <c r="N260" s="52" t="str">
        <f>IF(AND('331-CT'!$E$7=TH!H260,OR(L260="331",M260="331")),"331",IF(AND(OR(L260="131",M260="131"),H260='131-CT'!$E$7),"131",""))</f>
        <v/>
      </c>
      <c r="O260" s="818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52"/>
      <c r="AB260" s="552"/>
      <c r="AC260" s="552"/>
      <c r="AD260" s="552"/>
    </row>
    <row r="261" spans="1:32" s="209" customFormat="1" ht="15.75" customHeight="1">
      <c r="A261" s="202" t="str">
        <f>IF(B261&lt;&gt;"",IF(AND(B261&gt;=_TM1,B261&lt;=_TM2,OR(TH!L261="1111",TH!M261="1111")),TH!D261,""),"")</f>
        <v/>
      </c>
      <c r="B261" s="36">
        <f t="shared" si="15"/>
        <v>1</v>
      </c>
      <c r="C261" s="182">
        <f t="shared" si="16"/>
        <v>42399</v>
      </c>
      <c r="D261" s="189" t="s">
        <v>1119</v>
      </c>
      <c r="E261" s="189">
        <v>42399</v>
      </c>
      <c r="F261" s="190" t="s">
        <v>919</v>
      </c>
      <c r="G261" s="190" t="s">
        <v>915</v>
      </c>
      <c r="H261" s="191" t="s">
        <v>609</v>
      </c>
      <c r="I261" s="251">
        <v>55</v>
      </c>
      <c r="J261" s="251">
        <v>13000</v>
      </c>
      <c r="K261" s="38">
        <f>ROUND(I261*J261,0)</f>
        <v>715000</v>
      </c>
      <c r="L261" s="192" t="s">
        <v>258</v>
      </c>
      <c r="M261" s="192" t="s">
        <v>173</v>
      </c>
      <c r="N261" s="52" t="str">
        <f>IF(AND('331-CT'!$E$7=TH!H261,OR(L261="331",M261="331")),"331",IF(AND(OR(L261="131",M261="131"),H261='131-CT'!$E$7),"131",""))</f>
        <v/>
      </c>
      <c r="O261" s="818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52"/>
      <c r="AB261" s="552"/>
      <c r="AC261" s="552"/>
      <c r="AD261" s="552"/>
    </row>
    <row r="262" spans="1:32" s="209" customFormat="1" ht="15.75" customHeight="1">
      <c r="A262" s="202" t="str">
        <f>IF(B262&lt;&gt;"",IF(AND(B262&gt;=_TM1,B262&lt;=_TM2,OR(TH!L262="1111",TH!M262="1111")),TH!D262,""),"")</f>
        <v/>
      </c>
      <c r="B262" s="36">
        <f t="shared" si="15"/>
        <v>1</v>
      </c>
      <c r="C262" s="182">
        <f t="shared" si="16"/>
        <v>42399</v>
      </c>
      <c r="D262" s="189" t="s">
        <v>1119</v>
      </c>
      <c r="E262" s="189">
        <v>42399</v>
      </c>
      <c r="F262" s="190" t="s">
        <v>393</v>
      </c>
      <c r="G262" s="190" t="s">
        <v>915</v>
      </c>
      <c r="H262" s="191" t="s">
        <v>609</v>
      </c>
      <c r="I262" s="251"/>
      <c r="J262" s="251"/>
      <c r="K262" s="38">
        <v>1037480</v>
      </c>
      <c r="L262" s="192" t="s">
        <v>258</v>
      </c>
      <c r="M262" s="192" t="s">
        <v>367</v>
      </c>
      <c r="N262" s="52" t="str">
        <f>IF(AND('331-CT'!$E$7=TH!H262,OR(L262="331",M262="331")),"331",IF(AND(OR(L262="131",M262="131"),H262='131-CT'!$E$7),"131",""))</f>
        <v/>
      </c>
      <c r="O262" s="818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52"/>
      <c r="AB262" s="552"/>
      <c r="AC262" s="552"/>
      <c r="AD262" s="552"/>
    </row>
    <row r="263" spans="1:32" s="209" customFormat="1" ht="15.75" customHeight="1">
      <c r="A263" s="202" t="str">
        <f>IF(B263&lt;&gt;"",IF(AND(B263&gt;=_TM1,B263&lt;=_TM2,OR(TH!L263="1111",TH!M263="1111")),TH!D263,""),"")</f>
        <v/>
      </c>
      <c r="B263" s="36">
        <f t="shared" si="15"/>
        <v>1</v>
      </c>
      <c r="C263" s="182">
        <f t="shared" si="16"/>
        <v>42399</v>
      </c>
      <c r="D263" s="189" t="s">
        <v>1120</v>
      </c>
      <c r="E263" s="189">
        <v>42399</v>
      </c>
      <c r="F263" s="190" t="s">
        <v>920</v>
      </c>
      <c r="G263" s="190" t="s">
        <v>420</v>
      </c>
      <c r="H263" s="7" t="s">
        <v>780</v>
      </c>
      <c r="I263" s="251">
        <v>209</v>
      </c>
      <c r="J263" s="251">
        <v>7500</v>
      </c>
      <c r="K263" s="38">
        <f>ROUND(I263*J263,0)</f>
        <v>1567500</v>
      </c>
      <c r="L263" s="192" t="s">
        <v>258</v>
      </c>
      <c r="M263" s="192" t="s">
        <v>173</v>
      </c>
      <c r="N263" s="52" t="str">
        <f>IF(AND('331-CT'!$E$7=TH!H263,OR(L263="331",M263="331")),"331",IF(AND(OR(L263="131",M263="131"),H263='131-CT'!$E$7),"131",""))</f>
        <v/>
      </c>
      <c r="O263" s="818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52"/>
      <c r="AB263" s="552"/>
      <c r="AC263" s="552"/>
    </row>
    <row r="264" spans="1:32" s="209" customFormat="1" ht="15.75" customHeight="1">
      <c r="A264" s="202" t="str">
        <f>IF(B264&lt;&gt;"",IF(AND(B264&gt;=_TM1,B264&lt;=_TM2,OR(TH!L264="1111",TH!M264="1111")),TH!D264,""),"")</f>
        <v/>
      </c>
      <c r="B264" s="36">
        <f t="shared" si="15"/>
        <v>1</v>
      </c>
      <c r="C264" s="182">
        <f t="shared" si="16"/>
        <v>42399</v>
      </c>
      <c r="D264" s="189" t="s">
        <v>1120</v>
      </c>
      <c r="E264" s="189">
        <v>42399</v>
      </c>
      <c r="F264" s="190" t="s">
        <v>921</v>
      </c>
      <c r="G264" s="190" t="s">
        <v>420</v>
      </c>
      <c r="H264" s="7" t="s">
        <v>780</v>
      </c>
      <c r="I264" s="251">
        <v>10</v>
      </c>
      <c r="J264" s="251">
        <v>7400</v>
      </c>
      <c r="K264" s="38">
        <f>ROUND(I264*J264,0)</f>
        <v>74000</v>
      </c>
      <c r="L264" s="192" t="s">
        <v>258</v>
      </c>
      <c r="M264" s="192" t="s">
        <v>173</v>
      </c>
      <c r="N264" s="52" t="str">
        <f>IF(AND('331-CT'!$E$7=TH!H264,OR(L264="331",M264="331")),"331",IF(AND(OR(L264="131",M264="131"),H264='131-CT'!$E$7),"131",""))</f>
        <v/>
      </c>
      <c r="O264" s="818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52"/>
      <c r="AB264" s="552"/>
      <c r="AC264" s="552"/>
    </row>
    <row r="265" spans="1:32" s="209" customFormat="1" ht="15.75" customHeight="1">
      <c r="A265" s="202" t="str">
        <f>IF(B265&lt;&gt;"",IF(AND(B265&gt;=_TM1,B265&lt;=_TM2,OR(TH!L265="1111",TH!M265="1111")),TH!D265,""),"")</f>
        <v/>
      </c>
      <c r="B265" s="36">
        <f t="shared" si="15"/>
        <v>1</v>
      </c>
      <c r="C265" s="182">
        <f t="shared" si="16"/>
        <v>42399</v>
      </c>
      <c r="D265" s="189" t="s">
        <v>1120</v>
      </c>
      <c r="E265" s="189">
        <v>42399</v>
      </c>
      <c r="F265" s="190" t="s">
        <v>393</v>
      </c>
      <c r="G265" s="190" t="s">
        <v>420</v>
      </c>
      <c r="H265" s="7" t="s">
        <v>780</v>
      </c>
      <c r="I265" s="251"/>
      <c r="J265" s="251"/>
      <c r="K265" s="38">
        <v>164150</v>
      </c>
      <c r="L265" s="192" t="s">
        <v>258</v>
      </c>
      <c r="M265" s="192" t="s">
        <v>367</v>
      </c>
      <c r="N265" s="52" t="str">
        <f>IF(AND('331-CT'!$E$7=TH!H265,OR(L265="331",M265="331")),"331",IF(AND(OR(L265="131",M265="131"),H265='131-CT'!$E$7),"131",""))</f>
        <v/>
      </c>
      <c r="O265" s="818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52"/>
      <c r="AB265" s="552"/>
      <c r="AC265" s="552"/>
    </row>
    <row r="266" spans="1:32" s="209" customFormat="1" ht="15.75" customHeight="1">
      <c r="A266" s="202" t="str">
        <f>IF(B266&lt;&gt;"",IF(AND(B266&gt;=_TM1,B266&lt;=_TM2,OR(TH!L266="1111",TH!M266="1111")),TH!D266,""),"")</f>
        <v/>
      </c>
      <c r="B266" s="36">
        <f t="shared" si="15"/>
        <v>1</v>
      </c>
      <c r="C266" s="182">
        <f t="shared" si="16"/>
        <v>42399</v>
      </c>
      <c r="D266" s="189" t="s">
        <v>1121</v>
      </c>
      <c r="E266" s="189">
        <v>42399</v>
      </c>
      <c r="F266" s="190" t="s">
        <v>922</v>
      </c>
      <c r="G266" s="190" t="s">
        <v>421</v>
      </c>
      <c r="H266" s="191" t="s">
        <v>609</v>
      </c>
      <c r="I266" s="252">
        <v>50</v>
      </c>
      <c r="J266" s="252">
        <v>30500</v>
      </c>
      <c r="K266" s="38">
        <f>ROUND(I266*J266,0)</f>
        <v>1525000</v>
      </c>
      <c r="L266" s="192" t="s">
        <v>258</v>
      </c>
      <c r="M266" s="192" t="s">
        <v>173</v>
      </c>
      <c r="N266" s="52" t="str">
        <f>IF(AND('331-CT'!$E$7=TH!H266,OR(L266="331",M266="331")),"331",IF(AND(OR(L266="131",M266="131"),H266='131-CT'!$E$7),"131",""))</f>
        <v/>
      </c>
      <c r="O266" s="818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52"/>
      <c r="AB266" s="552"/>
      <c r="AC266" s="552"/>
    </row>
    <row r="267" spans="1:32" s="209" customFormat="1" ht="15.75" customHeight="1">
      <c r="A267" s="202" t="str">
        <f>IF(B267&lt;&gt;"",IF(AND(B267&gt;=_TM1,B267&lt;=_TM2,OR(TH!L267="1111",TH!M267="1111")),TH!D267,""),"")</f>
        <v/>
      </c>
      <c r="B267" s="36">
        <f t="shared" si="15"/>
        <v>1</v>
      </c>
      <c r="C267" s="182">
        <f t="shared" si="16"/>
        <v>42399</v>
      </c>
      <c r="D267" s="189" t="s">
        <v>1121</v>
      </c>
      <c r="E267" s="189">
        <v>42399</v>
      </c>
      <c r="F267" s="190" t="s">
        <v>393</v>
      </c>
      <c r="G267" s="190" t="s">
        <v>421</v>
      </c>
      <c r="H267" s="191" t="s">
        <v>609</v>
      </c>
      <c r="I267" s="251"/>
      <c r="J267" s="251"/>
      <c r="K267" s="38">
        <v>152500</v>
      </c>
      <c r="L267" s="192" t="s">
        <v>258</v>
      </c>
      <c r="M267" s="192" t="s">
        <v>367</v>
      </c>
      <c r="N267" s="52" t="str">
        <f>IF(AND('331-CT'!$E$7=TH!H267,OR(L267="331",M267="331")),"331",IF(AND(OR(L267="131",M267="131"),H267='131-CT'!$E$7),"131",""))</f>
        <v/>
      </c>
      <c r="O267" s="818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52"/>
      <c r="AB267" s="552"/>
      <c r="AC267" s="552"/>
    </row>
    <row r="268" spans="1:32" s="209" customFormat="1" ht="15.75" customHeight="1">
      <c r="A268" s="202" t="str">
        <f>IF(B268&lt;&gt;"",IF(AND(B268&gt;=_TM1,B268&lt;=_TM2,OR(TH!L268="1111",TH!M268="1111")),TH!D268,""),"")</f>
        <v/>
      </c>
      <c r="B268" s="878">
        <f t="shared" si="15"/>
        <v>1</v>
      </c>
      <c r="C268" s="839">
        <f t="shared" si="16"/>
        <v>42400</v>
      </c>
      <c r="D268" s="839" t="s">
        <v>332</v>
      </c>
      <c r="E268" s="839">
        <v>42400</v>
      </c>
      <c r="F268" s="845" t="s">
        <v>1429</v>
      </c>
      <c r="G268" s="874"/>
      <c r="H268" s="875"/>
      <c r="I268" s="842"/>
      <c r="J268" s="842"/>
      <c r="K268" s="849">
        <v>10750000</v>
      </c>
      <c r="L268" s="876" t="s">
        <v>83</v>
      </c>
      <c r="M268" s="876" t="s">
        <v>261</v>
      </c>
      <c r="N268" s="52" t="str">
        <f>IF(AND('331-CT'!$E$7=TH!H268,OR(L268="331",M268="331")),"331",IF(AND(OR(L268="131",M268="131"),H268='131-CT'!$E$7),"131",""))</f>
        <v/>
      </c>
      <c r="O268" s="818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>x</v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77"/>
      <c r="AB268" s="877"/>
      <c r="AC268" s="877"/>
      <c r="AD268" s="877"/>
      <c r="AE268" s="877"/>
      <c r="AF268" s="877"/>
    </row>
    <row r="269" spans="1:32" s="209" customFormat="1" ht="15.75" customHeight="1">
      <c r="A269" s="202" t="str">
        <f>IF(B269&lt;&gt;"",IF(AND(B269&gt;=_TM1,B269&lt;=_TM2,OR(TH!L269="1111",TH!M269="1111")),TH!D269,""),"")</f>
        <v/>
      </c>
      <c r="B269" s="878">
        <f t="shared" si="15"/>
        <v>1</v>
      </c>
      <c r="C269" s="839">
        <f t="shared" si="16"/>
        <v>42400</v>
      </c>
      <c r="D269" s="839" t="s">
        <v>332</v>
      </c>
      <c r="E269" s="839">
        <v>42400</v>
      </c>
      <c r="F269" s="845" t="s">
        <v>1430</v>
      </c>
      <c r="G269" s="874"/>
      <c r="H269" s="875"/>
      <c r="I269" s="842"/>
      <c r="J269" s="842"/>
      <c r="K269" s="849">
        <v>25275000</v>
      </c>
      <c r="L269" s="876" t="s">
        <v>164</v>
      </c>
      <c r="M269" s="876" t="s">
        <v>261</v>
      </c>
      <c r="N269" s="52" t="str">
        <f>IF(AND('331-CT'!$E$7=TH!H269,OR(L269="331",M269="331")),"331",IF(AND(OR(L269="131",M269="131"),H269='131-CT'!$E$7),"131",""))</f>
        <v/>
      </c>
      <c r="O269" s="818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77"/>
      <c r="AB269" s="877"/>
      <c r="AC269" s="877"/>
      <c r="AD269" s="877"/>
      <c r="AE269" s="877"/>
      <c r="AF269" s="877"/>
    </row>
    <row r="270" spans="1:32" s="209" customFormat="1" ht="15.75" customHeight="1">
      <c r="A270" s="202" t="str">
        <f>IF(B270&lt;&gt;"",IF(AND(B270&gt;=_TM1,B270&lt;=_TM2,OR(TH!L270="1111",TH!M270="1111")),TH!D270,""),"")</f>
        <v/>
      </c>
      <c r="B270" s="878">
        <f t="shared" si="15"/>
        <v>1</v>
      </c>
      <c r="C270" s="839">
        <f t="shared" si="16"/>
        <v>42400</v>
      </c>
      <c r="D270" s="839" t="s">
        <v>1629</v>
      </c>
      <c r="E270" s="839">
        <v>42400</v>
      </c>
      <c r="F270" s="845" t="str">
        <f>"Thanh toán tiền lương tháng "&amp;MONTH(E270)&amp;"/"&amp;YEAR(E270)</f>
        <v>Thanh toán tiền lương tháng 1/2016</v>
      </c>
      <c r="G270" s="874"/>
      <c r="H270" s="875" t="s">
        <v>1680</v>
      </c>
      <c r="I270" s="842"/>
      <c r="J270" s="842"/>
      <c r="K270" s="849">
        <f>K268+K269</f>
        <v>36025000</v>
      </c>
      <c r="L270" s="876" t="s">
        <v>261</v>
      </c>
      <c r="M270" s="876" t="s">
        <v>47</v>
      </c>
      <c r="N270" s="52" t="str">
        <f>IF(AND('331-CT'!$E$7=TH!H270,OR(L270="331",M270="331")),"331",IF(AND(OR(L270="131",M270="131"),H270='131-CT'!$E$7),"131",""))</f>
        <v/>
      </c>
      <c r="O270" s="818" t="str">
        <f>IF(AND('341-CT'!$E$9=H270,OR(LEFT(L270,3)=$O$7,LEFT(M270,3)=$O$7)),"x","")</f>
        <v/>
      </c>
      <c r="P270" s="52" t="str">
        <f>IF(AND($B270&gt;='111'!$N$11,$B270&lt;='111'!$O$11,OR($L270=$P$7,$M270=$P$7)),"x","")</f>
        <v>x</v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77"/>
      <c r="AB270" s="877"/>
      <c r="AC270" s="877"/>
      <c r="AD270" s="877"/>
      <c r="AE270" s="877"/>
      <c r="AF270" s="877"/>
    </row>
    <row r="271" spans="1:32" s="209" customFormat="1" ht="15.75" customHeight="1">
      <c r="A271" s="202" t="str">
        <f>IF(B271&lt;&gt;"",IF(AND(B271&gt;=_TM1,B271&lt;=_TM2,OR(TH!L271="1111",TH!M271="1111")),TH!D271,""),"")</f>
        <v/>
      </c>
      <c r="B271" s="36">
        <f t="shared" si="15"/>
        <v>2</v>
      </c>
      <c r="C271" s="182">
        <f t="shared" si="16"/>
        <v>42401</v>
      </c>
      <c r="D271" s="182" t="s">
        <v>665</v>
      </c>
      <c r="E271" s="182">
        <v>42401</v>
      </c>
      <c r="F271" s="187" t="s">
        <v>666</v>
      </c>
      <c r="G271" s="448" t="s">
        <v>330</v>
      </c>
      <c r="H271" s="7" t="s">
        <v>609</v>
      </c>
      <c r="I271" s="251"/>
      <c r="J271" s="251"/>
      <c r="K271" s="560">
        <v>28031850</v>
      </c>
      <c r="L271" s="561" t="s">
        <v>24</v>
      </c>
      <c r="M271" s="561" t="s">
        <v>258</v>
      </c>
      <c r="N271" s="52" t="str">
        <f>IF(AND('331-CT'!$E$7=TH!H271,OR(L271="331",M271="331")),"331",IF(AND(OR(L271="131",M271="131"),H271='131-CT'!$E$7),"131",""))</f>
        <v/>
      </c>
      <c r="O271" s="818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52"/>
      <c r="AB271" s="552"/>
      <c r="AC271" s="552"/>
      <c r="AE271" s="552"/>
      <c r="AF271" s="552"/>
    </row>
    <row r="272" spans="1:32" s="209" customFormat="1" ht="15.75" customHeight="1">
      <c r="A272" s="202" t="str">
        <f>IF(B272&lt;&gt;"",IF(AND(B272&gt;=_TM1,B272&lt;=_TM2,OR(TH!L272="1111",TH!M272="1111")),TH!D272,""),"")</f>
        <v/>
      </c>
      <c r="B272" s="36">
        <f t="shared" si="15"/>
        <v>2</v>
      </c>
      <c r="C272" s="182">
        <f t="shared" si="16"/>
        <v>42401</v>
      </c>
      <c r="D272" s="182" t="s">
        <v>1630</v>
      </c>
      <c r="E272" s="189">
        <v>42401</v>
      </c>
      <c r="F272" s="187" t="s">
        <v>776</v>
      </c>
      <c r="G272" s="448" t="s">
        <v>330</v>
      </c>
      <c r="H272" s="191" t="s">
        <v>782</v>
      </c>
      <c r="I272" s="251"/>
      <c r="J272" s="251"/>
      <c r="K272" s="38">
        <v>7000000</v>
      </c>
      <c r="L272" s="192" t="s">
        <v>47</v>
      </c>
      <c r="M272" s="561" t="s">
        <v>24</v>
      </c>
      <c r="N272" s="52" t="str">
        <f>IF(AND('331-CT'!$E$7=TH!H272,OR(L272="331",M272="331")),"331",IF(AND(OR(L272="131",M272="131"),H272='131-CT'!$E$7),"131",""))</f>
        <v/>
      </c>
      <c r="O272" s="818" t="str">
        <f>IF(AND('341-CT'!$E$9=H272,OR(LEFT(L272,3)=$O$7,LEFT(M272,3)=$O$7)),"x","")</f>
        <v/>
      </c>
      <c r="P272" s="52" t="str">
        <f>IF(AND($B272&gt;='111'!$N$11,$B272&lt;='111'!$O$11,OR($L272=$P$7,$M272=$P$7)),"x","")</f>
        <v>x</v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52"/>
      <c r="AB272" s="552"/>
      <c r="AC272" s="552"/>
      <c r="AE272" s="552"/>
      <c r="AF272" s="552"/>
    </row>
    <row r="273" spans="1:32" s="209" customFormat="1" ht="15.75" customHeight="1">
      <c r="A273" s="202" t="str">
        <f>IF(B273&lt;&gt;"",IF(AND(B273&gt;=_TM1,B273&lt;=_TM2,OR(TH!L273="1111",TH!M273="1111")),TH!D273,""),"")</f>
        <v/>
      </c>
      <c r="B273" s="36">
        <f t="shared" si="15"/>
        <v>2</v>
      </c>
      <c r="C273" s="182">
        <f t="shared" si="16"/>
        <v>42401</v>
      </c>
      <c r="D273" s="189" t="s">
        <v>1122</v>
      </c>
      <c r="E273" s="189">
        <v>42401</v>
      </c>
      <c r="F273" s="190" t="s">
        <v>923</v>
      </c>
      <c r="G273" s="190" t="s">
        <v>422</v>
      </c>
      <c r="H273" s="191" t="s">
        <v>1268</v>
      </c>
      <c r="I273" s="251">
        <v>103</v>
      </c>
      <c r="J273" s="251">
        <v>19700</v>
      </c>
      <c r="K273" s="38">
        <f>ROUND(I273*J273,0)</f>
        <v>2029100</v>
      </c>
      <c r="L273" s="192" t="s">
        <v>258</v>
      </c>
      <c r="M273" s="192" t="s">
        <v>173</v>
      </c>
      <c r="N273" s="52" t="str">
        <f>IF(AND('331-CT'!$E$7=TH!H273,OR(L273="331",M273="331")),"331",IF(AND(OR(L273="131",M273="131"),H273='131-CT'!$E$7),"131",""))</f>
        <v/>
      </c>
      <c r="O273" s="818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52"/>
      <c r="AB273" s="552"/>
      <c r="AC273" s="552"/>
    </row>
    <row r="274" spans="1:32" s="209" customFormat="1" ht="15.75" customHeight="1">
      <c r="A274" s="202" t="str">
        <f>IF(B274&lt;&gt;"",IF(AND(B274&gt;=_TM1,B274&lt;=_TM2,OR(TH!L274="1111",TH!M274="1111")),TH!D274,""),"")</f>
        <v/>
      </c>
      <c r="B274" s="36">
        <f t="shared" si="15"/>
        <v>2</v>
      </c>
      <c r="C274" s="182">
        <f t="shared" si="16"/>
        <v>42401</v>
      </c>
      <c r="D274" s="189" t="s">
        <v>1122</v>
      </c>
      <c r="E274" s="189">
        <v>42401</v>
      </c>
      <c r="F274" s="190" t="s">
        <v>393</v>
      </c>
      <c r="G274" s="190" t="s">
        <v>422</v>
      </c>
      <c r="H274" s="191" t="s">
        <v>1268</v>
      </c>
      <c r="I274" s="251"/>
      <c r="J274" s="251"/>
      <c r="K274" s="38">
        <v>202910</v>
      </c>
      <c r="L274" s="192" t="s">
        <v>258</v>
      </c>
      <c r="M274" s="192" t="s">
        <v>367</v>
      </c>
      <c r="N274" s="52" t="str">
        <f>IF(AND('331-CT'!$E$7=TH!H274,OR(L274="331",M274="331")),"331",IF(AND(OR(L274="131",M274="131"),H274='131-CT'!$E$7),"131",""))</f>
        <v/>
      </c>
      <c r="O274" s="818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52"/>
      <c r="AB274" s="552"/>
    </row>
    <row r="275" spans="1:32" s="209" customFormat="1" ht="15.75" customHeight="1">
      <c r="A275" s="202" t="str">
        <f>IF(B275&lt;&gt;"",IF(AND(B275&gt;=_TM1,B275&lt;=_TM2,OR(TH!L275="1111",TH!M275="1111")),TH!D275,""),"")</f>
        <v/>
      </c>
      <c r="B275" s="36">
        <f t="shared" si="15"/>
        <v>2</v>
      </c>
      <c r="C275" s="182">
        <f t="shared" si="16"/>
        <v>42401</v>
      </c>
      <c r="D275" s="189" t="s">
        <v>1123</v>
      </c>
      <c r="E275" s="189">
        <v>42401</v>
      </c>
      <c r="F275" s="190" t="s">
        <v>962</v>
      </c>
      <c r="G275" s="190" t="s">
        <v>423</v>
      </c>
      <c r="H275" s="191" t="s">
        <v>417</v>
      </c>
      <c r="I275" s="251">
        <v>141</v>
      </c>
      <c r="J275" s="251">
        <v>7900</v>
      </c>
      <c r="K275" s="38">
        <f>ROUND(I275*J275,0)</f>
        <v>1113900</v>
      </c>
      <c r="L275" s="192" t="s">
        <v>258</v>
      </c>
      <c r="M275" s="192" t="s">
        <v>173</v>
      </c>
      <c r="N275" s="52" t="str">
        <f>IF(AND('331-CT'!$E$7=TH!H275,OR(L275="331",M275="331")),"331",IF(AND(OR(L275="131",M275="131"),H275='131-CT'!$E$7),"131",""))</f>
        <v/>
      </c>
      <c r="O275" s="818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52"/>
      <c r="AB275" s="552"/>
      <c r="AC275" s="552"/>
    </row>
    <row r="276" spans="1:32" s="209" customFormat="1" ht="15.75" customHeight="1">
      <c r="A276" s="202" t="str">
        <f>IF(B276&lt;&gt;"",IF(AND(B276&gt;=_TM1,B276&lt;=_TM2,OR(TH!L276="1111",TH!M276="1111")),TH!D276,""),"")</f>
        <v/>
      </c>
      <c r="B276" s="36">
        <f t="shared" ref="B276:B339" si="17">IF(C276&lt;&gt;"",MONTH(C276),"")</f>
        <v>2</v>
      </c>
      <c r="C276" s="182">
        <f t="shared" ref="C276:C339" si="18">E276</f>
        <v>42401</v>
      </c>
      <c r="D276" s="189" t="s">
        <v>1123</v>
      </c>
      <c r="E276" s="189">
        <v>42401</v>
      </c>
      <c r="F276" s="190" t="s">
        <v>393</v>
      </c>
      <c r="G276" s="190" t="s">
        <v>423</v>
      </c>
      <c r="H276" s="208" t="s">
        <v>417</v>
      </c>
      <c r="I276" s="252"/>
      <c r="J276" s="252"/>
      <c r="K276" s="38">
        <v>111390</v>
      </c>
      <c r="L276" s="192" t="s">
        <v>258</v>
      </c>
      <c r="M276" s="192" t="s">
        <v>367</v>
      </c>
      <c r="N276" s="52" t="str">
        <f>IF(AND('331-CT'!$E$7=TH!H276,OR(L276="331",M276="331")),"331",IF(AND(OR(L276="131",M276="131"),H276='131-CT'!$E$7),"131",""))</f>
        <v/>
      </c>
      <c r="O276" s="818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52"/>
      <c r="AB276" s="552"/>
      <c r="AC276" s="552"/>
      <c r="AD276" s="552"/>
    </row>
    <row r="277" spans="1:32" s="209" customFormat="1" ht="15.75" customHeight="1">
      <c r="A277" s="202" t="str">
        <f>IF(B277&lt;&gt;"",IF(AND(B277&gt;=_TM1,B277&lt;=_TM2,OR(TH!L277="1111",TH!M277="1111")),TH!D277,""),"")</f>
        <v/>
      </c>
      <c r="B277" s="36">
        <f t="shared" si="17"/>
        <v>2</v>
      </c>
      <c r="C277" s="182">
        <f t="shared" si="18"/>
        <v>42401</v>
      </c>
      <c r="D277" s="189" t="s">
        <v>1124</v>
      </c>
      <c r="E277" s="189">
        <v>42401</v>
      </c>
      <c r="F277" s="190" t="s">
        <v>636</v>
      </c>
      <c r="G277" s="190" t="s">
        <v>924</v>
      </c>
      <c r="H277" s="191" t="s">
        <v>637</v>
      </c>
      <c r="I277" s="251">
        <v>250</v>
      </c>
      <c r="J277" s="251">
        <v>8300</v>
      </c>
      <c r="K277" s="38">
        <f>ROUND(I277*J277,0)</f>
        <v>2075000</v>
      </c>
      <c r="L277" s="192" t="s">
        <v>258</v>
      </c>
      <c r="M277" s="192" t="s">
        <v>173</v>
      </c>
      <c r="N277" s="52" t="str">
        <f>IF(AND('331-CT'!$E$7=TH!H277,OR(L277="331",M277="331")),"331",IF(AND(OR(L277="131",M277="131"),H277='131-CT'!$E$7),"131",""))</f>
        <v/>
      </c>
      <c r="O277" s="818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52"/>
      <c r="AB277" s="552"/>
      <c r="AC277" s="552"/>
      <c r="AD277" s="552"/>
    </row>
    <row r="278" spans="1:32" s="209" customFormat="1" ht="15.75" customHeight="1">
      <c r="A278" s="202" t="str">
        <f>IF(B278&lt;&gt;"",IF(AND(B278&gt;=_TM1,B278&lt;=_TM2,OR(TH!L278="1111",TH!M278="1111")),TH!D278,""),"")</f>
        <v/>
      </c>
      <c r="B278" s="36">
        <f t="shared" si="17"/>
        <v>2</v>
      </c>
      <c r="C278" s="182">
        <f t="shared" si="18"/>
        <v>42401</v>
      </c>
      <c r="D278" s="189" t="s">
        <v>1124</v>
      </c>
      <c r="E278" s="189">
        <v>42401</v>
      </c>
      <c r="F278" s="190" t="s">
        <v>393</v>
      </c>
      <c r="G278" s="190" t="s">
        <v>924</v>
      </c>
      <c r="H278" s="191" t="s">
        <v>637</v>
      </c>
      <c r="I278" s="251"/>
      <c r="J278" s="251"/>
      <c r="K278" s="38">
        <v>207500</v>
      </c>
      <c r="L278" s="192" t="s">
        <v>258</v>
      </c>
      <c r="M278" s="192" t="s">
        <v>367</v>
      </c>
      <c r="N278" s="52" t="str">
        <f>IF(AND('331-CT'!$E$7=TH!H278,OR(L278="331",M278="331")),"331",IF(AND(OR(L278="131",M278="131"),H278='131-CT'!$E$7),"131",""))</f>
        <v/>
      </c>
      <c r="O278" s="818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52"/>
      <c r="AB278" s="552"/>
      <c r="AC278" s="552"/>
      <c r="AD278" s="552"/>
    </row>
    <row r="279" spans="1:32" s="209" customFormat="1" ht="15.75" customHeight="1">
      <c r="A279" s="202" t="str">
        <f>IF(B279&lt;&gt;"",IF(AND(B279&gt;=_TM1,B279&lt;=_TM2,OR(TH!L279="1111",TH!M279="1111")),TH!D279,""),"")</f>
        <v/>
      </c>
      <c r="B279" s="36">
        <f t="shared" si="17"/>
        <v>2</v>
      </c>
      <c r="C279" s="182">
        <f t="shared" si="18"/>
        <v>42401</v>
      </c>
      <c r="D279" s="182" t="s">
        <v>1631</v>
      </c>
      <c r="E279" s="189">
        <v>42401</v>
      </c>
      <c r="F279" s="40" t="s">
        <v>666</v>
      </c>
      <c r="G279" s="451" t="s">
        <v>1577</v>
      </c>
      <c r="H279" s="7" t="s">
        <v>1204</v>
      </c>
      <c r="I279" s="252"/>
      <c r="J279" s="252"/>
      <c r="K279" s="560">
        <v>33067868</v>
      </c>
      <c r="L279" s="561" t="s">
        <v>47</v>
      </c>
      <c r="M279" s="561" t="s">
        <v>258</v>
      </c>
      <c r="N279" s="52" t="str">
        <f>IF(AND('331-CT'!$E$7=TH!H279,OR(L279="331",M279="331")),"331",IF(AND(OR(L279="131",M279="131"),H279='131-CT'!$E$7),"131",""))</f>
        <v/>
      </c>
      <c r="O279" s="818" t="str">
        <f>IF(AND('341-CT'!$E$9=H279,OR(LEFT(L279,3)=$O$7,LEFT(M279,3)=$O$7)),"x","")</f>
        <v/>
      </c>
      <c r="P279" s="52" t="str">
        <f>IF(AND($B279&gt;='111'!$N$11,$B279&lt;='111'!$O$11,OR($L279=$P$7,$M279=$P$7)),"x","")</f>
        <v>x</v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52"/>
      <c r="AB279" s="552"/>
      <c r="AC279" s="552"/>
    </row>
    <row r="280" spans="1:32" s="209" customFormat="1" ht="15.75" customHeight="1">
      <c r="A280" s="202" t="str">
        <f>IF(B280&lt;&gt;"",IF(AND(B280&gt;=_TM1,B280&lt;=_TM2,OR(TH!L280="1111",TH!M280="1111")),TH!D280,""),"")</f>
        <v/>
      </c>
      <c r="B280" s="36">
        <f t="shared" si="17"/>
        <v>2</v>
      </c>
      <c r="C280" s="182">
        <f t="shared" si="18"/>
        <v>42402</v>
      </c>
      <c r="D280" s="182" t="s">
        <v>1632</v>
      </c>
      <c r="E280" s="189">
        <v>42402</v>
      </c>
      <c r="F280" s="187" t="s">
        <v>776</v>
      </c>
      <c r="G280" s="448" t="s">
        <v>330</v>
      </c>
      <c r="H280" s="191" t="s">
        <v>782</v>
      </c>
      <c r="I280" s="251"/>
      <c r="J280" s="251"/>
      <c r="K280" s="38">
        <v>20000000</v>
      </c>
      <c r="L280" s="192" t="s">
        <v>47</v>
      </c>
      <c r="M280" s="561" t="s">
        <v>24</v>
      </c>
      <c r="N280" s="52" t="str">
        <f>IF(AND('331-CT'!$E$7=TH!H280,OR(L280="331",M280="331")),"331",IF(AND(OR(L280="131",M280="131"),H280='131-CT'!$E$7),"131",""))</f>
        <v/>
      </c>
      <c r="O280" s="818" t="str">
        <f>IF(AND('341-CT'!$E$9=H280,OR(LEFT(L280,3)=$O$7,LEFT(M280,3)=$O$7)),"x","")</f>
        <v/>
      </c>
      <c r="P280" s="52" t="str">
        <f>IF(AND($B280&gt;='111'!$N$11,$B280&lt;='111'!$O$11,OR($L280=$P$7,$M280=$P$7)),"x","")</f>
        <v>x</v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52"/>
      <c r="AB280" s="552"/>
      <c r="AC280" s="552"/>
      <c r="AD280" s="552"/>
    </row>
    <row r="281" spans="1:32" s="209" customFormat="1" ht="15.75" customHeight="1">
      <c r="A281" s="202" t="str">
        <f>IF(B281&lt;&gt;"",IF(AND(B281&gt;=_TM1,B281&lt;=_TM2,OR(TH!L281="1111",TH!M281="1111")),TH!D281,""),"")</f>
        <v/>
      </c>
      <c r="B281" s="36">
        <f t="shared" si="17"/>
        <v>2</v>
      </c>
      <c r="C281" s="182">
        <f t="shared" si="18"/>
        <v>42402</v>
      </c>
      <c r="D281" s="189" t="s">
        <v>1125</v>
      </c>
      <c r="E281" s="704">
        <v>42402</v>
      </c>
      <c r="F281" s="190" t="s">
        <v>659</v>
      </c>
      <c r="G281" s="190" t="s">
        <v>925</v>
      </c>
      <c r="H281" s="7" t="s">
        <v>785</v>
      </c>
      <c r="I281" s="254">
        <v>100</v>
      </c>
      <c r="J281" s="254">
        <v>10920</v>
      </c>
      <c r="K281" s="38">
        <f>ROUND(I281*J281,0)</f>
        <v>1092000</v>
      </c>
      <c r="L281" s="192" t="s">
        <v>258</v>
      </c>
      <c r="M281" s="192" t="s">
        <v>173</v>
      </c>
      <c r="N281" s="52" t="str">
        <f>IF(AND('331-CT'!$E$7=TH!H281,OR(L281="331",M281="331")),"331",IF(AND(OR(L281="131",M281="131"),H281='131-CT'!$E$7),"131",""))</f>
        <v/>
      </c>
      <c r="O281" s="818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52"/>
      <c r="AB281" s="552"/>
      <c r="AC281" s="552"/>
      <c r="AD281" s="552"/>
    </row>
    <row r="282" spans="1:32" s="209" customFormat="1" ht="15.75" customHeight="1">
      <c r="A282" s="202" t="str">
        <f>IF(B282&lt;&gt;"",IF(AND(B282&gt;=_TM1,B282&lt;=_TM2,OR(TH!L282="1111",TH!M282="1111")),TH!D282,""),"")</f>
        <v/>
      </c>
      <c r="B282" s="36">
        <f t="shared" si="17"/>
        <v>2</v>
      </c>
      <c r="C282" s="182">
        <f t="shared" si="18"/>
        <v>42402</v>
      </c>
      <c r="D282" s="189" t="s">
        <v>1125</v>
      </c>
      <c r="E282" s="189">
        <v>42402</v>
      </c>
      <c r="F282" s="190" t="s">
        <v>658</v>
      </c>
      <c r="G282" s="190" t="s">
        <v>925</v>
      </c>
      <c r="H282" s="7" t="s">
        <v>785</v>
      </c>
      <c r="I282" s="251">
        <v>505</v>
      </c>
      <c r="J282" s="251">
        <v>6450</v>
      </c>
      <c r="K282" s="38">
        <f>ROUND(I282*J282,0)</f>
        <v>3257250</v>
      </c>
      <c r="L282" s="192" t="s">
        <v>258</v>
      </c>
      <c r="M282" s="192" t="s">
        <v>173</v>
      </c>
      <c r="N282" s="52" t="str">
        <f>IF(AND('331-CT'!$E$7=TH!H282,OR(L282="331",M282="331")),"331",IF(AND(OR(L282="131",M282="131"),H282='131-CT'!$E$7),"131",""))</f>
        <v/>
      </c>
      <c r="O282" s="818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52"/>
      <c r="AB282" s="552"/>
      <c r="AC282" s="552"/>
      <c r="AD282" s="552"/>
    </row>
    <row r="283" spans="1:32" s="209" customFormat="1" ht="15.75" customHeight="1">
      <c r="A283" s="202" t="str">
        <f>IF(B283&lt;&gt;"",IF(AND(B283&gt;=_TM1,B283&lt;=_TM2,OR(TH!L283="1111",TH!M283="1111")),TH!D283,""),"")</f>
        <v/>
      </c>
      <c r="B283" s="36">
        <f t="shared" si="17"/>
        <v>2</v>
      </c>
      <c r="C283" s="182">
        <f t="shared" si="18"/>
        <v>42402</v>
      </c>
      <c r="D283" s="189" t="s">
        <v>1125</v>
      </c>
      <c r="E283" s="189">
        <v>42402</v>
      </c>
      <c r="F283" s="190" t="s">
        <v>393</v>
      </c>
      <c r="G283" s="190" t="s">
        <v>925</v>
      </c>
      <c r="H283" s="7" t="s">
        <v>785</v>
      </c>
      <c r="I283" s="251"/>
      <c r="J283" s="251"/>
      <c r="K283" s="38">
        <v>434925</v>
      </c>
      <c r="L283" s="192" t="s">
        <v>258</v>
      </c>
      <c r="M283" s="192" t="s">
        <v>367</v>
      </c>
      <c r="N283" s="52" t="str">
        <f>IF(AND('331-CT'!$E$7=TH!H283,OR(L283="331",M283="331")),"331",IF(AND(OR(L283="131",M283="131"),H283='131-CT'!$E$7),"131",""))</f>
        <v/>
      </c>
      <c r="O283" s="818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52"/>
      <c r="AB283" s="552"/>
      <c r="AC283" s="552"/>
      <c r="AD283" s="552"/>
    </row>
    <row r="284" spans="1:32" s="209" customFormat="1" ht="15.75" customHeight="1">
      <c r="A284" s="202" t="str">
        <f>IF(B284&lt;&gt;"",IF(AND(B284&gt;=_TM1,B284&lt;=_TM2,OR(TH!L284="1111",TH!M284="1111")),TH!D284,""),"")</f>
        <v/>
      </c>
      <c r="B284" s="36">
        <f t="shared" si="17"/>
        <v>2</v>
      </c>
      <c r="C284" s="182">
        <f t="shared" si="18"/>
        <v>42402</v>
      </c>
      <c r="D284" s="189" t="s">
        <v>1126</v>
      </c>
      <c r="E284" s="189">
        <v>42402</v>
      </c>
      <c r="F284" s="190" t="s">
        <v>389</v>
      </c>
      <c r="G284" s="190" t="s">
        <v>425</v>
      </c>
      <c r="H284" s="190" t="s">
        <v>391</v>
      </c>
      <c r="I284" s="252">
        <v>494</v>
      </c>
      <c r="J284" s="252">
        <v>5000</v>
      </c>
      <c r="K284" s="38">
        <f>ROUND(I284*J284,0)</f>
        <v>2470000</v>
      </c>
      <c r="L284" s="192" t="s">
        <v>258</v>
      </c>
      <c r="M284" s="192" t="s">
        <v>173</v>
      </c>
      <c r="N284" s="52" t="str">
        <f>IF(AND('331-CT'!$E$7=TH!H284,OR(L284="331",M284="331")),"331",IF(AND(OR(L284="131",M284="131"),H284='131-CT'!$E$7),"131",""))</f>
        <v/>
      </c>
      <c r="O284" s="818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52"/>
      <c r="AB284" s="552"/>
      <c r="AC284" s="552"/>
    </row>
    <row r="285" spans="1:32" s="209" customFormat="1" ht="15.75" customHeight="1">
      <c r="A285" s="202" t="str">
        <f>IF(B285&lt;&gt;"",IF(AND(B285&gt;=_TM1,B285&lt;=_TM2,OR(TH!L285="1111",TH!M285="1111")),TH!D285,""),"")</f>
        <v/>
      </c>
      <c r="B285" s="36">
        <f t="shared" si="17"/>
        <v>2</v>
      </c>
      <c r="C285" s="182">
        <f t="shared" si="18"/>
        <v>42402</v>
      </c>
      <c r="D285" s="189" t="s">
        <v>1126</v>
      </c>
      <c r="E285" s="189">
        <v>42402</v>
      </c>
      <c r="F285" s="190" t="s">
        <v>393</v>
      </c>
      <c r="G285" s="190" t="s">
        <v>425</v>
      </c>
      <c r="H285" s="208" t="s">
        <v>391</v>
      </c>
      <c r="I285" s="252"/>
      <c r="J285" s="252"/>
      <c r="K285" s="38">
        <v>247000</v>
      </c>
      <c r="L285" s="192" t="s">
        <v>258</v>
      </c>
      <c r="M285" s="192" t="s">
        <v>367</v>
      </c>
      <c r="N285" s="52" t="str">
        <f>IF(AND('331-CT'!$E$7=TH!H285,OR(L285="331",M285="331")),"331",IF(AND(OR(L285="131",M285="131"),H285='131-CT'!$E$7),"131",""))</f>
        <v/>
      </c>
      <c r="O285" s="818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52"/>
      <c r="AB285" s="552"/>
      <c r="AC285" s="552"/>
    </row>
    <row r="286" spans="1:32" s="209" customFormat="1" ht="15.75" customHeight="1">
      <c r="A286" s="202" t="str">
        <f>IF(B286&lt;&gt;"",IF(AND(B286&gt;=_TM1,B286&lt;=_TM2,OR(TH!L286="1111",TH!M286="1111")),TH!D286,""),"")</f>
        <v/>
      </c>
      <c r="B286" s="36">
        <f t="shared" si="17"/>
        <v>2</v>
      </c>
      <c r="C286" s="182">
        <f t="shared" si="18"/>
        <v>42403</v>
      </c>
      <c r="D286" s="182" t="s">
        <v>665</v>
      </c>
      <c r="E286" s="182">
        <v>42403</v>
      </c>
      <c r="F286" s="187" t="s">
        <v>666</v>
      </c>
      <c r="G286" s="448" t="s">
        <v>330</v>
      </c>
      <c r="H286" s="7" t="s">
        <v>571</v>
      </c>
      <c r="I286" s="251"/>
      <c r="J286" s="251"/>
      <c r="K286" s="560">
        <v>16342736</v>
      </c>
      <c r="L286" s="561" t="s">
        <v>24</v>
      </c>
      <c r="M286" s="561" t="s">
        <v>258</v>
      </c>
      <c r="N286" s="52" t="str">
        <f>IF(AND('331-CT'!$E$7=TH!H286,OR(L286="331",M286="331")),"331",IF(AND(OR(L286="131",M286="131"),H286='131-CT'!$E$7),"131",""))</f>
        <v/>
      </c>
      <c r="O286" s="818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52"/>
      <c r="AB286" s="552"/>
      <c r="AC286" s="552"/>
      <c r="AD286" s="552"/>
      <c r="AE286" s="552"/>
      <c r="AF286" s="552"/>
    </row>
    <row r="287" spans="1:32" s="209" customFormat="1" ht="15.75" customHeight="1">
      <c r="A287" s="202" t="str">
        <f>IF(B287&lt;&gt;"",IF(AND(B287&gt;=_TM1,B287&lt;=_TM2,OR(TH!L287="1111",TH!M287="1111")),TH!D287,""),"")</f>
        <v/>
      </c>
      <c r="B287" s="36">
        <f t="shared" si="17"/>
        <v>2</v>
      </c>
      <c r="C287" s="182">
        <f t="shared" si="18"/>
        <v>42403</v>
      </c>
      <c r="D287" s="182" t="s">
        <v>665</v>
      </c>
      <c r="E287" s="182">
        <v>42403</v>
      </c>
      <c r="F287" s="187" t="s">
        <v>666</v>
      </c>
      <c r="G287" s="448" t="s">
        <v>330</v>
      </c>
      <c r="H287" s="191" t="s">
        <v>615</v>
      </c>
      <c r="I287" s="251"/>
      <c r="J287" s="251"/>
      <c r="K287" s="560">
        <v>50530150</v>
      </c>
      <c r="L287" s="561" t="s">
        <v>24</v>
      </c>
      <c r="M287" s="561" t="s">
        <v>258</v>
      </c>
      <c r="N287" s="52" t="str">
        <f>IF(AND('331-CT'!$E$7=TH!H287,OR(L287="331",M287="331")),"331",IF(AND(OR(L287="131",M287="131"),H287='131-CT'!$E$7),"131",""))</f>
        <v/>
      </c>
      <c r="O287" s="818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52"/>
      <c r="AB287" s="552"/>
      <c r="AC287" s="552"/>
      <c r="AD287" s="552"/>
      <c r="AE287" s="552"/>
      <c r="AF287" s="552"/>
    </row>
    <row r="288" spans="1:32" s="209" customFormat="1" ht="15.75" customHeight="1">
      <c r="A288" s="202" t="str">
        <f>IF(B288&lt;&gt;"",IF(AND(B288&gt;=_TM1,B288&lt;=_TM2,OR(TH!L288="1111",TH!M288="1111")),TH!D288,""),"")</f>
        <v/>
      </c>
      <c r="B288" s="36">
        <f t="shared" si="17"/>
        <v>2</v>
      </c>
      <c r="C288" s="182">
        <f t="shared" si="18"/>
        <v>42403</v>
      </c>
      <c r="D288" s="182" t="s">
        <v>1633</v>
      </c>
      <c r="E288" s="189">
        <v>42403</v>
      </c>
      <c r="F288" s="187" t="s">
        <v>776</v>
      </c>
      <c r="G288" s="448" t="s">
        <v>330</v>
      </c>
      <c r="H288" s="191" t="s">
        <v>675</v>
      </c>
      <c r="I288" s="251"/>
      <c r="J288" s="251"/>
      <c r="K288" s="38">
        <v>50000000</v>
      </c>
      <c r="L288" s="192" t="s">
        <v>47</v>
      </c>
      <c r="M288" s="561" t="s">
        <v>24</v>
      </c>
      <c r="N288" s="52" t="str">
        <f>IF(AND('331-CT'!$E$7=TH!H288,OR(L288="331",M288="331")),"331",IF(AND(OR(L288="131",M288="131"),H288='131-CT'!$E$7),"131",""))</f>
        <v/>
      </c>
      <c r="O288" s="818" t="str">
        <f>IF(AND('341-CT'!$E$9=H288,OR(LEFT(L288,3)=$O$7,LEFT(M288,3)=$O$7)),"x","")</f>
        <v/>
      </c>
      <c r="P288" s="52" t="str">
        <f>IF(AND($B288&gt;='111'!$N$11,$B288&lt;='111'!$O$11,OR($L288=$P$7,$M288=$P$7)),"x","")</f>
        <v>x</v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52"/>
      <c r="AB288" s="552"/>
      <c r="AC288" s="552"/>
      <c r="AD288" s="552"/>
    </row>
    <row r="289" spans="1:32" s="209" customFormat="1" ht="15.75" customHeight="1">
      <c r="A289" s="202" t="str">
        <f>IF(B289&lt;&gt;"",IF(AND(B289&gt;=_TM1,B289&lt;=_TM2,OR(TH!L289="1111",TH!M289="1111")),TH!D289,""),"")</f>
        <v/>
      </c>
      <c r="B289" s="36">
        <f t="shared" si="17"/>
        <v>2</v>
      </c>
      <c r="C289" s="182">
        <f t="shared" si="18"/>
        <v>42403</v>
      </c>
      <c r="D289" s="182" t="s">
        <v>669</v>
      </c>
      <c r="E289" s="189">
        <v>42403</v>
      </c>
      <c r="F289" s="190" t="s">
        <v>790</v>
      </c>
      <c r="G289" s="448" t="s">
        <v>330</v>
      </c>
      <c r="H289" s="7" t="s">
        <v>1554</v>
      </c>
      <c r="I289" s="251"/>
      <c r="J289" s="251"/>
      <c r="K289" s="38">
        <v>30000000</v>
      </c>
      <c r="L289" s="192" t="s">
        <v>8</v>
      </c>
      <c r="M289" s="561" t="s">
        <v>24</v>
      </c>
      <c r="N289" s="52" t="str">
        <f>IF(AND('331-CT'!$E$7=TH!H289,OR(L289="331",M289="331")),"331",IF(AND(OR(L289="131",M289="131"),H289='131-CT'!$E$7),"131",""))</f>
        <v/>
      </c>
      <c r="O289" s="818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52"/>
      <c r="AB289" s="552"/>
    </row>
    <row r="290" spans="1:32" s="209" customFormat="1" ht="15.75" customHeight="1">
      <c r="A290" s="202" t="str">
        <f>IF(B290&lt;&gt;"",IF(AND(B290&gt;=_TM1,B290&lt;=_TM2,OR(TH!L290="1111",TH!M290="1111")),TH!D290,""),"")</f>
        <v/>
      </c>
      <c r="B290" s="36">
        <f t="shared" si="17"/>
        <v>2</v>
      </c>
      <c r="C290" s="182">
        <f t="shared" si="18"/>
        <v>42403</v>
      </c>
      <c r="D290" s="189" t="s">
        <v>1127</v>
      </c>
      <c r="E290" s="189">
        <v>42403</v>
      </c>
      <c r="F290" s="187" t="s">
        <v>1434</v>
      </c>
      <c r="G290" s="190" t="s">
        <v>926</v>
      </c>
      <c r="H290" s="191" t="s">
        <v>615</v>
      </c>
      <c r="I290" s="251">
        <v>235</v>
      </c>
      <c r="J290" s="251">
        <v>10900</v>
      </c>
      <c r="K290" s="38">
        <f t="shared" ref="K290:K295" si="19">ROUND(I290*J290,0)</f>
        <v>2561500</v>
      </c>
      <c r="L290" s="192" t="s">
        <v>258</v>
      </c>
      <c r="M290" s="192" t="s">
        <v>173</v>
      </c>
      <c r="N290" s="52" t="str">
        <f>IF(AND('331-CT'!$E$7=TH!H290,OR(L290="331",M290="331")),"331",IF(AND(OR(L290="131",M290="131"),H290='131-CT'!$E$7),"131",""))</f>
        <v/>
      </c>
      <c r="O290" s="818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52"/>
      <c r="AB290" s="552"/>
      <c r="AC290" s="552"/>
    </row>
    <row r="291" spans="1:32" s="209" customFormat="1" ht="15.75" customHeight="1">
      <c r="A291" s="202" t="str">
        <f>IF(B291&lt;&gt;"",IF(AND(B291&gt;=_TM1,B291&lt;=_TM2,OR(TH!L291="1111",TH!M291="1111")),TH!D291,""),"")</f>
        <v/>
      </c>
      <c r="B291" s="36">
        <f t="shared" si="17"/>
        <v>2</v>
      </c>
      <c r="C291" s="182">
        <f t="shared" si="18"/>
        <v>42403</v>
      </c>
      <c r="D291" s="189" t="s">
        <v>1127</v>
      </c>
      <c r="E291" s="189">
        <v>42403</v>
      </c>
      <c r="F291" s="187" t="s">
        <v>1307</v>
      </c>
      <c r="G291" s="190" t="s">
        <v>926</v>
      </c>
      <c r="H291" s="191" t="s">
        <v>615</v>
      </c>
      <c r="I291" s="251">
        <v>600</v>
      </c>
      <c r="J291" s="251">
        <v>14200</v>
      </c>
      <c r="K291" s="38">
        <f t="shared" si="19"/>
        <v>8520000</v>
      </c>
      <c r="L291" s="192" t="s">
        <v>258</v>
      </c>
      <c r="M291" s="192" t="s">
        <v>173</v>
      </c>
      <c r="N291" s="52" t="str">
        <f>IF(AND('331-CT'!$E$7=TH!H291,OR(L291="331",M291="331")),"331",IF(AND(OR(L291="131",M291="131"),H291='131-CT'!$E$7),"131",""))</f>
        <v/>
      </c>
      <c r="O291" s="818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52"/>
      <c r="AB291" s="552"/>
    </row>
    <row r="292" spans="1:32" s="209" customFormat="1" ht="15.75" customHeight="1">
      <c r="A292" s="202" t="str">
        <f>IF(B292&lt;&gt;"",IF(AND(B292&gt;=_TM1,B292&lt;=_TM2,OR(TH!L292="1111",TH!M292="1111")),TH!D292,""),"")</f>
        <v/>
      </c>
      <c r="B292" s="36">
        <f t="shared" si="17"/>
        <v>2</v>
      </c>
      <c r="C292" s="182">
        <f t="shared" si="18"/>
        <v>42403</v>
      </c>
      <c r="D292" s="189" t="s">
        <v>1127</v>
      </c>
      <c r="E292" s="189">
        <v>42403</v>
      </c>
      <c r="F292" s="187" t="s">
        <v>1310</v>
      </c>
      <c r="G292" s="190" t="s">
        <v>926</v>
      </c>
      <c r="H292" s="191" t="s">
        <v>615</v>
      </c>
      <c r="I292" s="251">
        <v>600</v>
      </c>
      <c r="J292" s="251">
        <v>15300</v>
      </c>
      <c r="K292" s="38">
        <f t="shared" si="19"/>
        <v>9180000</v>
      </c>
      <c r="L292" s="192" t="s">
        <v>258</v>
      </c>
      <c r="M292" s="192" t="s">
        <v>173</v>
      </c>
      <c r="N292" s="52" t="str">
        <f>IF(AND('331-CT'!$E$7=TH!H292,OR(L292="331",M292="331")),"331",IF(AND(OR(L292="131",M292="131"),H292='131-CT'!$E$7),"131",""))</f>
        <v/>
      </c>
      <c r="O292" s="818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52"/>
      <c r="AB292" s="552"/>
      <c r="AC292" s="552"/>
    </row>
    <row r="293" spans="1:32" s="209" customFormat="1" ht="15.75" customHeight="1">
      <c r="A293" s="202" t="str">
        <f>IF(B293&lt;&gt;"",IF(AND(B293&gt;=_TM1,B293&lt;=_TM2,OR(TH!L293="1111",TH!M293="1111")),TH!D293,""),"")</f>
        <v/>
      </c>
      <c r="B293" s="36">
        <f t="shared" si="17"/>
        <v>2</v>
      </c>
      <c r="C293" s="182">
        <f t="shared" si="18"/>
        <v>42403</v>
      </c>
      <c r="D293" s="189" t="s">
        <v>1127</v>
      </c>
      <c r="E293" s="704">
        <v>42403</v>
      </c>
      <c r="F293" s="187" t="s">
        <v>1308</v>
      </c>
      <c r="G293" s="190" t="s">
        <v>926</v>
      </c>
      <c r="H293" s="191" t="s">
        <v>615</v>
      </c>
      <c r="I293" s="254">
        <v>350</v>
      </c>
      <c r="J293" s="254">
        <v>16500</v>
      </c>
      <c r="K293" s="38">
        <f t="shared" si="19"/>
        <v>5775000</v>
      </c>
      <c r="L293" s="192" t="s">
        <v>258</v>
      </c>
      <c r="M293" s="192" t="s">
        <v>173</v>
      </c>
      <c r="N293" s="52" t="str">
        <f>IF(AND('331-CT'!$E$7=TH!H293,OR(L293="331",M293="331")),"331",IF(AND(OR(L293="131",M293="131"),H293='131-CT'!$E$7),"131",""))</f>
        <v/>
      </c>
      <c r="O293" s="818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52"/>
      <c r="AB293" s="552"/>
      <c r="AC293" s="552"/>
    </row>
    <row r="294" spans="1:32" s="209" customFormat="1" ht="15.75" customHeight="1">
      <c r="A294" s="202" t="str">
        <f>IF(B294&lt;&gt;"",IF(AND(B294&gt;=_TM1,B294&lt;=_TM2,OR(TH!L294="1111",TH!M294="1111")),TH!D294,""),"")</f>
        <v/>
      </c>
      <c r="B294" s="36">
        <f t="shared" si="17"/>
        <v>2</v>
      </c>
      <c r="C294" s="182">
        <f t="shared" si="18"/>
        <v>42403</v>
      </c>
      <c r="D294" s="189" t="s">
        <v>1127</v>
      </c>
      <c r="E294" s="189">
        <v>42403</v>
      </c>
      <c r="F294" s="187" t="s">
        <v>1309</v>
      </c>
      <c r="G294" s="190" t="s">
        <v>926</v>
      </c>
      <c r="H294" s="191" t="s">
        <v>615</v>
      </c>
      <c r="I294" s="251">
        <v>500</v>
      </c>
      <c r="J294" s="251">
        <v>19700</v>
      </c>
      <c r="K294" s="38">
        <f t="shared" si="19"/>
        <v>9850000</v>
      </c>
      <c r="L294" s="192" t="s">
        <v>258</v>
      </c>
      <c r="M294" s="192" t="s">
        <v>173</v>
      </c>
      <c r="N294" s="52" t="str">
        <f>IF(AND('331-CT'!$E$7=TH!H294,OR(L294="331",M294="331")),"331",IF(AND(OR(L294="131",M294="131"),H294='131-CT'!$E$7),"131",""))</f>
        <v/>
      </c>
      <c r="O294" s="818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52"/>
      <c r="AB294" s="552"/>
      <c r="AC294" s="552"/>
    </row>
    <row r="295" spans="1:32" s="209" customFormat="1" ht="15.75" customHeight="1">
      <c r="A295" s="202" t="str">
        <f>IF(B295&lt;&gt;"",IF(AND(B295&gt;=_TM1,B295&lt;=_TM2,OR(TH!L295="1111",TH!M295="1111")),TH!D295,""),"")</f>
        <v/>
      </c>
      <c r="B295" s="36">
        <f t="shared" si="17"/>
        <v>2</v>
      </c>
      <c r="C295" s="182">
        <f t="shared" si="18"/>
        <v>42403</v>
      </c>
      <c r="D295" s="189" t="s">
        <v>1127</v>
      </c>
      <c r="E295" s="189">
        <v>42403</v>
      </c>
      <c r="F295" s="187" t="s">
        <v>1436</v>
      </c>
      <c r="G295" s="190" t="s">
        <v>926</v>
      </c>
      <c r="H295" s="191" t="s">
        <v>615</v>
      </c>
      <c r="I295" s="251">
        <v>500</v>
      </c>
      <c r="J295" s="251">
        <v>20100</v>
      </c>
      <c r="K295" s="38">
        <f t="shared" si="19"/>
        <v>10050000</v>
      </c>
      <c r="L295" s="192" t="s">
        <v>258</v>
      </c>
      <c r="M295" s="192" t="s">
        <v>173</v>
      </c>
      <c r="N295" s="52" t="str">
        <f>IF(AND('331-CT'!$E$7=TH!H295,OR(L295="331",M295="331")),"331",IF(AND(OR(L295="131",M295="131"),H295='131-CT'!$E$7),"131",""))</f>
        <v/>
      </c>
      <c r="O295" s="818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52"/>
      <c r="AB295" s="552"/>
    </row>
    <row r="296" spans="1:32" s="209" customFormat="1" ht="15.75" customHeight="1">
      <c r="A296" s="202" t="str">
        <f>IF(B296&lt;&gt;"",IF(AND(B296&gt;=_TM1,B296&lt;=_TM2,OR(TH!L296="1111",TH!M296="1111")),TH!D296,""),"")</f>
        <v/>
      </c>
      <c r="B296" s="36">
        <f t="shared" si="17"/>
        <v>2</v>
      </c>
      <c r="C296" s="182">
        <f t="shared" si="18"/>
        <v>42403</v>
      </c>
      <c r="D296" s="189" t="s">
        <v>1127</v>
      </c>
      <c r="E296" s="189">
        <v>42403</v>
      </c>
      <c r="F296" s="190" t="s">
        <v>393</v>
      </c>
      <c r="G296" s="190" t="s">
        <v>926</v>
      </c>
      <c r="H296" s="191" t="s">
        <v>615</v>
      </c>
      <c r="I296" s="251"/>
      <c r="J296" s="251"/>
      <c r="K296" s="38">
        <v>4593650</v>
      </c>
      <c r="L296" s="192" t="s">
        <v>258</v>
      </c>
      <c r="M296" s="192" t="s">
        <v>367</v>
      </c>
      <c r="N296" s="52" t="str">
        <f>IF(AND('331-CT'!$E$7=TH!H296,OR(L296="331",M296="331")),"331",IF(AND(OR(L296="131",M296="131"),H296='131-CT'!$E$7),"131",""))</f>
        <v/>
      </c>
      <c r="O296" s="818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52"/>
      <c r="AB296" s="552"/>
      <c r="AC296" s="552"/>
    </row>
    <row r="297" spans="1:32" s="209" customFormat="1" ht="15.75" customHeight="1">
      <c r="A297" s="202" t="str">
        <f>IF(B297&lt;&gt;"",IF(AND(B297&gt;=_TM1,B297&lt;=_TM2,OR(TH!L297="1111",TH!M297="1111")),TH!D297,""),"")</f>
        <v/>
      </c>
      <c r="B297" s="36">
        <f t="shared" si="17"/>
        <v>2</v>
      </c>
      <c r="C297" s="182">
        <f t="shared" si="18"/>
        <v>42404</v>
      </c>
      <c r="D297" s="182" t="s">
        <v>665</v>
      </c>
      <c r="E297" s="182">
        <v>42404</v>
      </c>
      <c r="F297" s="187" t="s">
        <v>666</v>
      </c>
      <c r="G297" s="448" t="s">
        <v>330</v>
      </c>
      <c r="H297" s="7" t="s">
        <v>391</v>
      </c>
      <c r="I297" s="251"/>
      <c r="J297" s="251"/>
      <c r="K297" s="560">
        <v>2717000</v>
      </c>
      <c r="L297" s="561" t="s">
        <v>24</v>
      </c>
      <c r="M297" s="561" t="s">
        <v>258</v>
      </c>
      <c r="N297" s="52" t="str">
        <f>IF(AND('331-CT'!$E$7=TH!H297,OR(L297="331",M297="331")),"331",IF(AND(OR(L297="131",M297="131"),H297='131-CT'!$E$7),"131",""))</f>
        <v/>
      </c>
      <c r="O297" s="818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52"/>
      <c r="AB297" s="552"/>
      <c r="AC297" s="552"/>
      <c r="AD297" s="552"/>
      <c r="AE297" s="552"/>
      <c r="AF297" s="552"/>
    </row>
    <row r="298" spans="1:32" s="209" customFormat="1" ht="15.75" customHeight="1">
      <c r="A298" s="202" t="str">
        <f>IF(B298&lt;&gt;"",IF(AND(B298&gt;=_TM1,B298&lt;=_TM2,OR(TH!L298="1111",TH!M298="1111")),TH!D298,""),"")</f>
        <v/>
      </c>
      <c r="B298" s="36">
        <f t="shared" si="17"/>
        <v>2</v>
      </c>
      <c r="C298" s="182">
        <f t="shared" si="18"/>
        <v>42404</v>
      </c>
      <c r="D298" s="182" t="s">
        <v>665</v>
      </c>
      <c r="E298" s="182">
        <v>42404</v>
      </c>
      <c r="F298" s="187" t="s">
        <v>666</v>
      </c>
      <c r="G298" s="448" t="s">
        <v>330</v>
      </c>
      <c r="H298" s="7" t="s">
        <v>637</v>
      </c>
      <c r="I298" s="251"/>
      <c r="J298" s="251"/>
      <c r="K298" s="560">
        <v>2282500</v>
      </c>
      <c r="L298" s="561" t="s">
        <v>24</v>
      </c>
      <c r="M298" s="561" t="s">
        <v>258</v>
      </c>
      <c r="N298" s="52" t="str">
        <f>IF(AND('331-CT'!$E$7=TH!H298,OR(L298="331",M298="331")),"331",IF(AND(OR(L298="131",M298="131"),H298='131-CT'!$E$7),"131",""))</f>
        <v/>
      </c>
      <c r="O298" s="818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52"/>
      <c r="AB298" s="552"/>
      <c r="AC298" s="552"/>
      <c r="AD298" s="552"/>
      <c r="AE298" s="552"/>
      <c r="AF298" s="552"/>
    </row>
    <row r="299" spans="1:32" s="209" customFormat="1" ht="15.75" customHeight="1">
      <c r="A299" s="202" t="str">
        <f>IF(B299&lt;&gt;"",IF(AND(B299&gt;=_TM1,B299&lt;=_TM2,OR(TH!L299="1111",TH!M299="1111")),TH!D299,""),"")</f>
        <v/>
      </c>
      <c r="B299" s="36">
        <f t="shared" si="17"/>
        <v>2</v>
      </c>
      <c r="C299" s="182">
        <f t="shared" si="18"/>
        <v>42404</v>
      </c>
      <c r="D299" s="182" t="s">
        <v>665</v>
      </c>
      <c r="E299" s="182">
        <v>42404</v>
      </c>
      <c r="F299" s="187" t="s">
        <v>666</v>
      </c>
      <c r="G299" s="448" t="s">
        <v>330</v>
      </c>
      <c r="H299" s="7" t="s">
        <v>783</v>
      </c>
      <c r="I299" s="251"/>
      <c r="J299" s="251"/>
      <c r="K299" s="560">
        <v>3548160</v>
      </c>
      <c r="L299" s="561" t="s">
        <v>24</v>
      </c>
      <c r="M299" s="561" t="s">
        <v>258</v>
      </c>
      <c r="N299" s="52" t="str">
        <f>IF(AND('331-CT'!$E$7=TH!H299,OR(L299="331",M299="331")),"331",IF(AND(OR(L299="131",M299="131"),H299='131-CT'!$E$7),"131",""))</f>
        <v/>
      </c>
      <c r="O299" s="818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52"/>
      <c r="AB299" s="552"/>
      <c r="AC299" s="552"/>
      <c r="AD299" s="552"/>
      <c r="AE299" s="552"/>
      <c r="AF299" s="552"/>
    </row>
    <row r="300" spans="1:32" s="209" customFormat="1" ht="15.75" customHeight="1">
      <c r="A300" s="202" t="str">
        <f>IF(B300&lt;&gt;"",IF(AND(B300&gt;=_TM1,B300&lt;=_TM2,OR(TH!L300="1111",TH!M300="1111")),TH!D300,""),"")</f>
        <v/>
      </c>
      <c r="B300" s="36">
        <f t="shared" si="17"/>
        <v>2</v>
      </c>
      <c r="C300" s="182">
        <f t="shared" si="18"/>
        <v>42404</v>
      </c>
      <c r="D300" s="182" t="s">
        <v>665</v>
      </c>
      <c r="E300" s="182">
        <v>42404</v>
      </c>
      <c r="F300" s="187" t="s">
        <v>666</v>
      </c>
      <c r="G300" s="448" t="s">
        <v>330</v>
      </c>
      <c r="H300" s="7" t="s">
        <v>784</v>
      </c>
      <c r="I300" s="251"/>
      <c r="J300" s="251"/>
      <c r="K300" s="560">
        <v>11912120</v>
      </c>
      <c r="L300" s="561" t="s">
        <v>24</v>
      </c>
      <c r="M300" s="561" t="s">
        <v>258</v>
      </c>
      <c r="N300" s="52" t="str">
        <f>IF(AND('331-CT'!$E$7=TH!H300,OR(L300="331",M300="331")),"331",IF(AND(OR(L300="131",M300="131"),H300='131-CT'!$E$7),"131",""))</f>
        <v/>
      </c>
      <c r="O300" s="818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52"/>
      <c r="AB300" s="552"/>
      <c r="AC300" s="552"/>
      <c r="AD300" s="552"/>
      <c r="AE300" s="552"/>
      <c r="AF300" s="552"/>
    </row>
    <row r="301" spans="1:32" s="209" customFormat="1" ht="15.75" customHeight="1">
      <c r="A301" s="202" t="str">
        <f>IF(B301&lt;&gt;"",IF(AND(B301&gt;=_TM1,B301&lt;=_TM2,OR(TH!L301="1111",TH!M301="1111")),TH!D301,""),"")</f>
        <v/>
      </c>
      <c r="B301" s="36">
        <f t="shared" si="17"/>
        <v>2</v>
      </c>
      <c r="C301" s="182">
        <f t="shared" si="18"/>
        <v>42405</v>
      </c>
      <c r="D301" s="182" t="s">
        <v>1639</v>
      </c>
      <c r="E301" s="182">
        <v>42405</v>
      </c>
      <c r="F301" s="187" t="s">
        <v>754</v>
      </c>
      <c r="G301" s="448" t="s">
        <v>330</v>
      </c>
      <c r="H301" s="191" t="s">
        <v>782</v>
      </c>
      <c r="I301" s="251"/>
      <c r="J301" s="251"/>
      <c r="K301" s="560">
        <v>27500000</v>
      </c>
      <c r="L301" s="561" t="s">
        <v>24</v>
      </c>
      <c r="M301" s="561" t="s">
        <v>47</v>
      </c>
      <c r="N301" s="52" t="str">
        <f>IF(AND('331-CT'!$E$7=TH!H301,OR(L301="331",M301="331")),"331",IF(AND(OR(L301="131",M301="131"),H301='131-CT'!$E$7),"131",""))</f>
        <v/>
      </c>
      <c r="O301" s="818" t="str">
        <f>IF(AND('341-CT'!$E$9=H301,OR(LEFT(L301,3)=$O$7,LEFT(M301,3)=$O$7)),"x","")</f>
        <v/>
      </c>
      <c r="P301" s="52" t="str">
        <f>IF(AND($B301&gt;='111'!$N$11,$B301&lt;='111'!$O$11,OR($L301=$P$7,$M301=$P$7)),"x","")</f>
        <v>x</v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52"/>
      <c r="AB301" s="552"/>
      <c r="AC301" s="552"/>
      <c r="AD301" s="552"/>
      <c r="AE301" s="552"/>
      <c r="AF301" s="552"/>
    </row>
    <row r="302" spans="1:32" s="209" customFormat="1" ht="15.75" customHeight="1">
      <c r="A302" s="202" t="str">
        <f>IF(B302&lt;&gt;"",IF(AND(B302&gt;=_TM1,B302&lt;=_TM2,OR(TH!L302="1111",TH!M302="1111")),TH!D302,""),"")</f>
        <v/>
      </c>
      <c r="B302" s="36">
        <f t="shared" si="17"/>
        <v>2</v>
      </c>
      <c r="C302" s="182">
        <f t="shared" si="18"/>
        <v>42405</v>
      </c>
      <c r="D302" s="182" t="s">
        <v>669</v>
      </c>
      <c r="E302" s="189">
        <v>42405</v>
      </c>
      <c r="F302" s="190" t="s">
        <v>790</v>
      </c>
      <c r="G302" s="448" t="s">
        <v>330</v>
      </c>
      <c r="H302" s="7" t="s">
        <v>1452</v>
      </c>
      <c r="I302" s="251"/>
      <c r="J302" s="251"/>
      <c r="K302" s="38">
        <v>15000000</v>
      </c>
      <c r="L302" s="192" t="s">
        <v>8</v>
      </c>
      <c r="M302" s="561" t="s">
        <v>24</v>
      </c>
      <c r="N302" s="52" t="str">
        <f>IF(AND('331-CT'!$E$7=TH!H302,OR(L302="331",M302="331")),"331",IF(AND(OR(L302="131",M302="131"),H302='131-CT'!$E$7),"131",""))</f>
        <v/>
      </c>
      <c r="O302" s="818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52"/>
      <c r="AB302" s="552"/>
      <c r="AC302" s="552"/>
    </row>
    <row r="303" spans="1:32" s="209" customFormat="1" ht="15.75" customHeight="1">
      <c r="A303" s="202" t="str">
        <f>IF(B303&lt;&gt;"",IF(AND(B303&gt;=_TM1,B303&lt;=_TM2,OR(TH!L303="1111",TH!M303="1111")),TH!D303,""),"")</f>
        <v/>
      </c>
      <c r="B303" s="36">
        <f t="shared" si="17"/>
        <v>2</v>
      </c>
      <c r="C303" s="182">
        <f t="shared" si="18"/>
        <v>42405</v>
      </c>
      <c r="D303" s="182" t="s">
        <v>669</v>
      </c>
      <c r="E303" s="189">
        <v>42405</v>
      </c>
      <c r="F303" s="190" t="s">
        <v>672</v>
      </c>
      <c r="G303" s="448" t="s">
        <v>330</v>
      </c>
      <c r="H303" s="45"/>
      <c r="I303" s="252"/>
      <c r="J303" s="252"/>
      <c r="K303" s="38">
        <v>15000</v>
      </c>
      <c r="L303" s="192" t="s">
        <v>83</v>
      </c>
      <c r="M303" s="561" t="s">
        <v>24</v>
      </c>
      <c r="N303" s="52" t="str">
        <f>IF(AND('331-CT'!$E$7=TH!H303,OR(L303="331",M303="331")),"331",IF(AND(OR(L303="131",M303="131"),H303='131-CT'!$E$7),"131",""))</f>
        <v/>
      </c>
      <c r="O303" s="818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>x</v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52"/>
      <c r="AB303" s="552"/>
    </row>
    <row r="304" spans="1:32" s="209" customFormat="1" ht="15.75" customHeight="1">
      <c r="A304" s="202" t="str">
        <f>IF(B304&lt;&gt;"",IF(AND(B304&gt;=_TM1,B304&lt;=_TM2,OR(TH!L304="1111",TH!M304="1111")),TH!D304,""),"")</f>
        <v/>
      </c>
      <c r="B304" s="36">
        <f t="shared" si="17"/>
        <v>2</v>
      </c>
      <c r="C304" s="182">
        <f t="shared" si="18"/>
        <v>42405</v>
      </c>
      <c r="D304" s="182" t="s">
        <v>669</v>
      </c>
      <c r="E304" s="189">
        <v>42405</v>
      </c>
      <c r="F304" s="190" t="s">
        <v>790</v>
      </c>
      <c r="G304" s="448" t="s">
        <v>330</v>
      </c>
      <c r="H304" s="7" t="s">
        <v>1554</v>
      </c>
      <c r="I304" s="252"/>
      <c r="J304" s="252"/>
      <c r="K304" s="38">
        <v>20000000</v>
      </c>
      <c r="L304" s="192" t="s">
        <v>8</v>
      </c>
      <c r="M304" s="561" t="s">
        <v>24</v>
      </c>
      <c r="N304" s="52" t="str">
        <f>IF(AND('331-CT'!$E$7=TH!H304,OR(L304="331",M304="331")),"331",IF(AND(OR(L304="131",M304="131"),H304='131-CT'!$E$7),"131",""))</f>
        <v/>
      </c>
      <c r="O304" s="818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52"/>
      <c r="AB304" s="552"/>
      <c r="AC304" s="552"/>
    </row>
    <row r="305" spans="1:32" s="209" customFormat="1" ht="15.75" customHeight="1">
      <c r="A305" s="202" t="str">
        <f>IF(B305&lt;&gt;"",IF(AND(B305&gt;=_TM1,B305&lt;=_TM2,OR(TH!L305="1111",TH!M305="1111")),TH!D305,""),"")</f>
        <v/>
      </c>
      <c r="B305" s="36">
        <f t="shared" si="17"/>
        <v>2</v>
      </c>
      <c r="C305" s="182">
        <f t="shared" si="18"/>
        <v>42405</v>
      </c>
      <c r="D305" s="182" t="s">
        <v>669</v>
      </c>
      <c r="E305" s="189">
        <v>42405</v>
      </c>
      <c r="F305" s="190" t="s">
        <v>790</v>
      </c>
      <c r="G305" s="448" t="s">
        <v>330</v>
      </c>
      <c r="H305" s="7" t="s">
        <v>1453</v>
      </c>
      <c r="I305" s="251"/>
      <c r="J305" s="251"/>
      <c r="K305" s="38">
        <v>20000000</v>
      </c>
      <c r="L305" s="192" t="s">
        <v>8</v>
      </c>
      <c r="M305" s="561" t="s">
        <v>24</v>
      </c>
      <c r="N305" s="52" t="str">
        <f>IF(AND('331-CT'!$E$7=TH!H305,OR(L305="331",M305="331")),"331",IF(AND(OR(L305="131",M305="131"),H305='131-CT'!$E$7),"131",""))</f>
        <v/>
      </c>
      <c r="O305" s="818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52"/>
      <c r="AB305" s="552"/>
      <c r="AC305" s="552"/>
    </row>
    <row r="306" spans="1:32" s="209" customFormat="1" ht="15.75" customHeight="1">
      <c r="A306" s="202" t="str">
        <f>IF(B306&lt;&gt;"",IF(AND(B306&gt;=_TM1,B306&lt;=_TM2,OR(TH!L306="1111",TH!M306="1111")),TH!D306,""),"")</f>
        <v/>
      </c>
      <c r="B306" s="36">
        <f t="shared" si="17"/>
        <v>2</v>
      </c>
      <c r="C306" s="182">
        <f t="shared" si="18"/>
        <v>42405</v>
      </c>
      <c r="D306" s="182" t="s">
        <v>669</v>
      </c>
      <c r="E306" s="189">
        <v>42405</v>
      </c>
      <c r="F306" s="190" t="s">
        <v>672</v>
      </c>
      <c r="G306" s="448" t="s">
        <v>330</v>
      </c>
      <c r="H306" s="45"/>
      <c r="I306" s="252"/>
      <c r="J306" s="252"/>
      <c r="K306" s="38">
        <v>15000</v>
      </c>
      <c r="L306" s="192" t="s">
        <v>83</v>
      </c>
      <c r="M306" s="561" t="s">
        <v>24</v>
      </c>
      <c r="N306" s="52" t="str">
        <f>IF(AND('331-CT'!$E$7=TH!H306,OR(L306="331",M306="331")),"331",IF(AND(OR(L306="131",M306="131"),H306='131-CT'!$E$7),"131",""))</f>
        <v/>
      </c>
      <c r="O306" s="818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>x</v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52"/>
      <c r="AB306" s="552"/>
      <c r="AC306" s="552"/>
    </row>
    <row r="307" spans="1:32" s="209" customFormat="1" ht="15.75" customHeight="1">
      <c r="A307" s="202" t="str">
        <f>IF(B307&lt;&gt;"",IF(AND(B307&gt;=_TM1,B307&lt;=_TM2,OR(TH!L307="1111",TH!M307="1111")),TH!D307,""),"")</f>
        <v/>
      </c>
      <c r="B307" s="36">
        <f t="shared" si="17"/>
        <v>2</v>
      </c>
      <c r="C307" s="182">
        <f t="shared" si="18"/>
        <v>42405</v>
      </c>
      <c r="D307" s="182" t="s">
        <v>1634</v>
      </c>
      <c r="E307" s="189">
        <v>42405</v>
      </c>
      <c r="F307" s="40" t="s">
        <v>666</v>
      </c>
      <c r="G307" s="451" t="s">
        <v>1587</v>
      </c>
      <c r="H307" s="7" t="s">
        <v>557</v>
      </c>
      <c r="I307" s="252"/>
      <c r="J307" s="252"/>
      <c r="K307" s="560">
        <v>13979757</v>
      </c>
      <c r="L307" s="561" t="s">
        <v>47</v>
      </c>
      <c r="M307" s="561" t="s">
        <v>258</v>
      </c>
      <c r="N307" s="52" t="str">
        <f>IF(AND('331-CT'!$E$7=TH!H307,OR(L307="331",M307="331")),"331",IF(AND(OR(L307="131",M307="131"),H307='131-CT'!$E$7),"131",""))</f>
        <v/>
      </c>
      <c r="O307" s="818" t="str">
        <f>IF(AND('341-CT'!$E$9=H307,OR(LEFT(L307,3)=$O$7,LEFT(M307,3)=$O$7)),"x","")</f>
        <v/>
      </c>
      <c r="P307" s="52" t="str">
        <f>IF(AND($B307&gt;='111'!$N$11,$B307&lt;='111'!$O$11,OR($L307=$P$7,$M307=$P$7)),"x","")</f>
        <v>x</v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52"/>
      <c r="AB307" s="552"/>
    </row>
    <row r="308" spans="1:32" s="209" customFormat="1" ht="15.75" customHeight="1">
      <c r="A308" s="202" t="str">
        <f>IF(B308&lt;&gt;"",IF(AND(B308&gt;=_TM1,B308&lt;=_TM2,OR(TH!L308="1111",TH!M308="1111")),TH!D308,""),"")</f>
        <v/>
      </c>
      <c r="B308" s="36">
        <f t="shared" si="17"/>
        <v>2</v>
      </c>
      <c r="C308" s="182">
        <f t="shared" si="18"/>
        <v>42407</v>
      </c>
      <c r="D308" s="182" t="s">
        <v>1635</v>
      </c>
      <c r="E308" s="189">
        <v>42407</v>
      </c>
      <c r="F308" s="40" t="s">
        <v>666</v>
      </c>
      <c r="G308" s="451" t="s">
        <v>1580</v>
      </c>
      <c r="H308" s="7" t="s">
        <v>1204</v>
      </c>
      <c r="I308" s="252"/>
      <c r="J308" s="252"/>
      <c r="K308" s="560">
        <v>26611750</v>
      </c>
      <c r="L308" s="561" t="s">
        <v>47</v>
      </c>
      <c r="M308" s="561" t="s">
        <v>258</v>
      </c>
      <c r="N308" s="52" t="str">
        <f>IF(AND('331-CT'!$E$7=TH!H308,OR(L308="331",M308="331")),"331",IF(AND(OR(L308="131",M308="131"),H308='131-CT'!$E$7),"131",""))</f>
        <v/>
      </c>
      <c r="O308" s="818" t="str">
        <f>IF(AND('341-CT'!$E$9=H308,OR(LEFT(L308,3)=$O$7,LEFT(M308,3)=$O$7)),"x","")</f>
        <v/>
      </c>
      <c r="P308" s="52" t="str">
        <f>IF(AND($B308&gt;='111'!$N$11,$B308&lt;='111'!$O$11,OR($L308=$P$7,$M308=$P$7)),"x","")</f>
        <v>x</v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52"/>
      <c r="AB308" s="552"/>
      <c r="AC308" s="552"/>
    </row>
    <row r="309" spans="1:32" s="209" customFormat="1" ht="15.75" customHeight="1">
      <c r="A309" s="202" t="str">
        <f>IF(B309&lt;&gt;"",IF(AND(B309&gt;=_TM1,B309&lt;=_TM2,OR(TH!L309="1111",TH!M309="1111")),TH!D309,""),"")</f>
        <v/>
      </c>
      <c r="B309" s="36">
        <f t="shared" si="17"/>
        <v>2</v>
      </c>
      <c r="C309" s="182">
        <f t="shared" si="18"/>
        <v>42414</v>
      </c>
      <c r="D309" s="182" t="s">
        <v>1636</v>
      </c>
      <c r="E309" s="189">
        <v>42414</v>
      </c>
      <c r="F309" s="40" t="s">
        <v>666</v>
      </c>
      <c r="G309" s="451" t="s">
        <v>1592</v>
      </c>
      <c r="H309" s="7" t="s">
        <v>643</v>
      </c>
      <c r="I309" s="252"/>
      <c r="J309" s="252"/>
      <c r="K309" s="560">
        <v>28776000</v>
      </c>
      <c r="L309" s="561" t="s">
        <v>47</v>
      </c>
      <c r="M309" s="561" t="s">
        <v>258</v>
      </c>
      <c r="N309" s="52" t="str">
        <f>IF(AND('331-CT'!$E$7=TH!H309,OR(L309="331",M309="331")),"331",IF(AND(OR(L309="131",M309="131"),H309='131-CT'!$E$7),"131",""))</f>
        <v/>
      </c>
      <c r="O309" s="818" t="str">
        <f>IF(AND('341-CT'!$E$9=H309,OR(LEFT(L309,3)=$O$7,LEFT(M309,3)=$O$7)),"x","")</f>
        <v/>
      </c>
      <c r="P309" s="52" t="str">
        <f>IF(AND($B309&gt;='111'!$N$11,$B309&lt;='111'!$O$11,OR($L309=$P$7,$M309=$P$7)),"x","")</f>
        <v>x</v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52"/>
      <c r="AB309" s="552"/>
      <c r="AC309" s="552"/>
    </row>
    <row r="310" spans="1:32" s="209" customFormat="1" ht="15.75" customHeight="1">
      <c r="A310" s="202" t="str">
        <f>IF(B310&lt;&gt;"",IF(AND(B310&gt;=_TM1,B310&lt;=_TM2,OR(TH!L310="1111",TH!M310="1111")),TH!D310,""),"")</f>
        <v/>
      </c>
      <c r="B310" s="36">
        <f t="shared" si="17"/>
        <v>2</v>
      </c>
      <c r="C310" s="182">
        <f t="shared" si="18"/>
        <v>42416</v>
      </c>
      <c r="D310" s="182" t="s">
        <v>1637</v>
      </c>
      <c r="E310" s="189">
        <v>42416</v>
      </c>
      <c r="F310" s="40" t="s">
        <v>666</v>
      </c>
      <c r="G310" s="451" t="s">
        <v>1596</v>
      </c>
      <c r="H310" s="7" t="s">
        <v>551</v>
      </c>
      <c r="I310" s="252"/>
      <c r="J310" s="252"/>
      <c r="K310" s="560">
        <v>30800000</v>
      </c>
      <c r="L310" s="561" t="s">
        <v>47</v>
      </c>
      <c r="M310" s="561" t="s">
        <v>258</v>
      </c>
      <c r="N310" s="52" t="str">
        <f>IF(AND('331-CT'!$E$7=TH!H310,OR(L310="331",M310="331")),"331",IF(AND(OR(L310="131",M310="131"),H310='131-CT'!$E$7),"131",""))</f>
        <v/>
      </c>
      <c r="O310" s="818" t="str">
        <f>IF(AND('341-CT'!$E$9=H310,OR(LEFT(L310,3)=$O$7,LEFT(M310,3)=$O$7)),"x","")</f>
        <v/>
      </c>
      <c r="P310" s="52" t="str">
        <f>IF(AND($B310&gt;='111'!$N$11,$B310&lt;='111'!$O$11,OR($L310=$P$7,$M310=$P$7)),"x","")</f>
        <v>x</v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52"/>
      <c r="AB310" s="552"/>
    </row>
    <row r="311" spans="1:32" s="209" customFormat="1" ht="15.75" customHeight="1">
      <c r="A311" s="202" t="str">
        <f>IF(B311&lt;&gt;"",IF(AND(B311&gt;=_TM1,B311&lt;=_TM2,OR(TH!L311="1111",TH!M311="1111")),TH!D311,""),"")</f>
        <v/>
      </c>
      <c r="B311" s="36">
        <f t="shared" si="17"/>
        <v>2</v>
      </c>
      <c r="C311" s="182">
        <f t="shared" si="18"/>
        <v>42416</v>
      </c>
      <c r="D311" s="182" t="s">
        <v>1638</v>
      </c>
      <c r="E311" s="189">
        <v>42416</v>
      </c>
      <c r="F311" s="40" t="s">
        <v>666</v>
      </c>
      <c r="G311" s="451" t="s">
        <v>1599</v>
      </c>
      <c r="H311" s="7" t="s">
        <v>565</v>
      </c>
      <c r="I311" s="252"/>
      <c r="J311" s="252"/>
      <c r="K311" s="560">
        <v>11694980</v>
      </c>
      <c r="L311" s="561" t="s">
        <v>47</v>
      </c>
      <c r="M311" s="561" t="s">
        <v>258</v>
      </c>
      <c r="N311" s="52" t="str">
        <f>IF(AND('331-CT'!$E$7=TH!H311,OR(L311="331",M311="331")),"331",IF(AND(OR(L311="131",M311="131"),H311='131-CT'!$E$7),"131",""))</f>
        <v/>
      </c>
      <c r="O311" s="818" t="str">
        <f>IF(AND('341-CT'!$E$9=H311,OR(LEFT(L311,3)=$O$7,LEFT(M311,3)=$O$7)),"x","")</f>
        <v/>
      </c>
      <c r="P311" s="52" t="str">
        <f>IF(AND($B311&gt;='111'!$N$11,$B311&lt;='111'!$O$11,OR($L311=$P$7,$M311=$P$7)),"x","")</f>
        <v>x</v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52"/>
      <c r="AB311" s="552"/>
      <c r="AC311" s="552"/>
    </row>
    <row r="312" spans="1:32" s="209" customFormat="1" ht="15.75" customHeight="1">
      <c r="A312" s="202" t="str">
        <f>IF(B312&lt;&gt;"",IF(AND(B312&gt;=_TM1,B312&lt;=_TM2,OR(TH!L312="1111",TH!M312="1111")),TH!D312,""),"")</f>
        <v/>
      </c>
      <c r="B312" s="36">
        <f t="shared" si="17"/>
        <v>2</v>
      </c>
      <c r="C312" s="182">
        <f t="shared" si="18"/>
        <v>42418</v>
      </c>
      <c r="D312" s="182" t="s">
        <v>665</v>
      </c>
      <c r="E312" s="182">
        <v>42418</v>
      </c>
      <c r="F312" s="187" t="s">
        <v>666</v>
      </c>
      <c r="G312" s="448" t="s">
        <v>330</v>
      </c>
      <c r="H312" s="191" t="s">
        <v>609</v>
      </c>
      <c r="I312" s="251"/>
      <c r="J312" s="251"/>
      <c r="K312" s="560">
        <v>10641840</v>
      </c>
      <c r="L312" s="561" t="s">
        <v>24</v>
      </c>
      <c r="M312" s="561" t="s">
        <v>258</v>
      </c>
      <c r="N312" s="52" t="str">
        <f>IF(AND('331-CT'!$E$7=TH!H312,OR(L312="331",M312="331")),"331",IF(AND(OR(L312="131",M312="131"),H312='131-CT'!$E$7),"131",""))</f>
        <v/>
      </c>
      <c r="O312" s="818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52"/>
      <c r="AB312" s="552"/>
      <c r="AC312" s="552"/>
      <c r="AD312" s="552"/>
      <c r="AE312" s="552"/>
      <c r="AF312" s="552"/>
    </row>
    <row r="313" spans="1:32" s="209" customFormat="1" ht="15.75" customHeight="1">
      <c r="A313" s="202" t="str">
        <f>IF(B313&lt;&gt;"",IF(AND(B313&gt;=_TM1,B313&lt;=_TM2,OR(TH!L313="1111",TH!M313="1111")),TH!D313,""),"")</f>
        <v/>
      </c>
      <c r="B313" s="36">
        <f t="shared" si="17"/>
        <v>2</v>
      </c>
      <c r="C313" s="182">
        <f t="shared" si="18"/>
        <v>42418</v>
      </c>
      <c r="D313" s="182" t="s">
        <v>665</v>
      </c>
      <c r="E313" s="182">
        <v>42418</v>
      </c>
      <c r="F313" s="187" t="s">
        <v>666</v>
      </c>
      <c r="G313" s="448" t="s">
        <v>330</v>
      </c>
      <c r="H313" s="7" t="s">
        <v>785</v>
      </c>
      <c r="I313" s="251"/>
      <c r="J313" s="251"/>
      <c r="K313" s="560">
        <v>6976000</v>
      </c>
      <c r="L313" s="561" t="s">
        <v>24</v>
      </c>
      <c r="M313" s="561" t="s">
        <v>258</v>
      </c>
      <c r="N313" s="52" t="str">
        <f>IF(AND('331-CT'!$E$7=TH!H313,OR(L313="331",M313="331")),"331",IF(AND(OR(L313="131",M313="131"),H313='131-CT'!$E$7),"131",""))</f>
        <v/>
      </c>
      <c r="O313" s="818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52"/>
      <c r="AB313" s="552"/>
      <c r="AC313" s="552"/>
      <c r="AD313" s="552"/>
      <c r="AE313" s="552"/>
      <c r="AF313" s="552"/>
    </row>
    <row r="314" spans="1:32" s="209" customFormat="1" ht="15.75" customHeight="1">
      <c r="A314" s="202" t="str">
        <f>IF(B314&lt;&gt;"",IF(AND(B314&gt;=_TM1,B314&lt;=_TM2,OR(TH!L314="1111",TH!M314="1111")),TH!D314,""),"")</f>
        <v/>
      </c>
      <c r="B314" s="36">
        <f t="shared" si="17"/>
        <v>2</v>
      </c>
      <c r="C314" s="182">
        <f t="shared" si="18"/>
        <v>42418</v>
      </c>
      <c r="D314" s="189" t="s">
        <v>1128</v>
      </c>
      <c r="E314" s="189">
        <v>42418</v>
      </c>
      <c r="F314" s="190" t="s">
        <v>389</v>
      </c>
      <c r="G314" s="190" t="s">
        <v>426</v>
      </c>
      <c r="H314" s="191" t="s">
        <v>391</v>
      </c>
      <c r="I314" s="251">
        <v>421</v>
      </c>
      <c r="J314" s="251">
        <v>5000</v>
      </c>
      <c r="K314" s="38">
        <f>ROUND(I314*J314,0)</f>
        <v>2105000</v>
      </c>
      <c r="L314" s="192" t="s">
        <v>258</v>
      </c>
      <c r="M314" s="192" t="s">
        <v>173</v>
      </c>
      <c r="N314" s="52" t="str">
        <f>IF(AND('331-CT'!$E$7=TH!H314,OR(L314="331",M314="331")),"331",IF(AND(OR(L314="131",M314="131"),H314='131-CT'!$E$7),"131",""))</f>
        <v/>
      </c>
      <c r="O314" s="818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52"/>
      <c r="AB314" s="552"/>
      <c r="AC314" s="552"/>
    </row>
    <row r="315" spans="1:32" s="209" customFormat="1" ht="15.75" customHeight="1">
      <c r="A315" s="202" t="str">
        <f>IF(B315&lt;&gt;"",IF(AND(B315&gt;=_TM1,B315&lt;=_TM2,OR(TH!L315="1111",TH!M315="1111")),TH!D315,""),"")</f>
        <v/>
      </c>
      <c r="B315" s="36">
        <f t="shared" si="17"/>
        <v>2</v>
      </c>
      <c r="C315" s="182">
        <f t="shared" si="18"/>
        <v>42418</v>
      </c>
      <c r="D315" s="189" t="s">
        <v>1128</v>
      </c>
      <c r="E315" s="189">
        <v>42418</v>
      </c>
      <c r="F315" s="190" t="s">
        <v>927</v>
      </c>
      <c r="G315" s="190" t="s">
        <v>426</v>
      </c>
      <c r="H315" s="191" t="s">
        <v>391</v>
      </c>
      <c r="I315" s="251">
        <v>596</v>
      </c>
      <c r="J315" s="251">
        <v>5550</v>
      </c>
      <c r="K315" s="38">
        <f>ROUND(I315*J315,0)</f>
        <v>3307800</v>
      </c>
      <c r="L315" s="192" t="s">
        <v>258</v>
      </c>
      <c r="M315" s="192" t="s">
        <v>173</v>
      </c>
      <c r="N315" s="52" t="str">
        <f>IF(AND('331-CT'!$E$7=TH!H315,OR(L315="331",M315="331")),"331",IF(AND(OR(L315="131",M315="131"),H315='131-CT'!$E$7),"131",""))</f>
        <v/>
      </c>
      <c r="O315" s="818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52"/>
      <c r="AB315" s="552"/>
      <c r="AC315" s="552"/>
    </row>
    <row r="316" spans="1:32" s="209" customFormat="1" ht="15.75" customHeight="1">
      <c r="A316" s="202" t="str">
        <f>IF(B316&lt;&gt;"",IF(AND(B316&gt;=_TM1,B316&lt;=_TM2,OR(TH!L316="1111",TH!M316="1111")),TH!D316,""),"")</f>
        <v/>
      </c>
      <c r="B316" s="36">
        <f t="shared" si="17"/>
        <v>2</v>
      </c>
      <c r="C316" s="182">
        <f t="shared" si="18"/>
        <v>42418</v>
      </c>
      <c r="D316" s="189" t="s">
        <v>1128</v>
      </c>
      <c r="E316" s="189">
        <v>42418</v>
      </c>
      <c r="F316" s="190" t="s">
        <v>626</v>
      </c>
      <c r="G316" s="190" t="s">
        <v>426</v>
      </c>
      <c r="H316" s="191" t="s">
        <v>391</v>
      </c>
      <c r="I316" s="251">
        <v>309</v>
      </c>
      <c r="J316" s="251">
        <v>9290</v>
      </c>
      <c r="K316" s="38">
        <f>ROUND(I316*J316,0)</f>
        <v>2870610</v>
      </c>
      <c r="L316" s="192" t="s">
        <v>258</v>
      </c>
      <c r="M316" s="192" t="s">
        <v>173</v>
      </c>
      <c r="N316" s="52" t="str">
        <f>IF(AND('331-CT'!$E$7=TH!H316,OR(L316="331",M316="331")),"331",IF(AND(OR(L316="131",M316="131"),H316='131-CT'!$E$7),"131",""))</f>
        <v/>
      </c>
      <c r="O316" s="818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52"/>
      <c r="AB316" s="552"/>
      <c r="AC316" s="552"/>
    </row>
    <row r="317" spans="1:32" s="209" customFormat="1" ht="15.75" customHeight="1">
      <c r="A317" s="202" t="str">
        <f>IF(B317&lt;&gt;"",IF(AND(B317&gt;=_TM1,B317&lt;=_TM2,OR(TH!L317="1111",TH!M317="1111")),TH!D317,""),"")</f>
        <v/>
      </c>
      <c r="B317" s="36">
        <f t="shared" si="17"/>
        <v>2</v>
      </c>
      <c r="C317" s="182">
        <f t="shared" si="18"/>
        <v>42418</v>
      </c>
      <c r="D317" s="189" t="s">
        <v>1128</v>
      </c>
      <c r="E317" s="189">
        <v>42418</v>
      </c>
      <c r="F317" s="190" t="s">
        <v>393</v>
      </c>
      <c r="G317" s="190" t="s">
        <v>426</v>
      </c>
      <c r="H317" s="190" t="s">
        <v>391</v>
      </c>
      <c r="I317" s="251"/>
      <c r="J317" s="251"/>
      <c r="K317" s="38">
        <v>828341</v>
      </c>
      <c r="L317" s="192" t="s">
        <v>258</v>
      </c>
      <c r="M317" s="192" t="s">
        <v>367</v>
      </c>
      <c r="N317" s="52" t="str">
        <f>IF(AND('331-CT'!$E$7=TH!H317,OR(L317="331",M317="331")),"331",IF(AND(OR(L317="131",M317="131"),H317='131-CT'!$E$7),"131",""))</f>
        <v/>
      </c>
      <c r="O317" s="818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52"/>
      <c r="AB317" s="552"/>
      <c r="AC317" s="552"/>
    </row>
    <row r="318" spans="1:32" s="209" customFormat="1" ht="15.75" customHeight="1">
      <c r="A318" s="202" t="str">
        <f>IF(B318&lt;&gt;"",IF(AND(B318&gt;=_TM1,B318&lt;=_TM2,OR(TH!L318="1111",TH!M318="1111")),TH!D318,""),"")</f>
        <v/>
      </c>
      <c r="B318" s="36">
        <f t="shared" si="17"/>
        <v>2</v>
      </c>
      <c r="C318" s="182">
        <f t="shared" si="18"/>
        <v>42419</v>
      </c>
      <c r="D318" s="182" t="s">
        <v>665</v>
      </c>
      <c r="E318" s="182">
        <v>42419</v>
      </c>
      <c r="F318" s="187" t="s">
        <v>765</v>
      </c>
      <c r="G318" s="562" t="s">
        <v>764</v>
      </c>
      <c r="H318" s="191"/>
      <c r="I318" s="251"/>
      <c r="J318" s="251"/>
      <c r="K318" s="560">
        <v>13900000</v>
      </c>
      <c r="L318" s="561" t="s">
        <v>24</v>
      </c>
      <c r="M318" s="561" t="s">
        <v>24</v>
      </c>
      <c r="N318" s="52" t="str">
        <f>IF(AND('331-CT'!$E$7=TH!H318,OR(L318="331",M318="331")),"331",IF(AND(OR(L318="131",M318="131"),H318='131-CT'!$E$7),"131",""))</f>
        <v/>
      </c>
      <c r="O318" s="818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52"/>
      <c r="AB318" s="552"/>
      <c r="AC318" s="552"/>
      <c r="AD318" s="552"/>
      <c r="AE318" s="552"/>
      <c r="AF318" s="552"/>
    </row>
    <row r="319" spans="1:32" s="209" customFormat="1" ht="15.75" customHeight="1">
      <c r="A319" s="202" t="str">
        <f>IF(B319&lt;&gt;"",IF(AND(B319&gt;=_TM1,B319&lt;=_TM2,OR(TH!L319="1111",TH!M319="1111")),TH!D319,""),"")</f>
        <v/>
      </c>
      <c r="B319" s="36">
        <f t="shared" si="17"/>
        <v>2</v>
      </c>
      <c r="C319" s="182">
        <f t="shared" si="18"/>
        <v>42419</v>
      </c>
      <c r="D319" s="182" t="s">
        <v>1640</v>
      </c>
      <c r="E319" s="182">
        <v>42419</v>
      </c>
      <c r="F319" s="187" t="s">
        <v>754</v>
      </c>
      <c r="G319" s="448" t="s">
        <v>330</v>
      </c>
      <c r="H319" s="191" t="s">
        <v>675</v>
      </c>
      <c r="I319" s="251"/>
      <c r="J319" s="251"/>
      <c r="K319" s="560">
        <v>36500000</v>
      </c>
      <c r="L319" s="561" t="s">
        <v>24</v>
      </c>
      <c r="M319" s="561" t="s">
        <v>47</v>
      </c>
      <c r="N319" s="52" t="str">
        <f>IF(AND('331-CT'!$E$7=TH!H319,OR(L319="331",M319="331")),"331",IF(AND(OR(L319="131",M319="131"),H319='131-CT'!$E$7),"131",""))</f>
        <v/>
      </c>
      <c r="O319" s="818" t="str">
        <f>IF(AND('341-CT'!$E$9=H319,OR(LEFT(L319,3)=$O$7,LEFT(M319,3)=$O$7)),"x","")</f>
        <v/>
      </c>
      <c r="P319" s="52" t="str">
        <f>IF(AND($B319&gt;='111'!$N$11,$B319&lt;='111'!$O$11,OR($L319=$P$7,$M319=$P$7)),"x","")</f>
        <v>x</v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52"/>
      <c r="AB319" s="552"/>
      <c r="AC319" s="552"/>
      <c r="AD319" s="552"/>
      <c r="AE319" s="552"/>
      <c r="AF319" s="552"/>
    </row>
    <row r="320" spans="1:32" s="209" customFormat="1" ht="15.75" customHeight="1">
      <c r="A320" s="202" t="str">
        <f>IF(B320&lt;&gt;"",IF(AND(B320&gt;=_TM1,B320&lt;=_TM2,OR(TH!L320="1111",TH!M320="1111")),TH!D320,""),"")</f>
        <v/>
      </c>
      <c r="B320" s="36">
        <f t="shared" si="17"/>
        <v>2</v>
      </c>
      <c r="C320" s="182">
        <f t="shared" si="18"/>
        <v>42419</v>
      </c>
      <c r="D320" s="182" t="s">
        <v>669</v>
      </c>
      <c r="E320" s="189">
        <v>42419</v>
      </c>
      <c r="F320" s="190" t="s">
        <v>790</v>
      </c>
      <c r="G320" s="448" t="s">
        <v>330</v>
      </c>
      <c r="H320" s="7" t="s">
        <v>1451</v>
      </c>
      <c r="I320" s="251"/>
      <c r="J320" s="251"/>
      <c r="K320" s="38">
        <v>40000000</v>
      </c>
      <c r="L320" s="192" t="s">
        <v>8</v>
      </c>
      <c r="M320" s="561" t="s">
        <v>24</v>
      </c>
      <c r="N320" s="52" t="str">
        <f>IF(AND('331-CT'!$E$7=TH!H320,OR(L320="331",M320="331")),"331",IF(AND(OR(L320="131",M320="131"),H320='131-CT'!$E$7),"131",""))</f>
        <v/>
      </c>
      <c r="O320" s="818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52"/>
      <c r="AB320" s="552"/>
      <c r="AC320" s="552"/>
    </row>
    <row r="321" spans="1:32" s="209" customFormat="1" ht="15.75" customHeight="1">
      <c r="A321" s="202" t="str">
        <f>IF(B321&lt;&gt;"",IF(AND(B321&gt;=_TM1,B321&lt;=_TM2,OR(TH!L321="1111",TH!M321="1111")),TH!D321,""),"")</f>
        <v/>
      </c>
      <c r="B321" s="36">
        <f t="shared" si="17"/>
        <v>2</v>
      </c>
      <c r="C321" s="182">
        <f t="shared" si="18"/>
        <v>42419</v>
      </c>
      <c r="D321" s="182" t="s">
        <v>669</v>
      </c>
      <c r="E321" s="189">
        <v>42419</v>
      </c>
      <c r="F321" s="190" t="s">
        <v>672</v>
      </c>
      <c r="G321" s="448" t="s">
        <v>330</v>
      </c>
      <c r="H321" s="45"/>
      <c r="I321" s="251"/>
      <c r="J321" s="251"/>
      <c r="K321" s="38">
        <v>15000</v>
      </c>
      <c r="L321" s="192" t="s">
        <v>83</v>
      </c>
      <c r="M321" s="561" t="s">
        <v>24</v>
      </c>
      <c r="N321" s="52" t="str">
        <f>IF(AND('331-CT'!$E$7=TH!H321,OR(L321="331",M321="331")),"331",IF(AND(OR(L321="131",M321="131"),H321='131-CT'!$E$7),"131",""))</f>
        <v/>
      </c>
      <c r="O321" s="818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>x</v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52"/>
      <c r="AB321" s="552"/>
      <c r="AC321" s="552"/>
    </row>
    <row r="322" spans="1:32" s="209" customFormat="1" ht="15.75" customHeight="1">
      <c r="A322" s="202" t="str">
        <f>IF(B322&lt;&gt;"",IF(AND(B322&gt;=_TM1,B322&lt;=_TM2,OR(TH!L322="1111",TH!M322="1111")),TH!D322,""),"")</f>
        <v/>
      </c>
      <c r="B322" s="36">
        <f t="shared" si="17"/>
        <v>2</v>
      </c>
      <c r="C322" s="182">
        <f t="shared" si="18"/>
        <v>42419</v>
      </c>
      <c r="D322" s="182" t="s">
        <v>669</v>
      </c>
      <c r="E322" s="189">
        <v>42419</v>
      </c>
      <c r="F322" s="190" t="s">
        <v>672</v>
      </c>
      <c r="G322" s="448" t="s">
        <v>330</v>
      </c>
      <c r="H322" s="45"/>
      <c r="I322" s="251"/>
      <c r="J322" s="251"/>
      <c r="K322" s="38">
        <v>15000</v>
      </c>
      <c r="L322" s="192" t="s">
        <v>83</v>
      </c>
      <c r="M322" s="561" t="s">
        <v>24</v>
      </c>
      <c r="N322" s="52" t="str">
        <f>IF(AND('331-CT'!$E$7=TH!H322,OR(L322="331",M322="331")),"331",IF(AND(OR(L322="131",M322="131"),H322='131-CT'!$E$7),"131",""))</f>
        <v/>
      </c>
      <c r="O322" s="818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>x</v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52"/>
      <c r="AB322" s="552"/>
      <c r="AC322" s="552"/>
    </row>
    <row r="323" spans="1:32" s="209" customFormat="1" ht="15.75" customHeight="1">
      <c r="A323" s="202" t="str">
        <f>IF(B323&lt;&gt;"",IF(AND(B323&gt;=_TM1,B323&lt;=_TM2,OR(TH!L323="1111",TH!M323="1111")),TH!D323,""),"")</f>
        <v/>
      </c>
      <c r="B323" s="36">
        <f t="shared" si="17"/>
        <v>2</v>
      </c>
      <c r="C323" s="182">
        <f t="shared" si="18"/>
        <v>42419</v>
      </c>
      <c r="D323" s="182" t="s">
        <v>669</v>
      </c>
      <c r="E323" s="189">
        <v>42419</v>
      </c>
      <c r="F323" s="190" t="s">
        <v>672</v>
      </c>
      <c r="G323" s="448" t="s">
        <v>330</v>
      </c>
      <c r="H323" s="45"/>
      <c r="I323" s="251"/>
      <c r="J323" s="251"/>
      <c r="K323" s="38">
        <v>15000</v>
      </c>
      <c r="L323" s="192" t="s">
        <v>83</v>
      </c>
      <c r="M323" s="561" t="s">
        <v>24</v>
      </c>
      <c r="N323" s="52" t="str">
        <f>IF(AND('331-CT'!$E$7=TH!H323,OR(L323="331",M323="331")),"331",IF(AND(OR(L323="131",M323="131"),H323='131-CT'!$E$7),"131",""))</f>
        <v/>
      </c>
      <c r="O323" s="818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>x</v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52"/>
      <c r="AB323" s="552"/>
      <c r="AC323" s="552"/>
    </row>
    <row r="324" spans="1:32" s="209" customFormat="1" ht="15.75" customHeight="1">
      <c r="A324" s="202" t="str">
        <f>IF(B324&lt;&gt;"",IF(AND(B324&gt;=_TM1,B324&lt;=_TM2,OR(TH!L324="1111",TH!M324="1111")),TH!D324,""),"")</f>
        <v/>
      </c>
      <c r="B324" s="36">
        <f t="shared" si="17"/>
        <v>2</v>
      </c>
      <c r="C324" s="182">
        <f t="shared" si="18"/>
        <v>42419</v>
      </c>
      <c r="D324" s="189" t="s">
        <v>1185</v>
      </c>
      <c r="E324" s="189">
        <v>42419</v>
      </c>
      <c r="F324" s="190" t="s">
        <v>676</v>
      </c>
      <c r="G324" s="448" t="s">
        <v>452</v>
      </c>
      <c r="H324" s="45" t="s">
        <v>803</v>
      </c>
      <c r="I324" s="251">
        <v>1510</v>
      </c>
      <c r="J324" s="251">
        <v>7300</v>
      </c>
      <c r="K324" s="38">
        <f>ROUND(I324*J324,0)</f>
        <v>11023000</v>
      </c>
      <c r="L324" s="192" t="s">
        <v>158</v>
      </c>
      <c r="M324" s="561" t="s">
        <v>8</v>
      </c>
      <c r="N324" s="52" t="str">
        <f>IF(AND('331-CT'!$E$7=TH!H324,OR(L324="331",M324="331")),"331",IF(AND(OR(L324="131",M324="131"),H324='131-CT'!$E$7),"131",""))</f>
        <v/>
      </c>
      <c r="O324" s="818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52">
        <v>1</v>
      </c>
      <c r="AB324" s="552"/>
      <c r="AC324" s="209" t="str">
        <f>IF(VLOOKUP(H324,DSKH,1,0)=H324,"","x")</f>
        <v/>
      </c>
    </row>
    <row r="325" spans="1:32" s="209" customFormat="1" ht="15.75" customHeight="1">
      <c r="A325" s="202" t="str">
        <f>IF(B325&lt;&gt;"",IF(AND(B325&gt;=_TM1,B325&lt;=_TM2,OR(TH!L325="1111",TH!M325="1111")),TH!D325,""),"")</f>
        <v/>
      </c>
      <c r="B325" s="36">
        <f t="shared" si="17"/>
        <v>2</v>
      </c>
      <c r="C325" s="182">
        <f t="shared" si="18"/>
        <v>42419</v>
      </c>
      <c r="D325" s="189" t="s">
        <v>1185</v>
      </c>
      <c r="E325" s="189">
        <v>42419</v>
      </c>
      <c r="F325" s="190" t="s">
        <v>676</v>
      </c>
      <c r="G325" s="448" t="s">
        <v>452</v>
      </c>
      <c r="H325" s="45" t="s">
        <v>803</v>
      </c>
      <c r="I325" s="251">
        <v>940</v>
      </c>
      <c r="J325" s="251">
        <v>7200</v>
      </c>
      <c r="K325" s="38">
        <f>ROUND(I325*J325,0)</f>
        <v>6768000</v>
      </c>
      <c r="L325" s="192" t="s">
        <v>158</v>
      </c>
      <c r="M325" s="561" t="s">
        <v>8</v>
      </c>
      <c r="N325" s="52" t="str">
        <f>IF(AND('331-CT'!$E$7=TH!H325,OR(L325="331",M325="331")),"331",IF(AND(OR(L325="131",M325="131"),H325='131-CT'!$E$7),"131",""))</f>
        <v/>
      </c>
      <c r="O325" s="818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52">
        <v>1</v>
      </c>
      <c r="AB325" s="552"/>
      <c r="AC325" s="209" t="str">
        <f>IF(VLOOKUP(H325,DSKH,1,0)=H325,"","x")</f>
        <v/>
      </c>
    </row>
    <row r="326" spans="1:32" s="209" customFormat="1" ht="15.75" customHeight="1">
      <c r="A326" s="202" t="str">
        <f>IF(B326&lt;&gt;"",IF(AND(B326&gt;=_TM1,B326&lt;=_TM2,OR(TH!L326="1111",TH!M326="1111")),TH!D326,""),"")</f>
        <v/>
      </c>
      <c r="B326" s="36">
        <f t="shared" si="17"/>
        <v>2</v>
      </c>
      <c r="C326" s="182">
        <f t="shared" si="18"/>
        <v>42419</v>
      </c>
      <c r="D326" s="189" t="s">
        <v>1185</v>
      </c>
      <c r="E326" s="189">
        <v>42419</v>
      </c>
      <c r="F326" s="190" t="s">
        <v>684</v>
      </c>
      <c r="G326" s="448" t="s">
        <v>452</v>
      </c>
      <c r="H326" s="45" t="s">
        <v>803</v>
      </c>
      <c r="I326" s="251"/>
      <c r="J326" s="251"/>
      <c r="K326" s="829">
        <v>1779100</v>
      </c>
      <c r="L326" s="192" t="s">
        <v>9</v>
      </c>
      <c r="M326" s="561" t="s">
        <v>8</v>
      </c>
      <c r="N326" s="52" t="str">
        <f>IF(AND('331-CT'!$E$7=TH!H326,OR(L326="331",M326="331")),"331",IF(AND(OR(L326="131",M326="131"),H326='131-CT'!$E$7),"131",""))</f>
        <v/>
      </c>
      <c r="O326" s="818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52">
        <v>1</v>
      </c>
      <c r="AB326" s="552"/>
      <c r="AC326" s="209" t="str">
        <f>IF(VLOOKUP(H326,DSKH,1,0)=H326,"","x")</f>
        <v/>
      </c>
    </row>
    <row r="327" spans="1:32" s="209" customFormat="1" ht="15.75" customHeight="1">
      <c r="A327" s="202" t="str">
        <f>IF(B327&lt;&gt;"",IF(AND(B327&gt;=_TM1,B327&lt;=_TM2,OR(TH!L327="1111",TH!M327="1111")),TH!D327,""),"")</f>
        <v/>
      </c>
      <c r="B327" s="36">
        <f t="shared" si="17"/>
        <v>2</v>
      </c>
      <c r="C327" s="182">
        <f t="shared" si="18"/>
        <v>42419</v>
      </c>
      <c r="D327" s="189" t="s">
        <v>1641</v>
      </c>
      <c r="E327" s="189">
        <v>42419</v>
      </c>
      <c r="F327" s="187" t="s">
        <v>671</v>
      </c>
      <c r="G327" s="448" t="s">
        <v>452</v>
      </c>
      <c r="H327" s="45" t="s">
        <v>803</v>
      </c>
      <c r="I327" s="251"/>
      <c r="J327" s="251"/>
      <c r="K327" s="38">
        <v>19570100</v>
      </c>
      <c r="L327" s="192" t="s">
        <v>8</v>
      </c>
      <c r="M327" s="561" t="s">
        <v>47</v>
      </c>
      <c r="N327" s="52" t="str">
        <f>IF(AND('331-CT'!$E$7=TH!H327,OR(L327="331",M327="331")),"331",IF(AND(OR(L327="131",M327="131"),H327='131-CT'!$E$7),"131",""))</f>
        <v/>
      </c>
      <c r="O327" s="818" t="str">
        <f>IF(AND('341-CT'!$E$9=H327,OR(LEFT(L327,3)=$O$7,LEFT(M327,3)=$O$7)),"x","")</f>
        <v/>
      </c>
      <c r="P327" s="52" t="str">
        <f>IF(AND($B327&gt;='111'!$N$11,$B327&lt;='111'!$O$11,OR($L327=$P$7,$M327=$P$7)),"x","")</f>
        <v>x</v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52"/>
      <c r="AB327" s="552"/>
      <c r="AC327" s="209" t="str">
        <f>IF(VLOOKUP(H327,DSKH,1,0)=H327,"","x")</f>
        <v/>
      </c>
    </row>
    <row r="328" spans="1:32" s="209" customFormat="1" ht="15.75" customHeight="1">
      <c r="A328" s="202" t="str">
        <f>IF(B328&lt;&gt;"",IF(AND(B328&gt;=_TM1,B328&lt;=_TM2,OR(TH!L328="1111",TH!M328="1111")),TH!D328,""),"")</f>
        <v/>
      </c>
      <c r="B328" s="36">
        <f t="shared" si="17"/>
        <v>2</v>
      </c>
      <c r="C328" s="182">
        <f t="shared" si="18"/>
        <v>42420</v>
      </c>
      <c r="D328" s="182" t="s">
        <v>669</v>
      </c>
      <c r="E328" s="182">
        <v>42420</v>
      </c>
      <c r="F328" s="187" t="s">
        <v>770</v>
      </c>
      <c r="G328" s="448" t="s">
        <v>756</v>
      </c>
      <c r="H328" s="191" t="s">
        <v>763</v>
      </c>
      <c r="I328" s="251"/>
      <c r="J328" s="251"/>
      <c r="K328" s="560">
        <v>2347393</v>
      </c>
      <c r="L328" s="561" t="s">
        <v>81</v>
      </c>
      <c r="M328" s="561" t="s">
        <v>24</v>
      </c>
      <c r="N328" s="52" t="str">
        <f>IF(AND('331-CT'!$E$7=TH!H328,OR(L328="331",M328="331")),"331",IF(AND(OR(L328="131",M328="131"),H328='131-CT'!$E$7),"131",""))</f>
        <v/>
      </c>
      <c r="O328" s="818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52"/>
      <c r="AB328" s="552"/>
      <c r="AC328" s="552"/>
      <c r="AD328" s="552"/>
      <c r="AE328" s="552"/>
      <c r="AF328" s="552"/>
    </row>
    <row r="329" spans="1:32" s="209" customFormat="1" ht="15.75" customHeight="1">
      <c r="A329" s="202" t="str">
        <f>IF(B329&lt;&gt;"",IF(AND(B329&gt;=_TM1,B329&lt;=_TM2,OR(TH!L329="1111",TH!M329="1111")),TH!D329,""),"")</f>
        <v/>
      </c>
      <c r="B329" s="36">
        <f t="shared" si="17"/>
        <v>2</v>
      </c>
      <c r="C329" s="182">
        <f t="shared" si="18"/>
        <v>42420</v>
      </c>
      <c r="D329" s="182" t="s">
        <v>669</v>
      </c>
      <c r="E329" s="182">
        <v>42420</v>
      </c>
      <c r="F329" s="187" t="s">
        <v>770</v>
      </c>
      <c r="G329" s="448" t="s">
        <v>756</v>
      </c>
      <c r="H329" s="191" t="s">
        <v>757</v>
      </c>
      <c r="I329" s="251"/>
      <c r="J329" s="251"/>
      <c r="K329" s="560">
        <v>11653963</v>
      </c>
      <c r="L329" s="561" t="s">
        <v>81</v>
      </c>
      <c r="M329" s="561" t="s">
        <v>24</v>
      </c>
      <c r="N329" s="52" t="str">
        <f>IF(AND('331-CT'!$E$7=TH!H329,OR(L329="331",M329="331")),"331",IF(AND(OR(L329="131",M329="131"),H329='131-CT'!$E$7),"131",""))</f>
        <v/>
      </c>
      <c r="O329" s="818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52"/>
      <c r="AB329" s="552"/>
      <c r="AD329" s="552"/>
      <c r="AE329" s="552"/>
      <c r="AF329" s="552"/>
    </row>
    <row r="330" spans="1:32" s="209" customFormat="1" ht="15.75" customHeight="1">
      <c r="A330" s="202" t="str">
        <f>IF(B330&lt;&gt;"",IF(AND(B330&gt;=_TM1,B330&lt;=_TM2,OR(TH!L330="1111",TH!M330="1111")),TH!D330,""),"")</f>
        <v/>
      </c>
      <c r="B330" s="36">
        <f t="shared" si="17"/>
        <v>2</v>
      </c>
      <c r="C330" s="182">
        <f t="shared" si="18"/>
        <v>42420</v>
      </c>
      <c r="D330" s="189" t="s">
        <v>1186</v>
      </c>
      <c r="E330" s="189">
        <v>42420</v>
      </c>
      <c r="F330" s="190" t="s">
        <v>676</v>
      </c>
      <c r="G330" s="448" t="s">
        <v>458</v>
      </c>
      <c r="H330" s="45" t="s">
        <v>803</v>
      </c>
      <c r="I330" s="251">
        <v>2510</v>
      </c>
      <c r="J330" s="251">
        <v>7200</v>
      </c>
      <c r="K330" s="38">
        <f>ROUND(I330*J330,0)</f>
        <v>18072000</v>
      </c>
      <c r="L330" s="192" t="s">
        <v>158</v>
      </c>
      <c r="M330" s="561" t="s">
        <v>8</v>
      </c>
      <c r="N330" s="52" t="str">
        <f>IF(AND('331-CT'!$E$7=TH!H330,OR(L330="331",M330="331")),"331",IF(AND(OR(L330="131",M330="131"),H330='131-CT'!$E$7),"131",""))</f>
        <v/>
      </c>
      <c r="O330" s="818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52">
        <v>1</v>
      </c>
      <c r="AB330" s="552"/>
      <c r="AC330" s="209" t="str">
        <f>IF(VLOOKUP(H330,DSKH,1,0)=H330,"","x")</f>
        <v/>
      </c>
      <c r="AE330" s="552"/>
      <c r="AF330" s="552"/>
    </row>
    <row r="331" spans="1:32" s="209" customFormat="1" ht="15.75" customHeight="1">
      <c r="A331" s="202" t="str">
        <f>IF(B331&lt;&gt;"",IF(AND(B331&gt;=_TM1,B331&lt;=_TM2,OR(TH!L331="1111",TH!M331="1111")),TH!D331,""),"")</f>
        <v/>
      </c>
      <c r="B331" s="36">
        <f t="shared" si="17"/>
        <v>2</v>
      </c>
      <c r="C331" s="182">
        <f t="shared" si="18"/>
        <v>42420</v>
      </c>
      <c r="D331" s="189" t="s">
        <v>1186</v>
      </c>
      <c r="E331" s="189">
        <v>42420</v>
      </c>
      <c r="F331" s="190" t="s">
        <v>684</v>
      </c>
      <c r="G331" s="448" t="s">
        <v>458</v>
      </c>
      <c r="H331" s="45" t="s">
        <v>803</v>
      </c>
      <c r="I331" s="251"/>
      <c r="J331" s="251"/>
      <c r="K331" s="38">
        <v>1807200</v>
      </c>
      <c r="L331" s="192" t="s">
        <v>9</v>
      </c>
      <c r="M331" s="561" t="s">
        <v>8</v>
      </c>
      <c r="N331" s="52" t="str">
        <f>IF(AND('331-CT'!$E$7=TH!H331,OR(L331="331",M331="331")),"331",IF(AND(OR(L331="131",M331="131"),H331='131-CT'!$E$7),"131",""))</f>
        <v/>
      </c>
      <c r="O331" s="818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52">
        <v>1</v>
      </c>
      <c r="AB331" s="552"/>
      <c r="AC331" s="209" t="str">
        <f>IF(VLOOKUP(H331,DSKH,1,0)=H331,"","x")</f>
        <v/>
      </c>
      <c r="AE331" s="552"/>
      <c r="AF331" s="552"/>
    </row>
    <row r="332" spans="1:32" s="209" customFormat="1" ht="15.75" customHeight="1">
      <c r="A332" s="202" t="str">
        <f>IF(B332&lt;&gt;"",IF(AND(B332&gt;=_TM1,B332&lt;=_TM2,OR(TH!L332="1111",TH!M332="1111")),TH!D332,""),"")</f>
        <v/>
      </c>
      <c r="B332" s="36">
        <f t="shared" si="17"/>
        <v>2</v>
      </c>
      <c r="C332" s="182">
        <f t="shared" si="18"/>
        <v>42420</v>
      </c>
      <c r="D332" s="189" t="s">
        <v>1642</v>
      </c>
      <c r="E332" s="189">
        <v>42420</v>
      </c>
      <c r="F332" s="187" t="s">
        <v>671</v>
      </c>
      <c r="G332" s="448" t="s">
        <v>458</v>
      </c>
      <c r="H332" s="45" t="s">
        <v>803</v>
      </c>
      <c r="I332" s="251"/>
      <c r="J332" s="251"/>
      <c r="K332" s="38">
        <v>19879200</v>
      </c>
      <c r="L332" s="192" t="s">
        <v>8</v>
      </c>
      <c r="M332" s="561" t="s">
        <v>47</v>
      </c>
      <c r="N332" s="52" t="str">
        <f>IF(AND('331-CT'!$E$7=TH!H332,OR(L332="331",M332="331")),"331",IF(AND(OR(L332="131",M332="131"),H332='131-CT'!$E$7),"131",""))</f>
        <v/>
      </c>
      <c r="O332" s="818" t="str">
        <f>IF(AND('341-CT'!$E$9=H332,OR(LEFT(L332,3)=$O$7,LEFT(M332,3)=$O$7)),"x","")</f>
        <v/>
      </c>
      <c r="P332" s="52" t="str">
        <f>IF(AND($B332&gt;='111'!$N$11,$B332&lt;='111'!$O$11,OR($L332=$P$7,$M332=$P$7)),"x","")</f>
        <v>x</v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52"/>
      <c r="AB332" s="552"/>
      <c r="AC332" s="209" t="str">
        <f>IF(VLOOKUP(H332,DSKH,1,0)=H332,"","x")</f>
        <v/>
      </c>
      <c r="AE332" s="552"/>
      <c r="AF332" s="552"/>
    </row>
    <row r="333" spans="1:32" s="209" customFormat="1" ht="15.75" customHeight="1">
      <c r="A333" s="202" t="str">
        <f>IF(B333&lt;&gt;"",IF(AND(B333&gt;=_TM1,B333&lt;=_TM2,OR(TH!L333="1111",TH!M333="1111")),TH!D333,""),"")</f>
        <v/>
      </c>
      <c r="B333" s="36">
        <f t="shared" si="17"/>
        <v>2</v>
      </c>
      <c r="C333" s="182">
        <f t="shared" si="18"/>
        <v>42420</v>
      </c>
      <c r="D333" s="189" t="s">
        <v>1129</v>
      </c>
      <c r="E333" s="189">
        <v>42420</v>
      </c>
      <c r="F333" s="190" t="s">
        <v>396</v>
      </c>
      <c r="G333" s="190" t="s">
        <v>427</v>
      </c>
      <c r="H333" s="191" t="s">
        <v>786</v>
      </c>
      <c r="I333" s="251">
        <v>2259</v>
      </c>
      <c r="J333" s="251">
        <v>7400</v>
      </c>
      <c r="K333" s="38">
        <f>ROUND(I333*J333,0)</f>
        <v>16716600</v>
      </c>
      <c r="L333" s="192" t="s">
        <v>258</v>
      </c>
      <c r="M333" s="192" t="s">
        <v>173</v>
      </c>
      <c r="N333" s="52" t="str">
        <f>IF(AND('331-CT'!$E$7=TH!H333,OR(L333="331",M333="331")),"331",IF(AND(OR(L333="131",M333="131"),H333='131-CT'!$E$7),"131",""))</f>
        <v/>
      </c>
      <c r="O333" s="818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52"/>
      <c r="AB333" s="552"/>
      <c r="AC333" s="552"/>
    </row>
    <row r="334" spans="1:32" s="209" customFormat="1" ht="15.75" customHeight="1">
      <c r="A334" s="202" t="str">
        <f>IF(B334&lt;&gt;"",IF(AND(B334&gt;=_TM1,B334&lt;=_TM2,OR(TH!L334="1111",TH!M334="1111")),TH!D334,""),"")</f>
        <v/>
      </c>
      <c r="B334" s="36">
        <f t="shared" si="17"/>
        <v>2</v>
      </c>
      <c r="C334" s="182">
        <f t="shared" si="18"/>
        <v>42420</v>
      </c>
      <c r="D334" s="189" t="s">
        <v>1129</v>
      </c>
      <c r="E334" s="189">
        <v>42420</v>
      </c>
      <c r="F334" s="190" t="s">
        <v>393</v>
      </c>
      <c r="G334" s="190" t="s">
        <v>427</v>
      </c>
      <c r="H334" s="191" t="s">
        <v>786</v>
      </c>
      <c r="I334" s="251"/>
      <c r="J334" s="251"/>
      <c r="K334" s="38">
        <v>1671660</v>
      </c>
      <c r="L334" s="192" t="s">
        <v>258</v>
      </c>
      <c r="M334" s="192" t="s">
        <v>367</v>
      </c>
      <c r="N334" s="52" t="str">
        <f>IF(AND('331-CT'!$E$7=TH!H334,OR(L334="331",M334="331")),"331",IF(AND(OR(L334="131",M334="131"),H334='131-CT'!$E$7),"131",""))</f>
        <v/>
      </c>
      <c r="O334" s="818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52"/>
      <c r="AB334" s="552"/>
      <c r="AC334" s="552"/>
      <c r="AD334" s="552"/>
    </row>
    <row r="335" spans="1:32" s="209" customFormat="1" ht="15.75" customHeight="1">
      <c r="A335" s="202" t="str">
        <f>IF(B335&lt;&gt;"",IF(AND(B335&gt;=_TM1,B335&lt;=_TM2,OR(TH!L335="1111",TH!M335="1111")),TH!D335,""),"")</f>
        <v/>
      </c>
      <c r="B335" s="36">
        <f t="shared" si="17"/>
        <v>2</v>
      </c>
      <c r="C335" s="182">
        <f t="shared" si="18"/>
        <v>42422</v>
      </c>
      <c r="D335" s="189" t="s">
        <v>1187</v>
      </c>
      <c r="E335" s="189">
        <v>42422</v>
      </c>
      <c r="F335" s="190" t="s">
        <v>676</v>
      </c>
      <c r="G335" s="448" t="s">
        <v>460</v>
      </c>
      <c r="H335" s="45" t="s">
        <v>803</v>
      </c>
      <c r="I335" s="251">
        <v>2500</v>
      </c>
      <c r="J335" s="251">
        <v>7200</v>
      </c>
      <c r="K335" s="38">
        <f>ROUND(I335*J335,0)</f>
        <v>18000000</v>
      </c>
      <c r="L335" s="192" t="s">
        <v>158</v>
      </c>
      <c r="M335" s="561" t="s">
        <v>8</v>
      </c>
      <c r="N335" s="52" t="str">
        <f>IF(AND('331-CT'!$E$7=TH!H335,OR(L335="331",M335="331")),"331",IF(AND(OR(L335="131",M335="131"),H335='131-CT'!$E$7),"131",""))</f>
        <v/>
      </c>
      <c r="O335" s="818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52">
        <v>1</v>
      </c>
      <c r="AB335" s="552"/>
      <c r="AC335" s="209" t="str">
        <f>IF(VLOOKUP(H335,DSKH,1,0)=H335,"","x")</f>
        <v/>
      </c>
      <c r="AE335" s="552"/>
      <c r="AF335" s="552"/>
    </row>
    <row r="336" spans="1:32" s="209" customFormat="1" ht="15.75" customHeight="1">
      <c r="A336" s="202" t="str">
        <f>IF(B336&lt;&gt;"",IF(AND(B336&gt;=_TM1,B336&lt;=_TM2,OR(TH!L336="1111",TH!M336="1111")),TH!D336,""),"")</f>
        <v/>
      </c>
      <c r="B336" s="36">
        <f t="shared" si="17"/>
        <v>2</v>
      </c>
      <c r="C336" s="182">
        <f t="shared" si="18"/>
        <v>42422</v>
      </c>
      <c r="D336" s="189" t="s">
        <v>1187</v>
      </c>
      <c r="E336" s="189">
        <v>42422</v>
      </c>
      <c r="F336" s="190" t="s">
        <v>684</v>
      </c>
      <c r="G336" s="448" t="s">
        <v>460</v>
      </c>
      <c r="H336" s="45" t="s">
        <v>803</v>
      </c>
      <c r="I336" s="251"/>
      <c r="J336" s="251"/>
      <c r="K336" s="38">
        <v>1800000</v>
      </c>
      <c r="L336" s="192" t="s">
        <v>9</v>
      </c>
      <c r="M336" s="561" t="s">
        <v>8</v>
      </c>
      <c r="N336" s="52" t="str">
        <f>IF(AND('331-CT'!$E$7=TH!H336,OR(L336="331",M336="331")),"331",IF(AND(OR(L336="131",M336="131"),H336='131-CT'!$E$7),"131",""))</f>
        <v/>
      </c>
      <c r="O336" s="818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52">
        <v>1</v>
      </c>
      <c r="AB336" s="552"/>
      <c r="AC336" s="209" t="str">
        <f>IF(VLOOKUP(H336,DSKH,1,0)=H336,"","x")</f>
        <v/>
      </c>
      <c r="AE336" s="552"/>
      <c r="AF336" s="552"/>
    </row>
    <row r="337" spans="1:32" s="209" customFormat="1" ht="15.75" customHeight="1">
      <c r="A337" s="202" t="str">
        <f>IF(B337&lt;&gt;"",IF(AND(B337&gt;=_TM1,B337&lt;=_TM2,OR(TH!L337="1111",TH!M337="1111")),TH!D337,""),"")</f>
        <v/>
      </c>
      <c r="B337" s="36">
        <f t="shared" si="17"/>
        <v>2</v>
      </c>
      <c r="C337" s="182">
        <f t="shared" si="18"/>
        <v>42422</v>
      </c>
      <c r="D337" s="189" t="s">
        <v>1643</v>
      </c>
      <c r="E337" s="189">
        <v>42422</v>
      </c>
      <c r="F337" s="187" t="s">
        <v>671</v>
      </c>
      <c r="G337" s="448" t="s">
        <v>460</v>
      </c>
      <c r="H337" s="45" t="s">
        <v>803</v>
      </c>
      <c r="I337" s="251"/>
      <c r="J337" s="251"/>
      <c r="K337" s="38">
        <v>19800000</v>
      </c>
      <c r="L337" s="192" t="s">
        <v>8</v>
      </c>
      <c r="M337" s="561" t="s">
        <v>47</v>
      </c>
      <c r="N337" s="52" t="str">
        <f>IF(AND('331-CT'!$E$7=TH!H337,OR(L337="331",M337="331")),"331",IF(AND(OR(L337="131",M337="131"),H337='131-CT'!$E$7),"131",""))</f>
        <v/>
      </c>
      <c r="O337" s="818" t="str">
        <f>IF(AND('341-CT'!$E$9=H337,OR(LEFT(L337,3)=$O$7,LEFT(M337,3)=$O$7)),"x","")</f>
        <v/>
      </c>
      <c r="P337" s="52" t="str">
        <f>IF(AND($B337&gt;='111'!$N$11,$B337&lt;='111'!$O$11,OR($L337=$P$7,$M337=$P$7)),"x","")</f>
        <v>x</v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52"/>
      <c r="AB337" s="552"/>
      <c r="AC337" s="209" t="str">
        <f>IF(VLOOKUP(H337,DSKH,1,0)=H337,"","x")</f>
        <v/>
      </c>
      <c r="AE337" s="552"/>
      <c r="AF337" s="552"/>
    </row>
    <row r="338" spans="1:32" s="209" customFormat="1" ht="15.75" customHeight="1">
      <c r="A338" s="202" t="str">
        <f>IF(B338&lt;&gt;"",IF(AND(B338&gt;=_TM1,B338&lt;=_TM2,OR(TH!L338="1111",TH!M338="1111")),TH!D338,""),"")</f>
        <v/>
      </c>
      <c r="B338" s="36">
        <f t="shared" si="17"/>
        <v>2</v>
      </c>
      <c r="C338" s="182">
        <f t="shared" si="18"/>
        <v>42422</v>
      </c>
      <c r="D338" s="189" t="s">
        <v>1130</v>
      </c>
      <c r="E338" s="189">
        <v>42422</v>
      </c>
      <c r="F338" s="190" t="s">
        <v>962</v>
      </c>
      <c r="G338" s="190" t="s">
        <v>430</v>
      </c>
      <c r="H338" s="191" t="s">
        <v>417</v>
      </c>
      <c r="I338" s="251">
        <v>349</v>
      </c>
      <c r="J338" s="251">
        <v>7900</v>
      </c>
      <c r="K338" s="38">
        <f>ROUND(I338*J338,0)</f>
        <v>2757100</v>
      </c>
      <c r="L338" s="192" t="s">
        <v>258</v>
      </c>
      <c r="M338" s="192" t="s">
        <v>173</v>
      </c>
      <c r="N338" s="52" t="str">
        <f>IF(AND('331-CT'!$E$7=TH!H338,OR(L338="331",M338="331")),"331",IF(AND(OR(L338="131",M338="131"),H338='131-CT'!$E$7),"131",""))</f>
        <v/>
      </c>
      <c r="O338" s="818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52"/>
      <c r="AB338" s="552"/>
      <c r="AC338" s="552"/>
      <c r="AD338" s="552"/>
    </row>
    <row r="339" spans="1:32" s="209" customFormat="1" ht="15.75" customHeight="1">
      <c r="A339" s="202" t="str">
        <f>IF(B339&lt;&gt;"",IF(AND(B339&gt;=_TM1,B339&lt;=_TM2,OR(TH!L339="1111",TH!M339="1111")),TH!D339,""),"")</f>
        <v/>
      </c>
      <c r="B339" s="36">
        <f t="shared" si="17"/>
        <v>2</v>
      </c>
      <c r="C339" s="182">
        <f t="shared" si="18"/>
        <v>42422</v>
      </c>
      <c r="D339" s="189" t="s">
        <v>1130</v>
      </c>
      <c r="E339" s="189">
        <v>42422</v>
      </c>
      <c r="F339" s="190" t="s">
        <v>597</v>
      </c>
      <c r="G339" s="190" t="s">
        <v>430</v>
      </c>
      <c r="H339" s="191" t="s">
        <v>417</v>
      </c>
      <c r="I339" s="251">
        <v>205</v>
      </c>
      <c r="J339" s="251">
        <v>9800</v>
      </c>
      <c r="K339" s="38">
        <f>ROUND(I339*J339,0)</f>
        <v>2009000</v>
      </c>
      <c r="L339" s="192" t="s">
        <v>258</v>
      </c>
      <c r="M339" s="192" t="s">
        <v>173</v>
      </c>
      <c r="N339" s="52" t="str">
        <f>IF(AND('331-CT'!$E$7=TH!H339,OR(L339="331",M339="331")),"331",IF(AND(OR(L339="131",M339="131"),H339='131-CT'!$E$7),"131",""))</f>
        <v/>
      </c>
      <c r="O339" s="818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52"/>
      <c r="AB339" s="552"/>
      <c r="AC339" s="552"/>
    </row>
    <row r="340" spans="1:32" s="209" customFormat="1" ht="15.75" customHeight="1">
      <c r="A340" s="202" t="str">
        <f>IF(B340&lt;&gt;"",IF(AND(B340&gt;=_TM1,B340&lt;=_TM2,OR(TH!L340="1111",TH!M340="1111")),TH!D340,""),"")</f>
        <v/>
      </c>
      <c r="B340" s="36">
        <f t="shared" ref="B340:B403" si="20">IF(C340&lt;&gt;"",MONTH(C340),"")</f>
        <v>2</v>
      </c>
      <c r="C340" s="182">
        <f t="shared" ref="C340:C403" si="21">E340</f>
        <v>42422</v>
      </c>
      <c r="D340" s="189" t="s">
        <v>1130</v>
      </c>
      <c r="E340" s="189">
        <v>42422</v>
      </c>
      <c r="F340" s="190" t="s">
        <v>456</v>
      </c>
      <c r="G340" s="190" t="s">
        <v>430</v>
      </c>
      <c r="H340" s="191" t="s">
        <v>417</v>
      </c>
      <c r="I340" s="251">
        <v>407</v>
      </c>
      <c r="J340" s="251">
        <v>9400</v>
      </c>
      <c r="K340" s="38">
        <f>ROUND(I340*J340,0)</f>
        <v>3825800</v>
      </c>
      <c r="L340" s="192" t="s">
        <v>258</v>
      </c>
      <c r="M340" s="192" t="s">
        <v>173</v>
      </c>
      <c r="N340" s="52" t="str">
        <f>IF(AND('331-CT'!$E$7=TH!H340,OR(L340="331",M340="331")),"331",IF(AND(OR(L340="131",M340="131"),H340='131-CT'!$E$7),"131",""))</f>
        <v/>
      </c>
      <c r="O340" s="818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52"/>
      <c r="AB340" s="552"/>
      <c r="AC340" s="552"/>
    </row>
    <row r="341" spans="1:32" s="209" customFormat="1" ht="15.75" customHeight="1">
      <c r="A341" s="202" t="str">
        <f>IF(B341&lt;&gt;"",IF(AND(B341&gt;=_TM1,B341&lt;=_TM2,OR(TH!L341="1111",TH!M341="1111")),TH!D341,""),"")</f>
        <v/>
      </c>
      <c r="B341" s="36">
        <f t="shared" si="20"/>
        <v>2</v>
      </c>
      <c r="C341" s="182">
        <f t="shared" si="21"/>
        <v>42422</v>
      </c>
      <c r="D341" s="189" t="s">
        <v>1130</v>
      </c>
      <c r="E341" s="189">
        <v>42422</v>
      </c>
      <c r="F341" s="190" t="s">
        <v>477</v>
      </c>
      <c r="G341" s="190" t="s">
        <v>430</v>
      </c>
      <c r="H341" s="208" t="s">
        <v>417</v>
      </c>
      <c r="I341" s="252">
        <v>105</v>
      </c>
      <c r="J341" s="252">
        <v>6400</v>
      </c>
      <c r="K341" s="38">
        <f>ROUND(I341*J341,0)</f>
        <v>672000</v>
      </c>
      <c r="L341" s="192" t="s">
        <v>258</v>
      </c>
      <c r="M341" s="192" t="s">
        <v>173</v>
      </c>
      <c r="N341" s="52" t="str">
        <f>IF(AND('331-CT'!$E$7=TH!H341,OR(L341="331",M341="331")),"331",IF(AND(OR(L341="131",M341="131"),H341='131-CT'!$E$7),"131",""))</f>
        <v/>
      </c>
      <c r="O341" s="818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52"/>
      <c r="AB341" s="552"/>
      <c r="AC341" s="552"/>
    </row>
    <row r="342" spans="1:32" s="209" customFormat="1" ht="15.75" customHeight="1">
      <c r="A342" s="202" t="str">
        <f>IF(B342&lt;&gt;"",IF(AND(B342&gt;=_TM1,B342&lt;=_TM2,OR(TH!L342="1111",TH!M342="1111")),TH!D342,""),"")</f>
        <v/>
      </c>
      <c r="B342" s="36">
        <f t="shared" si="20"/>
        <v>2</v>
      </c>
      <c r="C342" s="182">
        <f t="shared" si="21"/>
        <v>42422</v>
      </c>
      <c r="D342" s="189" t="s">
        <v>1130</v>
      </c>
      <c r="E342" s="189">
        <v>42422</v>
      </c>
      <c r="F342" s="190" t="s">
        <v>393</v>
      </c>
      <c r="G342" s="190" t="s">
        <v>430</v>
      </c>
      <c r="H342" s="191" t="s">
        <v>417</v>
      </c>
      <c r="I342" s="251"/>
      <c r="J342" s="251"/>
      <c r="K342" s="38">
        <v>926390</v>
      </c>
      <c r="L342" s="192" t="s">
        <v>258</v>
      </c>
      <c r="M342" s="192" t="s">
        <v>367</v>
      </c>
      <c r="N342" s="52" t="str">
        <f>IF(AND('331-CT'!$E$7=TH!H342,OR(L342="331",M342="331")),"331",IF(AND(OR(L342="131",M342="131"),H342='131-CT'!$E$7),"131",""))</f>
        <v/>
      </c>
      <c r="O342" s="818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52"/>
      <c r="AB342" s="552"/>
      <c r="AC342" s="552"/>
    </row>
    <row r="343" spans="1:32" s="209" customFormat="1" ht="15.75" customHeight="1">
      <c r="A343" s="202" t="str">
        <f>IF(B343&lt;&gt;"",IF(AND(B343&gt;=_TM1,B343&lt;=_TM2,OR(TH!L343="1111",TH!M343="1111")),TH!D343,""),"")</f>
        <v/>
      </c>
      <c r="B343" s="36">
        <f t="shared" si="20"/>
        <v>2</v>
      </c>
      <c r="C343" s="182">
        <f t="shared" si="21"/>
        <v>42423</v>
      </c>
      <c r="D343" s="189" t="s">
        <v>1188</v>
      </c>
      <c r="E343" s="189">
        <v>42423</v>
      </c>
      <c r="F343" s="190" t="s">
        <v>676</v>
      </c>
      <c r="G343" s="448" t="s">
        <v>463</v>
      </c>
      <c r="H343" s="45" t="s">
        <v>803</v>
      </c>
      <c r="I343" s="251">
        <v>2510</v>
      </c>
      <c r="J343" s="251">
        <v>7200</v>
      </c>
      <c r="K343" s="38">
        <f>ROUND(I343*J343,0)</f>
        <v>18072000</v>
      </c>
      <c r="L343" s="192" t="s">
        <v>158</v>
      </c>
      <c r="M343" s="561" t="s">
        <v>8</v>
      </c>
      <c r="N343" s="52" t="str">
        <f>IF(AND('331-CT'!$E$7=TH!H343,OR(L343="331",M343="331")),"331",IF(AND(OR(L343="131",M343="131"),H343='131-CT'!$E$7),"131",""))</f>
        <v/>
      </c>
      <c r="O343" s="818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52">
        <v>1</v>
      </c>
      <c r="AB343" s="552"/>
      <c r="AC343" s="209" t="str">
        <f>IF(VLOOKUP(H343,DSKH,1,0)=H343,"","x")</f>
        <v/>
      </c>
      <c r="AE343" s="552"/>
      <c r="AF343" s="552"/>
    </row>
    <row r="344" spans="1:32" s="209" customFormat="1" ht="15.75" customHeight="1">
      <c r="A344" s="202" t="str">
        <f>IF(B344&lt;&gt;"",IF(AND(B344&gt;=_TM1,B344&lt;=_TM2,OR(TH!L344="1111",TH!M344="1111")),TH!D344,""),"")</f>
        <v/>
      </c>
      <c r="B344" s="36">
        <f t="shared" si="20"/>
        <v>2</v>
      </c>
      <c r="C344" s="182">
        <f t="shared" si="21"/>
        <v>42423</v>
      </c>
      <c r="D344" s="189" t="s">
        <v>1188</v>
      </c>
      <c r="E344" s="189">
        <v>42423</v>
      </c>
      <c r="F344" s="190" t="s">
        <v>684</v>
      </c>
      <c r="G344" s="448" t="s">
        <v>463</v>
      </c>
      <c r="H344" s="45" t="s">
        <v>803</v>
      </c>
      <c r="I344" s="251"/>
      <c r="J344" s="251"/>
      <c r="K344" s="38">
        <v>1807200</v>
      </c>
      <c r="L344" s="192" t="s">
        <v>9</v>
      </c>
      <c r="M344" s="561" t="s">
        <v>8</v>
      </c>
      <c r="N344" s="52" t="str">
        <f>IF(AND('331-CT'!$E$7=TH!H344,OR(L344="331",M344="331")),"331",IF(AND(OR(L344="131",M344="131"),H344='131-CT'!$E$7),"131",""))</f>
        <v/>
      </c>
      <c r="O344" s="818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52">
        <v>1</v>
      </c>
      <c r="AB344" s="552"/>
      <c r="AC344" s="209" t="str">
        <f>IF(VLOOKUP(H344,DSKH,1,0)=H344,"","x")</f>
        <v/>
      </c>
      <c r="AE344" s="552"/>
      <c r="AF344" s="552"/>
    </row>
    <row r="345" spans="1:32" s="209" customFormat="1" ht="15.75" customHeight="1">
      <c r="A345" s="202" t="str">
        <f>IF(B345&lt;&gt;"",IF(AND(B345&gt;=_TM1,B345&lt;=_TM2,OR(TH!L345="1111",TH!M345="1111")),TH!D345,""),"")</f>
        <v/>
      </c>
      <c r="B345" s="36">
        <f t="shared" si="20"/>
        <v>2</v>
      </c>
      <c r="C345" s="182">
        <f t="shared" si="21"/>
        <v>42423</v>
      </c>
      <c r="D345" s="189" t="s">
        <v>1644</v>
      </c>
      <c r="E345" s="189">
        <v>42423</v>
      </c>
      <c r="F345" s="187" t="s">
        <v>671</v>
      </c>
      <c r="G345" s="448" t="s">
        <v>463</v>
      </c>
      <c r="H345" s="45" t="s">
        <v>803</v>
      </c>
      <c r="I345" s="251"/>
      <c r="J345" s="251"/>
      <c r="K345" s="38">
        <v>19879200</v>
      </c>
      <c r="L345" s="192" t="s">
        <v>8</v>
      </c>
      <c r="M345" s="561" t="s">
        <v>47</v>
      </c>
      <c r="N345" s="52" t="str">
        <f>IF(AND('331-CT'!$E$7=TH!H345,OR(L345="331",M345="331")),"331",IF(AND(OR(L345="131",M345="131"),H345='131-CT'!$E$7),"131",""))</f>
        <v/>
      </c>
      <c r="O345" s="818" t="str">
        <f>IF(AND('341-CT'!$E$9=H345,OR(LEFT(L345,3)=$O$7,LEFT(M345,3)=$O$7)),"x","")</f>
        <v/>
      </c>
      <c r="P345" s="52" t="str">
        <f>IF(AND($B345&gt;='111'!$N$11,$B345&lt;='111'!$O$11,OR($L345=$P$7,$M345=$P$7)),"x","")</f>
        <v>x</v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52"/>
      <c r="AB345" s="552"/>
      <c r="AC345" s="209" t="str">
        <f>IF(VLOOKUP(H345,DSKH,1,0)=H345,"","x")</f>
        <v/>
      </c>
      <c r="AE345" s="552"/>
      <c r="AF345" s="552"/>
    </row>
    <row r="346" spans="1:32" s="209" customFormat="1" ht="15.75" customHeight="1">
      <c r="A346" s="202" t="str">
        <f>IF(B346&lt;&gt;"",IF(AND(B346&gt;=_TM1,B346&lt;=_TM2,OR(TH!L346="1111",TH!M346="1111")),TH!D346,""),"")</f>
        <v/>
      </c>
      <c r="B346" s="36">
        <f t="shared" si="20"/>
        <v>2</v>
      </c>
      <c r="C346" s="182">
        <f t="shared" si="21"/>
        <v>42423</v>
      </c>
      <c r="D346" s="189" t="s">
        <v>1131</v>
      </c>
      <c r="E346" s="189">
        <v>42423</v>
      </c>
      <c r="F346" s="190" t="s">
        <v>928</v>
      </c>
      <c r="G346" s="190" t="s">
        <v>431</v>
      </c>
      <c r="H346" s="191" t="s">
        <v>786</v>
      </c>
      <c r="I346" s="251">
        <v>500</v>
      </c>
      <c r="J346" s="251">
        <v>14800</v>
      </c>
      <c r="K346" s="38">
        <f>ROUND(I346*J346,0)</f>
        <v>7400000</v>
      </c>
      <c r="L346" s="192" t="s">
        <v>258</v>
      </c>
      <c r="M346" s="192" t="s">
        <v>173</v>
      </c>
      <c r="N346" s="52" t="str">
        <f>IF(AND('331-CT'!$E$7=TH!H346,OR(L346="331",M346="331")),"331",IF(AND(OR(L346="131",M346="131"),H346='131-CT'!$E$7),"131",""))</f>
        <v/>
      </c>
      <c r="O346" s="818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52"/>
      <c r="AB346" s="552"/>
      <c r="AC346" s="552"/>
    </row>
    <row r="347" spans="1:32" s="209" customFormat="1" ht="15.75" customHeight="1">
      <c r="A347" s="202" t="str">
        <f>IF(B347&lt;&gt;"",IF(AND(B347&gt;=_TM1,B347&lt;=_TM2,OR(TH!L347="1111",TH!M347="1111")),TH!D347,""),"")</f>
        <v/>
      </c>
      <c r="B347" s="36">
        <f t="shared" si="20"/>
        <v>2</v>
      </c>
      <c r="C347" s="182">
        <f t="shared" si="21"/>
        <v>42423</v>
      </c>
      <c r="D347" s="189" t="s">
        <v>1131</v>
      </c>
      <c r="E347" s="189">
        <v>42423</v>
      </c>
      <c r="F347" s="190" t="s">
        <v>393</v>
      </c>
      <c r="G347" s="190" t="s">
        <v>431</v>
      </c>
      <c r="H347" s="191" t="s">
        <v>786</v>
      </c>
      <c r="I347" s="251"/>
      <c r="J347" s="251"/>
      <c r="K347" s="38">
        <v>740000</v>
      </c>
      <c r="L347" s="192" t="s">
        <v>258</v>
      </c>
      <c r="M347" s="192" t="s">
        <v>367</v>
      </c>
      <c r="N347" s="52" t="str">
        <f>IF(AND('331-CT'!$E$7=TH!H347,OR(L347="331",M347="331")),"331",IF(AND(OR(L347="131",M347="131"),H347='131-CT'!$E$7),"131",""))</f>
        <v/>
      </c>
      <c r="O347" s="818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52"/>
      <c r="AB347" s="552"/>
      <c r="AC347" s="552"/>
    </row>
    <row r="348" spans="1:32" s="209" customFormat="1" ht="15.75" customHeight="1">
      <c r="A348" s="202" t="str">
        <f>IF(B348&lt;&gt;"",IF(AND(B348&gt;=_TM1,B348&lt;=_TM2,OR(TH!L348="1111",TH!M348="1111")),TH!D348,""),"")</f>
        <v/>
      </c>
      <c r="B348" s="36">
        <f t="shared" si="20"/>
        <v>2</v>
      </c>
      <c r="C348" s="182">
        <f t="shared" si="21"/>
        <v>42423</v>
      </c>
      <c r="D348" s="189" t="s">
        <v>1132</v>
      </c>
      <c r="E348" s="189">
        <v>42423</v>
      </c>
      <c r="F348" s="190" t="s">
        <v>415</v>
      </c>
      <c r="G348" s="190" t="s">
        <v>432</v>
      </c>
      <c r="H348" s="191" t="s">
        <v>417</v>
      </c>
      <c r="I348" s="251">
        <v>102</v>
      </c>
      <c r="J348" s="251">
        <v>12900</v>
      </c>
      <c r="K348" s="38">
        <f>ROUND(I348*J348,0)</f>
        <v>1315800</v>
      </c>
      <c r="L348" s="192" t="s">
        <v>258</v>
      </c>
      <c r="M348" s="192" t="s">
        <v>173</v>
      </c>
      <c r="N348" s="52" t="str">
        <f>IF(AND('331-CT'!$E$7=TH!H348,OR(L348="331",M348="331")),"331",IF(AND(OR(L348="131",M348="131"),H348='131-CT'!$E$7),"131",""))</f>
        <v/>
      </c>
      <c r="O348" s="818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52"/>
      <c r="AB348" s="552"/>
      <c r="AC348" s="552"/>
    </row>
    <row r="349" spans="1:32" s="209" customFormat="1" ht="15.75" customHeight="1">
      <c r="A349" s="202" t="str">
        <f>IF(B349&lt;&gt;"",IF(AND(B349&gt;=_TM1,B349&lt;=_TM2,OR(TH!L349="1111",TH!M349="1111")),TH!D349,""),"")</f>
        <v/>
      </c>
      <c r="B349" s="36">
        <f t="shared" si="20"/>
        <v>2</v>
      </c>
      <c r="C349" s="182">
        <f t="shared" si="21"/>
        <v>42423</v>
      </c>
      <c r="D349" s="189" t="s">
        <v>1132</v>
      </c>
      <c r="E349" s="189">
        <v>42423</v>
      </c>
      <c r="F349" s="190" t="s">
        <v>393</v>
      </c>
      <c r="G349" s="190" t="s">
        <v>432</v>
      </c>
      <c r="H349" s="191" t="s">
        <v>417</v>
      </c>
      <c r="I349" s="251"/>
      <c r="J349" s="251"/>
      <c r="K349" s="38">
        <v>131580</v>
      </c>
      <c r="L349" s="192" t="s">
        <v>258</v>
      </c>
      <c r="M349" s="192" t="s">
        <v>367</v>
      </c>
      <c r="N349" s="52" t="str">
        <f>IF(AND('331-CT'!$E$7=TH!H349,OR(L349="331",M349="331")),"331",IF(AND(OR(L349="131",M349="131"),H349='131-CT'!$E$7),"131",""))</f>
        <v/>
      </c>
      <c r="O349" s="818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52"/>
      <c r="AB349" s="552"/>
      <c r="AC349" s="552"/>
    </row>
    <row r="350" spans="1:32" s="209" customFormat="1" ht="15.75" customHeight="1">
      <c r="A350" s="202" t="str">
        <f>IF(B350&lt;&gt;"",IF(AND(B350&gt;=_TM1,B350&lt;=_TM2,OR(TH!L350="1111",TH!M350="1111")),TH!D350,""),"")</f>
        <v/>
      </c>
      <c r="B350" s="36">
        <f t="shared" si="20"/>
        <v>2</v>
      </c>
      <c r="C350" s="182">
        <f t="shared" si="21"/>
        <v>42423</v>
      </c>
      <c r="D350" s="189" t="s">
        <v>1133</v>
      </c>
      <c r="E350" s="189">
        <v>42423</v>
      </c>
      <c r="F350" s="190" t="s">
        <v>1435</v>
      </c>
      <c r="G350" s="190" t="s">
        <v>433</v>
      </c>
      <c r="H350" s="191" t="s">
        <v>615</v>
      </c>
      <c r="I350" s="251">
        <v>1509</v>
      </c>
      <c r="J350" s="251">
        <v>11300</v>
      </c>
      <c r="K350" s="38">
        <f>ROUND(I350*J350,0)</f>
        <v>17051700</v>
      </c>
      <c r="L350" s="192" t="s">
        <v>258</v>
      </c>
      <c r="M350" s="192" t="s">
        <v>173</v>
      </c>
      <c r="N350" s="52" t="str">
        <f>IF(AND('331-CT'!$E$7=TH!H350,OR(L350="331",M350="331")),"331",IF(AND(OR(L350="131",M350="131"),H350='131-CT'!$E$7),"131",""))</f>
        <v/>
      </c>
      <c r="O350" s="818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52"/>
      <c r="AB350" s="552"/>
      <c r="AC350" s="552"/>
    </row>
    <row r="351" spans="1:32" s="209" customFormat="1" ht="15.75" customHeight="1">
      <c r="A351" s="202" t="str">
        <f>IF(B351&lt;&gt;"",IF(AND(B351&gt;=_TM1,B351&lt;=_TM2,OR(TH!L351="1111",TH!M351="1111")),TH!D351,""),"")</f>
        <v/>
      </c>
      <c r="B351" s="36">
        <f t="shared" si="20"/>
        <v>2</v>
      </c>
      <c r="C351" s="182">
        <f t="shared" si="21"/>
        <v>42423</v>
      </c>
      <c r="D351" s="189" t="s">
        <v>1133</v>
      </c>
      <c r="E351" s="189">
        <v>42423</v>
      </c>
      <c r="F351" s="187" t="s">
        <v>1306</v>
      </c>
      <c r="G351" s="190" t="s">
        <v>433</v>
      </c>
      <c r="H351" s="191" t="s">
        <v>615</v>
      </c>
      <c r="I351" s="251">
        <v>783</v>
      </c>
      <c r="J351" s="251">
        <v>11800</v>
      </c>
      <c r="K351" s="38">
        <f>ROUND(I351*J351,0)</f>
        <v>9239400</v>
      </c>
      <c r="L351" s="192" t="s">
        <v>258</v>
      </c>
      <c r="M351" s="192" t="s">
        <v>173</v>
      </c>
      <c r="N351" s="52" t="str">
        <f>IF(AND('331-CT'!$E$7=TH!H351,OR(L351="331",M351="331")),"331",IF(AND(OR(L351="131",M351="131"),H351='131-CT'!$E$7),"131",""))</f>
        <v/>
      </c>
      <c r="O351" s="818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52"/>
      <c r="AB351" s="552"/>
      <c r="AC351" s="552"/>
      <c r="AD351" s="552"/>
    </row>
    <row r="352" spans="1:32" s="209" customFormat="1" ht="15.75" customHeight="1">
      <c r="A352" s="202" t="str">
        <f>IF(B352&lt;&gt;"",IF(AND(B352&gt;=_TM1,B352&lt;=_TM2,OR(TH!L352="1111",TH!M352="1111")),TH!D352,""),"")</f>
        <v/>
      </c>
      <c r="B352" s="36">
        <f t="shared" si="20"/>
        <v>2</v>
      </c>
      <c r="C352" s="182">
        <f t="shared" si="21"/>
        <v>42423</v>
      </c>
      <c r="D352" s="189" t="s">
        <v>1133</v>
      </c>
      <c r="E352" s="189">
        <v>42423</v>
      </c>
      <c r="F352" s="190" t="s">
        <v>393</v>
      </c>
      <c r="G352" s="190" t="s">
        <v>433</v>
      </c>
      <c r="H352" s="191" t="s">
        <v>615</v>
      </c>
      <c r="I352" s="251"/>
      <c r="J352" s="251"/>
      <c r="K352" s="38">
        <v>2629110</v>
      </c>
      <c r="L352" s="192" t="s">
        <v>258</v>
      </c>
      <c r="M352" s="192" t="s">
        <v>367</v>
      </c>
      <c r="N352" s="52" t="str">
        <f>IF(AND('331-CT'!$E$7=TH!H352,OR(L352="331",M352="331")),"331",IF(AND(OR(L352="131",M352="131"),H352='131-CT'!$E$7),"131",""))</f>
        <v/>
      </c>
      <c r="O352" s="818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52"/>
      <c r="AB352" s="552"/>
      <c r="AC352" s="552"/>
    </row>
    <row r="353" spans="1:32" s="209" customFormat="1" ht="15.75" customHeight="1">
      <c r="A353" s="202" t="str">
        <f>IF(B353&lt;&gt;"",IF(AND(B353&gt;=_TM1,B353&lt;=_TM2,OR(TH!L353="1111",TH!M353="1111")),TH!D353,""),"")</f>
        <v/>
      </c>
      <c r="B353" s="36">
        <f t="shared" si="20"/>
        <v>2</v>
      </c>
      <c r="C353" s="182">
        <f t="shared" si="21"/>
        <v>42423</v>
      </c>
      <c r="D353" s="189" t="s">
        <v>1134</v>
      </c>
      <c r="E353" s="704">
        <v>42423</v>
      </c>
      <c r="F353" s="187" t="s">
        <v>645</v>
      </c>
      <c r="G353" s="190" t="s">
        <v>434</v>
      </c>
      <c r="H353" s="191" t="s">
        <v>428</v>
      </c>
      <c r="I353" s="251">
        <v>1000</v>
      </c>
      <c r="J353" s="251">
        <v>12420</v>
      </c>
      <c r="K353" s="38">
        <f>ROUND(I353*J353,0)</f>
        <v>12420000</v>
      </c>
      <c r="L353" s="192" t="s">
        <v>258</v>
      </c>
      <c r="M353" s="192" t="s">
        <v>173</v>
      </c>
      <c r="N353" s="52" t="str">
        <f>IF(AND('331-CT'!$E$7=TH!H353,OR(L353="331",M353="331")),"331",IF(AND(OR(L353="131",M353="131"),H353='131-CT'!$E$7),"131",""))</f>
        <v/>
      </c>
      <c r="O353" s="818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52"/>
      <c r="AB353" s="552"/>
    </row>
    <row r="354" spans="1:32" s="209" customFormat="1" ht="15.75" customHeight="1">
      <c r="A354" s="202" t="str">
        <f>IF(B354&lt;&gt;"",IF(AND(B354&gt;=_TM1,B354&lt;=_TM2,OR(TH!L354="1111",TH!M354="1111")),TH!D354,""),"")</f>
        <v/>
      </c>
      <c r="B354" s="36">
        <f t="shared" si="20"/>
        <v>2</v>
      </c>
      <c r="C354" s="182">
        <f t="shared" si="21"/>
        <v>42423</v>
      </c>
      <c r="D354" s="189" t="s">
        <v>1134</v>
      </c>
      <c r="E354" s="189">
        <v>42423</v>
      </c>
      <c r="F354" s="187" t="s">
        <v>645</v>
      </c>
      <c r="G354" s="190" t="s">
        <v>434</v>
      </c>
      <c r="H354" s="208" t="s">
        <v>428</v>
      </c>
      <c r="I354" s="251">
        <v>50</v>
      </c>
      <c r="J354" s="251">
        <v>12060</v>
      </c>
      <c r="K354" s="38">
        <f>ROUND(I354*J354,0)</f>
        <v>603000</v>
      </c>
      <c r="L354" s="192" t="s">
        <v>258</v>
      </c>
      <c r="M354" s="192" t="s">
        <v>173</v>
      </c>
      <c r="N354" s="52" t="str">
        <f>IF(AND('331-CT'!$E$7=TH!H354,OR(L354="331",M354="331")),"331",IF(AND(OR(L354="131",M354="131"),H354='131-CT'!$E$7),"131",""))</f>
        <v/>
      </c>
      <c r="O354" s="818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52"/>
      <c r="AB354" s="552"/>
      <c r="AC354" s="552"/>
    </row>
    <row r="355" spans="1:32" s="209" customFormat="1" ht="15.75" customHeight="1">
      <c r="A355" s="202" t="str">
        <f>IF(B355&lt;&gt;"",IF(AND(B355&gt;=_TM1,B355&lt;=_TM2,OR(TH!L355="1111",TH!M355="1111")),TH!D355,""),"")</f>
        <v/>
      </c>
      <c r="B355" s="36">
        <f t="shared" si="20"/>
        <v>2</v>
      </c>
      <c r="C355" s="182">
        <f t="shared" si="21"/>
        <v>42423</v>
      </c>
      <c r="D355" s="189" t="s">
        <v>1134</v>
      </c>
      <c r="E355" s="189">
        <v>42423</v>
      </c>
      <c r="F355" s="187" t="s">
        <v>693</v>
      </c>
      <c r="G355" s="190" t="s">
        <v>434</v>
      </c>
      <c r="H355" s="208" t="s">
        <v>428</v>
      </c>
      <c r="I355" s="252">
        <v>2100</v>
      </c>
      <c r="J355" s="252">
        <v>1182</v>
      </c>
      <c r="K355" s="38">
        <f>ROUND(I355*J355,0)</f>
        <v>2482200</v>
      </c>
      <c r="L355" s="192" t="s">
        <v>258</v>
      </c>
      <c r="M355" s="192" t="s">
        <v>173</v>
      </c>
      <c r="N355" s="52" t="str">
        <f>IF(AND('331-CT'!$E$7=TH!H355,OR(L355="331",M355="331")),"331",IF(AND(OR(L355="131",M355="131"),H355='131-CT'!$E$7),"131",""))</f>
        <v/>
      </c>
      <c r="O355" s="818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52"/>
      <c r="AB355" s="552"/>
    </row>
    <row r="356" spans="1:32" s="209" customFormat="1" ht="15.75" customHeight="1">
      <c r="A356" s="202" t="str">
        <f>IF(B356&lt;&gt;"",IF(AND(B356&gt;=_TM1,B356&lt;=_TM2,OR(TH!L356="1111",TH!M356="1111")),TH!D356,""),"")</f>
        <v/>
      </c>
      <c r="B356" s="36">
        <f t="shared" si="20"/>
        <v>2</v>
      </c>
      <c r="C356" s="182">
        <f t="shared" si="21"/>
        <v>42423</v>
      </c>
      <c r="D356" s="189" t="s">
        <v>1134</v>
      </c>
      <c r="E356" s="189">
        <v>42423</v>
      </c>
      <c r="F356" s="835" t="s">
        <v>393</v>
      </c>
      <c r="G356" s="190" t="s">
        <v>434</v>
      </c>
      <c r="H356" s="208" t="s">
        <v>428</v>
      </c>
      <c r="I356" s="252"/>
      <c r="J356" s="252"/>
      <c r="K356" s="38">
        <v>1550520</v>
      </c>
      <c r="L356" s="192" t="s">
        <v>258</v>
      </c>
      <c r="M356" s="192" t="s">
        <v>367</v>
      </c>
      <c r="N356" s="52" t="str">
        <f>IF(AND('331-CT'!$E$7=TH!H356,OR(L356="331",M356="331")),"331",IF(AND(OR(L356="131",M356="131"),H356='131-CT'!$E$7),"131",""))</f>
        <v/>
      </c>
      <c r="O356" s="818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52"/>
      <c r="AB356" s="552"/>
      <c r="AC356" s="552"/>
    </row>
    <row r="357" spans="1:32" s="209" customFormat="1" ht="15.75" customHeight="1">
      <c r="A357" s="202" t="str">
        <f>IF(B357&lt;&gt;"",IF(AND(B357&gt;=_TM1,B357&lt;=_TM2,OR(TH!L357="1111",TH!M357="1111")),TH!D357,""),"")</f>
        <v/>
      </c>
      <c r="B357" s="36">
        <f t="shared" si="20"/>
        <v>2</v>
      </c>
      <c r="C357" s="182">
        <f t="shared" si="21"/>
        <v>42424</v>
      </c>
      <c r="D357" s="182" t="s">
        <v>665</v>
      </c>
      <c r="E357" s="182">
        <v>42424</v>
      </c>
      <c r="F357" s="187" t="s">
        <v>666</v>
      </c>
      <c r="G357" s="448" t="s">
        <v>330</v>
      </c>
      <c r="H357" s="208" t="s">
        <v>501</v>
      </c>
      <c r="I357" s="251"/>
      <c r="J357" s="251"/>
      <c r="K357" s="560">
        <v>11583000</v>
      </c>
      <c r="L357" s="561" t="s">
        <v>24</v>
      </c>
      <c r="M357" s="561" t="s">
        <v>258</v>
      </c>
      <c r="N357" s="52" t="str">
        <f>IF(AND('331-CT'!$E$7=TH!H357,OR(L357="331",M357="331")),"331",IF(AND(OR(L357="131",M357="131"),H357='131-CT'!$E$7),"131",""))</f>
        <v/>
      </c>
      <c r="O357" s="818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52"/>
      <c r="AB357" s="552"/>
      <c r="AC357" s="552"/>
      <c r="AD357" s="552"/>
      <c r="AE357" s="552"/>
      <c r="AF357" s="552"/>
    </row>
    <row r="358" spans="1:32" s="209" customFormat="1" ht="15.75" customHeight="1">
      <c r="A358" s="202" t="str">
        <f>IF(B358&lt;&gt;"",IF(AND(B358&gt;=_TM1,B358&lt;=_TM2,OR(TH!L358="1111",TH!M358="1111")),TH!D358,""),"")</f>
        <v/>
      </c>
      <c r="B358" s="36">
        <f t="shared" si="20"/>
        <v>2</v>
      </c>
      <c r="C358" s="182">
        <f t="shared" si="21"/>
        <v>42424</v>
      </c>
      <c r="D358" s="182" t="s">
        <v>1645</v>
      </c>
      <c r="E358" s="189">
        <v>42424</v>
      </c>
      <c r="F358" s="187" t="s">
        <v>776</v>
      </c>
      <c r="G358" s="448" t="s">
        <v>330</v>
      </c>
      <c r="H358" s="191" t="s">
        <v>782</v>
      </c>
      <c r="I358" s="251"/>
      <c r="J358" s="251"/>
      <c r="K358" s="38">
        <v>12000000</v>
      </c>
      <c r="L358" s="192" t="s">
        <v>47</v>
      </c>
      <c r="M358" s="561" t="s">
        <v>24</v>
      </c>
      <c r="N358" s="52" t="str">
        <f>IF(AND('331-CT'!$E$7=TH!H358,OR(L358="331",M358="331")),"331",IF(AND(OR(L358="131",M358="131"),H358='131-CT'!$E$7),"131",""))</f>
        <v/>
      </c>
      <c r="O358" s="818" t="str">
        <f>IF(AND('341-CT'!$E$9=H358,OR(LEFT(L358,3)=$O$7,LEFT(M358,3)=$O$7)),"x","")</f>
        <v/>
      </c>
      <c r="P358" s="52" t="str">
        <f>IF(AND($B358&gt;='111'!$N$11,$B358&lt;='111'!$O$11,OR($L358=$P$7,$M358=$P$7)),"x","")</f>
        <v>x</v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52"/>
      <c r="AB358" s="552"/>
      <c r="AC358" s="552"/>
    </row>
    <row r="359" spans="1:32" s="209" customFormat="1" ht="15.75" customHeight="1">
      <c r="A359" s="202" t="str">
        <f>IF(B359&lt;&gt;"",IF(AND(B359&gt;=_TM1,B359&lt;=_TM2,OR(TH!L359="1111",TH!M359="1111")),TH!D359,""),"")</f>
        <v/>
      </c>
      <c r="B359" s="36">
        <f t="shared" si="20"/>
        <v>2</v>
      </c>
      <c r="C359" s="182">
        <f t="shared" si="21"/>
        <v>42424</v>
      </c>
      <c r="D359" s="189" t="s">
        <v>1189</v>
      </c>
      <c r="E359" s="189">
        <v>42424</v>
      </c>
      <c r="F359" s="190" t="s">
        <v>676</v>
      </c>
      <c r="G359" s="448" t="s">
        <v>467</v>
      </c>
      <c r="H359" s="45" t="s">
        <v>803</v>
      </c>
      <c r="I359" s="251">
        <v>2510</v>
      </c>
      <c r="J359" s="251">
        <v>7200</v>
      </c>
      <c r="K359" s="38">
        <f>ROUND(I359*J359,0)</f>
        <v>18072000</v>
      </c>
      <c r="L359" s="192" t="s">
        <v>158</v>
      </c>
      <c r="M359" s="561" t="s">
        <v>8</v>
      </c>
      <c r="N359" s="52" t="str">
        <f>IF(AND('331-CT'!$E$7=TH!H359,OR(L359="331",M359="331")),"331",IF(AND(OR(L359="131",M359="131"),H359='131-CT'!$E$7),"131",""))</f>
        <v/>
      </c>
      <c r="O359" s="818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52">
        <v>1</v>
      </c>
      <c r="AB359" s="552"/>
      <c r="AC359" s="209" t="str">
        <f>IF(VLOOKUP(H359,DSKH,1,0)=H359,"","x")</f>
        <v/>
      </c>
      <c r="AE359" s="552"/>
      <c r="AF359" s="552"/>
    </row>
    <row r="360" spans="1:32" s="209" customFormat="1" ht="15.75" customHeight="1">
      <c r="A360" s="202" t="str">
        <f>IF(B360&lt;&gt;"",IF(AND(B360&gt;=_TM1,B360&lt;=_TM2,OR(TH!L360="1111",TH!M360="1111")),TH!D360,""),"")</f>
        <v/>
      </c>
      <c r="B360" s="36">
        <f t="shared" si="20"/>
        <v>2</v>
      </c>
      <c r="C360" s="182">
        <f t="shared" si="21"/>
        <v>42424</v>
      </c>
      <c r="D360" s="189" t="s">
        <v>1189</v>
      </c>
      <c r="E360" s="189">
        <v>42424</v>
      </c>
      <c r="F360" s="190" t="s">
        <v>684</v>
      </c>
      <c r="G360" s="448" t="s">
        <v>467</v>
      </c>
      <c r="H360" s="45" t="s">
        <v>803</v>
      </c>
      <c r="I360" s="251"/>
      <c r="J360" s="251"/>
      <c r="K360" s="38">
        <v>1807200</v>
      </c>
      <c r="L360" s="192" t="s">
        <v>9</v>
      </c>
      <c r="M360" s="561" t="s">
        <v>8</v>
      </c>
      <c r="N360" s="52" t="str">
        <f>IF(AND('331-CT'!$E$7=TH!H360,OR(L360="331",M360="331")),"331",IF(AND(OR(L360="131",M360="131"),H360='131-CT'!$E$7),"131",""))</f>
        <v/>
      </c>
      <c r="O360" s="818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52">
        <v>1</v>
      </c>
      <c r="AB360" s="552"/>
      <c r="AC360" s="209" t="str">
        <f>IF(VLOOKUP(H360,DSKH,1,0)=H360,"","x")</f>
        <v/>
      </c>
      <c r="AE360" s="552"/>
      <c r="AF360" s="552"/>
    </row>
    <row r="361" spans="1:32" s="209" customFormat="1" ht="15.75" customHeight="1">
      <c r="A361" s="202" t="str">
        <f>IF(B361&lt;&gt;"",IF(AND(B361&gt;=_TM1,B361&lt;=_TM2,OR(TH!L361="1111",TH!M361="1111")),TH!D361,""),"")</f>
        <v/>
      </c>
      <c r="B361" s="36">
        <f t="shared" si="20"/>
        <v>2</v>
      </c>
      <c r="C361" s="182">
        <f t="shared" si="21"/>
        <v>42424</v>
      </c>
      <c r="D361" s="189" t="s">
        <v>1646</v>
      </c>
      <c r="E361" s="189">
        <v>42424</v>
      </c>
      <c r="F361" s="187" t="s">
        <v>671</v>
      </c>
      <c r="G361" s="448" t="s">
        <v>467</v>
      </c>
      <c r="H361" s="45" t="s">
        <v>803</v>
      </c>
      <c r="I361" s="251"/>
      <c r="J361" s="251"/>
      <c r="K361" s="38">
        <v>19879200</v>
      </c>
      <c r="L361" s="192" t="s">
        <v>8</v>
      </c>
      <c r="M361" s="561" t="s">
        <v>47</v>
      </c>
      <c r="N361" s="52" t="str">
        <f>IF(AND('331-CT'!$E$7=TH!H361,OR(L361="331",M361="331")),"331",IF(AND(OR(L361="131",M361="131"),H361='131-CT'!$E$7),"131",""))</f>
        <v/>
      </c>
      <c r="O361" s="818" t="str">
        <f>IF(AND('341-CT'!$E$9=H361,OR(LEFT(L361,3)=$O$7,LEFT(M361,3)=$O$7)),"x","")</f>
        <v/>
      </c>
      <c r="P361" s="52" t="str">
        <f>IF(AND($B361&gt;='111'!$N$11,$B361&lt;='111'!$O$11,OR($L361=$P$7,$M361=$P$7)),"x","")</f>
        <v>x</v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52"/>
      <c r="AB361" s="552"/>
      <c r="AC361" s="209" t="str">
        <f>IF(VLOOKUP(H361,DSKH,1,0)=H361,"","x")</f>
        <v/>
      </c>
      <c r="AE361" s="552"/>
      <c r="AF361" s="552"/>
    </row>
    <row r="362" spans="1:32" s="209" customFormat="1" ht="15.75" customHeight="1">
      <c r="A362" s="202" t="str">
        <f>IF(B362&lt;&gt;"",IF(AND(B362&gt;=_TM1,B362&lt;=_TM2,OR(TH!L362="1111",TH!M362="1111")),TH!D362,""),"")</f>
        <v/>
      </c>
      <c r="B362" s="36">
        <f t="shared" si="20"/>
        <v>2</v>
      </c>
      <c r="C362" s="182">
        <f t="shared" si="21"/>
        <v>42424</v>
      </c>
      <c r="D362" s="189" t="s">
        <v>1135</v>
      </c>
      <c r="E362" s="189">
        <v>42424</v>
      </c>
      <c r="F362" s="190" t="s">
        <v>929</v>
      </c>
      <c r="G362" s="190" t="s">
        <v>435</v>
      </c>
      <c r="H362" s="7" t="s">
        <v>391</v>
      </c>
      <c r="I362" s="252">
        <v>500</v>
      </c>
      <c r="J362" s="252">
        <v>22000</v>
      </c>
      <c r="K362" s="38">
        <f>ROUND(I362*J362,0)</f>
        <v>11000000</v>
      </c>
      <c r="L362" s="192" t="s">
        <v>258</v>
      </c>
      <c r="M362" s="192" t="s">
        <v>173</v>
      </c>
      <c r="N362" s="52" t="str">
        <f>IF(AND('331-CT'!$E$7=TH!H362,OR(L362="331",M362="331")),"331",IF(AND(OR(L362="131",M362="131"),H362='131-CT'!$E$7),"131",""))</f>
        <v/>
      </c>
      <c r="O362" s="818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52"/>
      <c r="AB362" s="552"/>
      <c r="AC362" s="552"/>
    </row>
    <row r="363" spans="1:32" s="209" customFormat="1" ht="15.75" customHeight="1">
      <c r="A363" s="202" t="str">
        <f>IF(B363&lt;&gt;"",IF(AND(B363&gt;=_TM1,B363&lt;=_TM2,OR(TH!L363="1111",TH!M363="1111")),TH!D363,""),"")</f>
        <v/>
      </c>
      <c r="B363" s="36">
        <f t="shared" si="20"/>
        <v>2</v>
      </c>
      <c r="C363" s="182">
        <f t="shared" si="21"/>
        <v>42424</v>
      </c>
      <c r="D363" s="189" t="s">
        <v>1135</v>
      </c>
      <c r="E363" s="189">
        <v>42424</v>
      </c>
      <c r="F363" s="835" t="s">
        <v>393</v>
      </c>
      <c r="G363" s="190" t="s">
        <v>435</v>
      </c>
      <c r="H363" s="7" t="s">
        <v>391</v>
      </c>
      <c r="I363" s="251"/>
      <c r="J363" s="251"/>
      <c r="K363" s="38">
        <v>1100000</v>
      </c>
      <c r="L363" s="192" t="s">
        <v>258</v>
      </c>
      <c r="M363" s="192" t="s">
        <v>367</v>
      </c>
      <c r="N363" s="52" t="str">
        <f>IF(AND('331-CT'!$E$7=TH!H363,OR(L363="331",M363="331")),"331",IF(AND(OR(L363="131",M363="131"),H363='131-CT'!$E$7),"131",""))</f>
        <v/>
      </c>
      <c r="O363" s="818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52"/>
      <c r="AB363" s="552"/>
    </row>
    <row r="364" spans="1:32" s="209" customFormat="1" ht="15.75" customHeight="1">
      <c r="A364" s="202" t="str">
        <f>IF(B364&lt;&gt;"",IF(AND(B364&gt;=_TM1,B364&lt;=_TM2,OR(TH!L364="1111",TH!M364="1111")),TH!D364,""),"")</f>
        <v/>
      </c>
      <c r="B364" s="36">
        <f t="shared" si="20"/>
        <v>2</v>
      </c>
      <c r="C364" s="182">
        <f t="shared" si="21"/>
        <v>42424</v>
      </c>
      <c r="D364" s="189" t="s">
        <v>1136</v>
      </c>
      <c r="E364" s="189">
        <v>42424</v>
      </c>
      <c r="F364" s="190" t="s">
        <v>628</v>
      </c>
      <c r="G364" s="190" t="s">
        <v>437</v>
      </c>
      <c r="H364" s="191" t="s">
        <v>527</v>
      </c>
      <c r="I364" s="251">
        <v>61</v>
      </c>
      <c r="J364" s="251">
        <v>28000</v>
      </c>
      <c r="K364" s="38">
        <f>ROUND(I364*J364,0)</f>
        <v>1708000</v>
      </c>
      <c r="L364" s="192" t="s">
        <v>258</v>
      </c>
      <c r="M364" s="192" t="s">
        <v>173</v>
      </c>
      <c r="N364" s="52" t="str">
        <f>IF(AND('331-CT'!$E$7=TH!H364,OR(L364="331",M364="331")),"331",IF(AND(OR(L364="131",M364="131"),H364='131-CT'!$E$7),"131",""))</f>
        <v/>
      </c>
      <c r="O364" s="818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52"/>
      <c r="AB364" s="552"/>
      <c r="AC364" s="552"/>
    </row>
    <row r="365" spans="1:32" s="209" customFormat="1" ht="15.75" customHeight="1">
      <c r="A365" s="202" t="str">
        <f>IF(B365&lt;&gt;"",IF(AND(B365&gt;=_TM1,B365&lt;=_TM2,OR(TH!L365="1111",TH!M365="1111")),TH!D365,""),"")</f>
        <v/>
      </c>
      <c r="B365" s="36">
        <f t="shared" si="20"/>
        <v>2</v>
      </c>
      <c r="C365" s="182">
        <f t="shared" si="21"/>
        <v>42424</v>
      </c>
      <c r="D365" s="189" t="s">
        <v>1136</v>
      </c>
      <c r="E365" s="189">
        <v>42424</v>
      </c>
      <c r="F365" s="190" t="s">
        <v>418</v>
      </c>
      <c r="G365" s="190" t="s">
        <v>437</v>
      </c>
      <c r="H365" s="191" t="s">
        <v>527</v>
      </c>
      <c r="I365" s="251">
        <v>147</v>
      </c>
      <c r="J365" s="251">
        <v>47449</v>
      </c>
      <c r="K365" s="38">
        <f>ROUND(I365*J365,0)</f>
        <v>6975003</v>
      </c>
      <c r="L365" s="192" t="s">
        <v>258</v>
      </c>
      <c r="M365" s="192" t="s">
        <v>173</v>
      </c>
      <c r="N365" s="52" t="str">
        <f>IF(AND('331-CT'!$E$7=TH!H365,OR(L365="331",M365="331")),"331",IF(AND(OR(L365="131",M365="131"),H365='131-CT'!$E$7),"131",""))</f>
        <v/>
      </c>
      <c r="O365" s="818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52"/>
      <c r="AB365" s="552"/>
    </row>
    <row r="366" spans="1:32" s="209" customFormat="1" ht="15.75" customHeight="1">
      <c r="A366" s="202" t="str">
        <f>IF(B366&lt;&gt;"",IF(AND(B366&gt;=_TM1,B366&lt;=_TM2,OR(TH!L366="1111",TH!M366="1111")),TH!D366,""),"")</f>
        <v/>
      </c>
      <c r="B366" s="36">
        <f t="shared" si="20"/>
        <v>2</v>
      </c>
      <c r="C366" s="182">
        <f t="shared" si="21"/>
        <v>42424</v>
      </c>
      <c r="D366" s="189" t="s">
        <v>1136</v>
      </c>
      <c r="E366" s="189">
        <v>42424</v>
      </c>
      <c r="F366" s="190" t="s">
        <v>912</v>
      </c>
      <c r="G366" s="190" t="s">
        <v>437</v>
      </c>
      <c r="H366" s="191" t="s">
        <v>527</v>
      </c>
      <c r="I366" s="251">
        <v>51</v>
      </c>
      <c r="J366" s="251">
        <v>73100</v>
      </c>
      <c r="K366" s="38">
        <f>ROUND(I366*J366,0)</f>
        <v>3728100</v>
      </c>
      <c r="L366" s="192" t="s">
        <v>258</v>
      </c>
      <c r="M366" s="192" t="s">
        <v>173</v>
      </c>
      <c r="N366" s="52" t="str">
        <f>IF(AND('331-CT'!$E$7=TH!H366,OR(L366="331",M366="331")),"331",IF(AND(OR(L366="131",M366="131"),H366='131-CT'!$E$7),"131",""))</f>
        <v/>
      </c>
      <c r="O366" s="818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52"/>
      <c r="AB366" s="552"/>
      <c r="AC366" s="552"/>
    </row>
    <row r="367" spans="1:32" s="209" customFormat="1" ht="15.75" customHeight="1">
      <c r="A367" s="202" t="str">
        <f>IF(B367&lt;&gt;"",IF(AND(B367&gt;=_TM1,B367&lt;=_TM2,OR(TH!L367="1111",TH!M367="1111")),TH!D367,""),"")</f>
        <v/>
      </c>
      <c r="B367" s="36">
        <f t="shared" si="20"/>
        <v>2</v>
      </c>
      <c r="C367" s="182">
        <f t="shared" si="21"/>
        <v>42424</v>
      </c>
      <c r="D367" s="189" t="s">
        <v>1136</v>
      </c>
      <c r="E367" s="189">
        <v>42424</v>
      </c>
      <c r="F367" s="190" t="s">
        <v>393</v>
      </c>
      <c r="G367" s="190" t="s">
        <v>437</v>
      </c>
      <c r="H367" s="191" t="s">
        <v>527</v>
      </c>
      <c r="I367" s="251"/>
      <c r="J367" s="251"/>
      <c r="K367" s="38">
        <v>1241110</v>
      </c>
      <c r="L367" s="192" t="s">
        <v>258</v>
      </c>
      <c r="M367" s="192" t="s">
        <v>367</v>
      </c>
      <c r="N367" s="52" t="str">
        <f>IF(AND('331-CT'!$E$7=TH!H367,OR(L367="331",M367="331")),"331",IF(AND(OR(L367="131",M367="131"),H367='131-CT'!$E$7),"131",""))</f>
        <v/>
      </c>
      <c r="O367" s="818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52"/>
      <c r="AB367" s="552"/>
    </row>
    <row r="368" spans="1:32" s="209" customFormat="1" ht="15.75" customHeight="1">
      <c r="A368" s="202" t="str">
        <f>IF(B368&lt;&gt;"",IF(AND(B368&gt;=_TM1,B368&lt;=_TM2,OR(TH!L368="1111",TH!M368="1111")),TH!D368,""),"")</f>
        <v/>
      </c>
      <c r="B368" s="36">
        <f t="shared" si="20"/>
        <v>2</v>
      </c>
      <c r="C368" s="182">
        <f t="shared" si="21"/>
        <v>42424</v>
      </c>
      <c r="D368" s="189" t="s">
        <v>1137</v>
      </c>
      <c r="E368" s="189">
        <v>42424</v>
      </c>
      <c r="F368" s="190" t="s">
        <v>516</v>
      </c>
      <c r="G368" s="190" t="s">
        <v>439</v>
      </c>
      <c r="H368" s="208" t="s">
        <v>1204</v>
      </c>
      <c r="I368" s="251">
        <v>200</v>
      </c>
      <c r="J368" s="251">
        <v>11930</v>
      </c>
      <c r="K368" s="38">
        <f t="shared" ref="K368:K373" si="22">ROUND(I368*J368,0)</f>
        <v>2386000</v>
      </c>
      <c r="L368" s="192" t="s">
        <v>258</v>
      </c>
      <c r="M368" s="192" t="s">
        <v>173</v>
      </c>
      <c r="N368" s="52" t="str">
        <f>IF(AND('331-CT'!$E$7=TH!H368,OR(L368="331",M368="331")),"331",IF(AND(OR(L368="131",M368="131"),H368='131-CT'!$E$7),"131",""))</f>
        <v/>
      </c>
      <c r="O368" s="818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52"/>
      <c r="AB368" s="552"/>
      <c r="AC368" s="552"/>
    </row>
    <row r="369" spans="1:32" s="209" customFormat="1" ht="15.75" customHeight="1">
      <c r="A369" s="202" t="str">
        <f>IF(B369&lt;&gt;"",IF(AND(B369&gt;=_TM1,B369&lt;=_TM2,OR(TH!L369="1111",TH!M369="1111")),TH!D369,""),"")</f>
        <v/>
      </c>
      <c r="B369" s="36">
        <f t="shared" si="20"/>
        <v>2</v>
      </c>
      <c r="C369" s="182">
        <f t="shared" si="21"/>
        <v>42424</v>
      </c>
      <c r="D369" s="189" t="s">
        <v>1137</v>
      </c>
      <c r="E369" s="189">
        <v>42424</v>
      </c>
      <c r="F369" s="190" t="s">
        <v>1229</v>
      </c>
      <c r="G369" s="451" t="s">
        <v>439</v>
      </c>
      <c r="H369" s="208" t="s">
        <v>1204</v>
      </c>
      <c r="I369" s="251">
        <v>40</v>
      </c>
      <c r="J369" s="251">
        <v>13882</v>
      </c>
      <c r="K369" s="38">
        <f t="shared" si="22"/>
        <v>555280</v>
      </c>
      <c r="L369" s="192" t="s">
        <v>258</v>
      </c>
      <c r="M369" s="192" t="s">
        <v>173</v>
      </c>
      <c r="N369" s="52" t="str">
        <f>IF(AND('331-CT'!$E$7=TH!H369,OR(L369="331",M369="331")),"331",IF(AND(OR(L369="131",M369="131"),H369='131-CT'!$E$7),"131",""))</f>
        <v/>
      </c>
      <c r="O369" s="818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52"/>
      <c r="AB369" s="552"/>
    </row>
    <row r="370" spans="1:32" s="209" customFormat="1" ht="15.75" customHeight="1">
      <c r="A370" s="202" t="str">
        <f>IF(B370&lt;&gt;"",IF(AND(B370&gt;=_TM1,B370&lt;=_TM2,OR(TH!L370="1111",TH!M370="1111")),TH!D370,""),"")</f>
        <v/>
      </c>
      <c r="B370" s="36">
        <f t="shared" si="20"/>
        <v>2</v>
      </c>
      <c r="C370" s="182">
        <f t="shared" si="21"/>
        <v>42424</v>
      </c>
      <c r="D370" s="189" t="s">
        <v>1137</v>
      </c>
      <c r="E370" s="189">
        <v>42424</v>
      </c>
      <c r="F370" s="190" t="s">
        <v>697</v>
      </c>
      <c r="G370" s="451" t="s">
        <v>439</v>
      </c>
      <c r="H370" s="208" t="s">
        <v>1204</v>
      </c>
      <c r="I370" s="252">
        <v>5</v>
      </c>
      <c r="J370" s="252">
        <v>15616</v>
      </c>
      <c r="K370" s="38">
        <f t="shared" si="22"/>
        <v>78080</v>
      </c>
      <c r="L370" s="192" t="s">
        <v>258</v>
      </c>
      <c r="M370" s="192" t="s">
        <v>173</v>
      </c>
      <c r="N370" s="52" t="str">
        <f>IF(AND('331-CT'!$E$7=TH!H370,OR(L370="331",M370="331")),"331",IF(AND(OR(L370="131",M370="131"),H370='131-CT'!$E$7),"131",""))</f>
        <v/>
      </c>
      <c r="O370" s="818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52"/>
      <c r="AB370" s="552"/>
      <c r="AC370" s="552"/>
    </row>
    <row r="371" spans="1:32" s="209" customFormat="1" ht="15.75" customHeight="1">
      <c r="A371" s="202" t="str">
        <f>IF(B371&lt;&gt;"",IF(AND(B371&gt;=_TM1,B371&lt;=_TM2,OR(TH!L371="1111",TH!M371="1111")),TH!D371,""),"")</f>
        <v/>
      </c>
      <c r="B371" s="36">
        <f t="shared" si="20"/>
        <v>2</v>
      </c>
      <c r="C371" s="182">
        <f t="shared" si="21"/>
        <v>42424</v>
      </c>
      <c r="D371" s="189" t="s">
        <v>1137</v>
      </c>
      <c r="E371" s="189">
        <v>42424</v>
      </c>
      <c r="F371" s="190" t="s">
        <v>695</v>
      </c>
      <c r="G371" s="451" t="s">
        <v>439</v>
      </c>
      <c r="H371" s="208" t="s">
        <v>1204</v>
      </c>
      <c r="I371" s="251">
        <v>30</v>
      </c>
      <c r="J371" s="251">
        <v>15097</v>
      </c>
      <c r="K371" s="38">
        <f t="shared" si="22"/>
        <v>452910</v>
      </c>
      <c r="L371" s="192" t="s">
        <v>258</v>
      </c>
      <c r="M371" s="192" t="s">
        <v>173</v>
      </c>
      <c r="N371" s="52" t="str">
        <f>IF(AND('331-CT'!$E$7=TH!H371,OR(L371="331",M371="331")),"331",IF(AND(OR(L371="131",M371="131"),H371='131-CT'!$E$7),"131",""))</f>
        <v/>
      </c>
      <c r="O371" s="818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52"/>
      <c r="AB371" s="552"/>
      <c r="AC371" s="552"/>
    </row>
    <row r="372" spans="1:32" s="209" customFormat="1" ht="15.75" customHeight="1">
      <c r="A372" s="202" t="str">
        <f>IF(B372&lt;&gt;"",IF(AND(B372&gt;=_TM1,B372&lt;=_TM2,OR(TH!L372="1111",TH!M372="1111")),TH!D372,""),"")</f>
        <v/>
      </c>
      <c r="B372" s="36">
        <f t="shared" si="20"/>
        <v>2</v>
      </c>
      <c r="C372" s="182">
        <f t="shared" si="21"/>
        <v>42424</v>
      </c>
      <c r="D372" s="189" t="s">
        <v>1137</v>
      </c>
      <c r="E372" s="189">
        <v>42424</v>
      </c>
      <c r="F372" s="190" t="s">
        <v>714</v>
      </c>
      <c r="G372" s="451" t="s">
        <v>439</v>
      </c>
      <c r="H372" s="208" t="s">
        <v>1204</v>
      </c>
      <c r="I372" s="251">
        <v>550</v>
      </c>
      <c r="J372" s="251">
        <v>5273</v>
      </c>
      <c r="K372" s="38">
        <f t="shared" si="22"/>
        <v>2900150</v>
      </c>
      <c r="L372" s="192" t="s">
        <v>258</v>
      </c>
      <c r="M372" s="192" t="s">
        <v>173</v>
      </c>
      <c r="N372" s="52" t="str">
        <f>IF(AND('331-CT'!$E$7=TH!H372,OR(L372="331",M372="331")),"331",IF(AND(OR(L372="131",M372="131"),H372='131-CT'!$E$7),"131",""))</f>
        <v/>
      </c>
      <c r="O372" s="818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52"/>
      <c r="AB372" s="552"/>
      <c r="AC372" s="552"/>
    </row>
    <row r="373" spans="1:32" s="209" customFormat="1" ht="15.75" customHeight="1">
      <c r="A373" s="202" t="str">
        <f>IF(B373&lt;&gt;"",IF(AND(B373&gt;=_TM1,B373&lt;=_TM2,OR(TH!L373="1111",TH!M373="1111")),TH!D373,""),"")</f>
        <v/>
      </c>
      <c r="B373" s="36">
        <f t="shared" si="20"/>
        <v>2</v>
      </c>
      <c r="C373" s="182">
        <f t="shared" si="21"/>
        <v>42424</v>
      </c>
      <c r="D373" s="189" t="s">
        <v>1137</v>
      </c>
      <c r="E373" s="189">
        <v>42424</v>
      </c>
      <c r="F373" s="190" t="s">
        <v>518</v>
      </c>
      <c r="G373" s="451" t="s">
        <v>439</v>
      </c>
      <c r="H373" s="208" t="s">
        <v>1204</v>
      </c>
      <c r="I373" s="251">
        <v>45</v>
      </c>
      <c r="J373" s="251">
        <v>13377</v>
      </c>
      <c r="K373" s="38">
        <f t="shared" si="22"/>
        <v>601965</v>
      </c>
      <c r="L373" s="192" t="s">
        <v>258</v>
      </c>
      <c r="M373" s="192" t="s">
        <v>173</v>
      </c>
      <c r="N373" s="52" t="str">
        <f>IF(AND('331-CT'!$E$7=TH!H373,OR(L373="331",M373="331")),"331",IF(AND(OR(L373="131",M373="131"),H373='131-CT'!$E$7),"131",""))</f>
        <v/>
      </c>
      <c r="O373" s="818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52"/>
      <c r="AB373" s="552"/>
      <c r="AC373" s="552"/>
    </row>
    <row r="374" spans="1:32" s="209" customFormat="1" ht="15.75" customHeight="1">
      <c r="A374" s="202" t="str">
        <f>IF(B374&lt;&gt;"",IF(AND(B374&gt;=_TM1,B374&lt;=_TM2,OR(TH!L374="1111",TH!M374="1111")),TH!D374,""),"")</f>
        <v/>
      </c>
      <c r="B374" s="36">
        <f t="shared" si="20"/>
        <v>2</v>
      </c>
      <c r="C374" s="182">
        <f t="shared" si="21"/>
        <v>42424</v>
      </c>
      <c r="D374" s="189" t="s">
        <v>1137</v>
      </c>
      <c r="E374" s="781">
        <v>42424</v>
      </c>
      <c r="F374" s="782" t="s">
        <v>525</v>
      </c>
      <c r="G374" s="783" t="s">
        <v>439</v>
      </c>
      <c r="H374" s="208" t="s">
        <v>1204</v>
      </c>
      <c r="I374" s="785"/>
      <c r="J374" s="785"/>
      <c r="K374" s="786">
        <v>697439</v>
      </c>
      <c r="L374" s="836" t="s">
        <v>258</v>
      </c>
      <c r="M374" s="192" t="s">
        <v>367</v>
      </c>
      <c r="N374" s="52" t="str">
        <f>IF(AND('331-CT'!$E$7=TH!H374,OR(L374="331",M374="331")),"331",IF(AND(OR(L374="131",M374="131"),H374='131-CT'!$E$7),"131",""))</f>
        <v/>
      </c>
      <c r="O374" s="818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52"/>
      <c r="AB374" s="552"/>
      <c r="AC374" s="552"/>
    </row>
    <row r="375" spans="1:32" s="209" customFormat="1" ht="15.75" customHeight="1">
      <c r="A375" s="202" t="str">
        <f>IF(B375&lt;&gt;"",IF(AND(B375&gt;=_TM1,B375&lt;=_TM2,OR(TH!L375="1111",TH!M375="1111")),TH!D375,""),"")</f>
        <v/>
      </c>
      <c r="B375" s="36">
        <f t="shared" si="20"/>
        <v>2</v>
      </c>
      <c r="C375" s="182">
        <f t="shared" si="21"/>
        <v>42425</v>
      </c>
      <c r="D375" s="182" t="s">
        <v>665</v>
      </c>
      <c r="E375" s="182">
        <v>42425</v>
      </c>
      <c r="F375" s="187" t="s">
        <v>781</v>
      </c>
      <c r="G375" s="448" t="s">
        <v>330</v>
      </c>
      <c r="H375" s="191"/>
      <c r="I375" s="251"/>
      <c r="J375" s="251"/>
      <c r="K375" s="560">
        <v>3332</v>
      </c>
      <c r="L375" s="561" t="s">
        <v>24</v>
      </c>
      <c r="M375" s="561" t="s">
        <v>40</v>
      </c>
      <c r="N375" s="52" t="str">
        <f>IF(AND('331-CT'!$E$7=TH!H375,OR(L375="331",M375="331")),"331",IF(AND(OR(L375="131",M375="131"),H375='131-CT'!$E$7),"131",""))</f>
        <v/>
      </c>
      <c r="O375" s="818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52"/>
      <c r="AB375" s="552"/>
      <c r="AC375" s="552"/>
      <c r="AD375" s="552"/>
      <c r="AE375" s="552"/>
      <c r="AF375" s="552"/>
    </row>
    <row r="376" spans="1:32" s="209" customFormat="1" ht="15.75" customHeight="1">
      <c r="A376" s="202" t="str">
        <f>IF(B376&lt;&gt;"",IF(AND(B376&gt;=_TM1,B376&lt;=_TM2,OR(TH!L376="1111",TH!M376="1111")),TH!D376,""),"")</f>
        <v/>
      </c>
      <c r="B376" s="36">
        <f t="shared" si="20"/>
        <v>2</v>
      </c>
      <c r="C376" s="182">
        <f t="shared" si="21"/>
        <v>42425</v>
      </c>
      <c r="D376" s="189" t="s">
        <v>1138</v>
      </c>
      <c r="E376" s="189">
        <v>42425</v>
      </c>
      <c r="F376" s="190" t="s">
        <v>930</v>
      </c>
      <c r="G376" s="451" t="s">
        <v>440</v>
      </c>
      <c r="H376" s="191" t="s">
        <v>609</v>
      </c>
      <c r="I376" s="251">
        <v>110</v>
      </c>
      <c r="J376" s="251">
        <v>6300</v>
      </c>
      <c r="K376" s="38">
        <f>ROUND(I376*J376,0)</f>
        <v>693000</v>
      </c>
      <c r="L376" s="192" t="s">
        <v>258</v>
      </c>
      <c r="M376" s="192" t="s">
        <v>173</v>
      </c>
      <c r="N376" s="52" t="str">
        <f>IF(AND('331-CT'!$E$7=TH!H376,OR(L376="331",M376="331")),"331",IF(AND(OR(L376="131",M376="131"),H376='131-CT'!$E$7),"131",""))</f>
        <v/>
      </c>
      <c r="O376" s="818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52"/>
      <c r="AB376" s="552"/>
      <c r="AC376" s="552"/>
    </row>
    <row r="377" spans="1:32" s="209" customFormat="1" ht="15.75" customHeight="1">
      <c r="A377" s="202" t="str">
        <f>IF(B377&lt;&gt;"",IF(AND(B377&gt;=_TM1,B377&lt;=_TM2,OR(TH!L377="1111",TH!M377="1111")),TH!D377,""),"")</f>
        <v/>
      </c>
      <c r="B377" s="36">
        <f t="shared" si="20"/>
        <v>2</v>
      </c>
      <c r="C377" s="182">
        <f t="shared" si="21"/>
        <v>42425</v>
      </c>
      <c r="D377" s="189" t="s">
        <v>1138</v>
      </c>
      <c r="E377" s="189">
        <v>42425</v>
      </c>
      <c r="F377" s="190" t="s">
        <v>480</v>
      </c>
      <c r="G377" s="451" t="s">
        <v>440</v>
      </c>
      <c r="H377" s="191" t="s">
        <v>609</v>
      </c>
      <c r="I377" s="251">
        <v>1172</v>
      </c>
      <c r="J377" s="251">
        <v>9150</v>
      </c>
      <c r="K377" s="38">
        <f>ROUND(I377*J377,0)</f>
        <v>10723800</v>
      </c>
      <c r="L377" s="192" t="s">
        <v>258</v>
      </c>
      <c r="M377" s="192" t="s">
        <v>173</v>
      </c>
      <c r="N377" s="52" t="str">
        <f>IF(AND('331-CT'!$E$7=TH!H377,OR(L377="331",M377="331")),"331",IF(AND(OR(L377="131",M377="131"),H377='131-CT'!$E$7),"131",""))</f>
        <v/>
      </c>
      <c r="O377" s="818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52"/>
      <c r="AB377" s="552"/>
      <c r="AC377" s="552"/>
    </row>
    <row r="378" spans="1:32" s="209" customFormat="1" ht="15.75" customHeight="1">
      <c r="A378" s="202" t="str">
        <f>IF(B378&lt;&gt;"",IF(AND(B378&gt;=_TM1,B378&lt;=_TM2,OR(TH!L378="1111",TH!M378="1111")),TH!D378,""),"")</f>
        <v/>
      </c>
      <c r="B378" s="36">
        <f t="shared" si="20"/>
        <v>2</v>
      </c>
      <c r="C378" s="182">
        <f t="shared" si="21"/>
        <v>42425</v>
      </c>
      <c r="D378" s="189" t="s">
        <v>1138</v>
      </c>
      <c r="E378" s="189">
        <v>42425</v>
      </c>
      <c r="F378" s="190" t="s">
        <v>916</v>
      </c>
      <c r="G378" s="451" t="s">
        <v>440</v>
      </c>
      <c r="H378" s="191" t="s">
        <v>609</v>
      </c>
      <c r="I378" s="251">
        <v>110</v>
      </c>
      <c r="J378" s="251">
        <v>9600</v>
      </c>
      <c r="K378" s="38">
        <f>ROUND(I378*J378,0)</f>
        <v>1056000</v>
      </c>
      <c r="L378" s="192" t="s">
        <v>258</v>
      </c>
      <c r="M378" s="192" t="s">
        <v>173</v>
      </c>
      <c r="N378" s="52" t="str">
        <f>IF(AND('331-CT'!$E$7=TH!H378,OR(L378="331",M378="331")),"331",IF(AND(OR(L378="131",M378="131"),H378='131-CT'!$E$7),"131",""))</f>
        <v/>
      </c>
      <c r="O378" s="818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52"/>
      <c r="AB378" s="552"/>
      <c r="AC378" s="552"/>
    </row>
    <row r="379" spans="1:32" s="209" customFormat="1" ht="15.75" customHeight="1">
      <c r="A379" s="202" t="str">
        <f>IF(B379&lt;&gt;"",IF(AND(B379&gt;=_TM1,B379&lt;=_TM2,OR(TH!L379="1111",TH!M379="1111")),TH!D379,""),"")</f>
        <v/>
      </c>
      <c r="B379" s="36">
        <f t="shared" si="20"/>
        <v>2</v>
      </c>
      <c r="C379" s="182">
        <f t="shared" si="21"/>
        <v>42425</v>
      </c>
      <c r="D379" s="189" t="s">
        <v>1138</v>
      </c>
      <c r="E379" s="189">
        <v>42425</v>
      </c>
      <c r="F379" s="190" t="s">
        <v>931</v>
      </c>
      <c r="G379" s="451" t="s">
        <v>440</v>
      </c>
      <c r="H379" s="191" t="s">
        <v>609</v>
      </c>
      <c r="I379" s="251">
        <v>110</v>
      </c>
      <c r="J379" s="251">
        <v>16900</v>
      </c>
      <c r="K379" s="38">
        <f>ROUND(I379*J379,0)</f>
        <v>1859000</v>
      </c>
      <c r="L379" s="192" t="s">
        <v>258</v>
      </c>
      <c r="M379" s="192" t="s">
        <v>173</v>
      </c>
      <c r="N379" s="52" t="str">
        <f>IF(AND('331-CT'!$E$7=TH!H379,OR(L379="331",M379="331")),"331",IF(AND(OR(L379="131",M379="131"),H379='131-CT'!$E$7),"131",""))</f>
        <v/>
      </c>
      <c r="O379" s="818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52"/>
      <c r="AB379" s="552"/>
      <c r="AC379" s="552"/>
    </row>
    <row r="380" spans="1:32" s="209" customFormat="1" ht="15.75" customHeight="1">
      <c r="A380" s="202" t="str">
        <f>IF(B380&lt;&gt;"",IF(AND(B380&gt;=_TM1,B380&lt;=_TM2,OR(TH!L380="1111",TH!M380="1111")),TH!D380,""),"")</f>
        <v/>
      </c>
      <c r="B380" s="36">
        <f t="shared" si="20"/>
        <v>2</v>
      </c>
      <c r="C380" s="182">
        <f t="shared" si="21"/>
        <v>42425</v>
      </c>
      <c r="D380" s="189" t="s">
        <v>1138</v>
      </c>
      <c r="E380" s="189">
        <v>42425</v>
      </c>
      <c r="F380" s="190" t="s">
        <v>393</v>
      </c>
      <c r="G380" s="451" t="s">
        <v>440</v>
      </c>
      <c r="H380" s="191" t="s">
        <v>609</v>
      </c>
      <c r="I380" s="252"/>
      <c r="J380" s="252"/>
      <c r="K380" s="560">
        <v>1433180</v>
      </c>
      <c r="L380" s="192" t="s">
        <v>258</v>
      </c>
      <c r="M380" s="192" t="s">
        <v>367</v>
      </c>
      <c r="N380" s="52" t="str">
        <f>IF(AND('331-CT'!$E$7=TH!H380,OR(L380="331",M380="331")),"331",IF(AND(OR(L380="131",M380="131"),H380='131-CT'!$E$7),"131",""))</f>
        <v/>
      </c>
      <c r="O380" s="818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52"/>
      <c r="AB380" s="552"/>
    </row>
    <row r="381" spans="1:32" s="209" customFormat="1" ht="15.75" customHeight="1">
      <c r="A381" s="202" t="str">
        <f>IF(B381&lt;&gt;"",IF(AND(B381&gt;=_TM1,B381&lt;=_TM2,OR(TH!L381="1111",TH!M381="1111")),TH!D381,""),"")</f>
        <v/>
      </c>
      <c r="B381" s="36">
        <f t="shared" si="20"/>
        <v>2</v>
      </c>
      <c r="C381" s="182">
        <f t="shared" si="21"/>
        <v>42425</v>
      </c>
      <c r="D381" s="189" t="s">
        <v>1139</v>
      </c>
      <c r="E381" s="189">
        <v>42425</v>
      </c>
      <c r="F381" s="190" t="s">
        <v>698</v>
      </c>
      <c r="G381" s="451" t="s">
        <v>442</v>
      </c>
      <c r="H381" s="208" t="s">
        <v>1204</v>
      </c>
      <c r="I381" s="252">
        <v>20</v>
      </c>
      <c r="J381" s="252">
        <v>12039</v>
      </c>
      <c r="K381" s="38">
        <f t="shared" ref="K381:K387" si="23">ROUND(I381*J381,0)</f>
        <v>240780</v>
      </c>
      <c r="L381" s="192" t="s">
        <v>258</v>
      </c>
      <c r="M381" s="192" t="s">
        <v>173</v>
      </c>
      <c r="N381" s="52" t="str">
        <f>IF(AND('331-CT'!$E$7=TH!H381,OR(L381="331",M381="331")),"331",IF(AND(OR(L381="131",M381="131"),H381='131-CT'!$E$7),"131",""))</f>
        <v/>
      </c>
      <c r="O381" s="818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52"/>
      <c r="AB381" s="552"/>
      <c r="AC381" s="552"/>
    </row>
    <row r="382" spans="1:32" s="209" customFormat="1" ht="15.75" customHeight="1">
      <c r="A382" s="202" t="str">
        <f>IF(B382&lt;&gt;"",IF(AND(B382&gt;=_TM1,B382&lt;=_TM2,OR(TH!L382="1111",TH!M382="1111")),TH!D382,""),"")</f>
        <v/>
      </c>
      <c r="B382" s="36">
        <f t="shared" si="20"/>
        <v>2</v>
      </c>
      <c r="C382" s="182">
        <f t="shared" si="21"/>
        <v>42425</v>
      </c>
      <c r="D382" s="189" t="s">
        <v>1139</v>
      </c>
      <c r="E382" s="189">
        <v>42425</v>
      </c>
      <c r="F382" s="190" t="s">
        <v>696</v>
      </c>
      <c r="G382" s="451" t="s">
        <v>442</v>
      </c>
      <c r="H382" s="208" t="s">
        <v>1204</v>
      </c>
      <c r="I382" s="251">
        <v>40</v>
      </c>
      <c r="J382" s="251">
        <v>8276</v>
      </c>
      <c r="K382" s="38">
        <f t="shared" si="23"/>
        <v>331040</v>
      </c>
      <c r="L382" s="192" t="s">
        <v>258</v>
      </c>
      <c r="M382" s="192" t="s">
        <v>173</v>
      </c>
      <c r="N382" s="52" t="str">
        <f>IF(AND('331-CT'!$E$7=TH!H382,OR(L382="331",M382="331")),"331",IF(AND(OR(L382="131",M382="131"),H382='131-CT'!$E$7),"131",""))</f>
        <v/>
      </c>
      <c r="O382" s="818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52"/>
      <c r="AB382" s="552"/>
      <c r="AC382" s="552"/>
    </row>
    <row r="383" spans="1:32" s="209" customFormat="1" ht="15.75" customHeight="1">
      <c r="A383" s="202" t="str">
        <f>IF(B383&lt;&gt;"",IF(AND(B383&gt;=_TM1,B383&lt;=_TM2,OR(TH!L383="1111",TH!M383="1111")),TH!D383,""),"")</f>
        <v/>
      </c>
      <c r="B383" s="36">
        <f t="shared" si="20"/>
        <v>2</v>
      </c>
      <c r="C383" s="182">
        <f t="shared" si="21"/>
        <v>42425</v>
      </c>
      <c r="D383" s="189" t="s">
        <v>1139</v>
      </c>
      <c r="E383" s="189">
        <v>42425</v>
      </c>
      <c r="F383" s="190" t="s">
        <v>530</v>
      </c>
      <c r="G383" s="451" t="s">
        <v>442</v>
      </c>
      <c r="H383" s="208" t="s">
        <v>1204</v>
      </c>
      <c r="I383" s="251">
        <v>100</v>
      </c>
      <c r="J383" s="251">
        <v>8973</v>
      </c>
      <c r="K383" s="38">
        <f t="shared" si="23"/>
        <v>897300</v>
      </c>
      <c r="L383" s="192" t="s">
        <v>258</v>
      </c>
      <c r="M383" s="192" t="s">
        <v>173</v>
      </c>
      <c r="N383" s="52" t="str">
        <f>IF(AND('331-CT'!$E$7=TH!H383,OR(L383="331",M383="331")),"331",IF(AND(OR(L383="131",M383="131"),H383='131-CT'!$E$7),"131",""))</f>
        <v/>
      </c>
      <c r="O383" s="818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52"/>
      <c r="AB383" s="552"/>
    </row>
    <row r="384" spans="1:32" s="209" customFormat="1" ht="15.75" customHeight="1">
      <c r="A384" s="202" t="str">
        <f>IF(B384&lt;&gt;"",IF(AND(B384&gt;=_TM1,B384&lt;=_TM2,OR(TH!L384="1111",TH!M384="1111")),TH!D384,""),"")</f>
        <v/>
      </c>
      <c r="B384" s="36">
        <f t="shared" si="20"/>
        <v>2</v>
      </c>
      <c r="C384" s="182">
        <f t="shared" si="21"/>
        <v>42425</v>
      </c>
      <c r="D384" s="189" t="s">
        <v>1139</v>
      </c>
      <c r="E384" s="189">
        <v>42425</v>
      </c>
      <c r="F384" s="190" t="s">
        <v>517</v>
      </c>
      <c r="G384" s="451" t="s">
        <v>442</v>
      </c>
      <c r="H384" s="208" t="s">
        <v>1204</v>
      </c>
      <c r="I384" s="251">
        <v>60</v>
      </c>
      <c r="J384" s="251">
        <v>16244</v>
      </c>
      <c r="K384" s="38">
        <f t="shared" si="23"/>
        <v>974640</v>
      </c>
      <c r="L384" s="192" t="s">
        <v>258</v>
      </c>
      <c r="M384" s="192" t="s">
        <v>173</v>
      </c>
      <c r="N384" s="52" t="str">
        <f>IF(AND('331-CT'!$E$7=TH!H384,OR(L384="331",M384="331")),"331",IF(AND(OR(L384="131",M384="131"),H384='131-CT'!$E$7),"131",""))</f>
        <v/>
      </c>
      <c r="O384" s="818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52"/>
      <c r="AB384" s="552"/>
      <c r="AC384" s="552"/>
    </row>
    <row r="385" spans="1:32" s="209" customFormat="1" ht="15.75" customHeight="1">
      <c r="A385" s="202" t="str">
        <f>IF(B385&lt;&gt;"",IF(AND(B385&gt;=_TM1,B385&lt;=_TM2,OR(TH!L385="1111",TH!M385="1111")),TH!D385,""),"")</f>
        <v/>
      </c>
      <c r="B385" s="36">
        <f t="shared" si="20"/>
        <v>2</v>
      </c>
      <c r="C385" s="182">
        <f t="shared" si="21"/>
        <v>42425</v>
      </c>
      <c r="D385" s="189" t="s">
        <v>1139</v>
      </c>
      <c r="E385" s="189">
        <v>42425</v>
      </c>
      <c r="F385" s="190" t="s">
        <v>704</v>
      </c>
      <c r="G385" s="451" t="s">
        <v>442</v>
      </c>
      <c r="H385" s="208" t="s">
        <v>1204</v>
      </c>
      <c r="I385" s="251">
        <v>45</v>
      </c>
      <c r="J385" s="251">
        <v>14414</v>
      </c>
      <c r="K385" s="38">
        <f t="shared" si="23"/>
        <v>648630</v>
      </c>
      <c r="L385" s="192" t="s">
        <v>258</v>
      </c>
      <c r="M385" s="192" t="s">
        <v>173</v>
      </c>
      <c r="N385" s="52" t="str">
        <f>IF(AND('331-CT'!$E$7=TH!H385,OR(L385="331",M385="331")),"331",IF(AND(OR(L385="131",M385="131"),H385='131-CT'!$E$7),"131",""))</f>
        <v/>
      </c>
      <c r="O385" s="818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52"/>
      <c r="AB385" s="552"/>
      <c r="AC385" s="552"/>
      <c r="AD385" s="552"/>
    </row>
    <row r="386" spans="1:32" s="209" customFormat="1" ht="15.75" customHeight="1">
      <c r="A386" s="202" t="str">
        <f>IF(B386&lt;&gt;"",IF(AND(B386&gt;=_TM1,B386&lt;=_TM2,OR(TH!L386="1111",TH!M386="1111")),TH!D386,""),"")</f>
        <v/>
      </c>
      <c r="B386" s="36">
        <f t="shared" si="20"/>
        <v>2</v>
      </c>
      <c r="C386" s="182">
        <f t="shared" si="21"/>
        <v>42425</v>
      </c>
      <c r="D386" s="189" t="s">
        <v>1139</v>
      </c>
      <c r="E386" s="189">
        <v>42425</v>
      </c>
      <c r="F386" s="190" t="s">
        <v>517</v>
      </c>
      <c r="G386" s="451" t="s">
        <v>442</v>
      </c>
      <c r="H386" s="208" t="s">
        <v>1204</v>
      </c>
      <c r="I386" s="251">
        <v>15</v>
      </c>
      <c r="J386" s="251">
        <v>16244</v>
      </c>
      <c r="K386" s="38">
        <f t="shared" si="23"/>
        <v>243660</v>
      </c>
      <c r="L386" s="192" t="s">
        <v>258</v>
      </c>
      <c r="M386" s="192" t="s">
        <v>173</v>
      </c>
      <c r="N386" s="52" t="str">
        <f>IF(AND('331-CT'!$E$7=TH!H386,OR(L386="331",M386="331")),"331",IF(AND(OR(L386="131",M386="131"),H386='131-CT'!$E$7),"131",""))</f>
        <v/>
      </c>
      <c r="O386" s="818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52"/>
      <c r="AB386" s="552"/>
      <c r="AC386" s="552"/>
    </row>
    <row r="387" spans="1:32" s="209" customFormat="1" ht="15.75" customHeight="1">
      <c r="A387" s="202" t="str">
        <f>IF(B387&lt;&gt;"",IF(AND(B387&gt;=_TM1,B387&lt;=_TM2,OR(TH!L387="1111",TH!M387="1111")),TH!D387,""),"")</f>
        <v/>
      </c>
      <c r="B387" s="36">
        <f t="shared" si="20"/>
        <v>2</v>
      </c>
      <c r="C387" s="182">
        <f t="shared" si="21"/>
        <v>42425</v>
      </c>
      <c r="D387" s="189" t="s">
        <v>1139</v>
      </c>
      <c r="E387" s="189">
        <v>42425</v>
      </c>
      <c r="F387" s="190" t="s">
        <v>707</v>
      </c>
      <c r="G387" s="451" t="s">
        <v>442</v>
      </c>
      <c r="H387" s="208" t="s">
        <v>1204</v>
      </c>
      <c r="I387" s="251">
        <v>10</v>
      </c>
      <c r="J387" s="251">
        <v>14196</v>
      </c>
      <c r="K387" s="38">
        <f t="shared" si="23"/>
        <v>141960</v>
      </c>
      <c r="L387" s="192" t="s">
        <v>258</v>
      </c>
      <c r="M387" s="192" t="s">
        <v>173</v>
      </c>
      <c r="N387" s="52" t="str">
        <f>IF(AND('331-CT'!$E$7=TH!H387,OR(L387="331",M387="331")),"331",IF(AND(OR(L387="131",M387="131"),H387='131-CT'!$E$7),"131",""))</f>
        <v/>
      </c>
      <c r="O387" s="818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52"/>
      <c r="AB387" s="552"/>
      <c r="AC387" s="552"/>
    </row>
    <row r="388" spans="1:32" s="209" customFormat="1" ht="15.75" customHeight="1">
      <c r="A388" s="202" t="str">
        <f>IF(B388&lt;&gt;"",IF(AND(B388&gt;=_TM1,B388&lt;=_TM2,OR(TH!L388="1111",TH!M388="1111")),TH!D388,""),"")</f>
        <v/>
      </c>
      <c r="B388" s="36">
        <f t="shared" si="20"/>
        <v>2</v>
      </c>
      <c r="C388" s="182">
        <f t="shared" si="21"/>
        <v>42425</v>
      </c>
      <c r="D388" s="189" t="s">
        <v>1139</v>
      </c>
      <c r="E388" s="189">
        <v>42425</v>
      </c>
      <c r="F388" s="190" t="s">
        <v>525</v>
      </c>
      <c r="G388" s="451" t="s">
        <v>442</v>
      </c>
      <c r="H388" s="208" t="s">
        <v>1204</v>
      </c>
      <c r="I388" s="251"/>
      <c r="J388" s="251"/>
      <c r="K388" s="560">
        <v>347801</v>
      </c>
      <c r="L388" s="192" t="s">
        <v>258</v>
      </c>
      <c r="M388" s="192" t="s">
        <v>367</v>
      </c>
      <c r="N388" s="52" t="str">
        <f>IF(AND('331-CT'!$E$7=TH!H388,OR(L388="331",M388="331")),"331",IF(AND(OR(L388="131",M388="131"),H388='131-CT'!$E$7),"131",""))</f>
        <v/>
      </c>
      <c r="O388" s="818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52"/>
      <c r="AB388" s="552"/>
      <c r="AC388" s="552"/>
    </row>
    <row r="389" spans="1:32" s="209" customFormat="1" ht="15.75" customHeight="1">
      <c r="A389" s="202" t="str">
        <f>IF(B389&lt;&gt;"",IF(AND(B389&gt;=_TM1,B389&lt;=_TM2,OR(TH!L389="1111",TH!M389="1111")),TH!D389,""),"")</f>
        <v/>
      </c>
      <c r="B389" s="36">
        <f t="shared" si="20"/>
        <v>2</v>
      </c>
      <c r="C389" s="182">
        <f t="shared" si="21"/>
        <v>42426</v>
      </c>
      <c r="D389" s="182" t="s">
        <v>669</v>
      </c>
      <c r="E389" s="182">
        <v>42426</v>
      </c>
      <c r="F389" s="187" t="s">
        <v>771</v>
      </c>
      <c r="G389" s="448" t="s">
        <v>756</v>
      </c>
      <c r="H389" s="191"/>
      <c r="I389" s="251"/>
      <c r="J389" s="251"/>
      <c r="K389" s="560">
        <v>50000</v>
      </c>
      <c r="L389" s="561" t="s">
        <v>83</v>
      </c>
      <c r="M389" s="561" t="s">
        <v>24</v>
      </c>
      <c r="N389" s="52" t="str">
        <f>IF(AND('331-CT'!$E$7=TH!H389,OR(L389="331",M389="331")),"331",IF(AND(OR(L389="131",M389="131"),H389='131-CT'!$E$7),"131",""))</f>
        <v/>
      </c>
      <c r="O389" s="818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>x</v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52">
        <v>1</v>
      </c>
      <c r="AB389" s="552"/>
      <c r="AC389" s="552"/>
      <c r="AD389" s="552"/>
      <c r="AE389" s="552"/>
      <c r="AF389" s="552"/>
    </row>
    <row r="390" spans="1:32" s="209" customFormat="1" ht="15.75" customHeight="1">
      <c r="A390" s="202" t="str">
        <f>IF(B390&lt;&gt;"",IF(AND(B390&gt;=_TM1,B390&lt;=_TM2,OR(TH!L390="1111",TH!M390="1111")),TH!D390,""),"")</f>
        <v/>
      </c>
      <c r="B390" s="36">
        <f t="shared" si="20"/>
        <v>2</v>
      </c>
      <c r="C390" s="182">
        <f t="shared" si="21"/>
        <v>42426</v>
      </c>
      <c r="D390" s="182" t="s">
        <v>669</v>
      </c>
      <c r="E390" s="182">
        <v>42426</v>
      </c>
      <c r="F390" s="187" t="s">
        <v>772</v>
      </c>
      <c r="G390" s="448" t="s">
        <v>756</v>
      </c>
      <c r="H390" s="191"/>
      <c r="I390" s="251"/>
      <c r="J390" s="251"/>
      <c r="K390" s="560">
        <v>5000</v>
      </c>
      <c r="L390" s="561" t="s">
        <v>9</v>
      </c>
      <c r="M390" s="561" t="s">
        <v>24</v>
      </c>
      <c r="N390" s="52" t="str">
        <f>IF(AND('331-CT'!$E$7=TH!H390,OR(L390="331",M390="331")),"331",IF(AND(OR(L390="131",M390="131"),H390='131-CT'!$E$7),"131",""))</f>
        <v/>
      </c>
      <c r="O390" s="818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52">
        <v>1</v>
      </c>
      <c r="AB390" s="552"/>
      <c r="AC390" s="552"/>
      <c r="AD390" s="552"/>
      <c r="AE390" s="552"/>
      <c r="AF390" s="552"/>
    </row>
    <row r="391" spans="1:32" s="209" customFormat="1" ht="15.75" customHeight="1">
      <c r="A391" s="202" t="str">
        <f>IF(B391&lt;&gt;"",IF(AND(B391&gt;=_TM1,B391&lt;=_TM2,OR(TH!L391="1111",TH!M391="1111")),TH!D391,""),"")</f>
        <v/>
      </c>
      <c r="B391" s="36">
        <f t="shared" si="20"/>
        <v>2</v>
      </c>
      <c r="C391" s="182">
        <f t="shared" si="21"/>
        <v>42427</v>
      </c>
      <c r="D391" s="189" t="s">
        <v>1140</v>
      </c>
      <c r="E391" s="189">
        <v>42427</v>
      </c>
      <c r="F391" s="190" t="s">
        <v>699</v>
      </c>
      <c r="G391" s="451" t="s">
        <v>932</v>
      </c>
      <c r="H391" s="208" t="s">
        <v>1204</v>
      </c>
      <c r="I391" s="251">
        <v>40</v>
      </c>
      <c r="J391" s="251">
        <v>10056</v>
      </c>
      <c r="K391" s="38">
        <f t="shared" ref="K391:K397" si="24">ROUND(I391*J391,0)</f>
        <v>402240</v>
      </c>
      <c r="L391" s="192" t="s">
        <v>258</v>
      </c>
      <c r="M391" s="192" t="s">
        <v>173</v>
      </c>
      <c r="N391" s="52" t="str">
        <f>IF(AND('331-CT'!$E$7=TH!H391,OR(L391="331",M391="331")),"331",IF(AND(OR(L391="131",M391="131"),H391='131-CT'!$E$7),"131",""))</f>
        <v/>
      </c>
      <c r="O391" s="818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52"/>
      <c r="AB391" s="552"/>
      <c r="AC391" s="552"/>
    </row>
    <row r="392" spans="1:32" s="209" customFormat="1" ht="15.75" customHeight="1">
      <c r="A392" s="202" t="str">
        <f>IF(B392&lt;&gt;"",IF(AND(B392&gt;=_TM1,B392&lt;=_TM2,OR(TH!L392="1111",TH!M392="1111")),TH!D392,""),"")</f>
        <v/>
      </c>
      <c r="B392" s="36">
        <f t="shared" si="20"/>
        <v>2</v>
      </c>
      <c r="C392" s="182">
        <f t="shared" si="21"/>
        <v>42427</v>
      </c>
      <c r="D392" s="189" t="s">
        <v>1140</v>
      </c>
      <c r="E392" s="189">
        <v>42427</v>
      </c>
      <c r="F392" s="190" t="s">
        <v>708</v>
      </c>
      <c r="G392" s="451" t="s">
        <v>932</v>
      </c>
      <c r="H392" s="208" t="s">
        <v>1204</v>
      </c>
      <c r="I392" s="251">
        <v>20</v>
      </c>
      <c r="J392" s="251">
        <v>13250</v>
      </c>
      <c r="K392" s="38">
        <f t="shared" si="24"/>
        <v>265000</v>
      </c>
      <c r="L392" s="192" t="s">
        <v>258</v>
      </c>
      <c r="M392" s="192" t="s">
        <v>173</v>
      </c>
      <c r="N392" s="52" t="str">
        <f>IF(AND('331-CT'!$E$7=TH!H392,OR(L392="331",M392="331")),"331",IF(AND(OR(L392="131",M392="131"),H392='131-CT'!$E$7),"131",""))</f>
        <v/>
      </c>
      <c r="O392" s="818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52"/>
      <c r="AB392" s="552"/>
      <c r="AC392" s="552"/>
    </row>
    <row r="393" spans="1:32" s="209" customFormat="1" ht="15.75" customHeight="1">
      <c r="A393" s="202" t="str">
        <f>IF(B393&lt;&gt;"",IF(AND(B393&gt;=_TM1,B393&lt;=_TM2,OR(TH!L393="1111",TH!M393="1111")),TH!D393,""),"")</f>
        <v/>
      </c>
      <c r="B393" s="36">
        <f t="shared" si="20"/>
        <v>2</v>
      </c>
      <c r="C393" s="182">
        <f t="shared" si="21"/>
        <v>42427</v>
      </c>
      <c r="D393" s="189" t="s">
        <v>1140</v>
      </c>
      <c r="E393" s="189">
        <v>42427</v>
      </c>
      <c r="F393" s="190" t="s">
        <v>697</v>
      </c>
      <c r="G393" s="451" t="s">
        <v>932</v>
      </c>
      <c r="H393" s="208" t="s">
        <v>1204</v>
      </c>
      <c r="I393" s="251">
        <v>10</v>
      </c>
      <c r="J393" s="251">
        <v>15616</v>
      </c>
      <c r="K393" s="38">
        <f t="shared" si="24"/>
        <v>156160</v>
      </c>
      <c r="L393" s="192" t="s">
        <v>258</v>
      </c>
      <c r="M393" s="192" t="s">
        <v>173</v>
      </c>
      <c r="N393" s="52" t="str">
        <f>IF(AND('331-CT'!$E$7=TH!H393,OR(L393="331",M393="331")),"331",IF(AND(OR(L393="131",M393="131"),H393='131-CT'!$E$7),"131",""))</f>
        <v/>
      </c>
      <c r="O393" s="818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52"/>
      <c r="AB393" s="552"/>
      <c r="AC393" s="552"/>
    </row>
    <row r="394" spans="1:32" s="209" customFormat="1" ht="15.75" customHeight="1">
      <c r="A394" s="202" t="str">
        <f>IF(B394&lt;&gt;"",IF(AND(B394&gt;=_TM1,B394&lt;=_TM2,OR(TH!L394="1111",TH!M394="1111")),TH!D394,""),"")</f>
        <v/>
      </c>
      <c r="B394" s="36">
        <f t="shared" si="20"/>
        <v>2</v>
      </c>
      <c r="C394" s="182">
        <f t="shared" si="21"/>
        <v>42427</v>
      </c>
      <c r="D394" s="189" t="s">
        <v>1140</v>
      </c>
      <c r="E394" s="189">
        <v>42427</v>
      </c>
      <c r="F394" s="190" t="s">
        <v>1230</v>
      </c>
      <c r="G394" s="451" t="s">
        <v>932</v>
      </c>
      <c r="H394" s="208" t="s">
        <v>1204</v>
      </c>
      <c r="I394" s="251">
        <v>15</v>
      </c>
      <c r="J394" s="251">
        <v>13659</v>
      </c>
      <c r="K394" s="38">
        <f t="shared" si="24"/>
        <v>204885</v>
      </c>
      <c r="L394" s="192" t="s">
        <v>258</v>
      </c>
      <c r="M394" s="192" t="s">
        <v>173</v>
      </c>
      <c r="N394" s="52" t="str">
        <f>IF(AND('331-CT'!$E$7=TH!H394,OR(L394="331",M394="331")),"331",IF(AND(OR(L394="131",M394="131"),H394='131-CT'!$E$7),"131",""))</f>
        <v/>
      </c>
      <c r="O394" s="818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52"/>
      <c r="AB394" s="552"/>
    </row>
    <row r="395" spans="1:32" s="209" customFormat="1" ht="15.75" customHeight="1">
      <c r="A395" s="202" t="str">
        <f>IF(B395&lt;&gt;"",IF(AND(B395&gt;=_TM1,B395&lt;=_TM2,OR(TH!L395="1111",TH!M395="1111")),TH!D395,""),"")</f>
        <v/>
      </c>
      <c r="B395" s="36">
        <f t="shared" si="20"/>
        <v>2</v>
      </c>
      <c r="C395" s="182">
        <f t="shared" si="21"/>
        <v>42427</v>
      </c>
      <c r="D395" s="189" t="s">
        <v>1140</v>
      </c>
      <c r="E395" s="189">
        <v>42427</v>
      </c>
      <c r="F395" s="190" t="s">
        <v>1231</v>
      </c>
      <c r="G395" s="451" t="s">
        <v>932</v>
      </c>
      <c r="H395" s="208" t="s">
        <v>1204</v>
      </c>
      <c r="I395" s="251">
        <v>10</v>
      </c>
      <c r="J395" s="251">
        <v>20302</v>
      </c>
      <c r="K395" s="38">
        <f t="shared" si="24"/>
        <v>203020</v>
      </c>
      <c r="L395" s="192" t="s">
        <v>258</v>
      </c>
      <c r="M395" s="192" t="s">
        <v>173</v>
      </c>
      <c r="N395" s="52" t="str">
        <f>IF(AND('331-CT'!$E$7=TH!H395,OR(L395="331",M395="331")),"331",IF(AND(OR(L395="131",M395="131"),H395='131-CT'!$E$7),"131",""))</f>
        <v/>
      </c>
      <c r="O395" s="818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52"/>
      <c r="AB395" s="552"/>
      <c r="AC395" s="552"/>
    </row>
    <row r="396" spans="1:32" s="209" customFormat="1" ht="15.75" customHeight="1">
      <c r="A396" s="202" t="str">
        <f>IF(B396&lt;&gt;"",IF(AND(B396&gt;=_TM1,B396&lt;=_TM2,OR(TH!L396="1111",TH!M396="1111")),TH!D396,""),"")</f>
        <v/>
      </c>
      <c r="B396" s="36">
        <f t="shared" si="20"/>
        <v>2</v>
      </c>
      <c r="C396" s="182">
        <f t="shared" si="21"/>
        <v>42427</v>
      </c>
      <c r="D396" s="189" t="s">
        <v>1140</v>
      </c>
      <c r="E396" s="189">
        <v>42427</v>
      </c>
      <c r="F396" s="190" t="s">
        <v>705</v>
      </c>
      <c r="G396" s="451" t="s">
        <v>932</v>
      </c>
      <c r="H396" s="208" t="s">
        <v>1204</v>
      </c>
      <c r="I396" s="251">
        <v>10</v>
      </c>
      <c r="J396" s="251">
        <v>20511</v>
      </c>
      <c r="K396" s="38">
        <f t="shared" si="24"/>
        <v>205110</v>
      </c>
      <c r="L396" s="192" t="s">
        <v>258</v>
      </c>
      <c r="M396" s="192" t="s">
        <v>173</v>
      </c>
      <c r="N396" s="52" t="str">
        <f>IF(AND('331-CT'!$E$7=TH!H396,OR(L396="331",M396="331")),"331",IF(AND(OR(L396="131",M396="131"),H396='131-CT'!$E$7),"131",""))</f>
        <v/>
      </c>
      <c r="O396" s="818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52"/>
      <c r="AB396" s="552"/>
    </row>
    <row r="397" spans="1:32" s="209" customFormat="1" ht="15.75" customHeight="1">
      <c r="A397" s="202" t="str">
        <f>IF(B397&lt;&gt;"",IF(AND(B397&gt;=_TM1,B397&lt;=_TM2,OR(TH!L397="1111",TH!M397="1111")),TH!D397,""),"")</f>
        <v/>
      </c>
      <c r="B397" s="36">
        <f t="shared" si="20"/>
        <v>2</v>
      </c>
      <c r="C397" s="182">
        <f t="shared" si="21"/>
        <v>42427</v>
      </c>
      <c r="D397" s="189" t="s">
        <v>1140</v>
      </c>
      <c r="E397" s="189">
        <v>42427</v>
      </c>
      <c r="F397" s="190" t="s">
        <v>1232</v>
      </c>
      <c r="G397" s="451" t="s">
        <v>932</v>
      </c>
      <c r="H397" s="208" t="s">
        <v>1204</v>
      </c>
      <c r="I397" s="251">
        <v>20</v>
      </c>
      <c r="J397" s="251">
        <v>14123</v>
      </c>
      <c r="K397" s="38">
        <f t="shared" si="24"/>
        <v>282460</v>
      </c>
      <c r="L397" s="192" t="s">
        <v>258</v>
      </c>
      <c r="M397" s="192" t="s">
        <v>173</v>
      </c>
      <c r="N397" s="52" t="str">
        <f>IF(AND('331-CT'!$E$7=TH!H397,OR(L397="331",M397="331")),"331",IF(AND(OR(L397="131",M397="131"),H397='131-CT'!$E$7),"131",""))</f>
        <v/>
      </c>
      <c r="O397" s="818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52"/>
      <c r="AB397" s="552"/>
      <c r="AC397" s="552"/>
    </row>
    <row r="398" spans="1:32" s="209" customFormat="1" ht="15.75" customHeight="1">
      <c r="A398" s="202" t="str">
        <f>IF(B398&lt;&gt;"",IF(AND(B398&gt;=_TM1,B398&lt;=_TM2,OR(TH!L398="1111",TH!M398="1111")),TH!D398,""),"")</f>
        <v/>
      </c>
      <c r="B398" s="36">
        <f t="shared" si="20"/>
        <v>2</v>
      </c>
      <c r="C398" s="182">
        <f t="shared" si="21"/>
        <v>42427</v>
      </c>
      <c r="D398" s="189" t="s">
        <v>1140</v>
      </c>
      <c r="E398" s="189">
        <v>42427</v>
      </c>
      <c r="F398" s="190" t="s">
        <v>525</v>
      </c>
      <c r="G398" s="451" t="s">
        <v>932</v>
      </c>
      <c r="H398" s="208" t="s">
        <v>1204</v>
      </c>
      <c r="I398" s="251"/>
      <c r="J398" s="251"/>
      <c r="K398" s="560">
        <v>171888</v>
      </c>
      <c r="L398" s="192" t="s">
        <v>258</v>
      </c>
      <c r="M398" s="192" t="s">
        <v>367</v>
      </c>
      <c r="N398" s="52" t="str">
        <f>IF(AND('331-CT'!$E$7=TH!H398,OR(L398="331",M398="331")),"331",IF(AND(OR(L398="131",M398="131"),H398='131-CT'!$E$7),"131",""))</f>
        <v/>
      </c>
      <c r="O398" s="818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52"/>
      <c r="AB398" s="552"/>
      <c r="AC398" s="552"/>
    </row>
    <row r="399" spans="1:32" s="209" customFormat="1" ht="15.75" customHeight="1">
      <c r="A399" s="202" t="str">
        <f>IF(B399&lt;&gt;"",IF(AND(B399&gt;=_TM1,B399&lt;=_TM2,OR(TH!L399="1111",TH!M399="1111")),TH!D399,""),"")</f>
        <v/>
      </c>
      <c r="B399" s="36">
        <f t="shared" si="20"/>
        <v>2</v>
      </c>
      <c r="C399" s="182">
        <f t="shared" si="21"/>
        <v>42427</v>
      </c>
      <c r="D399" s="189" t="s">
        <v>1141</v>
      </c>
      <c r="E399" s="189">
        <v>42427</v>
      </c>
      <c r="F399" s="190" t="s">
        <v>404</v>
      </c>
      <c r="G399" s="451" t="s">
        <v>443</v>
      </c>
      <c r="H399" s="191" t="s">
        <v>609</v>
      </c>
      <c r="I399" s="251">
        <v>2900</v>
      </c>
      <c r="J399" s="251">
        <v>7000</v>
      </c>
      <c r="K399" s="38">
        <f>ROUND(I399*J399,0)</f>
        <v>20300000</v>
      </c>
      <c r="L399" s="192" t="s">
        <v>258</v>
      </c>
      <c r="M399" s="192" t="s">
        <v>173</v>
      </c>
      <c r="N399" s="52" t="str">
        <f>IF(AND('331-CT'!$E$7=TH!H399,OR(L399="331",M399="331")),"331",IF(AND(OR(L399="131",M399="131"),H399='131-CT'!$E$7),"131",""))</f>
        <v/>
      </c>
      <c r="O399" s="818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52"/>
      <c r="AB399" s="552"/>
      <c r="AC399" s="552"/>
    </row>
    <row r="400" spans="1:32" s="209" customFormat="1" ht="15.75" customHeight="1">
      <c r="A400" s="202" t="str">
        <f>IF(B400&lt;&gt;"",IF(AND(B400&gt;=_TM1,B400&lt;=_TM2,OR(TH!L400="1111",TH!M400="1111")),TH!D400,""),"")</f>
        <v/>
      </c>
      <c r="B400" s="36">
        <f t="shared" si="20"/>
        <v>2</v>
      </c>
      <c r="C400" s="182">
        <f t="shared" si="21"/>
        <v>42427</v>
      </c>
      <c r="D400" s="189" t="s">
        <v>1141</v>
      </c>
      <c r="E400" s="189">
        <v>42427</v>
      </c>
      <c r="F400" s="190" t="s">
        <v>933</v>
      </c>
      <c r="G400" s="451" t="s">
        <v>443</v>
      </c>
      <c r="H400" s="191" t="s">
        <v>609</v>
      </c>
      <c r="I400" s="251">
        <v>240</v>
      </c>
      <c r="J400" s="251">
        <v>14200</v>
      </c>
      <c r="K400" s="38">
        <f>ROUND(I400*J400,0)</f>
        <v>3408000</v>
      </c>
      <c r="L400" s="192" t="s">
        <v>258</v>
      </c>
      <c r="M400" s="192" t="s">
        <v>173</v>
      </c>
      <c r="N400" s="52" t="str">
        <f>IF(AND('331-CT'!$E$7=TH!H400,OR(L400="331",M400="331")),"331",IF(AND(OR(L400="131",M400="131"),H400='131-CT'!$E$7),"131",""))</f>
        <v/>
      </c>
      <c r="O400" s="818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52"/>
      <c r="AB400" s="552"/>
      <c r="AC400" s="552"/>
    </row>
    <row r="401" spans="1:32" s="209" customFormat="1" ht="15.75" customHeight="1">
      <c r="A401" s="202" t="str">
        <f>IF(B401&lt;&gt;"",IF(AND(B401&gt;=_TM1,B401&lt;=_TM2,OR(TH!L401="1111",TH!M401="1111")),TH!D401,""),"")</f>
        <v/>
      </c>
      <c r="B401" s="36">
        <f t="shared" si="20"/>
        <v>2</v>
      </c>
      <c r="C401" s="182">
        <f t="shared" si="21"/>
        <v>42427</v>
      </c>
      <c r="D401" s="189" t="s">
        <v>1141</v>
      </c>
      <c r="E401" s="189">
        <v>42427</v>
      </c>
      <c r="F401" s="190" t="s">
        <v>934</v>
      </c>
      <c r="G401" s="451" t="s">
        <v>443</v>
      </c>
      <c r="H401" s="191" t="s">
        <v>609</v>
      </c>
      <c r="I401" s="251">
        <v>23</v>
      </c>
      <c r="J401" s="251">
        <v>9800</v>
      </c>
      <c r="K401" s="38">
        <f>ROUND(I401*J401,0)</f>
        <v>225400</v>
      </c>
      <c r="L401" s="192" t="s">
        <v>258</v>
      </c>
      <c r="M401" s="192" t="s">
        <v>173</v>
      </c>
      <c r="N401" s="52" t="str">
        <f>IF(AND('331-CT'!$E$7=TH!H401,OR(L401="331",M401="331")),"331",IF(AND(OR(L401="131",M401="131"),H401='131-CT'!$E$7),"131",""))</f>
        <v/>
      </c>
      <c r="O401" s="818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52"/>
      <c r="AB401" s="552"/>
      <c r="AC401" s="552"/>
    </row>
    <row r="402" spans="1:32" s="209" customFormat="1" ht="15.75" customHeight="1">
      <c r="A402" s="202" t="str">
        <f>IF(B402&lt;&gt;"",IF(AND(B402&gt;=_TM1,B402&lt;=_TM2,OR(TH!L402="1111",TH!M402="1111")),TH!D402,""),"")</f>
        <v/>
      </c>
      <c r="B402" s="36">
        <f t="shared" si="20"/>
        <v>2</v>
      </c>
      <c r="C402" s="182">
        <f t="shared" si="21"/>
        <v>42427</v>
      </c>
      <c r="D402" s="189" t="s">
        <v>1141</v>
      </c>
      <c r="E402" s="189">
        <v>42427</v>
      </c>
      <c r="F402" s="190" t="s">
        <v>480</v>
      </c>
      <c r="G402" s="451" t="s">
        <v>443</v>
      </c>
      <c r="H402" s="191" t="s">
        <v>609</v>
      </c>
      <c r="I402" s="251">
        <v>202</v>
      </c>
      <c r="J402" s="251">
        <v>9100</v>
      </c>
      <c r="K402" s="38">
        <f>ROUND(I402*J402,0)</f>
        <v>1838200</v>
      </c>
      <c r="L402" s="192" t="s">
        <v>258</v>
      </c>
      <c r="M402" s="192" t="s">
        <v>173</v>
      </c>
      <c r="N402" s="52" t="str">
        <f>IF(AND('331-CT'!$E$7=TH!H402,OR(L402="331",M402="331")),"331",IF(AND(OR(L402="131",M402="131"),H402='131-CT'!$E$7),"131",""))</f>
        <v/>
      </c>
      <c r="O402" s="818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52"/>
      <c r="AB402" s="552"/>
      <c r="AC402" s="552"/>
    </row>
    <row r="403" spans="1:32" s="209" customFormat="1" ht="15.75" customHeight="1">
      <c r="A403" s="202" t="str">
        <f>IF(B403&lt;&gt;"",IF(AND(B403&gt;=_TM1,B403&lt;=_TM2,OR(TH!L403="1111",TH!M403="1111")),TH!D403,""),"")</f>
        <v/>
      </c>
      <c r="B403" s="36">
        <f t="shared" si="20"/>
        <v>2</v>
      </c>
      <c r="C403" s="182">
        <f t="shared" si="21"/>
        <v>42427</v>
      </c>
      <c r="D403" s="189" t="s">
        <v>1141</v>
      </c>
      <c r="E403" s="189">
        <v>42427</v>
      </c>
      <c r="F403" s="190" t="s">
        <v>393</v>
      </c>
      <c r="G403" s="451" t="s">
        <v>443</v>
      </c>
      <c r="H403" s="191" t="s">
        <v>609</v>
      </c>
      <c r="I403" s="251"/>
      <c r="J403" s="251"/>
      <c r="K403" s="560">
        <v>2577160</v>
      </c>
      <c r="L403" s="192" t="s">
        <v>258</v>
      </c>
      <c r="M403" s="192" t="s">
        <v>367</v>
      </c>
      <c r="N403" s="52" t="str">
        <f>IF(AND('331-CT'!$E$7=TH!H403,OR(L403="331",M403="331")),"331",IF(AND(OR(L403="131",M403="131"),H403='131-CT'!$E$7),"131",""))</f>
        <v/>
      </c>
      <c r="O403" s="818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52"/>
      <c r="AB403" s="552"/>
      <c r="AC403" s="552"/>
    </row>
    <row r="404" spans="1:32" s="209" customFormat="1" ht="15.75" customHeight="1">
      <c r="A404" s="202" t="str">
        <f>IF(B404&lt;&gt;"",IF(AND(B404&gt;=_TM1,B404&lt;=_TM2,OR(TH!L404="1111",TH!M404="1111")),TH!D404,""),"")</f>
        <v/>
      </c>
      <c r="B404" s="36">
        <f t="shared" ref="B404:B467" si="25">IF(C404&lt;&gt;"",MONTH(C404),"")</f>
        <v>2</v>
      </c>
      <c r="C404" s="182">
        <f t="shared" ref="C404:C467" si="26">E404</f>
        <v>42427</v>
      </c>
      <c r="D404" s="189" t="s">
        <v>1142</v>
      </c>
      <c r="E404" s="189">
        <v>42427</v>
      </c>
      <c r="F404" s="190" t="s">
        <v>540</v>
      </c>
      <c r="G404" s="451" t="s">
        <v>444</v>
      </c>
      <c r="H404" s="7" t="s">
        <v>783</v>
      </c>
      <c r="I404" s="251">
        <v>507</v>
      </c>
      <c r="J404" s="251">
        <v>6400</v>
      </c>
      <c r="K404" s="38">
        <f>ROUND(I404*J404,0)</f>
        <v>3244800</v>
      </c>
      <c r="L404" s="192" t="s">
        <v>258</v>
      </c>
      <c r="M404" s="192" t="s">
        <v>173</v>
      </c>
      <c r="N404" s="52" t="str">
        <f>IF(AND('331-CT'!$E$7=TH!H404,OR(L404="331",M404="331")),"331",IF(AND(OR(L404="131",M404="131"),H404='131-CT'!$E$7),"131",""))</f>
        <v/>
      </c>
      <c r="O404" s="818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52"/>
      <c r="AB404" s="552"/>
      <c r="AC404" s="552"/>
    </row>
    <row r="405" spans="1:32" s="209" customFormat="1" ht="15.75" customHeight="1">
      <c r="A405" s="202" t="str">
        <f>IF(B405&lt;&gt;"",IF(AND(B405&gt;=_TM1,B405&lt;=_TM2,OR(TH!L405="1111",TH!M405="1111")),TH!D405,""),"")</f>
        <v/>
      </c>
      <c r="B405" s="36">
        <f t="shared" si="25"/>
        <v>2</v>
      </c>
      <c r="C405" s="182">
        <f t="shared" si="26"/>
        <v>42427</v>
      </c>
      <c r="D405" s="189" t="s">
        <v>1142</v>
      </c>
      <c r="E405" s="189">
        <v>42427</v>
      </c>
      <c r="F405" s="190" t="s">
        <v>393</v>
      </c>
      <c r="G405" s="451" t="s">
        <v>444</v>
      </c>
      <c r="H405" s="7" t="s">
        <v>783</v>
      </c>
      <c r="I405" s="251"/>
      <c r="J405" s="251"/>
      <c r="K405" s="560">
        <v>324480</v>
      </c>
      <c r="L405" s="192" t="s">
        <v>258</v>
      </c>
      <c r="M405" s="192" t="s">
        <v>367</v>
      </c>
      <c r="N405" s="52" t="str">
        <f>IF(AND('331-CT'!$E$7=TH!H405,OR(L405="331",M405="331")),"331",IF(AND(OR(L405="131",M405="131"),H405='131-CT'!$E$7),"131",""))</f>
        <v/>
      </c>
      <c r="O405" s="818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52"/>
      <c r="AB405" s="552"/>
    </row>
    <row r="406" spans="1:32" s="209" customFormat="1" ht="15.75" customHeight="1">
      <c r="A406" s="202" t="str">
        <f>IF(B406&lt;&gt;"",IF(AND(B406&gt;=_TM1,B406&lt;=_TM2,OR(TH!L406="1111",TH!M406="1111")),TH!D406,""),"")</f>
        <v/>
      </c>
      <c r="B406" s="36">
        <f t="shared" si="25"/>
        <v>2</v>
      </c>
      <c r="C406" s="839">
        <f t="shared" si="26"/>
        <v>42429</v>
      </c>
      <c r="D406" s="839" t="s">
        <v>332</v>
      </c>
      <c r="E406" s="839">
        <v>42429</v>
      </c>
      <c r="F406" s="845" t="s">
        <v>1429</v>
      </c>
      <c r="G406" s="874"/>
      <c r="H406" s="875"/>
      <c r="I406" s="842"/>
      <c r="J406" s="842"/>
      <c r="K406" s="849">
        <v>10570000</v>
      </c>
      <c r="L406" s="876" t="s">
        <v>83</v>
      </c>
      <c r="M406" s="876" t="s">
        <v>261</v>
      </c>
      <c r="N406" s="52" t="str">
        <f>IF(AND('331-CT'!$E$7=TH!H406,OR(L406="331",M406="331")),"331",IF(AND(OR(L406="131",M406="131"),H406='131-CT'!$E$7),"131",""))</f>
        <v/>
      </c>
      <c r="O406" s="818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>x</v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196"/>
      <c r="AB406" s="196"/>
      <c r="AC406" s="196"/>
      <c r="AD406" s="196"/>
      <c r="AE406" s="196"/>
      <c r="AF406" s="196"/>
    </row>
    <row r="407" spans="1:32" s="209" customFormat="1" ht="15.75" customHeight="1">
      <c r="A407" s="202" t="str">
        <f>IF(B407&lt;&gt;"",IF(AND(B407&gt;=_TM1,B407&lt;=_TM2,OR(TH!L407="1111",TH!M407="1111")),TH!D407,""),"")</f>
        <v/>
      </c>
      <c r="B407" s="36">
        <f t="shared" si="25"/>
        <v>2</v>
      </c>
      <c r="C407" s="839">
        <f t="shared" si="26"/>
        <v>42429</v>
      </c>
      <c r="D407" s="839" t="s">
        <v>332</v>
      </c>
      <c r="E407" s="839">
        <v>42429</v>
      </c>
      <c r="F407" s="845" t="s">
        <v>1430</v>
      </c>
      <c r="G407" s="874"/>
      <c r="H407" s="875"/>
      <c r="I407" s="842"/>
      <c r="J407" s="842"/>
      <c r="K407" s="849">
        <v>24825000</v>
      </c>
      <c r="L407" s="876" t="s">
        <v>164</v>
      </c>
      <c r="M407" s="876" t="s">
        <v>261</v>
      </c>
      <c r="N407" s="52" t="str">
        <f>IF(AND('331-CT'!$E$7=TH!H407,OR(L407="331",M407="331")),"331",IF(AND(OR(L407="131",M407="131"),H407='131-CT'!$E$7),"131",""))</f>
        <v/>
      </c>
      <c r="O407" s="818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196"/>
      <c r="AB407" s="196"/>
      <c r="AC407" s="196"/>
      <c r="AD407" s="196"/>
      <c r="AE407" s="196"/>
      <c r="AF407" s="196"/>
    </row>
    <row r="408" spans="1:32" s="209" customFormat="1" ht="15.75" customHeight="1">
      <c r="A408" s="202" t="str">
        <f>IF(B408&lt;&gt;"",IF(AND(B408&gt;=_TM1,B408&lt;=_TM2,OR(TH!L408="1111",TH!M408="1111")),TH!D408,""),"")</f>
        <v/>
      </c>
      <c r="B408" s="36">
        <f t="shared" si="25"/>
        <v>2</v>
      </c>
      <c r="C408" s="839">
        <f t="shared" si="26"/>
        <v>42429</v>
      </c>
      <c r="D408" s="839" t="s">
        <v>1647</v>
      </c>
      <c r="E408" s="839">
        <v>42429</v>
      </c>
      <c r="F408" s="845" t="str">
        <f>"Thanh toán tiền lương tháng "&amp;MONTH(E408)&amp;"/"&amp;YEAR(E408)</f>
        <v>Thanh toán tiền lương tháng 2/2016</v>
      </c>
      <c r="G408" s="874"/>
      <c r="H408" s="875" t="s">
        <v>1680</v>
      </c>
      <c r="I408" s="842"/>
      <c r="J408" s="842"/>
      <c r="K408" s="849">
        <f>K406+K407</f>
        <v>35395000</v>
      </c>
      <c r="L408" s="876" t="s">
        <v>261</v>
      </c>
      <c r="M408" s="876" t="s">
        <v>47</v>
      </c>
      <c r="N408" s="52" t="str">
        <f>IF(AND('331-CT'!$E$7=TH!H408,OR(L408="331",M408="331")),"331",IF(AND(OR(L408="131",M408="131"),H408='131-CT'!$E$7),"131",""))</f>
        <v/>
      </c>
      <c r="O408" s="818" t="str">
        <f>IF(AND('341-CT'!$E$9=H408,OR(LEFT(L408,3)=$O$7,LEFT(M408,3)=$O$7)),"x","")</f>
        <v/>
      </c>
      <c r="P408" s="52" t="str">
        <f>IF(AND($B408&gt;='111'!$N$11,$B408&lt;='111'!$O$11,OR($L408=$P$7,$M408=$P$7)),"x","")</f>
        <v>x</v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196"/>
      <c r="AB408" s="196"/>
      <c r="AC408" s="196"/>
      <c r="AD408" s="196"/>
      <c r="AE408" s="196"/>
      <c r="AF408" s="196"/>
    </row>
    <row r="409" spans="1:32" s="209" customFormat="1" ht="15.75" customHeight="1">
      <c r="A409" s="202" t="str">
        <f>IF(B409&lt;&gt;"",IF(AND(B409&gt;=_TM1,B409&lt;=_TM2,OR(TH!L409="1111",TH!M409="1111")),TH!D409,""),"")</f>
        <v/>
      </c>
      <c r="B409" s="36">
        <f t="shared" si="25"/>
        <v>2</v>
      </c>
      <c r="C409" s="182">
        <f t="shared" si="26"/>
        <v>42429</v>
      </c>
      <c r="D409" s="189" t="s">
        <v>1143</v>
      </c>
      <c r="E409" s="189">
        <v>42429</v>
      </c>
      <c r="F409" s="190" t="s">
        <v>436</v>
      </c>
      <c r="G409" s="451" t="s">
        <v>446</v>
      </c>
      <c r="H409" s="828" t="s">
        <v>565</v>
      </c>
      <c r="I409" s="251">
        <v>344</v>
      </c>
      <c r="J409" s="251">
        <v>6100</v>
      </c>
      <c r="K409" s="38">
        <f>ROUND(I409*J409,0)</f>
        <v>2098400</v>
      </c>
      <c r="L409" s="192" t="s">
        <v>258</v>
      </c>
      <c r="M409" s="192" t="s">
        <v>173</v>
      </c>
      <c r="N409" s="52" t="str">
        <f>IF(AND('331-CT'!$E$7=TH!H409,OR(L409="331",M409="331")),"331",IF(AND(OR(L409="131",M409="131"),H409='131-CT'!$E$7),"131",""))</f>
        <v/>
      </c>
      <c r="O409" s="818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52"/>
      <c r="AB409" s="552"/>
      <c r="AC409" s="552"/>
    </row>
    <row r="410" spans="1:32" s="209" customFormat="1" ht="15.75" customHeight="1">
      <c r="A410" s="202" t="str">
        <f>IF(B410&lt;&gt;"",IF(AND(B410&gt;=_TM1,B410&lt;=_TM2,OR(TH!L410="1111",TH!M410="1111")),TH!D410,""),"")</f>
        <v/>
      </c>
      <c r="B410" s="36">
        <f t="shared" si="25"/>
        <v>2</v>
      </c>
      <c r="C410" s="182">
        <f t="shared" si="26"/>
        <v>42429</v>
      </c>
      <c r="D410" s="189" t="s">
        <v>1143</v>
      </c>
      <c r="E410" s="189">
        <v>42429</v>
      </c>
      <c r="F410" s="190" t="s">
        <v>393</v>
      </c>
      <c r="G410" s="451" t="s">
        <v>446</v>
      </c>
      <c r="H410" s="828" t="s">
        <v>565</v>
      </c>
      <c r="I410" s="251"/>
      <c r="J410" s="251"/>
      <c r="K410" s="560">
        <v>209840</v>
      </c>
      <c r="L410" s="192" t="s">
        <v>258</v>
      </c>
      <c r="M410" s="192" t="s">
        <v>367</v>
      </c>
      <c r="N410" s="52" t="str">
        <f>IF(AND('331-CT'!$E$7=TH!H410,OR(L410="331",M410="331")),"331",IF(AND(OR(L410="131",M410="131"),H410='131-CT'!$E$7),"131",""))</f>
        <v/>
      </c>
      <c r="O410" s="818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52"/>
      <c r="AB410" s="552"/>
      <c r="AC410" s="552"/>
      <c r="AD410" s="621"/>
    </row>
    <row r="411" spans="1:32" s="209" customFormat="1" ht="15.75" customHeight="1">
      <c r="A411" s="202" t="str">
        <f>IF(B411&lt;&gt;"",IF(AND(B411&gt;=_TM1,B411&lt;=_TM2,OR(TH!L411="1111",TH!M411="1111")),TH!D411,""),"")</f>
        <v/>
      </c>
      <c r="B411" s="36">
        <f t="shared" si="25"/>
        <v>2</v>
      </c>
      <c r="C411" s="182">
        <f t="shared" si="26"/>
        <v>42429</v>
      </c>
      <c r="D411" s="189" t="s">
        <v>1144</v>
      </c>
      <c r="E411" s="189">
        <v>42429</v>
      </c>
      <c r="F411" s="190" t="s">
        <v>935</v>
      </c>
      <c r="G411" s="451" t="s">
        <v>447</v>
      </c>
      <c r="H411" s="7" t="s">
        <v>1284</v>
      </c>
      <c r="I411" s="251">
        <v>204</v>
      </c>
      <c r="J411" s="251">
        <v>10500</v>
      </c>
      <c r="K411" s="38">
        <f>ROUND(I411*J411,0)</f>
        <v>2142000</v>
      </c>
      <c r="L411" s="192" t="s">
        <v>258</v>
      </c>
      <c r="M411" s="192" t="s">
        <v>173</v>
      </c>
      <c r="N411" s="52" t="str">
        <f>IF(AND('331-CT'!$E$7=TH!H411,OR(L411="331",M411="331")),"331",IF(AND(OR(L411="131",M411="131"),H411='131-CT'!$E$7),"131",""))</f>
        <v/>
      </c>
      <c r="O411" s="818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52"/>
      <c r="AB411" s="552"/>
      <c r="AC411" s="552"/>
    </row>
    <row r="412" spans="1:32" s="209" customFormat="1" ht="15.75" customHeight="1">
      <c r="A412" s="202" t="str">
        <f>IF(B412&lt;&gt;"",IF(AND(B412&gt;=_TM1,B412&lt;=_TM2,OR(TH!L412="1111",TH!M412="1111")),TH!D412,""),"")</f>
        <v/>
      </c>
      <c r="B412" s="36">
        <f t="shared" si="25"/>
        <v>2</v>
      </c>
      <c r="C412" s="182">
        <f t="shared" si="26"/>
        <v>42429</v>
      </c>
      <c r="D412" s="189" t="s">
        <v>1144</v>
      </c>
      <c r="E412" s="189">
        <v>42429</v>
      </c>
      <c r="F412" s="190" t="s">
        <v>936</v>
      </c>
      <c r="G412" s="451" t="s">
        <v>447</v>
      </c>
      <c r="H412" s="7" t="s">
        <v>1284</v>
      </c>
      <c r="I412" s="251">
        <v>310</v>
      </c>
      <c r="J412" s="251">
        <v>9700</v>
      </c>
      <c r="K412" s="38">
        <f>ROUND(I412*J412,0)</f>
        <v>3007000</v>
      </c>
      <c r="L412" s="192" t="s">
        <v>258</v>
      </c>
      <c r="M412" s="192" t="s">
        <v>173</v>
      </c>
      <c r="N412" s="52" t="str">
        <f>IF(AND('331-CT'!$E$7=TH!H412,OR(L412="331",M412="331")),"331",IF(AND(OR(L412="131",M412="131"),H412='131-CT'!$E$7),"131",""))</f>
        <v/>
      </c>
      <c r="O412" s="818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52"/>
      <c r="AB412" s="552"/>
    </row>
    <row r="413" spans="1:32" s="209" customFormat="1" ht="15.75" customHeight="1">
      <c r="A413" s="202" t="str">
        <f>IF(B413&lt;&gt;"",IF(AND(B413&gt;=_TM1,B413&lt;=_TM2,OR(TH!L413="1111",TH!M413="1111")),TH!D413,""),"")</f>
        <v/>
      </c>
      <c r="B413" s="36">
        <f t="shared" si="25"/>
        <v>2</v>
      </c>
      <c r="C413" s="182">
        <f t="shared" si="26"/>
        <v>42429</v>
      </c>
      <c r="D413" s="189" t="s">
        <v>1144</v>
      </c>
      <c r="E413" s="189">
        <v>42429</v>
      </c>
      <c r="F413" s="190" t="s">
        <v>393</v>
      </c>
      <c r="G413" s="451" t="s">
        <v>447</v>
      </c>
      <c r="H413" s="7" t="s">
        <v>1284</v>
      </c>
      <c r="I413" s="251"/>
      <c r="J413" s="251"/>
      <c r="K413" s="560">
        <v>514900</v>
      </c>
      <c r="L413" s="192" t="s">
        <v>258</v>
      </c>
      <c r="M413" s="192" t="s">
        <v>367</v>
      </c>
      <c r="N413" s="52" t="str">
        <f>IF(AND('331-CT'!$E$7=TH!H413,OR(L413="331",M413="331")),"331",IF(AND(OR(L413="131",M413="131"),H413='131-CT'!$E$7),"131",""))</f>
        <v/>
      </c>
      <c r="O413" s="818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52"/>
      <c r="AB413" s="552"/>
      <c r="AC413" s="552"/>
    </row>
    <row r="414" spans="1:32" s="209" customFormat="1" ht="15.75" customHeight="1">
      <c r="A414" s="202" t="str">
        <f>IF(B414&lt;&gt;"",IF(AND(B414&gt;=_TM1,B414&lt;=_TM2,OR(TH!L414="1111",TH!M414="1111")),TH!D414,""),"")</f>
        <v/>
      </c>
      <c r="B414" s="36">
        <f t="shared" si="25"/>
        <v>2</v>
      </c>
      <c r="C414" s="182">
        <f t="shared" si="26"/>
        <v>42429</v>
      </c>
      <c r="D414" s="189" t="s">
        <v>1145</v>
      </c>
      <c r="E414" s="189">
        <v>42429</v>
      </c>
      <c r="F414" s="190" t="s">
        <v>1437</v>
      </c>
      <c r="G414" s="451" t="s">
        <v>937</v>
      </c>
      <c r="H414" s="7" t="s">
        <v>643</v>
      </c>
      <c r="I414" s="251">
        <v>2000</v>
      </c>
      <c r="J414" s="251">
        <v>5200</v>
      </c>
      <c r="K414" s="38">
        <f>ROUND(I414*J414,0)</f>
        <v>10400000</v>
      </c>
      <c r="L414" s="192" t="s">
        <v>258</v>
      </c>
      <c r="M414" s="192" t="s">
        <v>173</v>
      </c>
      <c r="N414" s="52" t="str">
        <f>IF(AND('331-CT'!$E$7=TH!H414,OR(L414="331",M414="331")),"331",IF(AND(OR(L414="131",M414="131"),H414='131-CT'!$E$7),"131",""))</f>
        <v/>
      </c>
      <c r="O414" s="818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52"/>
      <c r="AB414" s="552"/>
    </row>
    <row r="415" spans="1:32" s="209" customFormat="1" ht="15.75" customHeight="1">
      <c r="A415" s="202" t="str">
        <f>IF(B415&lt;&gt;"",IF(AND(B415&gt;=_TM1,B415&lt;=_TM2,OR(TH!L415="1111",TH!M415="1111")),TH!D415,""),"")</f>
        <v/>
      </c>
      <c r="B415" s="36">
        <f t="shared" si="25"/>
        <v>2</v>
      </c>
      <c r="C415" s="182">
        <f t="shared" si="26"/>
        <v>42429</v>
      </c>
      <c r="D415" s="189" t="s">
        <v>1145</v>
      </c>
      <c r="E415" s="189">
        <v>42429</v>
      </c>
      <c r="F415" s="190" t="s">
        <v>393</v>
      </c>
      <c r="G415" s="451" t="s">
        <v>937</v>
      </c>
      <c r="H415" s="7" t="s">
        <v>643</v>
      </c>
      <c r="I415" s="251"/>
      <c r="J415" s="251"/>
      <c r="K415" s="560">
        <v>1040000</v>
      </c>
      <c r="L415" s="192" t="s">
        <v>258</v>
      </c>
      <c r="M415" s="192" t="s">
        <v>367</v>
      </c>
      <c r="N415" s="52" t="str">
        <f>IF(AND('331-CT'!$E$7=TH!H415,OR(L415="331",M415="331")),"331",IF(AND(OR(L415="131",M415="131"),H415='131-CT'!$E$7),"131",""))</f>
        <v/>
      </c>
      <c r="O415" s="818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52"/>
      <c r="AB415" s="552"/>
      <c r="AC415" s="552"/>
    </row>
    <row r="416" spans="1:32" s="209" customFormat="1" ht="15.75" customHeight="1">
      <c r="A416" s="202" t="str">
        <f>IF(B416&lt;&gt;"",IF(AND(B416&gt;=_TM1,B416&lt;=_TM2,OR(TH!L416="1111",TH!M416="1111")),TH!D416,""),"")</f>
        <v/>
      </c>
      <c r="B416" s="36">
        <f t="shared" si="25"/>
        <v>3</v>
      </c>
      <c r="C416" s="182">
        <f t="shared" si="26"/>
        <v>42430</v>
      </c>
      <c r="D416" s="182" t="s">
        <v>665</v>
      </c>
      <c r="E416" s="182">
        <v>42430</v>
      </c>
      <c r="F416" s="187" t="s">
        <v>666</v>
      </c>
      <c r="G416" s="448" t="s">
        <v>330</v>
      </c>
      <c r="H416" s="191" t="s">
        <v>786</v>
      </c>
      <c r="I416" s="251"/>
      <c r="J416" s="251"/>
      <c r="K416" s="560">
        <v>8140000</v>
      </c>
      <c r="L416" s="561" t="s">
        <v>24</v>
      </c>
      <c r="M416" s="561" t="s">
        <v>258</v>
      </c>
      <c r="N416" s="52" t="str">
        <f>IF(AND('331-CT'!$E$7=TH!H416,OR(L416="331",M416="331")),"331",IF(AND(OR(L416="131",M416="131"),H416='131-CT'!$E$7),"131",""))</f>
        <v/>
      </c>
      <c r="O416" s="818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52"/>
      <c r="AB416" s="552"/>
      <c r="AC416" s="552"/>
      <c r="AD416" s="552"/>
      <c r="AE416" s="552"/>
      <c r="AF416" s="552"/>
    </row>
    <row r="417" spans="1:32" s="209" customFormat="1" ht="15.75" customHeight="1">
      <c r="A417" s="202" t="str">
        <f>IF(B417&lt;&gt;"",IF(AND(B417&gt;=_TM1,B417&lt;=_TM2,OR(TH!L417="1111",TH!M417="1111")),TH!D417,""),"")</f>
        <v/>
      </c>
      <c r="B417" s="36">
        <f t="shared" si="25"/>
        <v>3</v>
      </c>
      <c r="C417" s="182">
        <f t="shared" si="26"/>
        <v>42430</v>
      </c>
      <c r="D417" s="182" t="s">
        <v>665</v>
      </c>
      <c r="E417" s="182">
        <v>42430</v>
      </c>
      <c r="F417" s="187" t="s">
        <v>666</v>
      </c>
      <c r="G417" s="448" t="s">
        <v>330</v>
      </c>
      <c r="H417" s="191" t="s">
        <v>615</v>
      </c>
      <c r="I417" s="251"/>
      <c r="J417" s="251"/>
      <c r="K417" s="560">
        <v>29877710</v>
      </c>
      <c r="L417" s="561" t="s">
        <v>24</v>
      </c>
      <c r="M417" s="561" t="s">
        <v>258</v>
      </c>
      <c r="N417" s="52" t="str">
        <f>IF(AND('331-CT'!$E$7=TH!H417,OR(L417="331",M417="331")),"331",IF(AND(OR(L417="131",M417="131"),H417='131-CT'!$E$7),"131",""))</f>
        <v/>
      </c>
      <c r="O417" s="818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52"/>
      <c r="AB417" s="552"/>
      <c r="AC417" s="552"/>
      <c r="AE417" s="552"/>
      <c r="AF417" s="552"/>
    </row>
    <row r="418" spans="1:32" s="209" customFormat="1" ht="15.75" customHeight="1">
      <c r="A418" s="202" t="str">
        <f>IF(B418&lt;&gt;"",IF(AND(B418&gt;=_TM1,B418&lt;=_TM2,OR(TH!L418="1111",TH!M418="1111")),TH!D418,""),"")</f>
        <v/>
      </c>
      <c r="B418" s="36">
        <f t="shared" si="25"/>
        <v>3</v>
      </c>
      <c r="C418" s="182">
        <f t="shared" si="26"/>
        <v>42430</v>
      </c>
      <c r="D418" s="182" t="s">
        <v>665</v>
      </c>
      <c r="E418" s="189">
        <v>42430</v>
      </c>
      <c r="F418" s="187" t="s">
        <v>666</v>
      </c>
      <c r="G418" s="448" t="s">
        <v>330</v>
      </c>
      <c r="H418" s="7" t="s">
        <v>787</v>
      </c>
      <c r="I418" s="251"/>
      <c r="J418" s="827"/>
      <c r="K418" s="560">
        <v>17055720</v>
      </c>
      <c r="L418" s="561" t="s">
        <v>24</v>
      </c>
      <c r="M418" s="561" t="s">
        <v>258</v>
      </c>
      <c r="N418" s="52" t="str">
        <f>IF(AND('331-CT'!$E$7=TH!H418,OR(L418="331",M418="331")),"331",IF(AND(OR(L418="131",M418="131"),H418='131-CT'!$E$7),"131",""))</f>
        <v/>
      </c>
      <c r="O418" s="818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52"/>
      <c r="AB418" s="552"/>
      <c r="AC418" s="552"/>
      <c r="AE418" s="552"/>
      <c r="AF418" s="552"/>
    </row>
    <row r="419" spans="1:32" s="209" customFormat="1" ht="15.75" customHeight="1">
      <c r="A419" s="202" t="str">
        <f>IF(B419&lt;&gt;"",IF(AND(B419&gt;=_TM1,B419&lt;=_TM2,OR(TH!L419="1111",TH!M419="1111")),TH!D419,""),"")</f>
        <v/>
      </c>
      <c r="B419" s="36">
        <f t="shared" si="25"/>
        <v>3</v>
      </c>
      <c r="C419" s="182">
        <f t="shared" si="26"/>
        <v>42430</v>
      </c>
      <c r="D419" s="182" t="s">
        <v>1648</v>
      </c>
      <c r="E419" s="189">
        <v>42430</v>
      </c>
      <c r="F419" s="187" t="s">
        <v>776</v>
      </c>
      <c r="G419" s="448" t="s">
        <v>330</v>
      </c>
      <c r="H419" s="191" t="s">
        <v>675</v>
      </c>
      <c r="I419" s="251"/>
      <c r="J419" s="251"/>
      <c r="K419" s="38">
        <v>8100000</v>
      </c>
      <c r="L419" s="192" t="s">
        <v>47</v>
      </c>
      <c r="M419" s="561" t="s">
        <v>24</v>
      </c>
      <c r="N419" s="52" t="str">
        <f>IF(AND('331-CT'!$E$7=TH!H419,OR(L419="331",M419="331")),"331",IF(AND(OR(L419="131",M419="131"),H419='131-CT'!$E$7),"131",""))</f>
        <v/>
      </c>
      <c r="O419" s="818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52"/>
      <c r="AB419" s="552"/>
      <c r="AC419" s="552"/>
      <c r="AD419" s="552"/>
    </row>
    <row r="420" spans="1:32" s="209" customFormat="1" ht="15.75" customHeight="1">
      <c r="A420" s="202" t="str">
        <f>IF(B420&lt;&gt;"",IF(AND(B420&gt;=_TM1,B420&lt;=_TM2,OR(TH!L420="1111",TH!M420="1111")),TH!D420,""),"")</f>
        <v/>
      </c>
      <c r="B420" s="36">
        <f t="shared" si="25"/>
        <v>3</v>
      </c>
      <c r="C420" s="182">
        <f t="shared" si="26"/>
        <v>42430</v>
      </c>
      <c r="D420" s="182" t="s">
        <v>1648</v>
      </c>
      <c r="E420" s="189">
        <v>42430</v>
      </c>
      <c r="F420" s="187" t="s">
        <v>776</v>
      </c>
      <c r="G420" s="448" t="s">
        <v>330</v>
      </c>
      <c r="H420" s="191" t="s">
        <v>782</v>
      </c>
      <c r="I420" s="251"/>
      <c r="J420" s="251"/>
      <c r="K420" s="38">
        <v>47000000</v>
      </c>
      <c r="L420" s="192" t="s">
        <v>47</v>
      </c>
      <c r="M420" s="561" t="s">
        <v>24</v>
      </c>
      <c r="N420" s="52" t="str">
        <f>IF(AND('331-CT'!$E$7=TH!H420,OR(L420="331",M420="331")),"331",IF(AND(OR(L420="131",M420="131"),H420='131-CT'!$E$7),"131",""))</f>
        <v/>
      </c>
      <c r="O420" s="818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52"/>
      <c r="AB420" s="552"/>
      <c r="AC420" s="552"/>
      <c r="AD420" s="552"/>
    </row>
    <row r="421" spans="1:32" s="209" customFormat="1" ht="15.75" customHeight="1">
      <c r="A421" s="202" t="str">
        <f>IF(B421&lt;&gt;"",IF(AND(B421&gt;=_TM1,B421&lt;=_TM2,OR(TH!L421="1111",TH!M421="1111")),TH!D421,""),"")</f>
        <v/>
      </c>
      <c r="B421" s="36">
        <f t="shared" si="25"/>
        <v>3</v>
      </c>
      <c r="C421" s="182">
        <f t="shared" si="26"/>
        <v>42430</v>
      </c>
      <c r="D421" s="189" t="s">
        <v>1190</v>
      </c>
      <c r="E421" s="189">
        <v>42430</v>
      </c>
      <c r="F421" s="190" t="s">
        <v>676</v>
      </c>
      <c r="G421" s="448" t="s">
        <v>483</v>
      </c>
      <c r="H421" s="45" t="s">
        <v>803</v>
      </c>
      <c r="I421" s="251">
        <v>2267</v>
      </c>
      <c r="J421" s="251">
        <v>7200</v>
      </c>
      <c r="K421" s="38">
        <f>ROUND(I421*J421,0)</f>
        <v>16322400</v>
      </c>
      <c r="L421" s="192" t="s">
        <v>158</v>
      </c>
      <c r="M421" s="561" t="s">
        <v>8</v>
      </c>
      <c r="N421" s="52" t="str">
        <f>IF(AND('331-CT'!$E$7=TH!H421,OR(L421="331",M421="331")),"331",IF(AND(OR(L421="131",M421="131"),H421='131-CT'!$E$7),"131",""))</f>
        <v/>
      </c>
      <c r="O421" s="818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52">
        <v>1</v>
      </c>
      <c r="AB421" s="552"/>
      <c r="AC421" s="209" t="str">
        <f>IF(VLOOKUP(H421,DSKH,1,0)=H421,"","x")</f>
        <v/>
      </c>
      <c r="AE421" s="552"/>
      <c r="AF421" s="552"/>
    </row>
    <row r="422" spans="1:32" s="209" customFormat="1" ht="15.75" customHeight="1">
      <c r="A422" s="202" t="str">
        <f>IF(B422&lt;&gt;"",IF(AND(B422&gt;=_TM1,B422&lt;=_TM2,OR(TH!L422="1111",TH!M422="1111")),TH!D422,""),"")</f>
        <v/>
      </c>
      <c r="B422" s="36">
        <f t="shared" si="25"/>
        <v>3</v>
      </c>
      <c r="C422" s="182">
        <f t="shared" si="26"/>
        <v>42430</v>
      </c>
      <c r="D422" s="189" t="s">
        <v>1190</v>
      </c>
      <c r="E422" s="189">
        <v>42430</v>
      </c>
      <c r="F422" s="190" t="s">
        <v>684</v>
      </c>
      <c r="G422" s="448" t="s">
        <v>483</v>
      </c>
      <c r="H422" s="45" t="s">
        <v>803</v>
      </c>
      <c r="I422" s="251"/>
      <c r="J422" s="251"/>
      <c r="K422" s="38">
        <v>1632240</v>
      </c>
      <c r="L422" s="192" t="s">
        <v>9</v>
      </c>
      <c r="M422" s="561" t="s">
        <v>8</v>
      </c>
      <c r="N422" s="52" t="str">
        <f>IF(AND('331-CT'!$E$7=TH!H422,OR(L422="331",M422="331")),"331",IF(AND(OR(L422="131",M422="131"),H422='131-CT'!$E$7),"131",""))</f>
        <v/>
      </c>
      <c r="O422" s="818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52">
        <v>1</v>
      </c>
      <c r="AB422" s="552"/>
      <c r="AC422" s="209" t="str">
        <f>IF(VLOOKUP(H422,DSKH,1,0)=H422,"","x")</f>
        <v/>
      </c>
      <c r="AE422" s="552"/>
      <c r="AF422" s="552"/>
    </row>
    <row r="423" spans="1:32" s="209" customFormat="1" ht="15.75" customHeight="1">
      <c r="A423" s="202" t="str">
        <f>IF(B423&lt;&gt;"",IF(AND(B423&gt;=_TM1,B423&lt;=_TM2,OR(TH!L423="1111",TH!M423="1111")),TH!D423,""),"")</f>
        <v/>
      </c>
      <c r="B423" s="36">
        <f t="shared" si="25"/>
        <v>3</v>
      </c>
      <c r="C423" s="182">
        <f t="shared" si="26"/>
        <v>42430</v>
      </c>
      <c r="D423" s="189" t="s">
        <v>1649</v>
      </c>
      <c r="E423" s="189">
        <v>42430</v>
      </c>
      <c r="F423" s="187" t="s">
        <v>671</v>
      </c>
      <c r="G423" s="448" t="s">
        <v>483</v>
      </c>
      <c r="H423" s="45" t="s">
        <v>803</v>
      </c>
      <c r="I423" s="251"/>
      <c r="J423" s="251"/>
      <c r="K423" s="38">
        <v>17954640</v>
      </c>
      <c r="L423" s="192" t="s">
        <v>8</v>
      </c>
      <c r="M423" s="561" t="s">
        <v>47</v>
      </c>
      <c r="N423" s="52" t="str">
        <f>IF(AND('331-CT'!$E$7=TH!H423,OR(L423="331",M423="331")),"331",IF(AND(OR(L423="131",M423="131"),H423='131-CT'!$E$7),"131",""))</f>
        <v/>
      </c>
      <c r="O423" s="818" t="str">
        <f>IF(AND('341-CT'!$E$9=H423,OR(LEFT(L423,3)=$O$7,LEFT(M423,3)=$O$7)),"x","")</f>
        <v/>
      </c>
      <c r="P423" s="52" t="str">
        <f>IF(AND($B423&gt;='111'!$N$11,$B423&lt;='111'!$O$11,OR($L423=$P$7,$M423=$P$7)),"x","")</f>
        <v>x</v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52"/>
      <c r="AB423" s="552"/>
      <c r="AC423" s="209" t="str">
        <f>IF(VLOOKUP(H423,DSKH,1,0)=H423,"","x")</f>
        <v/>
      </c>
      <c r="AE423" s="552"/>
      <c r="AF423" s="552"/>
    </row>
    <row r="424" spans="1:32" s="209" customFormat="1" ht="15.75" customHeight="1">
      <c r="A424" s="202" t="str">
        <f>IF(B424&lt;&gt;"",IF(AND(B424&gt;=_TM1,B424&lt;=_TM2,OR(TH!L424="1111",TH!M424="1111")),TH!D424,""),"")</f>
        <v/>
      </c>
      <c r="B424" s="36">
        <f t="shared" si="25"/>
        <v>3</v>
      </c>
      <c r="C424" s="182">
        <f t="shared" si="26"/>
        <v>42430</v>
      </c>
      <c r="D424" s="189" t="s">
        <v>1146</v>
      </c>
      <c r="E424" s="189">
        <v>42430</v>
      </c>
      <c r="F424" s="190" t="s">
        <v>938</v>
      </c>
      <c r="G424" s="451" t="s">
        <v>449</v>
      </c>
      <c r="H424" s="191" t="s">
        <v>609</v>
      </c>
      <c r="I424" s="251">
        <v>1600</v>
      </c>
      <c r="J424" s="251">
        <v>14000</v>
      </c>
      <c r="K424" s="38">
        <f>ROUND(I424*J424,0)</f>
        <v>22400000</v>
      </c>
      <c r="L424" s="192" t="s">
        <v>258</v>
      </c>
      <c r="M424" s="192" t="s">
        <v>173</v>
      </c>
      <c r="N424" s="52" t="str">
        <f>IF(AND('331-CT'!$E$7=TH!H424,OR(L424="331",M424="331")),"331",IF(AND(OR(L424="131",M424="131"),H424='131-CT'!$E$7),"131",""))</f>
        <v/>
      </c>
      <c r="O424" s="818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52"/>
      <c r="AB424" s="552"/>
      <c r="AC424" s="552"/>
    </row>
    <row r="425" spans="1:32" s="209" customFormat="1" ht="15.75" customHeight="1">
      <c r="A425" s="202" t="str">
        <f>IF(B425&lt;&gt;"",IF(AND(B425&gt;=_TM1,B425&lt;=_TM2,OR(TH!L425="1111",TH!M425="1111")),TH!D425,""),"")</f>
        <v/>
      </c>
      <c r="B425" s="36">
        <f t="shared" si="25"/>
        <v>3</v>
      </c>
      <c r="C425" s="182">
        <f t="shared" si="26"/>
        <v>42430</v>
      </c>
      <c r="D425" s="189" t="s">
        <v>1146</v>
      </c>
      <c r="E425" s="189">
        <v>42430</v>
      </c>
      <c r="F425" s="190" t="s">
        <v>902</v>
      </c>
      <c r="G425" s="451" t="s">
        <v>449</v>
      </c>
      <c r="H425" s="191" t="s">
        <v>609</v>
      </c>
      <c r="I425" s="251">
        <v>55</v>
      </c>
      <c r="J425" s="251">
        <v>7700</v>
      </c>
      <c r="K425" s="38">
        <f>ROUND(I425*J425,0)</f>
        <v>423500</v>
      </c>
      <c r="L425" s="192" t="s">
        <v>258</v>
      </c>
      <c r="M425" s="192" t="s">
        <v>173</v>
      </c>
      <c r="N425" s="52" t="str">
        <f>IF(AND('331-CT'!$E$7=TH!H425,OR(L425="331",M425="331")),"331",IF(AND(OR(L425="131",M425="131"),H425='131-CT'!$E$7),"131",""))</f>
        <v/>
      </c>
      <c r="O425" s="818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52"/>
      <c r="AB425" s="552"/>
      <c r="AC425" s="552"/>
    </row>
    <row r="426" spans="1:32" s="209" customFormat="1" ht="15.75" customHeight="1">
      <c r="A426" s="202" t="str">
        <f>IF(B426&lt;&gt;"",IF(AND(B426&gt;=_TM1,B426&lt;=_TM2,OR(TH!L426="1111",TH!M426="1111")),TH!D426,""),"")</f>
        <v/>
      </c>
      <c r="B426" s="36">
        <f t="shared" si="25"/>
        <v>3</v>
      </c>
      <c r="C426" s="182">
        <f t="shared" si="26"/>
        <v>42430</v>
      </c>
      <c r="D426" s="189" t="s">
        <v>1146</v>
      </c>
      <c r="E426" s="189">
        <v>42430</v>
      </c>
      <c r="F426" s="190" t="s">
        <v>939</v>
      </c>
      <c r="G426" s="451" t="s">
        <v>449</v>
      </c>
      <c r="H426" s="191" t="s">
        <v>609</v>
      </c>
      <c r="I426" s="251">
        <v>55</v>
      </c>
      <c r="J426" s="251">
        <v>6900</v>
      </c>
      <c r="K426" s="38">
        <f>ROUND(I426*J426,0)</f>
        <v>379500</v>
      </c>
      <c r="L426" s="192" t="s">
        <v>258</v>
      </c>
      <c r="M426" s="192" t="s">
        <v>173</v>
      </c>
      <c r="N426" s="52" t="str">
        <f>IF(AND('331-CT'!$E$7=TH!H426,OR(L426="331",M426="331")),"331",IF(AND(OR(L426="131",M426="131"),H426='131-CT'!$E$7),"131",""))</f>
        <v/>
      </c>
      <c r="O426" s="818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52"/>
      <c r="AB426" s="552"/>
    </row>
    <row r="427" spans="1:32" s="209" customFormat="1" ht="15.75" customHeight="1">
      <c r="A427" s="202" t="str">
        <f>IF(B427&lt;&gt;"",IF(AND(B427&gt;=_TM1,B427&lt;=_TM2,OR(TH!L427="1111",TH!M427="1111")),TH!D427,""),"")</f>
        <v/>
      </c>
      <c r="B427" s="36">
        <f t="shared" si="25"/>
        <v>3</v>
      </c>
      <c r="C427" s="182">
        <f t="shared" si="26"/>
        <v>42430</v>
      </c>
      <c r="D427" s="189" t="s">
        <v>1146</v>
      </c>
      <c r="E427" s="189">
        <v>42430</v>
      </c>
      <c r="F427" s="190" t="s">
        <v>940</v>
      </c>
      <c r="G427" s="451" t="s">
        <v>449</v>
      </c>
      <c r="H427" s="191" t="s">
        <v>609</v>
      </c>
      <c r="I427" s="251">
        <v>1993</v>
      </c>
      <c r="J427" s="251">
        <v>7520</v>
      </c>
      <c r="K427" s="38">
        <f>ROUND(I427*J427,0)</f>
        <v>14987360</v>
      </c>
      <c r="L427" s="192" t="s">
        <v>258</v>
      </c>
      <c r="M427" s="192" t="s">
        <v>173</v>
      </c>
      <c r="N427" s="52" t="str">
        <f>IF(AND('331-CT'!$E$7=TH!H427,OR(L427="331",M427="331")),"331",IF(AND(OR(L427="131",M427="131"),H427='131-CT'!$E$7),"131",""))</f>
        <v/>
      </c>
      <c r="O427" s="818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52"/>
      <c r="AB427" s="552"/>
    </row>
    <row r="428" spans="1:32" s="209" customFormat="1" ht="15.75" customHeight="1">
      <c r="A428" s="202" t="str">
        <f>IF(B428&lt;&gt;"",IF(AND(B428&gt;=_TM1,B428&lt;=_TM2,OR(TH!L428="1111",TH!M428="1111")),TH!D428,""),"")</f>
        <v/>
      </c>
      <c r="B428" s="36">
        <f t="shared" si="25"/>
        <v>3</v>
      </c>
      <c r="C428" s="182">
        <f t="shared" si="26"/>
        <v>42430</v>
      </c>
      <c r="D428" s="189" t="s">
        <v>1146</v>
      </c>
      <c r="E428" s="189">
        <v>42430</v>
      </c>
      <c r="F428" s="190" t="s">
        <v>393</v>
      </c>
      <c r="G428" s="451" t="s">
        <v>449</v>
      </c>
      <c r="H428" s="191" t="s">
        <v>609</v>
      </c>
      <c r="I428" s="251"/>
      <c r="J428" s="251"/>
      <c r="K428" s="560">
        <v>3819036</v>
      </c>
      <c r="L428" s="192" t="s">
        <v>258</v>
      </c>
      <c r="M428" s="192" t="s">
        <v>367</v>
      </c>
      <c r="N428" s="52" t="str">
        <f>IF(AND('331-CT'!$E$7=TH!H428,OR(L428="331",M428="331")),"331",IF(AND(OR(L428="131",M428="131"),H428='131-CT'!$E$7),"131",""))</f>
        <v/>
      </c>
      <c r="O428" s="818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52"/>
      <c r="AB428" s="552"/>
    </row>
    <row r="429" spans="1:32" s="209" customFormat="1" ht="15.75" customHeight="1">
      <c r="A429" s="202" t="str">
        <f>IF(B429&lt;&gt;"",IF(AND(B429&gt;=_TM1,B429&lt;=_TM2,OR(TH!L429="1111",TH!M429="1111")),TH!D429,""),"")</f>
        <v/>
      </c>
      <c r="B429" s="36">
        <f t="shared" si="25"/>
        <v>3</v>
      </c>
      <c r="C429" s="182">
        <f t="shared" si="26"/>
        <v>42430</v>
      </c>
      <c r="D429" s="189" t="s">
        <v>1147</v>
      </c>
      <c r="E429" s="189">
        <v>42430</v>
      </c>
      <c r="F429" s="190" t="s">
        <v>436</v>
      </c>
      <c r="G429" s="451" t="s">
        <v>450</v>
      </c>
      <c r="H429" s="828" t="s">
        <v>565</v>
      </c>
      <c r="I429" s="251">
        <v>273</v>
      </c>
      <c r="J429" s="251">
        <v>5900</v>
      </c>
      <c r="K429" s="38">
        <f>ROUND(I429*J429,0)</f>
        <v>1610700</v>
      </c>
      <c r="L429" s="192" t="s">
        <v>258</v>
      </c>
      <c r="M429" s="192" t="s">
        <v>173</v>
      </c>
      <c r="N429" s="52" t="str">
        <f>IF(AND('331-CT'!$E$7=TH!H429,OR(L429="331",M429="331")),"331",IF(AND(OR(L429="131",M429="131"),H429='131-CT'!$E$7),"131",""))</f>
        <v/>
      </c>
      <c r="O429" s="818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52"/>
      <c r="AB429" s="552"/>
      <c r="AC429" s="552"/>
    </row>
    <row r="430" spans="1:32" s="209" customFormat="1" ht="15.75" customHeight="1">
      <c r="A430" s="202" t="str">
        <f>IF(B430&lt;&gt;"",IF(AND(B430&gt;=_TM1,B430&lt;=_TM2,OR(TH!L430="1111",TH!M430="1111")),TH!D430,""),"")</f>
        <v/>
      </c>
      <c r="B430" s="36">
        <f t="shared" si="25"/>
        <v>3</v>
      </c>
      <c r="C430" s="182">
        <f t="shared" si="26"/>
        <v>42430</v>
      </c>
      <c r="D430" s="189" t="s">
        <v>1147</v>
      </c>
      <c r="E430" s="189">
        <v>42430</v>
      </c>
      <c r="F430" s="190" t="s">
        <v>393</v>
      </c>
      <c r="G430" s="451" t="s">
        <v>450</v>
      </c>
      <c r="H430" s="828" t="s">
        <v>565</v>
      </c>
      <c r="I430" s="251"/>
      <c r="J430" s="251"/>
      <c r="K430" s="560">
        <v>161070</v>
      </c>
      <c r="L430" s="192" t="s">
        <v>258</v>
      </c>
      <c r="M430" s="192" t="s">
        <v>367</v>
      </c>
      <c r="N430" s="52" t="str">
        <f>IF(AND('331-CT'!$E$7=TH!H430,OR(L430="331",M430="331")),"331",IF(AND(OR(L430="131",M430="131"),H430='131-CT'!$E$7),"131",""))</f>
        <v/>
      </c>
      <c r="O430" s="818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52"/>
      <c r="AB430" s="552"/>
      <c r="AC430" s="552"/>
    </row>
    <row r="431" spans="1:32" s="209" customFormat="1" ht="15.75" customHeight="1">
      <c r="A431" s="202" t="str">
        <f>IF(B431&lt;&gt;"",IF(AND(B431&gt;=_TM1,B431&lt;=_TM2,OR(TH!L431="1111",TH!M431="1111")),TH!D431,""),"")</f>
        <v/>
      </c>
      <c r="B431" s="36">
        <f t="shared" si="25"/>
        <v>3</v>
      </c>
      <c r="C431" s="182">
        <f t="shared" si="26"/>
        <v>42430</v>
      </c>
      <c r="D431" s="189" t="s">
        <v>1148</v>
      </c>
      <c r="E431" s="189">
        <v>42430</v>
      </c>
      <c r="F431" s="190" t="s">
        <v>941</v>
      </c>
      <c r="G431" s="451" t="s">
        <v>451</v>
      </c>
      <c r="H431" s="7" t="s">
        <v>1285</v>
      </c>
      <c r="I431" s="251">
        <v>78</v>
      </c>
      <c r="J431" s="251">
        <v>7200</v>
      </c>
      <c r="K431" s="38">
        <f t="shared" ref="K431:K437" si="27">ROUND(I431*J431,0)</f>
        <v>561600</v>
      </c>
      <c r="L431" s="192" t="s">
        <v>258</v>
      </c>
      <c r="M431" s="192" t="s">
        <v>173</v>
      </c>
      <c r="N431" s="52" t="str">
        <f>IF(AND('331-CT'!$E$7=TH!H431,OR(L431="331",M431="331")),"331",IF(AND(OR(L431="131",M431="131"),H431='131-CT'!$E$7),"131",""))</f>
        <v/>
      </c>
      <c r="O431" s="818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52"/>
      <c r="AB431" s="552"/>
      <c r="AC431" s="552"/>
    </row>
    <row r="432" spans="1:32" s="209" customFormat="1" ht="15.75" customHeight="1">
      <c r="A432" s="202" t="str">
        <f>IF(B432&lt;&gt;"",IF(AND(B432&gt;=_TM1,B432&lt;=_TM2,OR(TH!L432="1111",TH!M432="1111")),TH!D432,""),"")</f>
        <v/>
      </c>
      <c r="B432" s="36">
        <f t="shared" si="25"/>
        <v>3</v>
      </c>
      <c r="C432" s="182">
        <f t="shared" si="26"/>
        <v>42430</v>
      </c>
      <c r="D432" s="189" t="s">
        <v>1148</v>
      </c>
      <c r="E432" s="189">
        <v>42430</v>
      </c>
      <c r="F432" s="190" t="s">
        <v>942</v>
      </c>
      <c r="G432" s="451" t="s">
        <v>451</v>
      </c>
      <c r="H432" s="7" t="s">
        <v>1285</v>
      </c>
      <c r="I432" s="251">
        <v>85</v>
      </c>
      <c r="J432" s="251">
        <v>9600</v>
      </c>
      <c r="K432" s="38">
        <f t="shared" si="27"/>
        <v>816000</v>
      </c>
      <c r="L432" s="192" t="s">
        <v>258</v>
      </c>
      <c r="M432" s="192" t="s">
        <v>173</v>
      </c>
      <c r="N432" s="52" t="str">
        <f>IF(AND('331-CT'!$E$7=TH!H432,OR(L432="331",M432="331")),"331",IF(AND(OR(L432="131",M432="131"),H432='131-CT'!$E$7),"131",""))</f>
        <v/>
      </c>
      <c r="O432" s="818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52"/>
      <c r="AB432" s="552"/>
      <c r="AC432" s="552"/>
    </row>
    <row r="433" spans="1:32" s="209" customFormat="1" ht="15.75" customHeight="1">
      <c r="A433" s="202" t="str">
        <f>IF(B433&lt;&gt;"",IF(AND(B433&gt;=_TM1,B433&lt;=_TM2,OR(TH!L433="1111",TH!M433="1111")),TH!D433,""),"")</f>
        <v/>
      </c>
      <c r="B433" s="36">
        <f t="shared" si="25"/>
        <v>3</v>
      </c>
      <c r="C433" s="182">
        <f t="shared" si="26"/>
        <v>42430</v>
      </c>
      <c r="D433" s="189" t="s">
        <v>1148</v>
      </c>
      <c r="E433" s="189">
        <v>42430</v>
      </c>
      <c r="F433" s="190" t="s">
        <v>943</v>
      </c>
      <c r="G433" s="451" t="s">
        <v>451</v>
      </c>
      <c r="H433" s="7" t="s">
        <v>1285</v>
      </c>
      <c r="I433" s="251">
        <v>76</v>
      </c>
      <c r="J433" s="251">
        <v>13400</v>
      </c>
      <c r="K433" s="38">
        <f t="shared" si="27"/>
        <v>1018400</v>
      </c>
      <c r="L433" s="192" t="s">
        <v>258</v>
      </c>
      <c r="M433" s="192" t="s">
        <v>173</v>
      </c>
      <c r="N433" s="52" t="str">
        <f>IF(AND('331-CT'!$E$7=TH!H433,OR(L433="331",M433="331")),"331",IF(AND(OR(L433="131",M433="131"),H433='131-CT'!$E$7),"131",""))</f>
        <v/>
      </c>
      <c r="O433" s="818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52"/>
      <c r="AB433" s="552"/>
      <c r="AC433" s="552"/>
    </row>
    <row r="434" spans="1:32" s="209" customFormat="1" ht="15.75" customHeight="1">
      <c r="A434" s="202" t="str">
        <f>IF(B434&lt;&gt;"",IF(AND(B434&gt;=_TM1,B434&lt;=_TM2,OR(TH!L434="1111",TH!M434="1111")),TH!D434,""),"")</f>
        <v/>
      </c>
      <c r="B434" s="36">
        <f t="shared" si="25"/>
        <v>3</v>
      </c>
      <c r="C434" s="182">
        <f t="shared" si="26"/>
        <v>42430</v>
      </c>
      <c r="D434" s="189" t="s">
        <v>1148</v>
      </c>
      <c r="E434" s="189">
        <v>42430</v>
      </c>
      <c r="F434" s="190" t="s">
        <v>944</v>
      </c>
      <c r="G434" s="451" t="s">
        <v>451</v>
      </c>
      <c r="H434" s="7" t="s">
        <v>1285</v>
      </c>
      <c r="I434" s="251">
        <v>91</v>
      </c>
      <c r="J434" s="251">
        <v>19400</v>
      </c>
      <c r="K434" s="38">
        <f t="shared" si="27"/>
        <v>1765400</v>
      </c>
      <c r="L434" s="192" t="s">
        <v>258</v>
      </c>
      <c r="M434" s="192" t="s">
        <v>173</v>
      </c>
      <c r="N434" s="52" t="str">
        <f>IF(AND('331-CT'!$E$7=TH!H434,OR(L434="331",M434="331")),"331",IF(AND(OR(L434="131",M434="131"),H434='131-CT'!$E$7),"131",""))</f>
        <v/>
      </c>
      <c r="O434" s="818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52"/>
      <c r="AB434" s="552"/>
      <c r="AC434" s="552"/>
    </row>
    <row r="435" spans="1:32" s="209" customFormat="1" ht="15.75" customHeight="1">
      <c r="A435" s="202" t="str">
        <f>IF(B435&lt;&gt;"",IF(AND(B435&gt;=_TM1,B435&lt;=_TM2,OR(TH!L435="1111",TH!M435="1111")),TH!D435,""),"")</f>
        <v/>
      </c>
      <c r="B435" s="36">
        <f t="shared" si="25"/>
        <v>3</v>
      </c>
      <c r="C435" s="182">
        <f t="shared" si="26"/>
        <v>42430</v>
      </c>
      <c r="D435" s="189" t="s">
        <v>1148</v>
      </c>
      <c r="E435" s="189">
        <v>42430</v>
      </c>
      <c r="F435" s="286" t="s">
        <v>945</v>
      </c>
      <c r="G435" s="451" t="s">
        <v>451</v>
      </c>
      <c r="H435" s="7" t="s">
        <v>1285</v>
      </c>
      <c r="I435" s="251">
        <v>473</v>
      </c>
      <c r="J435" s="251">
        <v>4400</v>
      </c>
      <c r="K435" s="38">
        <f t="shared" si="27"/>
        <v>2081200</v>
      </c>
      <c r="L435" s="192" t="s">
        <v>258</v>
      </c>
      <c r="M435" s="192" t="s">
        <v>173</v>
      </c>
      <c r="N435" s="52" t="str">
        <f>IF(AND('331-CT'!$E$7=TH!H435,OR(L435="331",M435="331")),"331",IF(AND(OR(L435="131",M435="131"),H435='131-CT'!$E$7),"131",""))</f>
        <v/>
      </c>
      <c r="O435" s="818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52"/>
      <c r="AB435" s="552"/>
    </row>
    <row r="436" spans="1:32" s="209" customFormat="1" ht="15.75" customHeight="1">
      <c r="A436" s="202" t="str">
        <f>IF(B436&lt;&gt;"",IF(AND(B436&gt;=_TM1,B436&lt;=_TM2,OR(TH!L436="1111",TH!M436="1111")),TH!D436,""),"")</f>
        <v/>
      </c>
      <c r="B436" s="36">
        <f t="shared" si="25"/>
        <v>3</v>
      </c>
      <c r="C436" s="182">
        <f t="shared" si="26"/>
        <v>42430</v>
      </c>
      <c r="D436" s="189" t="s">
        <v>1148</v>
      </c>
      <c r="E436" s="189">
        <v>42430</v>
      </c>
      <c r="F436" s="286" t="s">
        <v>946</v>
      </c>
      <c r="G436" s="451" t="s">
        <v>451</v>
      </c>
      <c r="H436" s="7" t="s">
        <v>1285</v>
      </c>
      <c r="I436" s="714">
        <v>470</v>
      </c>
      <c r="J436" s="251">
        <v>6200</v>
      </c>
      <c r="K436" s="38">
        <f t="shared" si="27"/>
        <v>2914000</v>
      </c>
      <c r="L436" s="192" t="s">
        <v>258</v>
      </c>
      <c r="M436" s="192" t="s">
        <v>173</v>
      </c>
      <c r="N436" s="52" t="str">
        <f>IF(AND('331-CT'!$E$7=TH!H436,OR(L436="331",M436="331")),"331",IF(AND(OR(L436="131",M436="131"),H436='131-CT'!$E$7),"131",""))</f>
        <v/>
      </c>
      <c r="O436" s="818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52"/>
      <c r="AB436" s="552"/>
      <c r="AC436" s="552"/>
    </row>
    <row r="437" spans="1:32" s="209" customFormat="1" ht="15.75" customHeight="1">
      <c r="A437" s="202" t="str">
        <f>IF(B437&lt;&gt;"",IF(AND(B437&gt;=_TM1,B437&lt;=_TM2,OR(TH!L437="1111",TH!M437="1111")),TH!D437,""),"")</f>
        <v/>
      </c>
      <c r="B437" s="779">
        <f t="shared" si="25"/>
        <v>3</v>
      </c>
      <c r="C437" s="780">
        <f t="shared" si="26"/>
        <v>42430</v>
      </c>
      <c r="D437" s="189" t="s">
        <v>1148</v>
      </c>
      <c r="E437" s="189">
        <v>42430</v>
      </c>
      <c r="F437" s="187" t="s">
        <v>947</v>
      </c>
      <c r="G437" s="451" t="s">
        <v>451</v>
      </c>
      <c r="H437" s="7" t="s">
        <v>1285</v>
      </c>
      <c r="I437" s="254">
        <v>475</v>
      </c>
      <c r="J437" s="254">
        <v>10200</v>
      </c>
      <c r="K437" s="38">
        <f t="shared" si="27"/>
        <v>4845000</v>
      </c>
      <c r="L437" s="192" t="s">
        <v>258</v>
      </c>
      <c r="M437" s="192" t="s">
        <v>173</v>
      </c>
      <c r="N437" s="52" t="str">
        <f>IF(AND('331-CT'!$E$7=TH!H437,OR(L437="331",M437="331")),"331",IF(AND(OR(L437="131",M437="131"),H437='131-CT'!$E$7),"131",""))</f>
        <v/>
      </c>
      <c r="O437" s="818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52"/>
      <c r="AB437" s="552"/>
      <c r="AC437" s="788"/>
      <c r="AD437" s="788"/>
      <c r="AE437" s="788"/>
      <c r="AF437" s="790"/>
    </row>
    <row r="438" spans="1:32" s="209" customFormat="1" ht="15.75" customHeight="1">
      <c r="A438" s="202" t="str">
        <f>IF(B438&lt;&gt;"",IF(AND(B438&gt;=_TM1,B438&lt;=_TM2,OR(TH!L438="1111",TH!M438="1111")),TH!D438,""),"")</f>
        <v/>
      </c>
      <c r="B438" s="36">
        <f t="shared" si="25"/>
        <v>3</v>
      </c>
      <c r="C438" s="182">
        <f t="shared" si="26"/>
        <v>42430</v>
      </c>
      <c r="D438" s="189" t="s">
        <v>1148</v>
      </c>
      <c r="E438" s="189">
        <v>42430</v>
      </c>
      <c r="F438" s="187" t="s">
        <v>393</v>
      </c>
      <c r="G438" s="451" t="s">
        <v>451</v>
      </c>
      <c r="H438" s="7" t="s">
        <v>1285</v>
      </c>
      <c r="I438" s="254"/>
      <c r="J438" s="254"/>
      <c r="K438" s="560">
        <v>1400160</v>
      </c>
      <c r="L438" s="192" t="s">
        <v>258</v>
      </c>
      <c r="M438" s="192" t="s">
        <v>367</v>
      </c>
      <c r="N438" s="52" t="str">
        <f>IF(AND('331-CT'!$E$7=TH!H438,OR(L438="331",M438="331")),"331",IF(AND(OR(L438="131",M438="131"),H438='131-CT'!$E$7),"131",""))</f>
        <v/>
      </c>
      <c r="O438" s="818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52"/>
      <c r="AB438" s="552"/>
      <c r="AC438" s="552"/>
    </row>
    <row r="439" spans="1:32" s="209" customFormat="1" ht="15.75" customHeight="1">
      <c r="A439" s="202" t="str">
        <f>IF(B439&lt;&gt;"",IF(AND(B439&gt;=_TM1,B439&lt;=_TM2,OR(TH!L439="1111",TH!M439="1111")),TH!D439,""),"")</f>
        <v/>
      </c>
      <c r="B439" s="36">
        <f t="shared" si="25"/>
        <v>3</v>
      </c>
      <c r="C439" s="182">
        <f t="shared" si="26"/>
        <v>42432</v>
      </c>
      <c r="D439" s="182" t="s">
        <v>665</v>
      </c>
      <c r="E439" s="189">
        <v>42432</v>
      </c>
      <c r="F439" s="187" t="s">
        <v>666</v>
      </c>
      <c r="G439" s="448" t="s">
        <v>330</v>
      </c>
      <c r="H439" s="7" t="s">
        <v>391</v>
      </c>
      <c r="I439" s="251"/>
      <c r="J439" s="827"/>
      <c r="K439" s="560">
        <v>9111751</v>
      </c>
      <c r="L439" s="561" t="s">
        <v>24</v>
      </c>
      <c r="M439" s="561" t="s">
        <v>258</v>
      </c>
      <c r="N439" s="52" t="str">
        <f>IF(AND('331-CT'!$E$7=TH!H439,OR(L439="331",M439="331")),"331",IF(AND(OR(L439="131",M439="131"),H439='131-CT'!$E$7),"131",""))</f>
        <v/>
      </c>
      <c r="O439" s="818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52"/>
      <c r="AB439" s="552"/>
      <c r="AC439" s="552"/>
      <c r="AD439" s="552"/>
      <c r="AE439" s="552"/>
      <c r="AF439" s="552"/>
    </row>
    <row r="440" spans="1:32" s="209" customFormat="1" ht="15.75" customHeight="1">
      <c r="A440" s="202" t="str">
        <f>IF(B440&lt;&gt;"",IF(AND(B440&gt;=_TM1,B440&lt;=_TM2,OR(TH!L440="1111",TH!M440="1111")),TH!D440,""),"")</f>
        <v/>
      </c>
      <c r="B440" s="36">
        <f t="shared" si="25"/>
        <v>3</v>
      </c>
      <c r="C440" s="182">
        <f t="shared" si="26"/>
        <v>42432</v>
      </c>
      <c r="D440" s="182" t="s">
        <v>1650</v>
      </c>
      <c r="E440" s="189">
        <v>42432</v>
      </c>
      <c r="F440" s="187" t="s">
        <v>776</v>
      </c>
      <c r="G440" s="448" t="s">
        <v>330</v>
      </c>
      <c r="H440" s="191" t="s">
        <v>782</v>
      </c>
      <c r="I440" s="251"/>
      <c r="J440" s="251"/>
      <c r="K440" s="38">
        <v>9100000</v>
      </c>
      <c r="L440" s="192" t="s">
        <v>47</v>
      </c>
      <c r="M440" s="561" t="s">
        <v>24</v>
      </c>
      <c r="N440" s="52" t="str">
        <f>IF(AND('331-CT'!$E$7=TH!H440,OR(L440="331",M440="331")),"331",IF(AND(OR(L440="131",M440="131"),H440='131-CT'!$E$7),"131",""))</f>
        <v/>
      </c>
      <c r="O440" s="818" t="str">
        <f>IF(AND('341-CT'!$E$9=H440,OR(LEFT(L440,3)=$O$7,LEFT(M440,3)=$O$7)),"x","")</f>
        <v/>
      </c>
      <c r="P440" s="52" t="str">
        <f>IF(AND($B440&gt;='111'!$N$11,$B440&lt;='111'!$O$11,OR($L440=$P$7,$M440=$P$7)),"x","")</f>
        <v>x</v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52"/>
      <c r="AB440" s="552"/>
      <c r="AC440" s="552"/>
    </row>
    <row r="441" spans="1:32" s="209" customFormat="1" ht="15.75" customHeight="1">
      <c r="A441" s="202" t="str">
        <f>IF(B441&lt;&gt;"",IF(AND(B441&gt;=_TM1,B441&lt;=_TM2,OR(TH!L441="1111",TH!M441="1111")),TH!D441,""),"")</f>
        <v/>
      </c>
      <c r="B441" s="36">
        <f t="shared" si="25"/>
        <v>3</v>
      </c>
      <c r="C441" s="182">
        <f t="shared" si="26"/>
        <v>42432</v>
      </c>
      <c r="D441" s="189" t="s">
        <v>1191</v>
      </c>
      <c r="E441" s="189">
        <v>42432</v>
      </c>
      <c r="F441" s="190" t="s">
        <v>676</v>
      </c>
      <c r="G441" s="448" t="s">
        <v>484</v>
      </c>
      <c r="H441" s="45" t="s">
        <v>803</v>
      </c>
      <c r="I441" s="251">
        <v>2186</v>
      </c>
      <c r="J441" s="251">
        <v>7200</v>
      </c>
      <c r="K441" s="38">
        <f>ROUND(I441*J441,0)</f>
        <v>15739200</v>
      </c>
      <c r="L441" s="192" t="s">
        <v>158</v>
      </c>
      <c r="M441" s="561" t="s">
        <v>8</v>
      </c>
      <c r="N441" s="52" t="str">
        <f>IF(AND('331-CT'!$E$7=TH!H441,OR(L441="331",M441="331")),"331",IF(AND(OR(L441="131",M441="131"),H441='131-CT'!$E$7),"131",""))</f>
        <v/>
      </c>
      <c r="O441" s="818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52">
        <v>1</v>
      </c>
      <c r="AB441" s="552"/>
      <c r="AC441" s="209" t="str">
        <f>IF(VLOOKUP(H441,DSKH,1,0)=H441,"","x")</f>
        <v/>
      </c>
      <c r="AE441" s="552"/>
      <c r="AF441" s="552"/>
    </row>
    <row r="442" spans="1:32" s="209" customFormat="1" ht="15.75" customHeight="1">
      <c r="A442" s="202" t="str">
        <f>IF(B442&lt;&gt;"",IF(AND(B442&gt;=_TM1,B442&lt;=_TM2,OR(TH!L442="1111",TH!M442="1111")),TH!D442,""),"")</f>
        <v/>
      </c>
      <c r="B442" s="36">
        <f t="shared" si="25"/>
        <v>3</v>
      </c>
      <c r="C442" s="182">
        <f t="shared" si="26"/>
        <v>42432</v>
      </c>
      <c r="D442" s="189" t="s">
        <v>1191</v>
      </c>
      <c r="E442" s="189">
        <v>42432</v>
      </c>
      <c r="F442" s="190" t="s">
        <v>684</v>
      </c>
      <c r="G442" s="448" t="s">
        <v>484</v>
      </c>
      <c r="H442" s="45" t="s">
        <v>803</v>
      </c>
      <c r="I442" s="251"/>
      <c r="J442" s="251"/>
      <c r="K442" s="38">
        <v>1573920</v>
      </c>
      <c r="L442" s="192" t="s">
        <v>9</v>
      </c>
      <c r="M442" s="561" t="s">
        <v>8</v>
      </c>
      <c r="N442" s="52" t="str">
        <f>IF(AND('331-CT'!$E$7=TH!H442,OR(L442="331",M442="331")),"331",IF(AND(OR(L442="131",M442="131"),H442='131-CT'!$E$7),"131",""))</f>
        <v/>
      </c>
      <c r="O442" s="818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52">
        <v>1</v>
      </c>
      <c r="AB442" s="552"/>
      <c r="AC442" s="209" t="str">
        <f>IF(VLOOKUP(H442,DSKH,1,0)=H442,"","x")</f>
        <v/>
      </c>
      <c r="AE442" s="552"/>
      <c r="AF442" s="552"/>
    </row>
    <row r="443" spans="1:32" s="209" customFormat="1" ht="15.75" customHeight="1">
      <c r="A443" s="202" t="str">
        <f>IF(B443&lt;&gt;"",IF(AND(B443&gt;=_TM1,B443&lt;=_TM2,OR(TH!L443="1111",TH!M443="1111")),TH!D443,""),"")</f>
        <v/>
      </c>
      <c r="B443" s="36">
        <f t="shared" si="25"/>
        <v>3</v>
      </c>
      <c r="C443" s="182">
        <f t="shared" si="26"/>
        <v>42432</v>
      </c>
      <c r="D443" s="189" t="s">
        <v>1651</v>
      </c>
      <c r="E443" s="189">
        <v>42432</v>
      </c>
      <c r="F443" s="187" t="s">
        <v>671</v>
      </c>
      <c r="G443" s="448" t="s">
        <v>484</v>
      </c>
      <c r="H443" s="45" t="s">
        <v>803</v>
      </c>
      <c r="I443" s="251"/>
      <c r="J443" s="251"/>
      <c r="K443" s="38">
        <v>17313120</v>
      </c>
      <c r="L443" s="192" t="s">
        <v>8</v>
      </c>
      <c r="M443" s="561" t="s">
        <v>47</v>
      </c>
      <c r="N443" s="52" t="str">
        <f>IF(AND('331-CT'!$E$7=TH!H443,OR(L443="331",M443="331")),"331",IF(AND(OR(L443="131",M443="131"),H443='131-CT'!$E$7),"131",""))</f>
        <v/>
      </c>
      <c r="O443" s="818" t="str">
        <f>IF(AND('341-CT'!$E$9=H443,OR(LEFT(L443,3)=$O$7,LEFT(M443,3)=$O$7)),"x","")</f>
        <v/>
      </c>
      <c r="P443" s="52" t="str">
        <f>IF(AND($B443&gt;='111'!$N$11,$B443&lt;='111'!$O$11,OR($L443=$P$7,$M443=$P$7)),"x","")</f>
        <v>x</v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52"/>
      <c r="AB443" s="552"/>
      <c r="AC443" s="209" t="str">
        <f>IF(VLOOKUP(H443,DSKH,1,0)=H443,"","x")</f>
        <v/>
      </c>
      <c r="AE443" s="552"/>
      <c r="AF443" s="552"/>
    </row>
    <row r="444" spans="1:32" s="209" customFormat="1" ht="15.75" customHeight="1">
      <c r="A444" s="202" t="str">
        <f>IF(B444&lt;&gt;"",IF(AND(B444&gt;=_TM1,B444&lt;=_TM2,OR(TH!L444="1111",TH!M444="1111")),TH!D444,""),"")</f>
        <v/>
      </c>
      <c r="B444" s="36">
        <f t="shared" si="25"/>
        <v>3</v>
      </c>
      <c r="C444" s="182">
        <f t="shared" si="26"/>
        <v>42434</v>
      </c>
      <c r="D444" s="189" t="s">
        <v>1149</v>
      </c>
      <c r="E444" s="189">
        <v>42434</v>
      </c>
      <c r="F444" s="187" t="s">
        <v>940</v>
      </c>
      <c r="G444" s="451" t="s">
        <v>452</v>
      </c>
      <c r="H444" s="191" t="s">
        <v>609</v>
      </c>
      <c r="I444" s="251">
        <v>3383</v>
      </c>
      <c r="J444" s="251">
        <v>7520</v>
      </c>
      <c r="K444" s="38">
        <f>ROUND(I444*J444,0)</f>
        <v>25440160</v>
      </c>
      <c r="L444" s="192" t="s">
        <v>258</v>
      </c>
      <c r="M444" s="192" t="s">
        <v>173</v>
      </c>
      <c r="N444" s="52" t="str">
        <f>IF(AND('331-CT'!$E$7=TH!H444,OR(L444="331",M444="331")),"331",IF(AND(OR(L444="131",M444="131"),H444='131-CT'!$E$7),"131",""))</f>
        <v/>
      </c>
      <c r="O444" s="818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52"/>
      <c r="AB444" s="552"/>
      <c r="AC444" s="552"/>
    </row>
    <row r="445" spans="1:32" s="209" customFormat="1" ht="15.75" customHeight="1">
      <c r="A445" s="202" t="str">
        <f>IF(B445&lt;&gt;"",IF(AND(B445&gt;=_TM1,B445&lt;=_TM2,OR(TH!L445="1111",TH!M445="1111")),TH!D445,""),"")</f>
        <v/>
      </c>
      <c r="B445" s="36">
        <f t="shared" si="25"/>
        <v>3</v>
      </c>
      <c r="C445" s="182">
        <f t="shared" si="26"/>
        <v>42434</v>
      </c>
      <c r="D445" s="189" t="s">
        <v>1149</v>
      </c>
      <c r="E445" s="189">
        <v>42434</v>
      </c>
      <c r="F445" s="190" t="s">
        <v>393</v>
      </c>
      <c r="G445" s="451" t="s">
        <v>452</v>
      </c>
      <c r="H445" s="191" t="s">
        <v>609</v>
      </c>
      <c r="I445" s="252"/>
      <c r="J445" s="252"/>
      <c r="K445" s="560">
        <v>2544016</v>
      </c>
      <c r="L445" s="192" t="s">
        <v>258</v>
      </c>
      <c r="M445" s="192" t="s">
        <v>367</v>
      </c>
      <c r="N445" s="52" t="str">
        <f>IF(AND('331-CT'!$E$7=TH!H445,OR(L445="331",M445="331")),"331",IF(AND(OR(L445="131",M445="131"),H445='131-CT'!$E$7),"131",""))</f>
        <v/>
      </c>
      <c r="O445" s="818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52"/>
      <c r="AB445" s="552"/>
      <c r="AC445" s="552"/>
    </row>
    <row r="446" spans="1:32" s="209" customFormat="1" ht="15.75" customHeight="1">
      <c r="A446" s="202" t="str">
        <f>IF(B446&lt;&gt;"",IF(AND(B446&gt;=_TM1,B446&lt;=_TM2,OR(TH!L446="1111",TH!M446="1111")),TH!D446,""),"")</f>
        <v/>
      </c>
      <c r="B446" s="36">
        <f t="shared" si="25"/>
        <v>3</v>
      </c>
      <c r="C446" s="182">
        <f t="shared" si="26"/>
        <v>42434</v>
      </c>
      <c r="D446" s="189" t="s">
        <v>1150</v>
      </c>
      <c r="E446" s="189">
        <v>42434</v>
      </c>
      <c r="F446" s="190" t="s">
        <v>1443</v>
      </c>
      <c r="G446" s="451" t="s">
        <v>453</v>
      </c>
      <c r="H446" s="7" t="s">
        <v>399</v>
      </c>
      <c r="I446" s="251">
        <v>527</v>
      </c>
      <c r="J446" s="251">
        <v>10500</v>
      </c>
      <c r="K446" s="38">
        <f>ROUND(I446*J446,0)</f>
        <v>5533500</v>
      </c>
      <c r="L446" s="192" t="s">
        <v>258</v>
      </c>
      <c r="M446" s="192" t="s">
        <v>173</v>
      </c>
      <c r="N446" s="52" t="str">
        <f>IF(AND('331-CT'!$E$7=TH!H446,OR(L446="331",M446="331")),"331",IF(AND(OR(L446="131",M446="131"),H446='131-CT'!$E$7),"131",""))</f>
        <v/>
      </c>
      <c r="O446" s="818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52"/>
      <c r="AB446" s="552"/>
      <c r="AD446" s="552"/>
    </row>
    <row r="447" spans="1:32" s="209" customFormat="1" ht="15.75" customHeight="1">
      <c r="A447" s="202" t="str">
        <f>IF(B447&lt;&gt;"",IF(AND(B447&gt;=_TM1,B447&lt;=_TM2,OR(TH!L447="1111",TH!M447="1111")),TH!D447,""),"")</f>
        <v/>
      </c>
      <c r="B447" s="36">
        <f t="shared" si="25"/>
        <v>3</v>
      </c>
      <c r="C447" s="182">
        <f t="shared" si="26"/>
        <v>42434</v>
      </c>
      <c r="D447" s="189" t="s">
        <v>1150</v>
      </c>
      <c r="E447" s="189">
        <v>42434</v>
      </c>
      <c r="F447" s="190" t="s">
        <v>393</v>
      </c>
      <c r="G447" s="451" t="s">
        <v>453</v>
      </c>
      <c r="H447" s="7" t="s">
        <v>399</v>
      </c>
      <c r="I447" s="251"/>
      <c r="J447" s="251"/>
      <c r="K447" s="560">
        <v>553350</v>
      </c>
      <c r="L447" s="192" t="s">
        <v>258</v>
      </c>
      <c r="M447" s="192" t="s">
        <v>367</v>
      </c>
      <c r="N447" s="52" t="str">
        <f>IF(AND('331-CT'!$E$7=TH!H447,OR(L447="331",M447="331")),"331",IF(AND(OR(L447="131",M447="131"),H447='131-CT'!$E$7),"131",""))</f>
        <v/>
      </c>
      <c r="O447" s="818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52"/>
      <c r="AB447" s="552"/>
      <c r="AC447" s="552"/>
      <c r="AD447" s="552"/>
    </row>
    <row r="448" spans="1:32" s="209" customFormat="1" ht="15.75" customHeight="1">
      <c r="A448" s="202" t="str">
        <f>IF(B448&lt;&gt;"",IF(AND(B448&gt;=_TM1,B448&lt;=_TM2,OR(TH!L448="1111",TH!M448="1111")),TH!D448,""),"")</f>
        <v/>
      </c>
      <c r="B448" s="36">
        <f t="shared" si="25"/>
        <v>3</v>
      </c>
      <c r="C448" s="182">
        <f t="shared" si="26"/>
        <v>42435</v>
      </c>
      <c r="D448" s="182" t="s">
        <v>1652</v>
      </c>
      <c r="E448" s="189">
        <v>42435</v>
      </c>
      <c r="F448" s="40" t="s">
        <v>666</v>
      </c>
      <c r="G448" s="451" t="s">
        <v>1576</v>
      </c>
      <c r="H448" s="7" t="s">
        <v>424</v>
      </c>
      <c r="I448" s="252"/>
      <c r="J448" s="252"/>
      <c r="K448" s="560">
        <v>12215500</v>
      </c>
      <c r="L448" s="561" t="s">
        <v>47</v>
      </c>
      <c r="M448" s="561" t="s">
        <v>258</v>
      </c>
      <c r="N448" s="52" t="str">
        <f>IF(AND('331-CT'!$E$7=TH!H448,OR(L448="331",M448="331")),"331",IF(AND(OR(L448="131",M448="131"),H448='131-CT'!$E$7),"131",""))</f>
        <v/>
      </c>
      <c r="O448" s="818" t="str">
        <f>IF(AND('341-CT'!$E$9=H448,OR(LEFT(L448,3)=$O$7,LEFT(M448,3)=$O$7)),"x","")</f>
        <v/>
      </c>
      <c r="P448" s="52" t="str">
        <f>IF(AND($B448&gt;='111'!$N$11,$B448&lt;='111'!$O$11,OR($L448=$P$7,$M448=$P$7)),"x","")</f>
        <v>x</v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52"/>
      <c r="AB448" s="552"/>
    </row>
    <row r="449" spans="1:32" s="209" customFormat="1" ht="15.75" customHeight="1">
      <c r="A449" s="202" t="str">
        <f>IF(B449&lt;&gt;"",IF(AND(B449&gt;=_TM1,B449&lt;=_TM2,OR(TH!L449="1111",TH!M449="1111")),TH!D449,""),"")</f>
        <v/>
      </c>
      <c r="B449" s="36">
        <f t="shared" si="25"/>
        <v>3</v>
      </c>
      <c r="C449" s="182">
        <f t="shared" si="26"/>
        <v>42436</v>
      </c>
      <c r="D449" s="189" t="s">
        <v>1151</v>
      </c>
      <c r="E449" s="189">
        <v>42436</v>
      </c>
      <c r="F449" s="286" t="s">
        <v>1439</v>
      </c>
      <c r="G449" s="451" t="s">
        <v>455</v>
      </c>
      <c r="H449" s="7" t="s">
        <v>643</v>
      </c>
      <c r="I449" s="251">
        <v>500</v>
      </c>
      <c r="J449" s="251">
        <v>17000</v>
      </c>
      <c r="K449" s="38">
        <f>ROUND(I449*J449,0)</f>
        <v>8500000</v>
      </c>
      <c r="L449" s="192" t="s">
        <v>258</v>
      </c>
      <c r="M449" s="192" t="s">
        <v>173</v>
      </c>
      <c r="N449" s="52" t="str">
        <f>IF(AND('331-CT'!$E$7=TH!H449,OR(L449="331",M449="331")),"331",IF(AND(OR(L449="131",M449="131"),H449='131-CT'!$E$7),"131",""))</f>
        <v/>
      </c>
      <c r="O449" s="818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52"/>
      <c r="AB449" s="552"/>
      <c r="AC449" s="552"/>
      <c r="AD449" s="552"/>
    </row>
    <row r="450" spans="1:32" s="209" customFormat="1" ht="15.75" customHeight="1">
      <c r="A450" s="202" t="str">
        <f>IF(B450&lt;&gt;"",IF(AND(B450&gt;=_TM1,B450&lt;=_TM2,OR(TH!L450="1111",TH!M450="1111")),TH!D450,""),"")</f>
        <v/>
      </c>
      <c r="B450" s="36">
        <f t="shared" si="25"/>
        <v>3</v>
      </c>
      <c r="C450" s="182">
        <f t="shared" si="26"/>
        <v>42436</v>
      </c>
      <c r="D450" s="189" t="s">
        <v>1151</v>
      </c>
      <c r="E450" s="189">
        <v>42436</v>
      </c>
      <c r="F450" s="286" t="s">
        <v>1440</v>
      </c>
      <c r="G450" s="562" t="s">
        <v>453</v>
      </c>
      <c r="H450" s="7" t="s">
        <v>643</v>
      </c>
      <c r="I450" s="251">
        <v>500</v>
      </c>
      <c r="J450" s="251">
        <v>17800</v>
      </c>
      <c r="K450" s="38">
        <f>ROUND(I450*J450,0)</f>
        <v>8900000</v>
      </c>
      <c r="L450" s="192" t="s">
        <v>258</v>
      </c>
      <c r="M450" s="192" t="s">
        <v>173</v>
      </c>
      <c r="N450" s="52" t="str">
        <f>IF(AND('331-CT'!$E$7=TH!H450,OR(L450="331",M450="331")),"331",IF(AND(OR(L450="131",M450="131"),H450='131-CT'!$E$7),"131",""))</f>
        <v/>
      </c>
      <c r="O450" s="818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52"/>
      <c r="AB450" s="552"/>
    </row>
    <row r="451" spans="1:32" s="209" customFormat="1" ht="15.75" customHeight="1">
      <c r="A451" s="202" t="str">
        <f>IF(B451&lt;&gt;"",IF(AND(B451&gt;=_TM1,B451&lt;=_TM2,OR(TH!L451="1111",TH!M451="1111")),TH!D451,""),"")</f>
        <v/>
      </c>
      <c r="B451" s="36">
        <f t="shared" si="25"/>
        <v>3</v>
      </c>
      <c r="C451" s="182">
        <f t="shared" si="26"/>
        <v>42436</v>
      </c>
      <c r="D451" s="189" t="s">
        <v>1151</v>
      </c>
      <c r="E451" s="189">
        <v>42436</v>
      </c>
      <c r="F451" s="187" t="s">
        <v>393</v>
      </c>
      <c r="G451" s="562" t="s">
        <v>455</v>
      </c>
      <c r="H451" s="7" t="s">
        <v>643</v>
      </c>
      <c r="I451" s="251"/>
      <c r="J451" s="251"/>
      <c r="K451" s="560">
        <v>1740000</v>
      </c>
      <c r="L451" s="192" t="s">
        <v>258</v>
      </c>
      <c r="M451" s="192" t="s">
        <v>367</v>
      </c>
      <c r="N451" s="52" t="str">
        <f>IF(AND('331-CT'!$E$7=TH!H451,OR(L451="331",M451="331")),"331",IF(AND(OR(L451="131",M451="131"),H451='131-CT'!$E$7),"131",""))</f>
        <v/>
      </c>
      <c r="O451" s="818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52"/>
      <c r="AB451" s="552"/>
      <c r="AC451" s="552"/>
      <c r="AD451" s="552"/>
    </row>
    <row r="452" spans="1:32" s="209" customFormat="1" ht="15.75" customHeight="1">
      <c r="A452" s="202" t="str">
        <f>IF(B452&lt;&gt;"",IF(AND(B452&gt;=_TM1,B452&lt;=_TM2,OR(TH!L452="1111",TH!M452="1111")),TH!D452,""),"")</f>
        <v/>
      </c>
      <c r="B452" s="36">
        <f t="shared" si="25"/>
        <v>3</v>
      </c>
      <c r="C452" s="182">
        <f t="shared" si="26"/>
        <v>42437</v>
      </c>
      <c r="D452" s="182" t="s">
        <v>669</v>
      </c>
      <c r="E452" s="182">
        <v>42437</v>
      </c>
      <c r="F452" s="187" t="s">
        <v>773</v>
      </c>
      <c r="G452" s="448" t="s">
        <v>756</v>
      </c>
      <c r="H452" s="191"/>
      <c r="I452" s="251"/>
      <c r="J452" s="251"/>
      <c r="K452" s="560">
        <v>15000</v>
      </c>
      <c r="L452" s="561" t="s">
        <v>83</v>
      </c>
      <c r="M452" s="561" t="s">
        <v>24</v>
      </c>
      <c r="N452" s="52" t="str">
        <f>IF(AND('331-CT'!$E$7=TH!H452,OR(L452="331",M452="331")),"331",IF(AND(OR(L452="131",M452="131"),H452='131-CT'!$E$7),"131",""))</f>
        <v/>
      </c>
      <c r="O452" s="818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>x</v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52">
        <v>1</v>
      </c>
      <c r="AB452" s="552"/>
      <c r="AC452" s="552"/>
      <c r="AD452" s="552"/>
      <c r="AE452" s="552"/>
      <c r="AF452" s="552"/>
    </row>
    <row r="453" spans="1:32" s="209" customFormat="1" ht="15.75" customHeight="1">
      <c r="A453" s="202" t="str">
        <f>IF(B453&lt;&gt;"",IF(AND(B453&gt;=_TM1,B453&lt;=_TM2,OR(TH!L453="1111",TH!M453="1111")),TH!D453,""),"")</f>
        <v/>
      </c>
      <c r="B453" s="36">
        <f t="shared" si="25"/>
        <v>3</v>
      </c>
      <c r="C453" s="182">
        <f t="shared" si="26"/>
        <v>42437</v>
      </c>
      <c r="D453" s="182" t="s">
        <v>669</v>
      </c>
      <c r="E453" s="182">
        <v>42437</v>
      </c>
      <c r="F453" s="187" t="s">
        <v>774</v>
      </c>
      <c r="G453" s="448" t="s">
        <v>756</v>
      </c>
      <c r="H453" s="191"/>
      <c r="I453" s="251"/>
      <c r="J453" s="251"/>
      <c r="K453" s="560">
        <v>1500</v>
      </c>
      <c r="L453" s="561" t="s">
        <v>9</v>
      </c>
      <c r="M453" s="561" t="s">
        <v>24</v>
      </c>
      <c r="N453" s="52" t="str">
        <f>IF(AND('331-CT'!$E$7=TH!H453,OR(L453="331",M453="331")),"331",IF(AND(OR(L453="131",M453="131"),H453='131-CT'!$E$7),"131",""))</f>
        <v/>
      </c>
      <c r="O453" s="818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52">
        <v>1</v>
      </c>
      <c r="AB453" s="552"/>
      <c r="AC453" s="552"/>
      <c r="AD453" s="552"/>
      <c r="AE453" s="552"/>
      <c r="AF453" s="552"/>
    </row>
    <row r="454" spans="1:32" s="209" customFormat="1" ht="15.75" customHeight="1">
      <c r="A454" s="202" t="str">
        <f>IF(B454&lt;&gt;"",IF(AND(B454&gt;=_TM1,B454&lt;=_TM2,OR(TH!L454="1111",TH!M454="1111")),TH!D454,""),"")</f>
        <v/>
      </c>
      <c r="B454" s="36">
        <f t="shared" si="25"/>
        <v>3</v>
      </c>
      <c r="C454" s="182">
        <f t="shared" si="26"/>
        <v>42437</v>
      </c>
      <c r="D454" s="182" t="s">
        <v>665</v>
      </c>
      <c r="E454" s="189">
        <v>42437</v>
      </c>
      <c r="F454" s="187" t="s">
        <v>666</v>
      </c>
      <c r="G454" s="448" t="s">
        <v>330</v>
      </c>
      <c r="H454" s="7" t="s">
        <v>780</v>
      </c>
      <c r="I454" s="251"/>
      <c r="J454" s="827"/>
      <c r="K454" s="560">
        <v>10151130</v>
      </c>
      <c r="L454" s="561" t="s">
        <v>24</v>
      </c>
      <c r="M454" s="561" t="s">
        <v>258</v>
      </c>
      <c r="N454" s="52" t="str">
        <f>IF(AND('331-CT'!$E$7=TH!H454,OR(L454="331",M454="331")),"331",IF(AND(OR(L454="131",M454="131"),H454='131-CT'!$E$7),"131",""))</f>
        <v/>
      </c>
      <c r="O454" s="818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52"/>
      <c r="AB454" s="552"/>
      <c r="AC454" s="552"/>
      <c r="AD454" s="552"/>
      <c r="AE454" s="552"/>
      <c r="AF454" s="552"/>
    </row>
    <row r="455" spans="1:32" s="209" customFormat="1" ht="15.75" customHeight="1">
      <c r="A455" s="202" t="str">
        <f>IF(B455&lt;&gt;"",IF(AND(B455&gt;=_TM1,B455&lt;=_TM2,OR(TH!L455="1111",TH!M455="1111")),TH!D455,""),"")</f>
        <v/>
      </c>
      <c r="B455" s="36">
        <f t="shared" si="25"/>
        <v>3</v>
      </c>
      <c r="C455" s="182">
        <f t="shared" si="26"/>
        <v>42437</v>
      </c>
      <c r="D455" s="189" t="s">
        <v>1152</v>
      </c>
      <c r="E455" s="189">
        <v>42437</v>
      </c>
      <c r="F455" s="187" t="s">
        <v>640</v>
      </c>
      <c r="G455" s="562" t="s">
        <v>457</v>
      </c>
      <c r="H455" s="7" t="s">
        <v>788</v>
      </c>
      <c r="I455" s="251">
        <v>511</v>
      </c>
      <c r="J455" s="251">
        <v>11700</v>
      </c>
      <c r="K455" s="38">
        <f>ROUND(I455*J455,0)</f>
        <v>5978700</v>
      </c>
      <c r="L455" s="192" t="s">
        <v>258</v>
      </c>
      <c r="M455" s="192" t="s">
        <v>173</v>
      </c>
      <c r="N455" s="52" t="str">
        <f>IF(AND('331-CT'!$E$7=TH!H455,OR(L455="331",M455="331")),"331",IF(AND(OR(L455="131",M455="131"),H455='131-CT'!$E$7),"131",""))</f>
        <v/>
      </c>
      <c r="O455" s="818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52"/>
      <c r="AB455" s="552"/>
      <c r="AD455" s="552"/>
    </row>
    <row r="456" spans="1:32" s="209" customFormat="1" ht="15.75" customHeight="1">
      <c r="A456" s="202" t="str">
        <f>IF(B456&lt;&gt;"",IF(AND(B456&gt;=_TM1,B456&lt;=_TM2,OR(TH!L456="1111",TH!M456="1111")),TH!D456,""),"")</f>
        <v/>
      </c>
      <c r="B456" s="36">
        <f t="shared" si="25"/>
        <v>3</v>
      </c>
      <c r="C456" s="182">
        <f t="shared" si="26"/>
        <v>42437</v>
      </c>
      <c r="D456" s="189" t="s">
        <v>1152</v>
      </c>
      <c r="E456" s="189">
        <v>42437</v>
      </c>
      <c r="F456" s="190" t="s">
        <v>393</v>
      </c>
      <c r="G456" s="451" t="s">
        <v>457</v>
      </c>
      <c r="H456" s="7" t="s">
        <v>788</v>
      </c>
      <c r="I456" s="251"/>
      <c r="J456" s="251"/>
      <c r="K456" s="560">
        <v>597870</v>
      </c>
      <c r="L456" s="192" t="s">
        <v>258</v>
      </c>
      <c r="M456" s="192" t="s">
        <v>367</v>
      </c>
      <c r="N456" s="52" t="str">
        <f>IF(AND('331-CT'!$E$7=TH!H456,OR(L456="331",M456="331")),"331",IF(AND(OR(L456="131",M456="131"),H456='131-CT'!$E$7),"131",""))</f>
        <v/>
      </c>
      <c r="O456" s="818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52"/>
      <c r="AB456" s="552"/>
      <c r="AC456" s="552"/>
    </row>
    <row r="457" spans="1:32" s="209" customFormat="1" ht="15.75" customHeight="1">
      <c r="A457" s="202" t="str">
        <f>IF(B457&lt;&gt;"",IF(AND(B457&gt;=_TM1,B457&lt;=_TM2,OR(TH!L457="1111",TH!M457="1111")),TH!D457,""),"")</f>
        <v/>
      </c>
      <c r="B457" s="36">
        <f t="shared" si="25"/>
        <v>3</v>
      </c>
      <c r="C457" s="182">
        <f t="shared" si="26"/>
        <v>42437</v>
      </c>
      <c r="D457" s="189" t="s">
        <v>1153</v>
      </c>
      <c r="E457" s="189">
        <v>42437</v>
      </c>
      <c r="F457" s="190" t="s">
        <v>863</v>
      </c>
      <c r="G457" s="451" t="s">
        <v>458</v>
      </c>
      <c r="H457" s="7" t="s">
        <v>778</v>
      </c>
      <c r="I457" s="251">
        <v>500</v>
      </c>
      <c r="J457" s="251">
        <v>11000</v>
      </c>
      <c r="K457" s="38">
        <f>ROUND(I457*J457,0)</f>
        <v>5500000</v>
      </c>
      <c r="L457" s="192" t="s">
        <v>258</v>
      </c>
      <c r="M457" s="192" t="s">
        <v>173</v>
      </c>
      <c r="N457" s="52" t="str">
        <f>IF(AND('331-CT'!$E$7=TH!H457,OR(L457="331",M457="331")),"331",IF(AND(OR(L457="131",M457="131"),H457='131-CT'!$E$7),"131",""))</f>
        <v/>
      </c>
      <c r="O457" s="818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52"/>
      <c r="AB457" s="552"/>
    </row>
    <row r="458" spans="1:32" s="209" customFormat="1" ht="15.75" customHeight="1">
      <c r="A458" s="202" t="str">
        <f>IF(B458&lt;&gt;"",IF(AND(B458&gt;=_TM1,B458&lt;=_TM2,OR(TH!L458="1111",TH!M458="1111")),TH!D458,""),"")</f>
        <v/>
      </c>
      <c r="B458" s="36">
        <f t="shared" si="25"/>
        <v>3</v>
      </c>
      <c r="C458" s="182">
        <f t="shared" si="26"/>
        <v>42437</v>
      </c>
      <c r="D458" s="189" t="s">
        <v>1153</v>
      </c>
      <c r="E458" s="189">
        <v>42437</v>
      </c>
      <c r="F458" s="190" t="s">
        <v>393</v>
      </c>
      <c r="G458" s="451" t="s">
        <v>458</v>
      </c>
      <c r="H458" s="7" t="s">
        <v>778</v>
      </c>
      <c r="I458" s="251"/>
      <c r="J458" s="251"/>
      <c r="K458" s="560">
        <v>550000</v>
      </c>
      <c r="L458" s="192" t="s">
        <v>258</v>
      </c>
      <c r="M458" s="192" t="s">
        <v>367</v>
      </c>
      <c r="N458" s="52" t="str">
        <f>IF(AND('331-CT'!$E$7=TH!H458,OR(L458="331",M458="331")),"331",IF(AND(OR(L458="131",M458="131"),H458='131-CT'!$E$7),"131",""))</f>
        <v/>
      </c>
      <c r="O458" s="818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52"/>
      <c r="AB458" s="552"/>
      <c r="AC458" s="552"/>
    </row>
    <row r="459" spans="1:32" s="209" customFormat="1" ht="15.75" customHeight="1">
      <c r="A459" s="202" t="str">
        <f>IF(B459&lt;&gt;"",IF(AND(B459&gt;=_TM1,B459&lt;=_TM2,OR(TH!L459="1111",TH!M459="1111")),TH!D459,""),"")</f>
        <v/>
      </c>
      <c r="B459" s="36">
        <f t="shared" si="25"/>
        <v>3</v>
      </c>
      <c r="C459" s="182">
        <f t="shared" si="26"/>
        <v>42438</v>
      </c>
      <c r="D459" s="182" t="s">
        <v>665</v>
      </c>
      <c r="E459" s="182">
        <v>42438</v>
      </c>
      <c r="F459" s="187" t="s">
        <v>766</v>
      </c>
      <c r="G459" s="448" t="s">
        <v>756</v>
      </c>
      <c r="H459" s="191" t="s">
        <v>767</v>
      </c>
      <c r="I459" s="251"/>
      <c r="J459" s="251"/>
      <c r="K459" s="560">
        <v>200000000</v>
      </c>
      <c r="L459" s="561" t="s">
        <v>24</v>
      </c>
      <c r="M459" s="561" t="s">
        <v>755</v>
      </c>
      <c r="N459" s="52" t="str">
        <f>IF(AND('331-CT'!$E$7=TH!H459,OR(L459="331",M459="331")),"331",IF(AND(OR(L459="131",M459="131"),H459='131-CT'!$E$7),"131",""))</f>
        <v/>
      </c>
      <c r="O459" s="818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52"/>
      <c r="AB459" s="552"/>
      <c r="AC459" s="552"/>
      <c r="AD459" s="552"/>
      <c r="AE459" s="552"/>
      <c r="AF459" s="552"/>
    </row>
    <row r="460" spans="1:32" s="209" customFormat="1" ht="15.75" customHeight="1">
      <c r="A460" s="202" t="str">
        <f>IF(B460&lt;&gt;"",IF(AND(B460&gt;=_TM1,B460&lt;=_TM2,OR(TH!L460="1111",TH!M460="1111")),TH!D460,""),"")</f>
        <v/>
      </c>
      <c r="B460" s="36">
        <f t="shared" si="25"/>
        <v>3</v>
      </c>
      <c r="C460" s="182">
        <f t="shared" si="26"/>
        <v>42438</v>
      </c>
      <c r="D460" s="182" t="s">
        <v>1653</v>
      </c>
      <c r="E460" s="182">
        <v>42438</v>
      </c>
      <c r="F460" s="187" t="s">
        <v>775</v>
      </c>
      <c r="G460" s="448" t="s">
        <v>756</v>
      </c>
      <c r="H460" s="191"/>
      <c r="I460" s="251"/>
      <c r="J460" s="251"/>
      <c r="K460" s="560">
        <v>200000000</v>
      </c>
      <c r="L460" s="561" t="s">
        <v>47</v>
      </c>
      <c r="M460" s="561" t="s">
        <v>24</v>
      </c>
      <c r="N460" s="52" t="str">
        <f>IF(AND('331-CT'!$E$7=TH!H460,OR(L460="331",M460="331")),"331",IF(AND(OR(L460="131",M460="131"),H460='131-CT'!$E$7),"131",""))</f>
        <v/>
      </c>
      <c r="O460" s="818" t="str">
        <f>IF(AND('341-CT'!$E$9=H460,OR(LEFT(L460,3)=$O$7,LEFT(M460,3)=$O$7)),"x","")</f>
        <v/>
      </c>
      <c r="P460" s="52" t="str">
        <f>IF(AND($B460&gt;='111'!$N$11,$B460&lt;='111'!$O$11,OR($L460=$P$7,$M460=$P$7)),"x","")</f>
        <v>x</v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52"/>
      <c r="AB460" s="552"/>
      <c r="AC460" s="552"/>
      <c r="AD460" s="552"/>
      <c r="AE460" s="552"/>
      <c r="AF460" s="552"/>
    </row>
    <row r="461" spans="1:32" s="209" customFormat="1" ht="15.75" customHeight="1">
      <c r="A461" s="202" t="str">
        <f>IF(B461&lt;&gt;"",IF(AND(B461&gt;=_TM1,B461&lt;=_TM2,OR(TH!L461="1111",TH!M461="1111")),TH!D461,""),"")</f>
        <v/>
      </c>
      <c r="B461" s="36">
        <f t="shared" si="25"/>
        <v>3</v>
      </c>
      <c r="C461" s="182">
        <f t="shared" si="26"/>
        <v>42438</v>
      </c>
      <c r="D461" s="189" t="s">
        <v>1192</v>
      </c>
      <c r="E461" s="189">
        <v>42438</v>
      </c>
      <c r="F461" s="190" t="s">
        <v>676</v>
      </c>
      <c r="G461" s="448" t="s">
        <v>488</v>
      </c>
      <c r="H461" s="45" t="s">
        <v>803</v>
      </c>
      <c r="I461" s="251">
        <v>2409</v>
      </c>
      <c r="J461" s="251">
        <v>7200</v>
      </c>
      <c r="K461" s="38">
        <f>ROUND(I461*J461,0)</f>
        <v>17344800</v>
      </c>
      <c r="L461" s="192" t="s">
        <v>158</v>
      </c>
      <c r="M461" s="561" t="s">
        <v>8</v>
      </c>
      <c r="N461" s="52" t="str">
        <f>IF(AND('331-CT'!$E$7=TH!H461,OR(L461="331",M461="331")),"331",IF(AND(OR(L461="131",M461="131"),H461='131-CT'!$E$7),"131",""))</f>
        <v/>
      </c>
      <c r="O461" s="818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52">
        <v>1</v>
      </c>
      <c r="AB461" s="552"/>
      <c r="AC461" s="209" t="str">
        <f>IF(VLOOKUP(H461,DSKH,1,0)=H461,"","x")</f>
        <v/>
      </c>
      <c r="AE461" s="552"/>
      <c r="AF461" s="552"/>
    </row>
    <row r="462" spans="1:32" s="209" customFormat="1" ht="15.75" customHeight="1">
      <c r="A462" s="202" t="str">
        <f>IF(B462&lt;&gt;"",IF(AND(B462&gt;=_TM1,B462&lt;=_TM2,OR(TH!L462="1111",TH!M462="1111")),TH!D462,""),"")</f>
        <v/>
      </c>
      <c r="B462" s="36">
        <f t="shared" si="25"/>
        <v>3</v>
      </c>
      <c r="C462" s="182">
        <f t="shared" si="26"/>
        <v>42438</v>
      </c>
      <c r="D462" s="189" t="s">
        <v>1192</v>
      </c>
      <c r="E462" s="189">
        <v>42438</v>
      </c>
      <c r="F462" s="190" t="s">
        <v>684</v>
      </c>
      <c r="G462" s="448" t="s">
        <v>488</v>
      </c>
      <c r="H462" s="45" t="s">
        <v>803</v>
      </c>
      <c r="I462" s="251"/>
      <c r="J462" s="251"/>
      <c r="K462" s="38">
        <v>1734480</v>
      </c>
      <c r="L462" s="192" t="s">
        <v>9</v>
      </c>
      <c r="M462" s="561" t="s">
        <v>8</v>
      </c>
      <c r="N462" s="52" t="str">
        <f>IF(AND('331-CT'!$E$7=TH!H462,OR(L462="331",M462="331")),"331",IF(AND(OR(L462="131",M462="131"),H462='131-CT'!$E$7),"131",""))</f>
        <v/>
      </c>
      <c r="O462" s="818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52">
        <v>1</v>
      </c>
      <c r="AB462" s="552"/>
      <c r="AC462" s="209" t="str">
        <f>IF(VLOOKUP(H462,DSKH,1,0)=H462,"","x")</f>
        <v/>
      </c>
      <c r="AE462" s="552"/>
      <c r="AF462" s="552"/>
    </row>
    <row r="463" spans="1:32" s="209" customFormat="1" ht="15.75" customHeight="1">
      <c r="A463" s="202" t="str">
        <f>IF(B463&lt;&gt;"",IF(AND(B463&gt;=_TM1,B463&lt;=_TM2,OR(TH!L463="1111",TH!M463="1111")),TH!D463,""),"")</f>
        <v/>
      </c>
      <c r="B463" s="36">
        <f t="shared" si="25"/>
        <v>3</v>
      </c>
      <c r="C463" s="182">
        <f t="shared" si="26"/>
        <v>42438</v>
      </c>
      <c r="D463" s="189" t="s">
        <v>1654</v>
      </c>
      <c r="E463" s="189">
        <v>42438</v>
      </c>
      <c r="F463" s="187" t="s">
        <v>671</v>
      </c>
      <c r="G463" s="448" t="s">
        <v>488</v>
      </c>
      <c r="H463" s="45" t="s">
        <v>803</v>
      </c>
      <c r="I463" s="251"/>
      <c r="J463" s="251"/>
      <c r="K463" s="38">
        <v>19079280</v>
      </c>
      <c r="L463" s="192" t="s">
        <v>8</v>
      </c>
      <c r="M463" s="561" t="s">
        <v>47</v>
      </c>
      <c r="N463" s="52" t="str">
        <f>IF(AND('331-CT'!$E$7=TH!H463,OR(L463="331",M463="331")),"331",IF(AND(OR(L463="131",M463="131"),H463='131-CT'!$E$7),"131",""))</f>
        <v/>
      </c>
      <c r="O463" s="818" t="str">
        <f>IF(AND('341-CT'!$E$9=H463,OR(LEFT(L463,3)=$O$7,LEFT(M463,3)=$O$7)),"x","")</f>
        <v/>
      </c>
      <c r="P463" s="52" t="str">
        <f>IF(AND($B463&gt;='111'!$N$11,$B463&lt;='111'!$O$11,OR($L463=$P$7,$M463=$P$7)),"x","")</f>
        <v>x</v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52"/>
      <c r="AB463" s="552"/>
      <c r="AC463" s="209" t="str">
        <f>IF(VLOOKUP(H463,DSKH,1,0)=H463,"","x")</f>
        <v/>
      </c>
      <c r="AE463" s="552"/>
      <c r="AF463" s="552"/>
    </row>
    <row r="464" spans="1:32" s="209" customFormat="1" ht="15.75" customHeight="1">
      <c r="A464" s="202" t="str">
        <f>IF(B464&lt;&gt;"",IF(AND(B464&gt;=_TM1,B464&lt;=_TM2,OR(TH!L464="1111",TH!M464="1111")),TH!D464,""),"")</f>
        <v/>
      </c>
      <c r="B464" s="36">
        <f t="shared" si="25"/>
        <v>3</v>
      </c>
      <c r="C464" s="182">
        <f t="shared" si="26"/>
        <v>42439</v>
      </c>
      <c r="D464" s="189" t="s">
        <v>1655</v>
      </c>
      <c r="E464" s="189">
        <v>42439</v>
      </c>
      <c r="F464" s="187" t="s">
        <v>754</v>
      </c>
      <c r="G464" s="448" t="s">
        <v>330</v>
      </c>
      <c r="H464" s="191" t="s">
        <v>675</v>
      </c>
      <c r="I464" s="251"/>
      <c r="J464" s="827"/>
      <c r="K464" s="560">
        <v>40000000</v>
      </c>
      <c r="L464" s="561" t="s">
        <v>24</v>
      </c>
      <c r="M464" s="561" t="s">
        <v>47</v>
      </c>
      <c r="N464" s="52" t="str">
        <f>IF(AND('331-CT'!$E$7=TH!H464,OR(L464="331",M464="331")),"331",IF(AND(OR(L464="131",M464="131"),H464='131-CT'!$E$7),"131",""))</f>
        <v/>
      </c>
      <c r="O464" s="818" t="str">
        <f>IF(AND('341-CT'!$E$9=H464,OR(LEFT(L464,3)=$O$7,LEFT(M464,3)=$O$7)),"x","")</f>
        <v/>
      </c>
      <c r="P464" s="52" t="str">
        <f>IF(AND($B464&gt;='111'!$N$11,$B464&lt;='111'!$O$11,OR($L464=$P$7,$M464=$P$7)),"x","")</f>
        <v>x</v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52"/>
      <c r="AB464" s="552"/>
      <c r="AC464" s="552"/>
      <c r="AD464" s="552"/>
      <c r="AE464" s="552"/>
      <c r="AF464" s="552"/>
    </row>
    <row r="465" spans="1:32" s="209" customFormat="1" ht="15.75" customHeight="1">
      <c r="A465" s="202" t="str">
        <f>IF(B465&lt;&gt;"",IF(AND(B465&gt;=_TM1,B465&lt;=_TM2,OR(TH!L465="1111",TH!M465="1111")),TH!D465,""),"")</f>
        <v/>
      </c>
      <c r="B465" s="36">
        <f t="shared" si="25"/>
        <v>3</v>
      </c>
      <c r="C465" s="182">
        <f t="shared" si="26"/>
        <v>42439</v>
      </c>
      <c r="D465" s="182" t="s">
        <v>669</v>
      </c>
      <c r="E465" s="189">
        <v>42439</v>
      </c>
      <c r="F465" s="190" t="s">
        <v>790</v>
      </c>
      <c r="G465" s="448" t="s">
        <v>330</v>
      </c>
      <c r="H465" s="7" t="s">
        <v>1452</v>
      </c>
      <c r="I465" s="251"/>
      <c r="J465" s="251"/>
      <c r="K465" s="38">
        <v>20000000</v>
      </c>
      <c r="L465" s="192" t="s">
        <v>8</v>
      </c>
      <c r="M465" s="561" t="s">
        <v>24</v>
      </c>
      <c r="N465" s="52" t="str">
        <f>IF(AND('331-CT'!$E$7=TH!H465,OR(L465="331",M465="331")),"331",IF(AND(OR(L465="131",M465="131"),H465='131-CT'!$E$7),"131",""))</f>
        <v/>
      </c>
      <c r="O465" s="818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52"/>
      <c r="AB465" s="552"/>
    </row>
    <row r="466" spans="1:32" s="209" customFormat="1" ht="15.75" customHeight="1">
      <c r="A466" s="202" t="str">
        <f>IF(B466&lt;&gt;"",IF(AND(B466&gt;=_TM1,B466&lt;=_TM2,OR(TH!L466="1111",TH!M466="1111")),TH!D466,""),"")</f>
        <v/>
      </c>
      <c r="B466" s="36">
        <f t="shared" si="25"/>
        <v>3</v>
      </c>
      <c r="C466" s="182">
        <f t="shared" si="26"/>
        <v>42439</v>
      </c>
      <c r="D466" s="182" t="s">
        <v>669</v>
      </c>
      <c r="E466" s="189">
        <v>42439</v>
      </c>
      <c r="F466" s="190" t="s">
        <v>790</v>
      </c>
      <c r="G466" s="448" t="s">
        <v>330</v>
      </c>
      <c r="H466" s="7" t="s">
        <v>1453</v>
      </c>
      <c r="I466" s="251"/>
      <c r="J466" s="251"/>
      <c r="K466" s="38">
        <v>30000000</v>
      </c>
      <c r="L466" s="192" t="s">
        <v>8</v>
      </c>
      <c r="M466" s="561" t="s">
        <v>24</v>
      </c>
      <c r="N466" s="52" t="str">
        <f>IF(AND('331-CT'!$E$7=TH!H466,OR(L466="331",M466="331")),"331",IF(AND(OR(L466="131",M466="131"),H466='131-CT'!$E$7),"131",""))</f>
        <v/>
      </c>
      <c r="O466" s="818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52"/>
      <c r="AB466" s="552"/>
      <c r="AC466" s="552"/>
    </row>
    <row r="467" spans="1:32" s="209" customFormat="1" ht="15.75" customHeight="1">
      <c r="A467" s="202" t="str">
        <f>IF(B467&lt;&gt;"",IF(AND(B467&gt;=_TM1,B467&lt;=_TM2,OR(TH!L467="1111",TH!M467="1111")),TH!D467,""),"")</f>
        <v/>
      </c>
      <c r="B467" s="36">
        <f t="shared" si="25"/>
        <v>3</v>
      </c>
      <c r="C467" s="182">
        <f t="shared" si="26"/>
        <v>42439</v>
      </c>
      <c r="D467" s="182" t="s">
        <v>669</v>
      </c>
      <c r="E467" s="189">
        <v>42439</v>
      </c>
      <c r="F467" s="190" t="s">
        <v>672</v>
      </c>
      <c r="G467" s="448" t="s">
        <v>330</v>
      </c>
      <c r="H467" s="45"/>
      <c r="I467" s="251"/>
      <c r="J467" s="251"/>
      <c r="K467" s="38">
        <v>15000</v>
      </c>
      <c r="L467" s="192" t="s">
        <v>83</v>
      </c>
      <c r="M467" s="561" t="s">
        <v>24</v>
      </c>
      <c r="N467" s="52" t="str">
        <f>IF(AND('331-CT'!$E$7=TH!H467,OR(L467="331",M467="331")),"331",IF(AND(OR(L467="131",M467="131"),H467='131-CT'!$E$7),"131",""))</f>
        <v/>
      </c>
      <c r="O467" s="818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>x</v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52"/>
      <c r="AB467" s="552"/>
    </row>
    <row r="468" spans="1:32" s="209" customFormat="1" ht="15.75" customHeight="1">
      <c r="A468" s="202" t="str">
        <f>IF(B468&lt;&gt;"",IF(AND(B468&gt;=_TM1,B468&lt;=_TM2,OR(TH!L468="1111",TH!M468="1111")),TH!D468,""),"")</f>
        <v/>
      </c>
      <c r="B468" s="36">
        <f t="shared" ref="B468:B531" si="28">IF(C468&lt;&gt;"",MONTH(C468),"")</f>
        <v>3</v>
      </c>
      <c r="C468" s="182">
        <f t="shared" ref="C468:C531" si="29">E468</f>
        <v>42439</v>
      </c>
      <c r="D468" s="182" t="s">
        <v>669</v>
      </c>
      <c r="E468" s="189">
        <v>42439</v>
      </c>
      <c r="F468" s="190" t="s">
        <v>672</v>
      </c>
      <c r="G468" s="448" t="s">
        <v>330</v>
      </c>
      <c r="H468" s="45"/>
      <c r="I468" s="251"/>
      <c r="J468" s="251"/>
      <c r="K468" s="38">
        <v>10000</v>
      </c>
      <c r="L468" s="192" t="s">
        <v>83</v>
      </c>
      <c r="M468" s="561" t="s">
        <v>24</v>
      </c>
      <c r="N468" s="52" t="str">
        <f>IF(AND('331-CT'!$E$7=TH!H468,OR(L468="331",M468="331")),"331",IF(AND(OR(L468="131",M468="131"),H468='131-CT'!$E$7),"131",""))</f>
        <v/>
      </c>
      <c r="O468" s="818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>x</v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52"/>
      <c r="AB468" s="552"/>
      <c r="AC468" s="552"/>
    </row>
    <row r="469" spans="1:32" s="209" customFormat="1" ht="15.75" customHeight="1">
      <c r="A469" s="202" t="str">
        <f>IF(B469&lt;&gt;"",IF(AND(B469&gt;=_TM1,B469&lt;=_TM2,OR(TH!L469="1111",TH!M469="1111")),TH!D469,""),"")</f>
        <v/>
      </c>
      <c r="B469" s="36">
        <f t="shared" si="28"/>
        <v>3</v>
      </c>
      <c r="C469" s="182">
        <f t="shared" si="29"/>
        <v>42439</v>
      </c>
      <c r="D469" s="182" t="s">
        <v>669</v>
      </c>
      <c r="E469" s="189">
        <v>42439</v>
      </c>
      <c r="F469" s="190" t="s">
        <v>672</v>
      </c>
      <c r="G469" s="448" t="s">
        <v>330</v>
      </c>
      <c r="H469" s="45"/>
      <c r="I469" s="251"/>
      <c r="J469" s="251"/>
      <c r="K469" s="38">
        <v>15000</v>
      </c>
      <c r="L469" s="192" t="s">
        <v>83</v>
      </c>
      <c r="M469" s="561" t="s">
        <v>24</v>
      </c>
      <c r="N469" s="52" t="str">
        <f>IF(AND('331-CT'!$E$7=TH!H469,OR(L469="331",M469="331")),"331",IF(AND(OR(L469="131",M469="131"),H469='131-CT'!$E$7),"131",""))</f>
        <v/>
      </c>
      <c r="O469" s="818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>x</v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52"/>
      <c r="AB469" s="552"/>
      <c r="AC469" s="552"/>
    </row>
    <row r="470" spans="1:32" s="209" customFormat="1" ht="15.75" customHeight="1">
      <c r="A470" s="202" t="str">
        <f>IF(B470&lt;&gt;"",IF(AND(B470&gt;=_TM1,B470&lt;=_TM2,OR(TH!L470="1111",TH!M470="1111")),TH!D470,""),"")</f>
        <v/>
      </c>
      <c r="B470" s="36">
        <f t="shared" si="28"/>
        <v>3</v>
      </c>
      <c r="C470" s="182">
        <f t="shared" si="29"/>
        <v>42439</v>
      </c>
      <c r="D470" s="189" t="s">
        <v>1193</v>
      </c>
      <c r="E470" s="189">
        <v>42439</v>
      </c>
      <c r="F470" s="190" t="s">
        <v>676</v>
      </c>
      <c r="G470" s="448" t="s">
        <v>491</v>
      </c>
      <c r="H470" s="45" t="s">
        <v>803</v>
      </c>
      <c r="I470" s="251">
        <v>2124</v>
      </c>
      <c r="J470" s="251">
        <v>7200</v>
      </c>
      <c r="K470" s="38">
        <f>ROUND(I470*J470,0)</f>
        <v>15292800</v>
      </c>
      <c r="L470" s="192" t="s">
        <v>158</v>
      </c>
      <c r="M470" s="561" t="s">
        <v>8</v>
      </c>
      <c r="N470" s="52" t="str">
        <f>IF(AND('331-CT'!$E$7=TH!H470,OR(L470="331",M470="331")),"331",IF(AND(OR(L470="131",M470="131"),H470='131-CT'!$E$7),"131",""))</f>
        <v/>
      </c>
      <c r="O470" s="818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52">
        <v>1</v>
      </c>
      <c r="AB470" s="552"/>
      <c r="AC470" s="209" t="str">
        <f>IF(VLOOKUP(H470,DSKH,1,0)=H470,"","x")</f>
        <v/>
      </c>
    </row>
    <row r="471" spans="1:32" s="209" customFormat="1" ht="15.75" customHeight="1">
      <c r="A471" s="202" t="str">
        <f>IF(B471&lt;&gt;"",IF(AND(B471&gt;=_TM1,B471&lt;=_TM2,OR(TH!L471="1111",TH!M471="1111")),TH!D471,""),"")</f>
        <v/>
      </c>
      <c r="B471" s="36">
        <f t="shared" si="28"/>
        <v>3</v>
      </c>
      <c r="C471" s="182">
        <f t="shared" si="29"/>
        <v>42439</v>
      </c>
      <c r="D471" s="189" t="s">
        <v>1193</v>
      </c>
      <c r="E471" s="189">
        <v>42439</v>
      </c>
      <c r="F471" s="190" t="s">
        <v>684</v>
      </c>
      <c r="G471" s="448" t="s">
        <v>491</v>
      </c>
      <c r="H471" s="45" t="s">
        <v>803</v>
      </c>
      <c r="I471" s="251"/>
      <c r="J471" s="251"/>
      <c r="K471" s="38">
        <v>1529280</v>
      </c>
      <c r="L471" s="192" t="s">
        <v>9</v>
      </c>
      <c r="M471" s="561" t="s">
        <v>8</v>
      </c>
      <c r="N471" s="52" t="str">
        <f>IF(AND('331-CT'!$E$7=TH!H471,OR(L471="331",M471="331")),"331",IF(AND(OR(L471="131",M471="131"),H471='131-CT'!$E$7),"131",""))</f>
        <v/>
      </c>
      <c r="O471" s="818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52">
        <v>1</v>
      </c>
      <c r="AB471" s="552"/>
      <c r="AC471" s="209" t="str">
        <f>IF(VLOOKUP(H471,DSKH,1,0)=H471,"","x")</f>
        <v/>
      </c>
    </row>
    <row r="472" spans="1:32" s="209" customFormat="1" ht="15.75" customHeight="1">
      <c r="A472" s="202" t="str">
        <f>IF(B472&lt;&gt;"",IF(AND(B472&gt;=_TM1,B472&lt;=_TM2,OR(TH!L472="1111",TH!M472="1111")),TH!D472,""),"")</f>
        <v/>
      </c>
      <c r="B472" s="36">
        <f t="shared" si="28"/>
        <v>3</v>
      </c>
      <c r="C472" s="182">
        <f t="shared" si="29"/>
        <v>42439</v>
      </c>
      <c r="D472" s="189" t="s">
        <v>1656</v>
      </c>
      <c r="E472" s="189">
        <v>42439</v>
      </c>
      <c r="F472" s="187" t="s">
        <v>671</v>
      </c>
      <c r="G472" s="448" t="s">
        <v>491</v>
      </c>
      <c r="H472" s="45" t="s">
        <v>803</v>
      </c>
      <c r="I472" s="251"/>
      <c r="J472" s="251"/>
      <c r="K472" s="38">
        <v>16822080</v>
      </c>
      <c r="L472" s="192" t="s">
        <v>8</v>
      </c>
      <c r="M472" s="561" t="s">
        <v>47</v>
      </c>
      <c r="N472" s="52" t="str">
        <f>IF(AND('331-CT'!$E$7=TH!H472,OR(L472="331",M472="331")),"331",IF(AND(OR(L472="131",M472="131"),H472='131-CT'!$E$7),"131",""))</f>
        <v/>
      </c>
      <c r="O472" s="818" t="str">
        <f>IF(AND('341-CT'!$E$9=H472,OR(LEFT(L472,3)=$O$7,LEFT(M472,3)=$O$7)),"x","")</f>
        <v/>
      </c>
      <c r="P472" s="52" t="str">
        <f>IF(AND($B472&gt;='111'!$N$11,$B472&lt;='111'!$O$11,OR($L472=$P$7,$M472=$P$7)),"x","")</f>
        <v>x</v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52"/>
      <c r="AB472" s="552"/>
      <c r="AC472" s="209" t="str">
        <f>IF(VLOOKUP(H472,DSKH,1,0)=H472,"","x")</f>
        <v/>
      </c>
    </row>
    <row r="473" spans="1:32" s="209" customFormat="1" ht="15.75" customHeight="1">
      <c r="A473" s="202" t="str">
        <f>IF(B473&lt;&gt;"",IF(AND(B473&gt;=_TM1,B473&lt;=_TM2,OR(TH!L473="1111",TH!M473="1111")),TH!D473,""),"")</f>
        <v/>
      </c>
      <c r="B473" s="36">
        <f t="shared" si="28"/>
        <v>3</v>
      </c>
      <c r="C473" s="182">
        <f t="shared" si="29"/>
        <v>42439</v>
      </c>
      <c r="D473" s="189" t="s">
        <v>1154</v>
      </c>
      <c r="E473" s="189">
        <v>42439</v>
      </c>
      <c r="F473" s="190" t="s">
        <v>948</v>
      </c>
      <c r="G473" s="451" t="s">
        <v>459</v>
      </c>
      <c r="H473" s="7" t="s">
        <v>780</v>
      </c>
      <c r="I473" s="251">
        <v>214</v>
      </c>
      <c r="J473" s="251">
        <v>8600</v>
      </c>
      <c r="K473" s="38">
        <f>ROUND(I473*J473,0)</f>
        <v>1840400</v>
      </c>
      <c r="L473" s="192" t="s">
        <v>258</v>
      </c>
      <c r="M473" s="192" t="s">
        <v>173</v>
      </c>
      <c r="N473" s="52" t="str">
        <f>IF(AND('331-CT'!$E$7=TH!H473,OR(L473="331",M473="331")),"331",IF(AND(OR(L473="131",M473="131"),H473='131-CT'!$E$7),"131",""))</f>
        <v/>
      </c>
      <c r="O473" s="818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52"/>
      <c r="AB473" s="552"/>
      <c r="AC473" s="552"/>
    </row>
    <row r="474" spans="1:32" s="209" customFormat="1" ht="15.75" customHeight="1">
      <c r="A474" s="202" t="str">
        <f>IF(B474&lt;&gt;"",IF(AND(B474&gt;=_TM1,B474&lt;=_TM2,OR(TH!L474="1111",TH!M474="1111")),TH!D474,""),"")</f>
        <v/>
      </c>
      <c r="B474" s="36">
        <f t="shared" si="28"/>
        <v>3</v>
      </c>
      <c r="C474" s="182">
        <f t="shared" si="29"/>
        <v>42439</v>
      </c>
      <c r="D474" s="189" t="s">
        <v>1154</v>
      </c>
      <c r="E474" s="189">
        <v>42439</v>
      </c>
      <c r="F474" s="190" t="s">
        <v>410</v>
      </c>
      <c r="G474" s="451" t="s">
        <v>459</v>
      </c>
      <c r="H474" s="7" t="s">
        <v>780</v>
      </c>
      <c r="I474" s="251">
        <v>390</v>
      </c>
      <c r="J474" s="251">
        <v>7700</v>
      </c>
      <c r="K474" s="38">
        <f>ROUND(I474*J474,0)</f>
        <v>3003000</v>
      </c>
      <c r="L474" s="192" t="s">
        <v>258</v>
      </c>
      <c r="M474" s="192" t="s">
        <v>173</v>
      </c>
      <c r="N474" s="52" t="str">
        <f>IF(AND('331-CT'!$E$7=TH!H474,OR(L474="331",M474="331")),"331",IF(AND(OR(L474="131",M474="131"),H474='131-CT'!$E$7),"131",""))</f>
        <v/>
      </c>
      <c r="O474" s="818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52"/>
      <c r="AB474" s="552"/>
      <c r="AC474" s="552"/>
    </row>
    <row r="475" spans="1:32" s="209" customFormat="1" ht="15.75" customHeight="1">
      <c r="A475" s="202" t="str">
        <f>IF(B475&lt;&gt;"",IF(AND(B475&gt;=_TM1,B475&lt;=_TM2,OR(TH!L475="1111",TH!M475="1111")),TH!D475,""),"")</f>
        <v/>
      </c>
      <c r="B475" s="36">
        <f t="shared" si="28"/>
        <v>3</v>
      </c>
      <c r="C475" s="182">
        <f t="shared" si="29"/>
        <v>42439</v>
      </c>
      <c r="D475" s="189" t="s">
        <v>1154</v>
      </c>
      <c r="E475" s="189">
        <v>42439</v>
      </c>
      <c r="F475" s="190" t="s">
        <v>393</v>
      </c>
      <c r="G475" s="451" t="s">
        <v>459</v>
      </c>
      <c r="H475" s="7" t="s">
        <v>780</v>
      </c>
      <c r="I475" s="251"/>
      <c r="J475" s="251"/>
      <c r="K475" s="560">
        <v>484340</v>
      </c>
      <c r="L475" s="192" t="s">
        <v>258</v>
      </c>
      <c r="M475" s="192" t="s">
        <v>367</v>
      </c>
      <c r="N475" s="52" t="str">
        <f>IF(AND('331-CT'!$E$7=TH!H475,OR(L475="331",M475="331")),"331",IF(AND(OR(L475="131",M475="131"),H475='131-CT'!$E$7),"131",""))</f>
        <v/>
      </c>
      <c r="O475" s="818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52"/>
      <c r="AB475" s="552"/>
      <c r="AC475" s="552"/>
    </row>
    <row r="476" spans="1:32" s="209" customFormat="1" ht="15.75" customHeight="1">
      <c r="A476" s="202" t="str">
        <f>IF(B476&lt;&gt;"",IF(AND(B476&gt;=_TM1,B476&lt;=_TM2,OR(TH!L476="1111",TH!M476="1111")),TH!D476,""),"")</f>
        <v/>
      </c>
      <c r="B476" s="36">
        <f t="shared" si="28"/>
        <v>3</v>
      </c>
      <c r="C476" s="182">
        <f t="shared" si="29"/>
        <v>42440</v>
      </c>
      <c r="D476" s="182" t="s">
        <v>665</v>
      </c>
      <c r="E476" s="189">
        <v>42440</v>
      </c>
      <c r="F476" s="187" t="s">
        <v>666</v>
      </c>
      <c r="G476" s="448" t="s">
        <v>330</v>
      </c>
      <c r="H476" s="7" t="s">
        <v>778</v>
      </c>
      <c r="I476" s="251"/>
      <c r="J476" s="251"/>
      <c r="K476" s="38">
        <v>6050000</v>
      </c>
      <c r="L476" s="561" t="s">
        <v>24</v>
      </c>
      <c r="M476" s="561" t="s">
        <v>258</v>
      </c>
      <c r="N476" s="52" t="str">
        <f>IF(AND('331-CT'!$E$7=TH!H476,OR(L476="331",M476="331")),"331",IF(AND(OR(L476="131",M476="131"),H476='131-CT'!$E$7),"131",""))</f>
        <v/>
      </c>
      <c r="O476" s="818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52"/>
      <c r="AB476" s="552"/>
      <c r="AC476" s="552"/>
      <c r="AD476" s="552"/>
      <c r="AE476" s="552"/>
      <c r="AF476" s="552"/>
    </row>
    <row r="477" spans="1:32" s="209" customFormat="1" ht="15.75" customHeight="1">
      <c r="A477" s="202" t="str">
        <f>IF(B477&lt;&gt;"",IF(AND(B477&gt;=_TM1,B477&lt;=_TM2,OR(TH!L477="1111",TH!M477="1111")),TH!D477,""),"")</f>
        <v/>
      </c>
      <c r="B477" s="36">
        <f t="shared" si="28"/>
        <v>3</v>
      </c>
      <c r="C477" s="182">
        <f t="shared" si="29"/>
        <v>42440</v>
      </c>
      <c r="D477" s="182" t="s">
        <v>665</v>
      </c>
      <c r="E477" s="189">
        <v>42440</v>
      </c>
      <c r="F477" s="187" t="s">
        <v>666</v>
      </c>
      <c r="G477" s="448" t="s">
        <v>330</v>
      </c>
      <c r="H477" s="191" t="s">
        <v>609</v>
      </c>
      <c r="I477" s="251"/>
      <c r="J477" s="251"/>
      <c r="K477" s="38">
        <v>35757150</v>
      </c>
      <c r="L477" s="561" t="s">
        <v>24</v>
      </c>
      <c r="M477" s="561" t="s">
        <v>258</v>
      </c>
      <c r="N477" s="52" t="str">
        <f>IF(AND('331-CT'!$E$7=TH!H477,OR(L477="331",M477="331")),"331",IF(AND(OR(L477="131",M477="131"),H477='131-CT'!$E$7),"131",""))</f>
        <v/>
      </c>
      <c r="O477" s="818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52"/>
      <c r="AB477" s="552"/>
      <c r="AC477" s="552"/>
      <c r="AE477" s="552"/>
      <c r="AF477" s="552"/>
    </row>
    <row r="478" spans="1:32" s="209" customFormat="1" ht="15.75" customHeight="1">
      <c r="A478" s="202" t="str">
        <f>IF(B478&lt;&gt;"",IF(AND(B478&gt;=_TM1,B478&lt;=_TM2,OR(TH!L478="1111",TH!M478="1111")),TH!D478,""),"")</f>
        <v/>
      </c>
      <c r="B478" s="36">
        <f t="shared" si="28"/>
        <v>3</v>
      </c>
      <c r="C478" s="182">
        <f t="shared" si="29"/>
        <v>42440</v>
      </c>
      <c r="D478" s="189" t="s">
        <v>1194</v>
      </c>
      <c r="E478" s="189">
        <v>42440</v>
      </c>
      <c r="F478" s="190" t="s">
        <v>676</v>
      </c>
      <c r="G478" s="448" t="s">
        <v>494</v>
      </c>
      <c r="H478" s="45" t="s">
        <v>803</v>
      </c>
      <c r="I478" s="251">
        <v>2428</v>
      </c>
      <c r="J478" s="251">
        <v>7200</v>
      </c>
      <c r="K478" s="38">
        <f>ROUND(I478*J478,0)</f>
        <v>17481600</v>
      </c>
      <c r="L478" s="192" t="s">
        <v>158</v>
      </c>
      <c r="M478" s="561" t="s">
        <v>8</v>
      </c>
      <c r="N478" s="52" t="str">
        <f>IF(AND('331-CT'!$E$7=TH!H478,OR(L478="331",M478="331")),"331",IF(AND(OR(L478="131",M478="131"),H478='131-CT'!$E$7),"131",""))</f>
        <v/>
      </c>
      <c r="O478" s="818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52">
        <v>1</v>
      </c>
      <c r="AB478" s="552"/>
      <c r="AC478" s="209" t="str">
        <f>IF(VLOOKUP(H478,DSKH,1,0)=H478,"","x")</f>
        <v/>
      </c>
      <c r="AE478" s="552"/>
      <c r="AF478" s="552"/>
    </row>
    <row r="479" spans="1:32" s="209" customFormat="1" ht="15.75" customHeight="1">
      <c r="A479" s="202" t="str">
        <f>IF(B479&lt;&gt;"",IF(AND(B479&gt;=_TM1,B479&lt;=_TM2,OR(TH!L479="1111",TH!M479="1111")),TH!D479,""),"")</f>
        <v/>
      </c>
      <c r="B479" s="36">
        <f t="shared" si="28"/>
        <v>3</v>
      </c>
      <c r="C479" s="182">
        <f t="shared" si="29"/>
        <v>42440</v>
      </c>
      <c r="D479" s="189" t="s">
        <v>1194</v>
      </c>
      <c r="E479" s="189">
        <v>42440</v>
      </c>
      <c r="F479" s="190" t="s">
        <v>684</v>
      </c>
      <c r="G479" s="448" t="s">
        <v>494</v>
      </c>
      <c r="H479" s="45" t="s">
        <v>803</v>
      </c>
      <c r="I479" s="251"/>
      <c r="J479" s="251"/>
      <c r="K479" s="38">
        <v>1748160</v>
      </c>
      <c r="L479" s="192" t="s">
        <v>9</v>
      </c>
      <c r="M479" s="561" t="s">
        <v>8</v>
      </c>
      <c r="N479" s="52" t="str">
        <f>IF(AND('331-CT'!$E$7=TH!H479,OR(L479="331",M479="331")),"331",IF(AND(OR(L479="131",M479="131"),H479='131-CT'!$E$7),"131",""))</f>
        <v/>
      </c>
      <c r="O479" s="818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52">
        <v>1</v>
      </c>
      <c r="AB479" s="552"/>
      <c r="AC479" s="209" t="str">
        <f>IF(VLOOKUP(H479,DSKH,1,0)=H479,"","x")</f>
        <v/>
      </c>
      <c r="AE479" s="552"/>
      <c r="AF479" s="552"/>
    </row>
    <row r="480" spans="1:32" s="209" customFormat="1" ht="15.75" customHeight="1">
      <c r="A480" s="202" t="str">
        <f>IF(B480&lt;&gt;"",IF(AND(B480&gt;=_TM1,B480&lt;=_TM2,OR(TH!L480="1111",TH!M480="1111")),TH!D480,""),"")</f>
        <v/>
      </c>
      <c r="B480" s="36">
        <f t="shared" si="28"/>
        <v>3</v>
      </c>
      <c r="C480" s="182">
        <f t="shared" si="29"/>
        <v>42440</v>
      </c>
      <c r="D480" s="189" t="s">
        <v>360</v>
      </c>
      <c r="E480" s="189">
        <v>42440</v>
      </c>
      <c r="F480" s="187" t="s">
        <v>671</v>
      </c>
      <c r="G480" s="448" t="s">
        <v>494</v>
      </c>
      <c r="H480" s="45" t="s">
        <v>803</v>
      </c>
      <c r="I480" s="251"/>
      <c r="J480" s="251"/>
      <c r="K480" s="38">
        <v>19229760</v>
      </c>
      <c r="L480" s="192" t="s">
        <v>8</v>
      </c>
      <c r="M480" s="561" t="s">
        <v>47</v>
      </c>
      <c r="N480" s="52" t="str">
        <f>IF(AND('331-CT'!$E$7=TH!H480,OR(L480="331",M480="331")),"331",IF(AND(OR(L480="131",M480="131"),H480='131-CT'!$E$7),"131",""))</f>
        <v/>
      </c>
      <c r="O480" s="818" t="str">
        <f>IF(AND('341-CT'!$E$9=H480,OR(LEFT(L480,3)=$O$7,LEFT(M480,3)=$O$7)),"x","")</f>
        <v/>
      </c>
      <c r="P480" s="52" t="str">
        <f>IF(AND($B480&gt;='111'!$N$11,$B480&lt;='111'!$O$11,OR($L480=$P$7,$M480=$P$7)),"x","")</f>
        <v>x</v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52"/>
      <c r="AB480" s="552"/>
      <c r="AC480" s="209" t="str">
        <f>IF(VLOOKUP(H480,DSKH,1,0)=H480,"","x")</f>
        <v/>
      </c>
      <c r="AE480" s="552"/>
      <c r="AF480" s="552"/>
    </row>
    <row r="481" spans="1:32" s="209" customFormat="1" ht="15.75" customHeight="1">
      <c r="A481" s="202" t="str">
        <f>IF(B481&lt;&gt;"",IF(AND(B481&gt;=_TM1,B481&lt;=_TM2,OR(TH!L481="1111",TH!M481="1111")),TH!D481,""),"")</f>
        <v/>
      </c>
      <c r="B481" s="36">
        <f t="shared" si="28"/>
        <v>3</v>
      </c>
      <c r="C481" s="182">
        <f t="shared" si="29"/>
        <v>42440</v>
      </c>
      <c r="D481" s="189" t="s">
        <v>1155</v>
      </c>
      <c r="E481" s="189">
        <v>42440</v>
      </c>
      <c r="F481" s="190" t="s">
        <v>949</v>
      </c>
      <c r="G481" s="451" t="s">
        <v>460</v>
      </c>
      <c r="H481" s="208" t="s">
        <v>501</v>
      </c>
      <c r="I481" s="252">
        <v>744</v>
      </c>
      <c r="J481" s="252">
        <v>4100</v>
      </c>
      <c r="K481" s="38">
        <f>ROUND(I481*J481,0)</f>
        <v>3050400</v>
      </c>
      <c r="L481" s="192" t="s">
        <v>258</v>
      </c>
      <c r="M481" s="192" t="s">
        <v>173</v>
      </c>
      <c r="N481" s="52" t="str">
        <f>IF(AND('331-CT'!$E$7=TH!H481,OR(L481="331",M481="331")),"331",IF(AND(OR(L481="131",M481="131"),H481='131-CT'!$E$7),"131",""))</f>
        <v/>
      </c>
      <c r="O481" s="818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52"/>
      <c r="AB481" s="552"/>
    </row>
    <row r="482" spans="1:32" s="209" customFormat="1" ht="15.75" customHeight="1">
      <c r="A482" s="202" t="str">
        <f>IF(B482&lt;&gt;"",IF(AND(B482&gt;=_TM1,B482&lt;=_TM2,OR(TH!L482="1111",TH!M482="1111")),TH!D482,""),"")</f>
        <v/>
      </c>
      <c r="B482" s="36">
        <f t="shared" si="28"/>
        <v>3</v>
      </c>
      <c r="C482" s="182">
        <f t="shared" si="29"/>
        <v>42440</v>
      </c>
      <c r="D482" s="189" t="s">
        <v>1155</v>
      </c>
      <c r="E482" s="189">
        <v>42440</v>
      </c>
      <c r="F482" s="190" t="s">
        <v>393</v>
      </c>
      <c r="G482" s="451" t="s">
        <v>460</v>
      </c>
      <c r="H482" s="208" t="s">
        <v>501</v>
      </c>
      <c r="I482" s="251"/>
      <c r="J482" s="251"/>
      <c r="K482" s="560">
        <v>305040</v>
      </c>
      <c r="L482" s="192" t="s">
        <v>258</v>
      </c>
      <c r="M482" s="192" t="s">
        <v>367</v>
      </c>
      <c r="N482" s="52" t="str">
        <f>IF(AND('331-CT'!$E$7=TH!H482,OR(L482="331",M482="331")),"331",IF(AND(OR(L482="131",M482="131"),H482='131-CT'!$E$7),"131",""))</f>
        <v/>
      </c>
      <c r="O482" s="818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52"/>
      <c r="AB482" s="552"/>
      <c r="AC482" s="552"/>
    </row>
    <row r="483" spans="1:32" s="209" customFormat="1" ht="15.75" customHeight="1">
      <c r="A483" s="202" t="str">
        <f>IF(B483&lt;&gt;"",IF(AND(B483&gt;=_TM1,B483&lt;=_TM2,OR(TH!L483="1111",TH!M483="1111")),TH!D483,""),"")</f>
        <v/>
      </c>
      <c r="B483" s="36">
        <f t="shared" si="28"/>
        <v>3</v>
      </c>
      <c r="C483" s="182">
        <f t="shared" si="29"/>
        <v>42440</v>
      </c>
      <c r="D483" s="189" t="s">
        <v>1156</v>
      </c>
      <c r="E483" s="189">
        <v>42440</v>
      </c>
      <c r="F483" s="190" t="s">
        <v>1201</v>
      </c>
      <c r="G483" s="451" t="s">
        <v>461</v>
      </c>
      <c r="H483" s="191" t="s">
        <v>609</v>
      </c>
      <c r="I483" s="251">
        <v>210</v>
      </c>
      <c r="J483" s="251">
        <v>5900</v>
      </c>
      <c r="K483" s="38">
        <f>ROUND(I483*J483,0)</f>
        <v>1239000</v>
      </c>
      <c r="L483" s="192" t="s">
        <v>258</v>
      </c>
      <c r="M483" s="192" t="s">
        <v>173</v>
      </c>
      <c r="N483" s="52" t="str">
        <f>IF(AND('331-CT'!$E$7=TH!H483,OR(L483="331",M483="331")),"331",IF(AND(OR(L483="131",M483="131"),H483='131-CT'!$E$7),"131",""))</f>
        <v/>
      </c>
      <c r="O483" s="818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52"/>
      <c r="AB483" s="552"/>
    </row>
    <row r="484" spans="1:32" s="209" customFormat="1" ht="15.75" customHeight="1">
      <c r="A484" s="202" t="str">
        <f>IF(B484&lt;&gt;"",IF(AND(B484&gt;=_TM1,B484&lt;=_TM2,OR(TH!L484="1111",TH!M484="1111")),TH!D484,""),"")</f>
        <v/>
      </c>
      <c r="B484" s="36">
        <f t="shared" si="28"/>
        <v>3</v>
      </c>
      <c r="C484" s="182">
        <f t="shared" si="29"/>
        <v>42440</v>
      </c>
      <c r="D484" s="189" t="s">
        <v>1156</v>
      </c>
      <c r="E484" s="189">
        <v>42440</v>
      </c>
      <c r="F484" s="190" t="s">
        <v>950</v>
      </c>
      <c r="G484" s="451" t="s">
        <v>461</v>
      </c>
      <c r="H484" s="191" t="s">
        <v>609</v>
      </c>
      <c r="I484" s="251"/>
      <c r="J484" s="251"/>
      <c r="K484" s="560">
        <v>123900</v>
      </c>
      <c r="L484" s="192" t="s">
        <v>258</v>
      </c>
      <c r="M484" s="192" t="s">
        <v>367</v>
      </c>
      <c r="N484" s="52" t="str">
        <f>IF(AND('331-CT'!$E$7=TH!H484,OR(L484="331",M484="331")),"331",IF(AND(OR(L484="131",M484="131"),H484='131-CT'!$E$7),"131",""))</f>
        <v/>
      </c>
      <c r="O484" s="818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52"/>
      <c r="AB484" s="552"/>
      <c r="AC484" s="552"/>
    </row>
    <row r="485" spans="1:32" s="209" customFormat="1" ht="15.75" customHeight="1">
      <c r="A485" s="202" t="str">
        <f>IF(B485&lt;&gt;"",IF(AND(B485&gt;=_TM1,B485&lt;=_TM2,OR(TH!L485="1111",TH!M485="1111")),TH!D485,""),"")</f>
        <v/>
      </c>
      <c r="B485" s="36">
        <f t="shared" si="28"/>
        <v>3</v>
      </c>
      <c r="C485" s="182">
        <f t="shared" si="29"/>
        <v>42441</v>
      </c>
      <c r="D485" s="182" t="s">
        <v>1657</v>
      </c>
      <c r="E485" s="189">
        <v>42441</v>
      </c>
      <c r="F485" s="187" t="s">
        <v>776</v>
      </c>
      <c r="G485" s="448" t="s">
        <v>330</v>
      </c>
      <c r="H485" s="191" t="s">
        <v>782</v>
      </c>
      <c r="I485" s="251"/>
      <c r="J485" s="251"/>
      <c r="K485" s="38">
        <v>41900000</v>
      </c>
      <c r="L485" s="192" t="s">
        <v>47</v>
      </c>
      <c r="M485" s="561" t="s">
        <v>24</v>
      </c>
      <c r="N485" s="52" t="str">
        <f>IF(AND('331-CT'!$E$7=TH!H485,OR(L485="331",M485="331")),"331",IF(AND(OR(L485="131",M485="131"),H485='131-CT'!$E$7),"131",""))</f>
        <v/>
      </c>
      <c r="O485" s="818" t="str">
        <f>IF(AND('341-CT'!$E$9=H485,OR(LEFT(L485,3)=$O$7,LEFT(M485,3)=$O$7)),"x","")</f>
        <v/>
      </c>
      <c r="P485" s="52" t="str">
        <f>IF(AND($B485&gt;='111'!$N$11,$B485&lt;='111'!$O$11,OR($L485=$P$7,$M485=$P$7)),"x","")</f>
        <v>x</v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52"/>
      <c r="AB485" s="552"/>
      <c r="AC485" s="552"/>
      <c r="AD485" s="552"/>
    </row>
    <row r="486" spans="1:32" s="209" customFormat="1" ht="15.75" customHeight="1">
      <c r="A486" s="202" t="str">
        <f>IF(B486&lt;&gt;"",IF(AND(B486&gt;=_TM1,B486&lt;=_TM2,OR(TH!L486="1111",TH!M486="1111")),TH!D486,""),"")</f>
        <v/>
      </c>
      <c r="B486" s="36">
        <f t="shared" si="28"/>
        <v>3</v>
      </c>
      <c r="C486" s="182">
        <f t="shared" si="29"/>
        <v>42441</v>
      </c>
      <c r="D486" s="189" t="s">
        <v>1195</v>
      </c>
      <c r="E486" s="189">
        <v>42441</v>
      </c>
      <c r="F486" s="190" t="s">
        <v>676</v>
      </c>
      <c r="G486" s="448" t="s">
        <v>496</v>
      </c>
      <c r="H486" s="45" t="s">
        <v>803</v>
      </c>
      <c r="I486" s="251">
        <v>2260</v>
      </c>
      <c r="J486" s="251">
        <v>7200</v>
      </c>
      <c r="K486" s="38">
        <f>ROUND(I486*J486,0)</f>
        <v>16272000</v>
      </c>
      <c r="L486" s="192" t="s">
        <v>158</v>
      </c>
      <c r="M486" s="561" t="s">
        <v>8</v>
      </c>
      <c r="N486" s="52" t="str">
        <f>IF(AND('331-CT'!$E$7=TH!H486,OR(L486="331",M486="331")),"331",IF(AND(OR(L486="131",M486="131"),H486='131-CT'!$E$7),"131",""))</f>
        <v/>
      </c>
      <c r="O486" s="818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52">
        <v>1</v>
      </c>
      <c r="AB486" s="552"/>
      <c r="AC486" s="209" t="str">
        <f>IF(VLOOKUP(H486,DSKH,1,0)=H486,"","x")</f>
        <v/>
      </c>
      <c r="AE486" s="552"/>
      <c r="AF486" s="552"/>
    </row>
    <row r="487" spans="1:32" s="209" customFormat="1" ht="15.75" customHeight="1">
      <c r="A487" s="202" t="str">
        <f>IF(B487&lt;&gt;"",IF(AND(B487&gt;=_TM1,B487&lt;=_TM2,OR(TH!L487="1111",TH!M487="1111")),TH!D487,""),"")</f>
        <v/>
      </c>
      <c r="B487" s="36">
        <f t="shared" si="28"/>
        <v>3</v>
      </c>
      <c r="C487" s="182">
        <f t="shared" si="29"/>
        <v>42441</v>
      </c>
      <c r="D487" s="189" t="s">
        <v>1195</v>
      </c>
      <c r="E487" s="189">
        <v>42441</v>
      </c>
      <c r="F487" s="190" t="s">
        <v>684</v>
      </c>
      <c r="G487" s="448" t="s">
        <v>496</v>
      </c>
      <c r="H487" s="45" t="s">
        <v>803</v>
      </c>
      <c r="I487" s="252"/>
      <c r="J487" s="251"/>
      <c r="K487" s="38">
        <v>1627200</v>
      </c>
      <c r="L487" s="192" t="s">
        <v>9</v>
      </c>
      <c r="M487" s="561" t="s">
        <v>8</v>
      </c>
      <c r="N487" s="52" t="str">
        <f>IF(AND('331-CT'!$E$7=TH!H487,OR(L487="331",M487="331")),"331",IF(AND(OR(L487="131",M487="131"),H487='131-CT'!$E$7),"131",""))</f>
        <v/>
      </c>
      <c r="O487" s="818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52">
        <v>1</v>
      </c>
      <c r="AB487" s="552"/>
      <c r="AC487" s="209" t="str">
        <f>IF(VLOOKUP(H487,DSKH,1,0)=H487,"","x")</f>
        <v/>
      </c>
      <c r="AE487" s="552"/>
      <c r="AF487" s="552"/>
    </row>
    <row r="488" spans="1:32" s="209" customFormat="1" ht="15.75" customHeight="1">
      <c r="A488" s="202" t="str">
        <f>IF(B488&lt;&gt;"",IF(AND(B488&gt;=_TM1,B488&lt;=_TM2,OR(TH!L488="1111",TH!M488="1111")),TH!D488,""),"")</f>
        <v/>
      </c>
      <c r="B488" s="36">
        <f t="shared" si="28"/>
        <v>3</v>
      </c>
      <c r="C488" s="182">
        <f t="shared" si="29"/>
        <v>42441</v>
      </c>
      <c r="D488" s="189" t="s">
        <v>1658</v>
      </c>
      <c r="E488" s="189">
        <v>42441</v>
      </c>
      <c r="F488" s="187" t="s">
        <v>671</v>
      </c>
      <c r="G488" s="448" t="s">
        <v>496</v>
      </c>
      <c r="H488" s="45" t="s">
        <v>803</v>
      </c>
      <c r="I488" s="252"/>
      <c r="J488" s="251"/>
      <c r="K488" s="38">
        <v>17899200</v>
      </c>
      <c r="L488" s="192" t="s">
        <v>8</v>
      </c>
      <c r="M488" s="561" t="s">
        <v>47</v>
      </c>
      <c r="N488" s="52" t="str">
        <f>IF(AND('331-CT'!$E$7=TH!H488,OR(L488="331",M488="331")),"331",IF(AND(OR(L488="131",M488="131"),H488='131-CT'!$E$7),"131",""))</f>
        <v/>
      </c>
      <c r="O488" s="818" t="str">
        <f>IF(AND('341-CT'!$E$9=H488,OR(LEFT(L488,3)=$O$7,LEFT(M488,3)=$O$7)),"x","")</f>
        <v/>
      </c>
      <c r="P488" s="52" t="str">
        <f>IF(AND($B488&gt;='111'!$N$11,$B488&lt;='111'!$O$11,OR($L488=$P$7,$M488=$P$7)),"x","")</f>
        <v>x</v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52"/>
      <c r="AB488" s="552"/>
      <c r="AC488" s="209" t="str">
        <f>IF(VLOOKUP(H488,DSKH,1,0)=H488,"","x")</f>
        <v/>
      </c>
      <c r="AE488" s="552"/>
      <c r="AF488" s="552"/>
    </row>
    <row r="489" spans="1:32" s="209" customFormat="1" ht="15.75" customHeight="1">
      <c r="A489" s="202" t="str">
        <f>IF(B489&lt;&gt;"",IF(AND(B489&gt;=_TM1,B489&lt;=_TM2,OR(TH!L489="1111",TH!M489="1111")),TH!D489,""),"")</f>
        <v/>
      </c>
      <c r="B489" s="36">
        <f t="shared" si="28"/>
        <v>3</v>
      </c>
      <c r="C489" s="182">
        <f t="shared" si="29"/>
        <v>42441</v>
      </c>
      <c r="D489" s="189" t="s">
        <v>1157</v>
      </c>
      <c r="E489" s="189">
        <v>42441</v>
      </c>
      <c r="F489" s="190" t="s">
        <v>658</v>
      </c>
      <c r="G489" s="451" t="s">
        <v>462</v>
      </c>
      <c r="H489" s="7" t="s">
        <v>785</v>
      </c>
      <c r="I489" s="251">
        <v>843</v>
      </c>
      <c r="J489" s="251">
        <v>6450</v>
      </c>
      <c r="K489" s="38">
        <f>ROUND(I489*J489,0)</f>
        <v>5437350</v>
      </c>
      <c r="L489" s="192" t="s">
        <v>258</v>
      </c>
      <c r="M489" s="192" t="s">
        <v>173</v>
      </c>
      <c r="N489" s="52" t="str">
        <f>IF(AND('331-CT'!$E$7=TH!H489,OR(L489="331",M489="331")),"331",IF(AND(OR(L489="131",M489="131"),H489='131-CT'!$E$7),"131",""))</f>
        <v/>
      </c>
      <c r="O489" s="818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52"/>
      <c r="AB489" s="552"/>
    </row>
    <row r="490" spans="1:32" s="209" customFormat="1" ht="15.75" customHeight="1">
      <c r="A490" s="202" t="str">
        <f>IF(B490&lt;&gt;"",IF(AND(B490&gt;=_TM1,B490&lt;=_TM2,OR(TH!L490="1111",TH!M490="1111")),TH!D490,""),"")</f>
        <v/>
      </c>
      <c r="B490" s="36">
        <f t="shared" si="28"/>
        <v>3</v>
      </c>
      <c r="C490" s="182">
        <f t="shared" si="29"/>
        <v>42441</v>
      </c>
      <c r="D490" s="189" t="s">
        <v>1157</v>
      </c>
      <c r="E490" s="189">
        <v>42441</v>
      </c>
      <c r="F490" s="190" t="s">
        <v>659</v>
      </c>
      <c r="G490" s="451" t="s">
        <v>462</v>
      </c>
      <c r="H490" s="7" t="s">
        <v>785</v>
      </c>
      <c r="I490" s="251">
        <v>204</v>
      </c>
      <c r="J490" s="251">
        <v>10920</v>
      </c>
      <c r="K490" s="38">
        <f>ROUND(I490*J490,0)</f>
        <v>2227680</v>
      </c>
      <c r="L490" s="192" t="s">
        <v>258</v>
      </c>
      <c r="M490" s="192" t="s">
        <v>173</v>
      </c>
      <c r="N490" s="52" t="str">
        <f>IF(AND('331-CT'!$E$7=TH!H490,OR(L490="331",M490="331")),"331",IF(AND(OR(L490="131",M490="131"),H490='131-CT'!$E$7),"131",""))</f>
        <v/>
      </c>
      <c r="O490" s="818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52"/>
      <c r="AB490" s="552"/>
      <c r="AC490" s="552"/>
    </row>
    <row r="491" spans="1:32" s="209" customFormat="1" ht="15.75" customHeight="1">
      <c r="A491" s="202" t="str">
        <f>IF(B491&lt;&gt;"",IF(AND(B491&gt;=_TM1,B491&lt;=_TM2,OR(TH!L491="1111",TH!M491="1111")),TH!D491,""),"")</f>
        <v/>
      </c>
      <c r="B491" s="36">
        <f t="shared" si="28"/>
        <v>3</v>
      </c>
      <c r="C491" s="182">
        <f t="shared" si="29"/>
        <v>42441</v>
      </c>
      <c r="D491" s="189" t="s">
        <v>1157</v>
      </c>
      <c r="E491" s="189">
        <v>42441</v>
      </c>
      <c r="F491" s="190" t="s">
        <v>393</v>
      </c>
      <c r="G491" s="451" t="s">
        <v>462</v>
      </c>
      <c r="H491" s="7" t="s">
        <v>785</v>
      </c>
      <c r="I491" s="251"/>
      <c r="J491" s="251"/>
      <c r="K491" s="560">
        <v>766503</v>
      </c>
      <c r="L491" s="192" t="s">
        <v>258</v>
      </c>
      <c r="M491" s="192" t="s">
        <v>367</v>
      </c>
      <c r="N491" s="52" t="str">
        <f>IF(AND('331-CT'!$E$7=TH!H491,OR(L491="331",M491="331")),"331",IF(AND(OR(L491="131",M491="131"),H491='131-CT'!$E$7),"131",""))</f>
        <v/>
      </c>
      <c r="O491" s="818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52"/>
      <c r="AB491" s="552"/>
    </row>
    <row r="492" spans="1:32" s="209" customFormat="1" ht="15.75" customHeight="1">
      <c r="A492" s="202" t="str">
        <f>IF(B492&lt;&gt;"",IF(AND(B492&gt;=_TM1,B492&lt;=_TM2,OR(TH!L492="1111",TH!M492="1111")),TH!D492,""),"")</f>
        <v/>
      </c>
      <c r="B492" s="36">
        <f t="shared" si="28"/>
        <v>3</v>
      </c>
      <c r="C492" s="182">
        <f t="shared" si="29"/>
        <v>42441</v>
      </c>
      <c r="D492" s="189" t="s">
        <v>1158</v>
      </c>
      <c r="E492" s="189">
        <v>42441</v>
      </c>
      <c r="F492" s="190" t="s">
        <v>414</v>
      </c>
      <c r="G492" s="451" t="s">
        <v>463</v>
      </c>
      <c r="H492" s="191" t="s">
        <v>391</v>
      </c>
      <c r="I492" s="251">
        <v>610</v>
      </c>
      <c r="J492" s="251">
        <v>5550</v>
      </c>
      <c r="K492" s="38">
        <f>ROUND(I492*J492,0)</f>
        <v>3385500</v>
      </c>
      <c r="L492" s="192" t="s">
        <v>258</v>
      </c>
      <c r="M492" s="192" t="s">
        <v>173</v>
      </c>
      <c r="N492" s="52" t="str">
        <f>IF(AND('331-CT'!$E$7=TH!H492,OR(L492="331",M492="331")),"331",IF(AND(OR(L492="131",M492="131"),H492='131-CT'!$E$7),"131",""))</f>
        <v/>
      </c>
      <c r="O492" s="818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52"/>
      <c r="AB492" s="552"/>
      <c r="AC492" s="552"/>
    </row>
    <row r="493" spans="1:32" s="209" customFormat="1" ht="15.75" customHeight="1">
      <c r="A493" s="202" t="str">
        <f>IF(B493&lt;&gt;"",IF(AND(B493&gt;=_TM1,B493&lt;=_TM2,OR(TH!L493="1111",TH!M493="1111")),TH!D493,""),"")</f>
        <v/>
      </c>
      <c r="B493" s="779">
        <f t="shared" si="28"/>
        <v>3</v>
      </c>
      <c r="C493" s="780">
        <f t="shared" si="29"/>
        <v>42441</v>
      </c>
      <c r="D493" s="189" t="s">
        <v>1158</v>
      </c>
      <c r="E493" s="189">
        <v>42441</v>
      </c>
      <c r="F493" s="190" t="s">
        <v>485</v>
      </c>
      <c r="G493" s="451" t="s">
        <v>463</v>
      </c>
      <c r="H493" s="191" t="s">
        <v>391</v>
      </c>
      <c r="I493" s="251">
        <v>309</v>
      </c>
      <c r="J493" s="251">
        <v>5100</v>
      </c>
      <c r="K493" s="38">
        <f>ROUND(I493*J493,0)</f>
        <v>1575900</v>
      </c>
      <c r="L493" s="192" t="s">
        <v>258</v>
      </c>
      <c r="M493" s="192" t="s">
        <v>173</v>
      </c>
      <c r="N493" s="52" t="str">
        <f>IF(AND('331-CT'!$E$7=TH!H493,OR(L493="331",M493="331")),"331",IF(AND(OR(L493="131",M493="131"),H493='131-CT'!$E$7),"131",""))</f>
        <v/>
      </c>
      <c r="O493" s="818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52"/>
      <c r="AB493" s="552"/>
      <c r="AC493" s="788"/>
      <c r="AD493" s="788"/>
      <c r="AE493" s="788"/>
      <c r="AF493" s="788"/>
    </row>
    <row r="494" spans="1:32" s="209" customFormat="1" ht="15.75" customHeight="1">
      <c r="A494" s="202" t="str">
        <f>IF(B494&lt;&gt;"",IF(AND(B494&gt;=_TM1,B494&lt;=_TM2,OR(TH!L494="1111",TH!M494="1111")),TH!D494,""),"")</f>
        <v/>
      </c>
      <c r="B494" s="36">
        <f t="shared" si="28"/>
        <v>3</v>
      </c>
      <c r="C494" s="182">
        <f t="shared" si="29"/>
        <v>42441</v>
      </c>
      <c r="D494" s="189" t="s">
        <v>1158</v>
      </c>
      <c r="E494" s="189">
        <v>42441</v>
      </c>
      <c r="F494" s="190" t="s">
        <v>393</v>
      </c>
      <c r="G494" s="451" t="s">
        <v>463</v>
      </c>
      <c r="H494" s="191" t="s">
        <v>391</v>
      </c>
      <c r="I494" s="251"/>
      <c r="J494" s="251"/>
      <c r="K494" s="560">
        <v>496140</v>
      </c>
      <c r="L494" s="192" t="s">
        <v>258</v>
      </c>
      <c r="M494" s="192" t="s">
        <v>367</v>
      </c>
      <c r="N494" s="52" t="str">
        <f>IF(AND('331-CT'!$E$7=TH!H494,OR(L494="331",M494="331")),"331",IF(AND(OR(L494="131",M494="131"),H494='131-CT'!$E$7),"131",""))</f>
        <v/>
      </c>
      <c r="O494" s="818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52"/>
      <c r="AB494" s="552"/>
      <c r="AC494" s="552"/>
    </row>
    <row r="495" spans="1:32" s="209" customFormat="1" ht="15.75" customHeight="1">
      <c r="A495" s="202" t="str">
        <f>IF(B495&lt;&gt;"",IF(AND(B495&gt;=_TM1,B495&lt;=_TM2,OR(TH!L495="1111",TH!M495="1111")),TH!D495,""),"")</f>
        <v/>
      </c>
      <c r="B495" s="36">
        <f t="shared" si="28"/>
        <v>3</v>
      </c>
      <c r="C495" s="182">
        <f t="shared" si="29"/>
        <v>42441</v>
      </c>
      <c r="D495" s="189" t="s">
        <v>1159</v>
      </c>
      <c r="E495" s="189">
        <v>42441</v>
      </c>
      <c r="F495" s="190" t="s">
        <v>951</v>
      </c>
      <c r="G495" s="451" t="s">
        <v>464</v>
      </c>
      <c r="H495" s="7" t="s">
        <v>780</v>
      </c>
      <c r="I495" s="251">
        <v>201</v>
      </c>
      <c r="J495" s="251">
        <v>7500</v>
      </c>
      <c r="K495" s="38">
        <f>ROUND(I495*J495,0)</f>
        <v>1507500</v>
      </c>
      <c r="L495" s="192" t="s">
        <v>258</v>
      </c>
      <c r="M495" s="192" t="s">
        <v>173</v>
      </c>
      <c r="N495" s="52" t="str">
        <f>IF(AND('331-CT'!$E$7=TH!H495,OR(L495="331",M495="331")),"331",IF(AND(OR(L495="131",M495="131"),H495='131-CT'!$E$7),"131",""))</f>
        <v/>
      </c>
      <c r="O495" s="818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52"/>
      <c r="AB495" s="552"/>
    </row>
    <row r="496" spans="1:32" s="209" customFormat="1" ht="15.75" customHeight="1">
      <c r="A496" s="202" t="str">
        <f>IF(B496&lt;&gt;"",IF(AND(B496&gt;=_TM1,B496&lt;=_TM2,OR(TH!L496="1111",TH!M496="1111")),TH!D496,""),"")</f>
        <v/>
      </c>
      <c r="B496" s="36">
        <f t="shared" si="28"/>
        <v>3</v>
      </c>
      <c r="C496" s="182">
        <f t="shared" si="29"/>
        <v>42441</v>
      </c>
      <c r="D496" s="189" t="s">
        <v>1159</v>
      </c>
      <c r="E496" s="189">
        <v>42441</v>
      </c>
      <c r="F496" s="190" t="s">
        <v>393</v>
      </c>
      <c r="G496" s="451" t="s">
        <v>464</v>
      </c>
      <c r="H496" s="7" t="s">
        <v>780</v>
      </c>
      <c r="I496" s="251"/>
      <c r="J496" s="251"/>
      <c r="K496" s="560">
        <v>150750</v>
      </c>
      <c r="L496" s="192" t="s">
        <v>258</v>
      </c>
      <c r="M496" s="192" t="s">
        <v>367</v>
      </c>
      <c r="N496" s="52" t="str">
        <f>IF(AND('331-CT'!$E$7=TH!H496,OR(L496="331",M496="331")),"331",IF(AND(OR(L496="131",M496="131"),H496='131-CT'!$E$7),"131",""))</f>
        <v/>
      </c>
      <c r="O496" s="818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52"/>
      <c r="AB496" s="552"/>
      <c r="AC496" s="552"/>
    </row>
    <row r="497" spans="1:32" s="209" customFormat="1" ht="15.75" customHeight="1">
      <c r="A497" s="202" t="str">
        <f>IF(B497&lt;&gt;"",IF(AND(B497&gt;=_TM1,B497&lt;=_TM2,OR(TH!L497="1111",TH!M497="1111")),TH!D497,""),"")</f>
        <v/>
      </c>
      <c r="B497" s="36">
        <f t="shared" si="28"/>
        <v>3</v>
      </c>
      <c r="C497" s="182">
        <f t="shared" si="29"/>
        <v>42441</v>
      </c>
      <c r="D497" s="189" t="s">
        <v>1160</v>
      </c>
      <c r="E497" s="189">
        <v>42441</v>
      </c>
      <c r="F497" s="190" t="s">
        <v>952</v>
      </c>
      <c r="G497" s="451" t="s">
        <v>465</v>
      </c>
      <c r="H497" s="7" t="s">
        <v>664</v>
      </c>
      <c r="I497" s="251">
        <v>50</v>
      </c>
      <c r="J497" s="251">
        <v>21900</v>
      </c>
      <c r="K497" s="38">
        <f>ROUND(I497*J497,0)</f>
        <v>1095000</v>
      </c>
      <c r="L497" s="192" t="s">
        <v>258</v>
      </c>
      <c r="M497" s="192" t="s">
        <v>173</v>
      </c>
      <c r="N497" s="52" t="str">
        <f>IF(AND('331-CT'!$E$7=TH!H497,OR(L497="331",M497="331")),"331",IF(AND(OR(L497="131",M497="131"),H497='131-CT'!$E$7),"131",""))</f>
        <v/>
      </c>
      <c r="O497" s="818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52"/>
      <c r="AB497" s="552"/>
    </row>
    <row r="498" spans="1:32" s="209" customFormat="1" ht="15.75" customHeight="1">
      <c r="A498" s="202" t="str">
        <f>IF(B498&lt;&gt;"",IF(AND(B498&gt;=_TM1,B498&lt;=_TM2,OR(TH!L498="1111",TH!M498="1111")),TH!D498,""),"")</f>
        <v/>
      </c>
      <c r="B498" s="36">
        <f t="shared" si="28"/>
        <v>3</v>
      </c>
      <c r="C498" s="182">
        <f t="shared" si="29"/>
        <v>42441</v>
      </c>
      <c r="D498" s="189" t="s">
        <v>1160</v>
      </c>
      <c r="E498" s="189">
        <v>42441</v>
      </c>
      <c r="F498" s="190" t="s">
        <v>953</v>
      </c>
      <c r="G498" s="451" t="s">
        <v>465</v>
      </c>
      <c r="H498" s="7" t="s">
        <v>664</v>
      </c>
      <c r="I498" s="251">
        <v>400</v>
      </c>
      <c r="J498" s="251">
        <v>16700</v>
      </c>
      <c r="K498" s="38">
        <f>ROUND(I498*J498,0)</f>
        <v>6680000</v>
      </c>
      <c r="L498" s="192" t="s">
        <v>258</v>
      </c>
      <c r="M498" s="192" t="s">
        <v>173</v>
      </c>
      <c r="N498" s="52" t="str">
        <f>IF(AND('331-CT'!$E$7=TH!H498,OR(L498="331",M498="331")),"331",IF(AND(OR(L498="131",M498="131"),H498='131-CT'!$E$7),"131",""))</f>
        <v/>
      </c>
      <c r="O498" s="818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52"/>
      <c r="AB498" s="552"/>
      <c r="AC498" s="552"/>
    </row>
    <row r="499" spans="1:32" s="209" customFormat="1" ht="15.75" customHeight="1">
      <c r="A499" s="202" t="str">
        <f>IF(B499&lt;&gt;"",IF(AND(B499&gt;=_TM1,B499&lt;=_TM2,OR(TH!L499="1111",TH!M499="1111")),TH!D499,""),"")</f>
        <v/>
      </c>
      <c r="B499" s="36">
        <f t="shared" si="28"/>
        <v>3</v>
      </c>
      <c r="C499" s="182">
        <f t="shared" si="29"/>
        <v>42441</v>
      </c>
      <c r="D499" s="189" t="s">
        <v>1160</v>
      </c>
      <c r="E499" s="189">
        <v>42441</v>
      </c>
      <c r="F499" s="190" t="s">
        <v>393</v>
      </c>
      <c r="G499" s="451" t="s">
        <v>465</v>
      </c>
      <c r="H499" s="7" t="s">
        <v>664</v>
      </c>
      <c r="I499" s="251"/>
      <c r="J499" s="251"/>
      <c r="K499" s="560">
        <v>777500</v>
      </c>
      <c r="L499" s="192" t="s">
        <v>258</v>
      </c>
      <c r="M499" s="192" t="s">
        <v>367</v>
      </c>
      <c r="N499" s="52" t="str">
        <f>IF(AND('331-CT'!$E$7=TH!H499,OR(L499="331",M499="331")),"331",IF(AND(OR(L499="131",M499="131"),H499='131-CT'!$E$7),"131",""))</f>
        <v/>
      </c>
      <c r="O499" s="818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52"/>
      <c r="AB499" s="552"/>
    </row>
    <row r="500" spans="1:32" s="209" customFormat="1" ht="15.75" customHeight="1">
      <c r="A500" s="202" t="str">
        <f>IF(B500&lt;&gt;"",IF(AND(B500&gt;=_TM1,B500&lt;=_TM2,OR(TH!L500="1111",TH!M500="1111")),TH!D500,""),"")</f>
        <v/>
      </c>
      <c r="B500" s="36">
        <f t="shared" si="28"/>
        <v>3</v>
      </c>
      <c r="C500" s="182">
        <f t="shared" si="29"/>
        <v>42442</v>
      </c>
      <c r="D500" s="182" t="s">
        <v>1659</v>
      </c>
      <c r="E500" s="189">
        <v>42442</v>
      </c>
      <c r="F500" s="40" t="s">
        <v>666</v>
      </c>
      <c r="G500" s="451" t="s">
        <v>1578</v>
      </c>
      <c r="H500" s="7" t="s">
        <v>1579</v>
      </c>
      <c r="I500" s="252"/>
      <c r="J500" s="252"/>
      <c r="K500" s="560">
        <v>15862000</v>
      </c>
      <c r="L500" s="561" t="s">
        <v>47</v>
      </c>
      <c r="M500" s="561" t="s">
        <v>258</v>
      </c>
      <c r="N500" s="52" t="str">
        <f>IF(AND('331-CT'!$E$7=TH!H500,OR(L500="331",M500="331")),"331",IF(AND(OR(L500="131",M500="131"),H500='131-CT'!$E$7),"131",""))</f>
        <v/>
      </c>
      <c r="O500" s="818" t="str">
        <f>IF(AND('341-CT'!$E$9=H500,OR(LEFT(L500,3)=$O$7,LEFT(M500,3)=$O$7)),"x","")</f>
        <v/>
      </c>
      <c r="P500" s="52" t="str">
        <f>IF(AND($B500&gt;='111'!$N$11,$B500&lt;='111'!$O$11,OR($L500=$P$7,$M500=$P$7)),"x","")</f>
        <v>x</v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52"/>
      <c r="AB500" s="552"/>
    </row>
    <row r="501" spans="1:32" s="209" customFormat="1" ht="15.75" customHeight="1">
      <c r="A501" s="202" t="str">
        <f>IF(B501&lt;&gt;"",IF(AND(B501&gt;=_TM1,B501&lt;=_TM2,OR(TH!L501="1111",TH!M501="1111")),TH!D501,""),"")</f>
        <v/>
      </c>
      <c r="B501" s="36">
        <f t="shared" si="28"/>
        <v>3</v>
      </c>
      <c r="C501" s="182">
        <f t="shared" si="29"/>
        <v>42443</v>
      </c>
      <c r="D501" s="189" t="s">
        <v>1196</v>
      </c>
      <c r="E501" s="189">
        <v>42443</v>
      </c>
      <c r="F501" s="190" t="s">
        <v>676</v>
      </c>
      <c r="G501" s="448" t="s">
        <v>499</v>
      </c>
      <c r="H501" s="45" t="s">
        <v>803</v>
      </c>
      <c r="I501" s="251">
        <v>1923</v>
      </c>
      <c r="J501" s="251">
        <v>7200</v>
      </c>
      <c r="K501" s="38">
        <f>ROUND(I501*J501,0)</f>
        <v>13845600</v>
      </c>
      <c r="L501" s="192" t="s">
        <v>158</v>
      </c>
      <c r="M501" s="561" t="s">
        <v>8</v>
      </c>
      <c r="N501" s="52" t="str">
        <f>IF(AND('331-CT'!$E$7=TH!H501,OR(L501="331",M501="331")),"331",IF(AND(OR(L501="131",M501="131"),H501='131-CT'!$E$7),"131",""))</f>
        <v/>
      </c>
      <c r="O501" s="818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52">
        <v>1</v>
      </c>
      <c r="AB501" s="552"/>
      <c r="AC501" s="209" t="str">
        <f t="shared" ref="AC501:AC506" si="30">IF(VLOOKUP(H501,DSKH,1,0)=H501,"","x")</f>
        <v/>
      </c>
      <c r="AE501" s="552"/>
      <c r="AF501" s="552"/>
    </row>
    <row r="502" spans="1:32" s="209" customFormat="1" ht="15.75" customHeight="1">
      <c r="A502" s="202" t="str">
        <f>IF(B502&lt;&gt;"",IF(AND(B502&gt;=_TM1,B502&lt;=_TM2,OR(TH!L502="1111",TH!M502="1111")),TH!D502,""),"")</f>
        <v/>
      </c>
      <c r="B502" s="36">
        <f t="shared" si="28"/>
        <v>3</v>
      </c>
      <c r="C502" s="182">
        <f t="shared" si="29"/>
        <v>42443</v>
      </c>
      <c r="D502" s="189" t="s">
        <v>1196</v>
      </c>
      <c r="E502" s="189">
        <v>42443</v>
      </c>
      <c r="F502" s="190" t="s">
        <v>684</v>
      </c>
      <c r="G502" s="448" t="s">
        <v>499</v>
      </c>
      <c r="H502" s="45" t="s">
        <v>803</v>
      </c>
      <c r="I502" s="252"/>
      <c r="J502" s="251"/>
      <c r="K502" s="38">
        <v>1384560</v>
      </c>
      <c r="L502" s="192" t="s">
        <v>9</v>
      </c>
      <c r="M502" s="561" t="s">
        <v>8</v>
      </c>
      <c r="N502" s="52" t="str">
        <f>IF(AND('331-CT'!$E$7=TH!H502,OR(L502="331",M502="331")),"331",IF(AND(OR(L502="131",M502="131"),H502='131-CT'!$E$7),"131",""))</f>
        <v/>
      </c>
      <c r="O502" s="818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52">
        <v>1</v>
      </c>
      <c r="AB502" s="552"/>
      <c r="AC502" s="209" t="str">
        <f t="shared" si="30"/>
        <v/>
      </c>
    </row>
    <row r="503" spans="1:32" s="209" customFormat="1" ht="15.75" customHeight="1">
      <c r="A503" s="202" t="str">
        <f>IF(B503&lt;&gt;"",IF(AND(B503&gt;=_TM1,B503&lt;=_TM2,OR(TH!L503="1111",TH!M503="1111")),TH!D503,""),"")</f>
        <v/>
      </c>
      <c r="B503" s="36">
        <f t="shared" si="28"/>
        <v>3</v>
      </c>
      <c r="C503" s="182">
        <f t="shared" si="29"/>
        <v>42443</v>
      </c>
      <c r="D503" s="189" t="s">
        <v>1660</v>
      </c>
      <c r="E503" s="189">
        <v>42443</v>
      </c>
      <c r="F503" s="187" t="s">
        <v>671</v>
      </c>
      <c r="G503" s="448" t="s">
        <v>499</v>
      </c>
      <c r="H503" s="45" t="s">
        <v>803</v>
      </c>
      <c r="I503" s="252"/>
      <c r="J503" s="251"/>
      <c r="K503" s="38">
        <v>15230160</v>
      </c>
      <c r="L503" s="192" t="s">
        <v>8</v>
      </c>
      <c r="M503" s="561" t="s">
        <v>47</v>
      </c>
      <c r="N503" s="52" t="str">
        <f>IF(AND('331-CT'!$E$7=TH!H503,OR(L503="331",M503="331")),"331",IF(AND(OR(L503="131",M503="131"),H503='131-CT'!$E$7),"131",""))</f>
        <v/>
      </c>
      <c r="O503" s="818" t="str">
        <f>IF(AND('341-CT'!$E$9=H503,OR(LEFT(L503,3)=$O$7,LEFT(M503,3)=$O$7)),"x","")</f>
        <v/>
      </c>
      <c r="P503" s="52" t="str">
        <f>IF(AND($B503&gt;='111'!$N$11,$B503&lt;='111'!$O$11,OR($L503=$P$7,$M503=$P$7)),"x","")</f>
        <v>x</v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52"/>
      <c r="AB503" s="552"/>
      <c r="AC503" s="209" t="str">
        <f t="shared" si="30"/>
        <v/>
      </c>
    </row>
    <row r="504" spans="1:32" s="209" customFormat="1" ht="15.75" customHeight="1">
      <c r="A504" s="202" t="str">
        <f>IF(B504&lt;&gt;"",IF(AND(B504&gt;=_TM1,B504&lt;=_TM2,OR(TH!L504="1111",TH!M504="1111")),TH!D504,""),"")</f>
        <v/>
      </c>
      <c r="B504" s="36">
        <f t="shared" si="28"/>
        <v>3</v>
      </c>
      <c r="C504" s="182">
        <f t="shared" si="29"/>
        <v>42444</v>
      </c>
      <c r="D504" s="189" t="s">
        <v>1197</v>
      </c>
      <c r="E504" s="189">
        <v>42444</v>
      </c>
      <c r="F504" s="190" t="s">
        <v>676</v>
      </c>
      <c r="G504" s="448" t="s">
        <v>503</v>
      </c>
      <c r="H504" s="45" t="s">
        <v>803</v>
      </c>
      <c r="I504" s="252">
        <v>2406</v>
      </c>
      <c r="J504" s="251">
        <v>7200</v>
      </c>
      <c r="K504" s="38">
        <f>ROUND(I504*J504,0)</f>
        <v>17323200</v>
      </c>
      <c r="L504" s="192" t="s">
        <v>158</v>
      </c>
      <c r="M504" s="561" t="s">
        <v>8</v>
      </c>
      <c r="N504" s="52" t="str">
        <f>IF(AND('331-CT'!$E$7=TH!H504,OR(L504="331",M504="331")),"331",IF(AND(OR(L504="131",M504="131"),H504='131-CT'!$E$7),"131",""))</f>
        <v/>
      </c>
      <c r="O504" s="818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52">
        <v>1</v>
      </c>
      <c r="AB504" s="552"/>
      <c r="AC504" s="209" t="str">
        <f t="shared" si="30"/>
        <v/>
      </c>
    </row>
    <row r="505" spans="1:32" s="209" customFormat="1" ht="15.75" customHeight="1">
      <c r="A505" s="202" t="str">
        <f>IF(B505&lt;&gt;"",IF(AND(B505&gt;=_TM1,B505&lt;=_TM2,OR(TH!L505="1111",TH!M505="1111")),TH!D505,""),"")</f>
        <v/>
      </c>
      <c r="B505" s="36">
        <f t="shared" si="28"/>
        <v>3</v>
      </c>
      <c r="C505" s="182">
        <f t="shared" si="29"/>
        <v>42444</v>
      </c>
      <c r="D505" s="189" t="s">
        <v>1197</v>
      </c>
      <c r="E505" s="189">
        <v>42444</v>
      </c>
      <c r="F505" s="190" t="s">
        <v>684</v>
      </c>
      <c r="G505" s="448" t="s">
        <v>503</v>
      </c>
      <c r="H505" s="45" t="s">
        <v>803</v>
      </c>
      <c r="I505" s="252"/>
      <c r="J505" s="251"/>
      <c r="K505" s="38">
        <v>1732320</v>
      </c>
      <c r="L505" s="192" t="s">
        <v>9</v>
      </c>
      <c r="M505" s="561" t="s">
        <v>8</v>
      </c>
      <c r="N505" s="52" t="str">
        <f>IF(AND('331-CT'!$E$7=TH!H505,OR(L505="331",M505="331")),"331",IF(AND(OR(L505="131",M505="131"),H505='131-CT'!$E$7),"131",""))</f>
        <v/>
      </c>
      <c r="O505" s="818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52">
        <v>1</v>
      </c>
      <c r="AB505" s="552"/>
      <c r="AC505" s="209" t="str">
        <f t="shared" si="30"/>
        <v/>
      </c>
    </row>
    <row r="506" spans="1:32" s="209" customFormat="1" ht="15.75" customHeight="1">
      <c r="A506" s="202" t="str">
        <f>IF(B506&lt;&gt;"",IF(AND(B506&gt;=_TM1,B506&lt;=_TM2,OR(TH!L506="1111",TH!M506="1111")),TH!D506,""),"")</f>
        <v/>
      </c>
      <c r="B506" s="36">
        <f t="shared" si="28"/>
        <v>3</v>
      </c>
      <c r="C506" s="182">
        <f t="shared" si="29"/>
        <v>42444</v>
      </c>
      <c r="D506" s="189" t="s">
        <v>361</v>
      </c>
      <c r="E506" s="189">
        <v>42444</v>
      </c>
      <c r="F506" s="187" t="s">
        <v>671</v>
      </c>
      <c r="G506" s="448" t="s">
        <v>503</v>
      </c>
      <c r="H506" s="45" t="s">
        <v>803</v>
      </c>
      <c r="I506" s="252"/>
      <c r="J506" s="251"/>
      <c r="K506" s="38">
        <v>19055520</v>
      </c>
      <c r="L506" s="192" t="s">
        <v>8</v>
      </c>
      <c r="M506" s="561" t="s">
        <v>47</v>
      </c>
      <c r="N506" s="52" t="str">
        <f>IF(AND('331-CT'!$E$7=TH!H506,OR(L506="331",M506="331")),"331",IF(AND(OR(L506="131",M506="131"),H506='131-CT'!$E$7),"131",""))</f>
        <v/>
      </c>
      <c r="O506" s="818" t="str">
        <f>IF(AND('341-CT'!$E$9=H506,OR(LEFT(L506,3)=$O$7,LEFT(M506,3)=$O$7)),"x","")</f>
        <v/>
      </c>
      <c r="P506" s="52" t="str">
        <f>IF(AND($B506&gt;='111'!$N$11,$B506&lt;='111'!$O$11,OR($L506=$P$7,$M506=$P$7)),"x","")</f>
        <v>x</v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52"/>
      <c r="AB506" s="552"/>
      <c r="AC506" s="209" t="str">
        <f t="shared" si="30"/>
        <v/>
      </c>
    </row>
    <row r="507" spans="1:32" s="209" customFormat="1" ht="15.75" customHeight="1">
      <c r="A507" s="202" t="str">
        <f>IF(B507&lt;&gt;"",IF(AND(B507&gt;=_TM1,B507&lt;=_TM2,OR(TH!L507="1111",TH!M507="1111")),TH!D507,""),"")</f>
        <v/>
      </c>
      <c r="B507" s="36">
        <f t="shared" si="28"/>
        <v>3</v>
      </c>
      <c r="C507" s="182">
        <f t="shared" si="29"/>
        <v>42445</v>
      </c>
      <c r="D507" s="182" t="s">
        <v>665</v>
      </c>
      <c r="E507" s="189">
        <v>42445</v>
      </c>
      <c r="F507" s="187" t="s">
        <v>666</v>
      </c>
      <c r="G507" s="448" t="s">
        <v>330</v>
      </c>
      <c r="H507" s="7" t="s">
        <v>780</v>
      </c>
      <c r="I507" s="251"/>
      <c r="J507" s="251"/>
      <c r="K507" s="38">
        <v>6985990</v>
      </c>
      <c r="L507" s="561" t="s">
        <v>24</v>
      </c>
      <c r="M507" s="561" t="s">
        <v>258</v>
      </c>
      <c r="N507" s="52" t="str">
        <f>IF(AND('331-CT'!$E$7=TH!H507,OR(L507="331",M507="331")),"331",IF(AND(OR(L507="131",M507="131"),H507='131-CT'!$E$7),"131",""))</f>
        <v/>
      </c>
      <c r="O507" s="818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52"/>
      <c r="AB507" s="552"/>
      <c r="AE507" s="552"/>
      <c r="AF507" s="552"/>
    </row>
    <row r="508" spans="1:32" s="209" customFormat="1" ht="15.75" customHeight="1">
      <c r="A508" s="202" t="str">
        <f>IF(B508&lt;&gt;"",IF(AND(B508&gt;=_TM1,B508&lt;=_TM2,OR(TH!L508="1111",TH!M508="1111")),TH!D508,""),"")</f>
        <v/>
      </c>
      <c r="B508" s="36">
        <f t="shared" si="28"/>
        <v>3</v>
      </c>
      <c r="C508" s="182">
        <f t="shared" si="29"/>
        <v>42445</v>
      </c>
      <c r="D508" s="189" t="s">
        <v>1198</v>
      </c>
      <c r="E508" s="189">
        <v>42445</v>
      </c>
      <c r="F508" s="190" t="s">
        <v>676</v>
      </c>
      <c r="G508" s="448" t="s">
        <v>507</v>
      </c>
      <c r="H508" s="45" t="s">
        <v>803</v>
      </c>
      <c r="I508" s="252">
        <v>2278</v>
      </c>
      <c r="J508" s="251">
        <v>7200</v>
      </c>
      <c r="K508" s="38">
        <f>ROUND(I508*J508,0)</f>
        <v>16401600</v>
      </c>
      <c r="L508" s="192" t="s">
        <v>158</v>
      </c>
      <c r="M508" s="561" t="s">
        <v>8</v>
      </c>
      <c r="N508" s="52" t="str">
        <f>IF(AND('331-CT'!$E$7=TH!H508,OR(L508="331",M508="331")),"331",IF(AND(OR(L508="131",M508="131"),H508='131-CT'!$E$7),"131",""))</f>
        <v/>
      </c>
      <c r="O508" s="818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52">
        <v>1</v>
      </c>
      <c r="AB508" s="552"/>
      <c r="AC508" s="209" t="str">
        <f>IF(VLOOKUP(H508,DSKH,1,0)=H508,"","x")</f>
        <v/>
      </c>
    </row>
    <row r="509" spans="1:32" s="209" customFormat="1" ht="15.75" customHeight="1">
      <c r="A509" s="202" t="str">
        <f>IF(B509&lt;&gt;"",IF(AND(B509&gt;=_TM1,B509&lt;=_TM2,OR(TH!L509="1111",TH!M509="1111")),TH!D509,""),"")</f>
        <v/>
      </c>
      <c r="B509" s="36">
        <f t="shared" si="28"/>
        <v>3</v>
      </c>
      <c r="C509" s="182">
        <f t="shared" si="29"/>
        <v>42445</v>
      </c>
      <c r="D509" s="189" t="s">
        <v>1198</v>
      </c>
      <c r="E509" s="189">
        <v>42445</v>
      </c>
      <c r="F509" s="190" t="s">
        <v>684</v>
      </c>
      <c r="G509" s="448" t="s">
        <v>507</v>
      </c>
      <c r="H509" s="45" t="s">
        <v>803</v>
      </c>
      <c r="I509" s="251"/>
      <c r="J509" s="251"/>
      <c r="K509" s="38">
        <v>1640160</v>
      </c>
      <c r="L509" s="192" t="s">
        <v>9</v>
      </c>
      <c r="M509" s="561" t="s">
        <v>8</v>
      </c>
      <c r="N509" s="52" t="str">
        <f>IF(AND('331-CT'!$E$7=TH!H509,OR(L509="331",M509="331")),"331",IF(AND(OR(L509="131",M509="131"),H509='131-CT'!$E$7),"131",""))</f>
        <v/>
      </c>
      <c r="O509" s="818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52">
        <v>1</v>
      </c>
      <c r="AB509" s="552"/>
      <c r="AC509" s="209" t="str">
        <f>IF(VLOOKUP(H509,DSKH,1,0)=H509,"","x")</f>
        <v/>
      </c>
      <c r="AE509" s="552"/>
      <c r="AF509" s="552"/>
    </row>
    <row r="510" spans="1:32" s="209" customFormat="1" ht="15.75" customHeight="1">
      <c r="A510" s="202" t="str">
        <f>IF(B510&lt;&gt;"",IF(AND(B510&gt;=_TM1,B510&lt;=_TM2,OR(TH!L510="1111",TH!M510="1111")),TH!D510,""),"")</f>
        <v/>
      </c>
      <c r="B510" s="36">
        <f t="shared" si="28"/>
        <v>3</v>
      </c>
      <c r="C510" s="182">
        <f t="shared" si="29"/>
        <v>42445</v>
      </c>
      <c r="D510" s="189" t="s">
        <v>1661</v>
      </c>
      <c r="E510" s="189">
        <v>42445</v>
      </c>
      <c r="F510" s="187" t="s">
        <v>671</v>
      </c>
      <c r="G510" s="448" t="s">
        <v>507</v>
      </c>
      <c r="H510" s="45" t="s">
        <v>803</v>
      </c>
      <c r="I510" s="251"/>
      <c r="J510" s="251"/>
      <c r="K510" s="38">
        <v>18041760</v>
      </c>
      <c r="L510" s="192" t="s">
        <v>8</v>
      </c>
      <c r="M510" s="561" t="s">
        <v>47</v>
      </c>
      <c r="N510" s="52" t="str">
        <f>IF(AND('331-CT'!$E$7=TH!H510,OR(L510="331",M510="331")),"331",IF(AND(OR(L510="131",M510="131"),H510='131-CT'!$E$7),"131",""))</f>
        <v/>
      </c>
      <c r="O510" s="818" t="str">
        <f>IF(AND('341-CT'!$E$9=H510,OR(LEFT(L510,3)=$O$7,LEFT(M510,3)=$O$7)),"x","")</f>
        <v/>
      </c>
      <c r="P510" s="52" t="str">
        <f>IF(AND($B510&gt;='111'!$N$11,$B510&lt;='111'!$O$11,OR($L510=$P$7,$M510=$P$7)),"x","")</f>
        <v>x</v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52"/>
      <c r="AB510" s="552"/>
      <c r="AC510" s="209" t="str">
        <f>IF(VLOOKUP(H510,DSKH,1,0)=H510,"","x")</f>
        <v/>
      </c>
      <c r="AE510" s="552"/>
      <c r="AF510" s="552"/>
    </row>
    <row r="511" spans="1:32" s="209" customFormat="1" ht="15.75" customHeight="1">
      <c r="A511" s="202" t="str">
        <f>IF(B511&lt;&gt;"",IF(AND(B511&gt;=_TM1,B511&lt;=_TM2,OR(TH!L511="1111",TH!M511="1111")),TH!D511,""),"")</f>
        <v/>
      </c>
      <c r="B511" s="36">
        <f t="shared" si="28"/>
        <v>3</v>
      </c>
      <c r="C511" s="182">
        <f t="shared" si="29"/>
        <v>42445</v>
      </c>
      <c r="D511" s="189" t="s">
        <v>1161</v>
      </c>
      <c r="E511" s="189">
        <v>42445</v>
      </c>
      <c r="F511" s="190" t="s">
        <v>418</v>
      </c>
      <c r="G511" s="451" t="s">
        <v>466</v>
      </c>
      <c r="H511" s="7" t="s">
        <v>527</v>
      </c>
      <c r="I511" s="251">
        <v>93</v>
      </c>
      <c r="J511" s="251">
        <v>47449</v>
      </c>
      <c r="K511" s="38">
        <f>ROUND(I511*J511,0)</f>
        <v>4412757</v>
      </c>
      <c r="L511" s="192" t="s">
        <v>258</v>
      </c>
      <c r="M511" s="192" t="s">
        <v>173</v>
      </c>
      <c r="N511" s="52" t="str">
        <f>IF(AND('331-CT'!$E$7=TH!H511,OR(L511="331",M511="331")),"331",IF(AND(OR(L511="131",M511="131"),H511='131-CT'!$E$7),"131",""))</f>
        <v/>
      </c>
      <c r="O511" s="818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52"/>
      <c r="AB511" s="552"/>
      <c r="AC511" s="552"/>
    </row>
    <row r="512" spans="1:32" s="209" customFormat="1" ht="15.75" customHeight="1">
      <c r="A512" s="202" t="str">
        <f>IF(B512&lt;&gt;"",IF(AND(B512&gt;=_TM1,B512&lt;=_TM2,OR(TH!L512="1111",TH!M512="1111")),TH!D512,""),"")</f>
        <v/>
      </c>
      <c r="B512" s="36">
        <f t="shared" si="28"/>
        <v>3</v>
      </c>
      <c r="C512" s="182">
        <f t="shared" si="29"/>
        <v>42445</v>
      </c>
      <c r="D512" s="189" t="s">
        <v>1161</v>
      </c>
      <c r="E512" s="189">
        <v>42445</v>
      </c>
      <c r="F512" s="187" t="s">
        <v>393</v>
      </c>
      <c r="G512" s="451" t="s">
        <v>466</v>
      </c>
      <c r="H512" s="7" t="s">
        <v>527</v>
      </c>
      <c r="I512" s="252"/>
      <c r="J512" s="252"/>
      <c r="K512" s="560">
        <v>441275</v>
      </c>
      <c r="L512" s="192" t="s">
        <v>258</v>
      </c>
      <c r="M512" s="192" t="s">
        <v>367</v>
      </c>
      <c r="N512" s="52" t="str">
        <f>IF(AND('331-CT'!$E$7=TH!H512,OR(L512="331",M512="331")),"331",IF(AND(OR(L512="131",M512="131"),H512='131-CT'!$E$7),"131",""))</f>
        <v/>
      </c>
      <c r="O512" s="818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52"/>
      <c r="AB512" s="552"/>
    </row>
    <row r="513" spans="1:32" s="209" customFormat="1" ht="15.75" customHeight="1">
      <c r="A513" s="202" t="str">
        <f>IF(B513&lt;&gt;"",IF(AND(B513&gt;=_TM1,B513&lt;=_TM2,OR(TH!L513="1111",TH!M513="1111")),TH!D513,""),"")</f>
        <v/>
      </c>
      <c r="B513" s="36">
        <f t="shared" si="28"/>
        <v>3</v>
      </c>
      <c r="C513" s="182">
        <f t="shared" si="29"/>
        <v>42445</v>
      </c>
      <c r="D513" s="182" t="s">
        <v>1662</v>
      </c>
      <c r="E513" s="189">
        <v>42445</v>
      </c>
      <c r="F513" s="40" t="s">
        <v>666</v>
      </c>
      <c r="G513" s="451" t="s">
        <v>1590</v>
      </c>
      <c r="H513" s="7" t="s">
        <v>1204</v>
      </c>
      <c r="I513" s="252"/>
      <c r="J513" s="252"/>
      <c r="K513" s="560">
        <v>42588265</v>
      </c>
      <c r="L513" s="561" t="s">
        <v>47</v>
      </c>
      <c r="M513" s="561" t="s">
        <v>258</v>
      </c>
      <c r="N513" s="52" t="str">
        <f>IF(AND('331-CT'!$E$7=TH!H513,OR(L513="331",M513="331")),"331",IF(AND(OR(L513="131",M513="131"),H513='131-CT'!$E$7),"131",""))</f>
        <v/>
      </c>
      <c r="O513" s="818" t="str">
        <f>IF(AND('341-CT'!$E$9=H513,OR(LEFT(L513,3)=$O$7,LEFT(M513,3)=$O$7)),"x","")</f>
        <v/>
      </c>
      <c r="P513" s="52" t="str">
        <f>IF(AND($B513&gt;='111'!$N$11,$B513&lt;='111'!$O$11,OR($L513=$P$7,$M513=$P$7)),"x","")</f>
        <v>x</v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52"/>
      <c r="AB513" s="552"/>
    </row>
    <row r="514" spans="1:32" s="209" customFormat="1" ht="15.75" customHeight="1">
      <c r="A514" s="202" t="str">
        <f>IF(B514&lt;&gt;"",IF(AND(B514&gt;=_TM1,B514&lt;=_TM2,OR(TH!L514="1111",TH!M514="1111")),TH!D514,""),"")</f>
        <v/>
      </c>
      <c r="B514" s="36">
        <f t="shared" si="28"/>
        <v>3</v>
      </c>
      <c r="C514" s="182">
        <f t="shared" si="29"/>
        <v>42446</v>
      </c>
      <c r="D514" s="182" t="s">
        <v>1663</v>
      </c>
      <c r="E514" s="189">
        <v>42446</v>
      </c>
      <c r="F514" s="40" t="s">
        <v>666</v>
      </c>
      <c r="G514" s="451" t="s">
        <v>1586</v>
      </c>
      <c r="H514" s="7" t="s">
        <v>527</v>
      </c>
      <c r="I514" s="252"/>
      <c r="J514" s="252"/>
      <c r="K514" s="560">
        <v>15658170</v>
      </c>
      <c r="L514" s="561" t="s">
        <v>47</v>
      </c>
      <c r="M514" s="561" t="s">
        <v>258</v>
      </c>
      <c r="N514" s="52" t="str">
        <f>IF(AND('331-CT'!$E$7=TH!H514,OR(L514="331",M514="331")),"331",IF(AND(OR(L514="131",M514="131"),H514='131-CT'!$E$7),"131",""))</f>
        <v/>
      </c>
      <c r="O514" s="818" t="str">
        <f>IF(AND('341-CT'!$E$9=H514,OR(LEFT(L514,3)=$O$7,LEFT(M514,3)=$O$7)),"x","")</f>
        <v/>
      </c>
      <c r="P514" s="52" t="str">
        <f>IF(AND($B514&gt;='111'!$N$11,$B514&lt;='111'!$O$11,OR($L514=$P$7,$M514=$P$7)),"x","")</f>
        <v>x</v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52"/>
      <c r="AB514" s="552"/>
      <c r="AC514" s="552"/>
    </row>
    <row r="515" spans="1:32" s="209" customFormat="1" ht="15.75" customHeight="1">
      <c r="A515" s="202" t="str">
        <f>IF(B515&lt;&gt;"",IF(AND(B515&gt;=_TM1,B515&lt;=_TM2,OR(TH!L515="1111",TH!M515="1111")),TH!D515,""),"")</f>
        <v/>
      </c>
      <c r="B515" s="36">
        <f t="shared" si="28"/>
        <v>3</v>
      </c>
      <c r="C515" s="182">
        <f t="shared" si="29"/>
        <v>42448</v>
      </c>
      <c r="D515" s="189" t="s">
        <v>1162</v>
      </c>
      <c r="E515" s="189">
        <v>42448</v>
      </c>
      <c r="F515" s="190" t="s">
        <v>441</v>
      </c>
      <c r="G515" s="451" t="s">
        <v>467</v>
      </c>
      <c r="H515" s="7" t="s">
        <v>391</v>
      </c>
      <c r="I515" s="251">
        <v>604</v>
      </c>
      <c r="J515" s="251">
        <v>9700</v>
      </c>
      <c r="K515" s="38">
        <f>ROUND(I515*J515,0)</f>
        <v>5858800</v>
      </c>
      <c r="L515" s="192" t="s">
        <v>258</v>
      </c>
      <c r="M515" s="192" t="s">
        <v>173</v>
      </c>
      <c r="N515" s="52" t="str">
        <f>IF(AND('331-CT'!$E$7=TH!H515,OR(L515="331",M515="331")),"331",IF(AND(OR(L515="131",M515="131"),H515='131-CT'!$E$7),"131",""))</f>
        <v/>
      </c>
      <c r="O515" s="818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52"/>
      <c r="AB515" s="552"/>
      <c r="AC515" s="552"/>
    </row>
    <row r="516" spans="1:32" s="209" customFormat="1" ht="15.75" customHeight="1">
      <c r="A516" s="202" t="str">
        <f>IF(B516&lt;&gt;"",IF(AND(B516&gt;=_TM1,B516&lt;=_TM2,OR(TH!L516="1111",TH!M516="1111")),TH!D516,""),"")</f>
        <v/>
      </c>
      <c r="B516" s="36">
        <f t="shared" si="28"/>
        <v>3</v>
      </c>
      <c r="C516" s="182">
        <f t="shared" si="29"/>
        <v>42448</v>
      </c>
      <c r="D516" s="189" t="s">
        <v>1162</v>
      </c>
      <c r="E516" s="189">
        <v>42448</v>
      </c>
      <c r="F516" s="190" t="s">
        <v>389</v>
      </c>
      <c r="G516" s="451" t="s">
        <v>467</v>
      </c>
      <c r="H516" s="7" t="s">
        <v>391</v>
      </c>
      <c r="I516" s="251">
        <v>1255</v>
      </c>
      <c r="J516" s="251">
        <v>5000</v>
      </c>
      <c r="K516" s="38">
        <f>ROUND(I516*J516,0)</f>
        <v>6275000</v>
      </c>
      <c r="L516" s="192" t="s">
        <v>258</v>
      </c>
      <c r="M516" s="192" t="s">
        <v>173</v>
      </c>
      <c r="N516" s="52" t="str">
        <f>IF(AND('331-CT'!$E$7=TH!H516,OR(L516="331",M516="331")),"331",IF(AND(OR(L516="131",M516="131"),H516='131-CT'!$E$7),"131",""))</f>
        <v/>
      </c>
      <c r="O516" s="818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52"/>
      <c r="AB516" s="552"/>
    </row>
    <row r="517" spans="1:32" s="209" customFormat="1" ht="15.75" customHeight="1">
      <c r="A517" s="202" t="str">
        <f>IF(B517&lt;&gt;"",IF(AND(B517&gt;=_TM1,B517&lt;=_TM2,OR(TH!L517="1111",TH!M517="1111")),TH!D517,""),"")</f>
        <v/>
      </c>
      <c r="B517" s="36">
        <f t="shared" si="28"/>
        <v>3</v>
      </c>
      <c r="C517" s="182">
        <f t="shared" si="29"/>
        <v>42448</v>
      </c>
      <c r="D517" s="189" t="s">
        <v>1162</v>
      </c>
      <c r="E517" s="189">
        <v>42448</v>
      </c>
      <c r="F517" s="190" t="s">
        <v>393</v>
      </c>
      <c r="G517" s="451" t="s">
        <v>467</v>
      </c>
      <c r="H517" s="7" t="s">
        <v>391</v>
      </c>
      <c r="I517" s="251"/>
      <c r="J517" s="251"/>
      <c r="K517" s="560">
        <v>1213380</v>
      </c>
      <c r="L517" s="192" t="s">
        <v>258</v>
      </c>
      <c r="M517" s="192" t="s">
        <v>367</v>
      </c>
      <c r="N517" s="52" t="str">
        <f>IF(AND('331-CT'!$E$7=TH!H517,OR(L517="331",M517="331")),"331",IF(AND(OR(L517="131",M517="131"),H517='131-CT'!$E$7),"131",""))</f>
        <v/>
      </c>
      <c r="O517" s="818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52"/>
      <c r="AB517" s="552"/>
      <c r="AC517" s="552"/>
    </row>
    <row r="518" spans="1:32" s="209" customFormat="1" ht="15.75" customHeight="1">
      <c r="A518" s="202" t="str">
        <f>IF(B518&lt;&gt;"",IF(AND(B518&gt;=_TM1,B518&lt;=_TM2,OR(TH!L518="1111",TH!M518="1111")),TH!D518,""),"")</f>
        <v/>
      </c>
      <c r="B518" s="36">
        <f t="shared" si="28"/>
        <v>3</v>
      </c>
      <c r="C518" s="182">
        <f t="shared" si="29"/>
        <v>42448</v>
      </c>
      <c r="D518" s="189" t="s">
        <v>1163</v>
      </c>
      <c r="E518" s="189">
        <v>42448</v>
      </c>
      <c r="F518" s="187" t="s">
        <v>954</v>
      </c>
      <c r="G518" s="451" t="s">
        <v>468</v>
      </c>
      <c r="H518" s="7" t="s">
        <v>399</v>
      </c>
      <c r="I518" s="251">
        <v>209</v>
      </c>
      <c r="J518" s="251">
        <v>8500</v>
      </c>
      <c r="K518" s="38">
        <f>ROUND(I518*J518,0)</f>
        <v>1776500</v>
      </c>
      <c r="L518" s="192" t="s">
        <v>258</v>
      </c>
      <c r="M518" s="192" t="s">
        <v>173</v>
      </c>
      <c r="N518" s="52" t="str">
        <f>IF(AND('331-CT'!$E$7=TH!H518,OR(L518="331",M518="331")),"331",IF(AND(OR(L518="131",M518="131"),H518='131-CT'!$E$7),"131",""))</f>
        <v/>
      </c>
      <c r="O518" s="818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52"/>
      <c r="AB518" s="552"/>
    </row>
    <row r="519" spans="1:32" s="209" customFormat="1" ht="15.75" customHeight="1">
      <c r="A519" s="202" t="str">
        <f>IF(B519&lt;&gt;"",IF(AND(B519&gt;=_TM1,B519&lt;=_TM2,OR(TH!L519="1111",TH!M519="1111")),TH!D519,""),"")</f>
        <v/>
      </c>
      <c r="B519" s="36">
        <f t="shared" si="28"/>
        <v>3</v>
      </c>
      <c r="C519" s="182">
        <f t="shared" si="29"/>
        <v>42448</v>
      </c>
      <c r="D519" s="189" t="s">
        <v>1163</v>
      </c>
      <c r="E519" s="189">
        <v>42448</v>
      </c>
      <c r="F519" s="286" t="s">
        <v>627</v>
      </c>
      <c r="G519" s="451" t="s">
        <v>468</v>
      </c>
      <c r="H519" s="7" t="s">
        <v>399</v>
      </c>
      <c r="I519" s="251">
        <v>500</v>
      </c>
      <c r="J519" s="251">
        <v>8800</v>
      </c>
      <c r="K519" s="38">
        <f>ROUND(I519*J519,0)</f>
        <v>4400000</v>
      </c>
      <c r="L519" s="192" t="s">
        <v>258</v>
      </c>
      <c r="M519" s="192" t="s">
        <v>173</v>
      </c>
      <c r="N519" s="52" t="str">
        <f>IF(AND('331-CT'!$E$7=TH!H519,OR(L519="331",M519="331")),"331",IF(AND(OR(L519="131",M519="131"),H519='131-CT'!$E$7),"131",""))</f>
        <v/>
      </c>
      <c r="O519" s="818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52"/>
      <c r="AB519" s="552"/>
      <c r="AC519" s="552"/>
    </row>
    <row r="520" spans="1:32" s="209" customFormat="1" ht="15.75" customHeight="1">
      <c r="A520" s="202" t="str">
        <f>IF(B520&lt;&gt;"",IF(AND(B520&gt;=_TM1,B520&lt;=_TM2,OR(TH!L520="1111",TH!M520="1111")),TH!D520,""),"")</f>
        <v/>
      </c>
      <c r="B520" s="36">
        <f t="shared" si="28"/>
        <v>3</v>
      </c>
      <c r="C520" s="182">
        <f t="shared" si="29"/>
        <v>42448</v>
      </c>
      <c r="D520" s="189" t="s">
        <v>1163</v>
      </c>
      <c r="E520" s="182">
        <v>42448</v>
      </c>
      <c r="F520" s="187" t="s">
        <v>393</v>
      </c>
      <c r="G520" s="562" t="s">
        <v>468</v>
      </c>
      <c r="H520" s="191" t="s">
        <v>399</v>
      </c>
      <c r="I520" s="251"/>
      <c r="J520" s="251"/>
      <c r="K520" s="560">
        <v>617650</v>
      </c>
      <c r="L520" s="192" t="s">
        <v>258</v>
      </c>
      <c r="M520" s="192" t="s">
        <v>367</v>
      </c>
      <c r="N520" s="52" t="str">
        <f>IF(AND('331-CT'!$E$7=TH!H520,OR(L520="331",M520="331")),"331",IF(AND(OR(L520="131",M520="131"),H520='131-CT'!$E$7),"131",""))</f>
        <v/>
      </c>
      <c r="O520" s="818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52"/>
      <c r="AB520" s="552"/>
    </row>
    <row r="521" spans="1:32" s="209" customFormat="1" ht="15.75" customHeight="1">
      <c r="A521" s="202" t="str">
        <f>IF(B521&lt;&gt;"",IF(AND(B521&gt;=_TM1,B521&lt;=_TM2,OR(TH!L521="1111",TH!M521="1111")),TH!D521,""),"")</f>
        <v/>
      </c>
      <c r="B521" s="36">
        <f t="shared" si="28"/>
        <v>3</v>
      </c>
      <c r="C521" s="182">
        <f t="shared" si="29"/>
        <v>42449</v>
      </c>
      <c r="D521" s="182" t="s">
        <v>1664</v>
      </c>
      <c r="E521" s="189">
        <v>42449</v>
      </c>
      <c r="F521" s="40" t="s">
        <v>666</v>
      </c>
      <c r="G521" s="451" t="s">
        <v>1595</v>
      </c>
      <c r="H521" s="7" t="s">
        <v>399</v>
      </c>
      <c r="I521" s="252"/>
      <c r="J521" s="252"/>
      <c r="K521" s="560">
        <v>10256400</v>
      </c>
      <c r="L521" s="561" t="s">
        <v>47</v>
      </c>
      <c r="M521" s="561" t="s">
        <v>258</v>
      </c>
      <c r="N521" s="52" t="str">
        <f>IF(AND('331-CT'!$E$7=TH!H521,OR(L521="331",M521="331")),"331",IF(AND(OR(L521="131",M521="131"),H521='131-CT'!$E$7),"131",""))</f>
        <v/>
      </c>
      <c r="O521" s="818" t="str">
        <f>IF(AND('341-CT'!$E$9=H521,OR(LEFT(L521,3)=$O$7,LEFT(M521,3)=$O$7)),"x","")</f>
        <v/>
      </c>
      <c r="P521" s="52" t="str">
        <f>IF(AND($B521&gt;='111'!$N$11,$B521&lt;='111'!$O$11,OR($L521=$P$7,$M521=$P$7)),"x","")</f>
        <v>x</v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52"/>
      <c r="AB521" s="552"/>
      <c r="AC521" s="552"/>
    </row>
    <row r="522" spans="1:32" s="209" customFormat="1" ht="15.75" customHeight="1">
      <c r="A522" s="202" t="str">
        <f>IF(B522&lt;&gt;"",IF(AND(B522&gt;=_TM1,B522&lt;=_TM2,OR(TH!L522="1111",TH!M522="1111")),TH!D522,""),"")</f>
        <v/>
      </c>
      <c r="B522" s="36">
        <f t="shared" si="28"/>
        <v>3</v>
      </c>
      <c r="C522" s="182">
        <f t="shared" si="29"/>
        <v>42450</v>
      </c>
      <c r="D522" s="182" t="s">
        <v>1665</v>
      </c>
      <c r="E522" s="182">
        <v>42450</v>
      </c>
      <c r="F522" s="187" t="s">
        <v>754</v>
      </c>
      <c r="G522" s="448" t="s">
        <v>756</v>
      </c>
      <c r="H522" s="191" t="s">
        <v>673</v>
      </c>
      <c r="I522" s="251"/>
      <c r="J522" s="251"/>
      <c r="K522" s="560">
        <v>96500000</v>
      </c>
      <c r="L522" s="561" t="s">
        <v>24</v>
      </c>
      <c r="M522" s="561" t="s">
        <v>47</v>
      </c>
      <c r="N522" s="52" t="str">
        <f>IF(AND('331-CT'!$E$7=TH!H522,OR(L522="331",M522="331")),"331",IF(AND(OR(L522="131",M522="131"),H522='131-CT'!$E$7),"131",""))</f>
        <v/>
      </c>
      <c r="O522" s="818" t="str">
        <f>IF(AND('341-CT'!$E$9=H522,OR(LEFT(L522,3)=$O$7,LEFT(M522,3)=$O$7)),"x","")</f>
        <v/>
      </c>
      <c r="P522" s="52" t="str">
        <f>IF(AND($B522&gt;='111'!$N$11,$B522&lt;='111'!$O$11,OR($L522=$P$7,$M522=$P$7)),"x","")</f>
        <v>x</v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52"/>
      <c r="AB522" s="552"/>
      <c r="AC522" s="552"/>
      <c r="AD522" s="552"/>
    </row>
    <row r="523" spans="1:32" s="209" customFormat="1" ht="15.75" customHeight="1">
      <c r="A523" s="202" t="str">
        <f>IF(B523&lt;&gt;"",IF(AND(B523&gt;=_TM1,B523&lt;=_TM2,OR(TH!L523="1111",TH!M523="1111")),TH!D523,""),"")</f>
        <v/>
      </c>
      <c r="B523" s="36">
        <f t="shared" si="28"/>
        <v>3</v>
      </c>
      <c r="C523" s="182">
        <f t="shared" si="29"/>
        <v>42450</v>
      </c>
      <c r="D523" s="182" t="s">
        <v>669</v>
      </c>
      <c r="E523" s="182">
        <v>42450</v>
      </c>
      <c r="F523" s="187" t="s">
        <v>769</v>
      </c>
      <c r="G523" s="448" t="s">
        <v>756</v>
      </c>
      <c r="H523" s="191" t="s">
        <v>757</v>
      </c>
      <c r="I523" s="251"/>
      <c r="J523" s="251"/>
      <c r="K523" s="38">
        <v>83385000</v>
      </c>
      <c r="L523" s="561" t="s">
        <v>755</v>
      </c>
      <c r="M523" s="561" t="s">
        <v>24</v>
      </c>
      <c r="N523" s="52" t="str">
        <f>IF(AND('331-CT'!$E$7=TH!H523,OR(L523="331",M523="331")),"331",IF(AND(OR(L523="131",M523="131"),H523='131-CT'!$E$7),"131",""))</f>
        <v/>
      </c>
      <c r="O523" s="818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52"/>
      <c r="AB523" s="552"/>
      <c r="AC523" s="552"/>
      <c r="AD523" s="552"/>
      <c r="AE523" s="552"/>
      <c r="AF523" s="552"/>
    </row>
    <row r="524" spans="1:32" s="209" customFormat="1" ht="15.75" customHeight="1">
      <c r="A524" s="202" t="str">
        <f>IF(B524&lt;&gt;"",IF(AND(B524&gt;=_TM1,B524&lt;=_TM2,OR(TH!L524="1111",TH!M524="1111")),TH!D524,""),"")</f>
        <v/>
      </c>
      <c r="B524" s="36">
        <f t="shared" si="28"/>
        <v>3</v>
      </c>
      <c r="C524" s="182">
        <f t="shared" si="29"/>
        <v>42450</v>
      </c>
      <c r="D524" s="182" t="s">
        <v>669</v>
      </c>
      <c r="E524" s="182">
        <v>42450</v>
      </c>
      <c r="F524" s="187" t="s">
        <v>770</v>
      </c>
      <c r="G524" s="448" t="s">
        <v>756</v>
      </c>
      <c r="H524" s="191" t="s">
        <v>757</v>
      </c>
      <c r="I524" s="251"/>
      <c r="J524" s="251"/>
      <c r="K524" s="560">
        <v>10906176</v>
      </c>
      <c r="L524" s="561" t="s">
        <v>81</v>
      </c>
      <c r="M524" s="561" t="s">
        <v>24</v>
      </c>
      <c r="N524" s="52" t="str">
        <f>IF(AND('331-CT'!$E$7=TH!H524,OR(L524="331",M524="331")),"331",IF(AND(OR(L524="131",M524="131"),H524='131-CT'!$E$7),"131",""))</f>
        <v/>
      </c>
      <c r="O524" s="818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52"/>
      <c r="AB524" s="552"/>
      <c r="AC524" s="552"/>
      <c r="AD524" s="552"/>
      <c r="AE524" s="552"/>
      <c r="AF524" s="552"/>
    </row>
    <row r="525" spans="1:32" s="209" customFormat="1" ht="15.75" customHeight="1">
      <c r="A525" s="202" t="str">
        <f>IF(B525&lt;&gt;"",IF(AND(B525&gt;=_TM1,B525&lt;=_TM2,OR(TH!L525="1111",TH!M525="1111")),TH!D525,""),"")</f>
        <v/>
      </c>
      <c r="B525" s="36">
        <f t="shared" si="28"/>
        <v>3</v>
      </c>
      <c r="C525" s="182">
        <f t="shared" si="29"/>
        <v>42450</v>
      </c>
      <c r="D525" s="182" t="s">
        <v>669</v>
      </c>
      <c r="E525" s="182">
        <v>42450</v>
      </c>
      <c r="F525" s="187" t="s">
        <v>770</v>
      </c>
      <c r="G525" s="448" t="s">
        <v>756</v>
      </c>
      <c r="H525" s="191" t="s">
        <v>763</v>
      </c>
      <c r="I525" s="251"/>
      <c r="J525" s="251"/>
      <c r="K525" s="560">
        <v>2158095</v>
      </c>
      <c r="L525" s="561" t="s">
        <v>81</v>
      </c>
      <c r="M525" s="561" t="s">
        <v>24</v>
      </c>
      <c r="N525" s="52" t="str">
        <f>IF(AND('331-CT'!$E$7=TH!H525,OR(L525="331",M525="331")),"331",IF(AND(OR(L525="131",M525="131"),H525='131-CT'!$E$7),"131",""))</f>
        <v/>
      </c>
      <c r="O525" s="818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52"/>
      <c r="AB525" s="552"/>
      <c r="AC525" s="552"/>
      <c r="AD525" s="552"/>
      <c r="AE525" s="552"/>
      <c r="AF525" s="552"/>
    </row>
    <row r="526" spans="1:32" s="209" customFormat="1" ht="15.75" customHeight="1">
      <c r="A526" s="202" t="str">
        <f>IF(B526&lt;&gt;"",IF(AND(B526&gt;=_TM1,B526&lt;=_TM2,OR(TH!L526="1111",TH!M526="1111")),TH!D526,""),"")</f>
        <v/>
      </c>
      <c r="B526" s="36">
        <f t="shared" si="28"/>
        <v>3</v>
      </c>
      <c r="C526" s="182">
        <f t="shared" si="29"/>
        <v>42450</v>
      </c>
      <c r="D526" s="182" t="s">
        <v>665</v>
      </c>
      <c r="E526" s="189">
        <v>42450</v>
      </c>
      <c r="F526" s="187" t="s">
        <v>666</v>
      </c>
      <c r="G526" s="448" t="s">
        <v>330</v>
      </c>
      <c r="H526" s="7" t="s">
        <v>785</v>
      </c>
      <c r="I526" s="251"/>
      <c r="J526" s="251"/>
      <c r="K526" s="38">
        <v>4784000</v>
      </c>
      <c r="L526" s="561" t="s">
        <v>24</v>
      </c>
      <c r="M526" s="561" t="s">
        <v>258</v>
      </c>
      <c r="N526" s="52" t="str">
        <f>IF(AND('331-CT'!$E$7=TH!H526,OR(L526="331",M526="331")),"331",IF(AND(OR(L526="131",M526="131"),H526='131-CT'!$E$7),"131",""))</f>
        <v/>
      </c>
      <c r="O526" s="818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52"/>
      <c r="AB526" s="552"/>
      <c r="AC526" s="552"/>
      <c r="AE526" s="552"/>
      <c r="AF526" s="552"/>
    </row>
    <row r="527" spans="1:32" s="209" customFormat="1" ht="15.75" customHeight="1">
      <c r="A527" s="202" t="str">
        <f>IF(B527&lt;&gt;"",IF(AND(B527&gt;=_TM1,B527&lt;=_TM2,OR(TH!L527="1111",TH!M527="1111")),TH!D527,""),"")</f>
        <v/>
      </c>
      <c r="B527" s="36">
        <f t="shared" si="28"/>
        <v>3</v>
      </c>
      <c r="C527" s="182">
        <f t="shared" si="29"/>
        <v>42450</v>
      </c>
      <c r="D527" s="182" t="s">
        <v>1666</v>
      </c>
      <c r="E527" s="189">
        <v>42450</v>
      </c>
      <c r="F527" s="187" t="s">
        <v>776</v>
      </c>
      <c r="G527" s="448" t="s">
        <v>330</v>
      </c>
      <c r="H527" s="191" t="s">
        <v>675</v>
      </c>
      <c r="I527" s="251"/>
      <c r="J527" s="251"/>
      <c r="K527" s="38">
        <v>11500000</v>
      </c>
      <c r="L527" s="192" t="s">
        <v>47</v>
      </c>
      <c r="M527" s="561" t="s">
        <v>24</v>
      </c>
      <c r="N527" s="52" t="str">
        <f>IF(AND('331-CT'!$E$7=TH!H527,OR(L527="331",M527="331")),"331",IF(AND(OR(L527="131",M527="131"),H527='131-CT'!$E$7),"131",""))</f>
        <v/>
      </c>
      <c r="O527" s="818" t="str">
        <f>IF(AND('341-CT'!$E$9=H527,OR(LEFT(L527,3)=$O$7,LEFT(M527,3)=$O$7)),"x","")</f>
        <v/>
      </c>
      <c r="P527" s="52" t="str">
        <f>IF(AND($B527&gt;='111'!$N$11,$B527&lt;='111'!$O$11,OR($L527=$P$7,$M527=$P$7)),"x","")</f>
        <v>x</v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52"/>
      <c r="AB527" s="552"/>
      <c r="AC527" s="552"/>
      <c r="AD527" s="552"/>
    </row>
    <row r="528" spans="1:32" s="209" customFormat="1" ht="15.75" customHeight="1">
      <c r="A528" s="202" t="str">
        <f>IF(B528&lt;&gt;"",IF(AND(B528&gt;=_TM1,B528&lt;=_TM2,OR(TH!L528="1111",TH!M528="1111")),TH!D528,""),"")</f>
        <v/>
      </c>
      <c r="B528" s="36">
        <f t="shared" si="28"/>
        <v>3</v>
      </c>
      <c r="C528" s="182">
        <f t="shared" si="29"/>
        <v>42450</v>
      </c>
      <c r="D528" s="182" t="s">
        <v>669</v>
      </c>
      <c r="E528" s="189">
        <v>42450</v>
      </c>
      <c r="F528" s="190" t="s">
        <v>672</v>
      </c>
      <c r="G528" s="448" t="s">
        <v>330</v>
      </c>
      <c r="H528" s="45"/>
      <c r="I528" s="251"/>
      <c r="J528" s="251"/>
      <c r="K528" s="38">
        <v>15000</v>
      </c>
      <c r="L528" s="192" t="s">
        <v>83</v>
      </c>
      <c r="M528" s="561" t="s">
        <v>24</v>
      </c>
      <c r="N528" s="52" t="str">
        <f>IF(AND('331-CT'!$E$7=TH!H528,OR(L528="331",M528="331")),"331",IF(AND(OR(L528="131",M528="131"),H528='131-CT'!$E$7),"131",""))</f>
        <v/>
      </c>
      <c r="O528" s="818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>x</v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52"/>
      <c r="AB528" s="552"/>
      <c r="AC528" s="552"/>
      <c r="AD528" s="552"/>
    </row>
    <row r="529" spans="1:32" s="209" customFormat="1" ht="15.75" customHeight="1">
      <c r="A529" s="202" t="str">
        <f>IF(B529&lt;&gt;"",IF(AND(B529&gt;=_TM1,B529&lt;=_TM2,OR(TH!L529="1111",TH!M529="1111")),TH!D529,""),"")</f>
        <v/>
      </c>
      <c r="B529" s="36">
        <f t="shared" si="28"/>
        <v>3</v>
      </c>
      <c r="C529" s="182">
        <f t="shared" si="29"/>
        <v>42450</v>
      </c>
      <c r="D529" s="189" t="s">
        <v>1667</v>
      </c>
      <c r="E529" s="189">
        <v>42450</v>
      </c>
      <c r="F529" s="190" t="s">
        <v>687</v>
      </c>
      <c r="G529" s="451" t="s">
        <v>816</v>
      </c>
      <c r="H529" s="191" t="s">
        <v>817</v>
      </c>
      <c r="I529" s="251"/>
      <c r="J529" s="253"/>
      <c r="K529" s="38">
        <v>584000</v>
      </c>
      <c r="L529" s="192" t="s">
        <v>83</v>
      </c>
      <c r="M529" s="192" t="s">
        <v>47</v>
      </c>
      <c r="N529" s="52" t="str">
        <f>IF(AND('331-CT'!$E$7=TH!H529,OR(L529="331",M529="331")),"331",IF(AND(OR(L529="131",M529="131"),H529='131-CT'!$E$7),"131",""))</f>
        <v/>
      </c>
      <c r="O529" s="818" t="str">
        <f>IF(AND('341-CT'!$E$9=H529,OR(LEFT(L529,3)=$O$7,LEFT(M529,3)=$O$7)),"x","")</f>
        <v/>
      </c>
      <c r="P529" s="52" t="str">
        <f>IF(AND($B529&gt;='111'!$N$11,$B529&lt;='111'!$O$11,OR($L529=$P$7,$M529=$P$7)),"x","")</f>
        <v>x</v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>x</v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52"/>
      <c r="AB529" s="552"/>
      <c r="AE529" s="552"/>
      <c r="AF529" s="552"/>
    </row>
    <row r="530" spans="1:32" s="209" customFormat="1" ht="15.75" customHeight="1">
      <c r="A530" s="202" t="str">
        <f>IF(B530&lt;&gt;"",IF(AND(B530&gt;=_TM1,B530&lt;=_TM2,OR(TH!L530="1111",TH!M530="1111")),TH!D530,""),"")</f>
        <v/>
      </c>
      <c r="B530" s="36">
        <f t="shared" si="28"/>
        <v>3</v>
      </c>
      <c r="C530" s="182">
        <f t="shared" si="29"/>
        <v>42450</v>
      </c>
      <c r="D530" s="189" t="s">
        <v>1164</v>
      </c>
      <c r="E530" s="189">
        <v>42450</v>
      </c>
      <c r="F530" s="190" t="s">
        <v>955</v>
      </c>
      <c r="G530" s="451" t="s">
        <v>469</v>
      </c>
      <c r="H530" s="711" t="s">
        <v>777</v>
      </c>
      <c r="I530" s="252">
        <v>108</v>
      </c>
      <c r="J530" s="252">
        <v>15400</v>
      </c>
      <c r="K530" s="38">
        <f>ROUND(I530*J530,0)</f>
        <v>1663200</v>
      </c>
      <c r="L530" s="192" t="s">
        <v>258</v>
      </c>
      <c r="M530" s="192" t="s">
        <v>173</v>
      </c>
      <c r="N530" s="52" t="str">
        <f>IF(AND('331-CT'!$E$7=TH!H530,OR(L530="331",M530="331")),"331",IF(AND(OR(L530="131",M530="131"),H530='131-CT'!$E$7),"131",""))</f>
        <v>131</v>
      </c>
      <c r="O530" s="818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52"/>
      <c r="AB530" s="552"/>
      <c r="AC530" s="552"/>
    </row>
    <row r="531" spans="1:32" s="209" customFormat="1" ht="15.75" customHeight="1">
      <c r="A531" s="202" t="str">
        <f>IF(B531&lt;&gt;"",IF(AND(B531&gt;=_TM1,B531&lt;=_TM2,OR(TH!L531="1111",TH!M531="1111")),TH!D531,""),"")</f>
        <v/>
      </c>
      <c r="B531" s="36">
        <f t="shared" si="28"/>
        <v>3</v>
      </c>
      <c r="C531" s="182">
        <f t="shared" si="29"/>
        <v>42450</v>
      </c>
      <c r="D531" s="189" t="s">
        <v>1164</v>
      </c>
      <c r="E531" s="189">
        <v>42450</v>
      </c>
      <c r="F531" s="190" t="s">
        <v>393</v>
      </c>
      <c r="G531" s="451" t="s">
        <v>469</v>
      </c>
      <c r="H531" s="711" t="s">
        <v>777</v>
      </c>
      <c r="I531" s="251"/>
      <c r="J531" s="251"/>
      <c r="K531" s="38">
        <v>166320</v>
      </c>
      <c r="L531" s="192" t="s">
        <v>258</v>
      </c>
      <c r="M531" s="192" t="s">
        <v>367</v>
      </c>
      <c r="N531" s="52" t="str">
        <f>IF(AND('331-CT'!$E$7=TH!H531,OR(L531="331",M531="331")),"331",IF(AND(OR(L531="131",M531="131"),H531='131-CT'!$E$7),"131",""))</f>
        <v>131</v>
      </c>
      <c r="O531" s="818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52"/>
      <c r="AB531" s="552"/>
    </row>
    <row r="532" spans="1:32" s="209" customFormat="1" ht="15.75" customHeight="1">
      <c r="A532" s="202" t="str">
        <f>IF(B532&lt;&gt;"",IF(AND(B532&gt;=_TM1,B532&lt;=_TM2,OR(TH!L532="1111",TH!M532="1111")),TH!D532,""),"")</f>
        <v/>
      </c>
      <c r="B532" s="36">
        <f t="shared" ref="B532:B595" si="31">IF(C532&lt;&gt;"",MONTH(C532),"")</f>
        <v>3</v>
      </c>
      <c r="C532" s="182">
        <f t="shared" ref="C532:C595" si="32">E532</f>
        <v>42450</v>
      </c>
      <c r="D532" s="189" t="s">
        <v>1165</v>
      </c>
      <c r="E532" s="182">
        <v>42450</v>
      </c>
      <c r="F532" s="187" t="s">
        <v>640</v>
      </c>
      <c r="G532" s="562" t="s">
        <v>470</v>
      </c>
      <c r="H532" s="7" t="s">
        <v>788</v>
      </c>
      <c r="I532" s="251">
        <v>500</v>
      </c>
      <c r="J532" s="251">
        <v>13644</v>
      </c>
      <c r="K532" s="38">
        <f>ROUND(I532*J532,0)</f>
        <v>6822000</v>
      </c>
      <c r="L532" s="192" t="s">
        <v>258</v>
      </c>
      <c r="M532" s="192" t="s">
        <v>173</v>
      </c>
      <c r="N532" s="52" t="str">
        <f>IF(AND('331-CT'!$E$7=TH!H532,OR(L532="331",M532="331")),"331",IF(AND(OR(L532="131",M532="131"),H532='131-CT'!$E$7),"131",""))</f>
        <v/>
      </c>
      <c r="O532" s="818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52"/>
      <c r="AB532" s="552"/>
      <c r="AC532" s="552"/>
    </row>
    <row r="533" spans="1:32" s="209" customFormat="1" ht="15.75" customHeight="1">
      <c r="A533" s="202" t="str">
        <f>IF(B533&lt;&gt;"",IF(AND(B533&gt;=_TM1,B533&lt;=_TM2,OR(TH!L533="1111",TH!M533="1111")),TH!D533,""),"")</f>
        <v/>
      </c>
      <c r="B533" s="36">
        <f t="shared" si="31"/>
        <v>3</v>
      </c>
      <c r="C533" s="182">
        <f t="shared" si="32"/>
        <v>42450</v>
      </c>
      <c r="D533" s="189" t="s">
        <v>1165</v>
      </c>
      <c r="E533" s="182">
        <v>42450</v>
      </c>
      <c r="F533" s="187" t="s">
        <v>393</v>
      </c>
      <c r="G533" s="562" t="s">
        <v>470</v>
      </c>
      <c r="H533" s="7" t="s">
        <v>788</v>
      </c>
      <c r="I533" s="251"/>
      <c r="J533" s="251"/>
      <c r="K533" s="560">
        <v>682200</v>
      </c>
      <c r="L533" s="192" t="s">
        <v>258</v>
      </c>
      <c r="M533" s="192" t="s">
        <v>367</v>
      </c>
      <c r="N533" s="52" t="str">
        <f>IF(AND('331-CT'!$E$7=TH!H533,OR(L533="331",M533="331")),"331",IF(AND(OR(L533="131",M533="131"),H533='131-CT'!$E$7),"131",""))</f>
        <v/>
      </c>
      <c r="O533" s="818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52"/>
      <c r="AB533" s="552"/>
      <c r="AC533" s="552"/>
    </row>
    <row r="534" spans="1:32" s="209" customFormat="1" ht="15.75" customHeight="1">
      <c r="A534" s="202" t="str">
        <f>IF(B534&lt;&gt;"",IF(AND(B534&gt;=_TM1,B534&lt;=_TM2,OR(TH!L534="1111",TH!M534="1111")),TH!D534,""),"")</f>
        <v/>
      </c>
      <c r="B534" s="36">
        <f t="shared" si="31"/>
        <v>3</v>
      </c>
      <c r="C534" s="182">
        <f t="shared" si="32"/>
        <v>42450</v>
      </c>
      <c r="D534" s="189" t="s">
        <v>1166</v>
      </c>
      <c r="E534" s="189">
        <v>42450</v>
      </c>
      <c r="F534" s="187" t="s">
        <v>415</v>
      </c>
      <c r="G534" s="451" t="s">
        <v>471</v>
      </c>
      <c r="H534" s="7" t="s">
        <v>417</v>
      </c>
      <c r="I534" s="252">
        <v>301</v>
      </c>
      <c r="J534" s="252">
        <v>12900</v>
      </c>
      <c r="K534" s="38">
        <f>ROUND(I534*J534,0)</f>
        <v>3882900</v>
      </c>
      <c r="L534" s="192" t="s">
        <v>258</v>
      </c>
      <c r="M534" s="192" t="s">
        <v>173</v>
      </c>
      <c r="N534" s="52" t="str">
        <f>IF(AND('331-CT'!$E$7=TH!H534,OR(L534="331",M534="331")),"331",IF(AND(OR(L534="131",M534="131"),H534='131-CT'!$E$7),"131",""))</f>
        <v/>
      </c>
      <c r="O534" s="818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52"/>
      <c r="AB534" s="552"/>
      <c r="AC534" s="552"/>
    </row>
    <row r="535" spans="1:32" s="209" customFormat="1" ht="15.75" customHeight="1">
      <c r="A535" s="202" t="str">
        <f>IF(B535&lt;&gt;"",IF(AND(B535&gt;=_TM1,B535&lt;=_TM2,OR(TH!L535="1111",TH!M535="1111")),TH!D535,""),"")</f>
        <v/>
      </c>
      <c r="B535" s="36">
        <f t="shared" si="31"/>
        <v>3</v>
      </c>
      <c r="C535" s="182">
        <f t="shared" si="32"/>
        <v>42450</v>
      </c>
      <c r="D535" s="189" t="s">
        <v>1166</v>
      </c>
      <c r="E535" s="189">
        <v>42450</v>
      </c>
      <c r="F535" s="187" t="s">
        <v>393</v>
      </c>
      <c r="G535" s="451" t="s">
        <v>471</v>
      </c>
      <c r="H535" s="7" t="s">
        <v>417</v>
      </c>
      <c r="I535" s="252"/>
      <c r="J535" s="252"/>
      <c r="K535" s="560">
        <v>388290</v>
      </c>
      <c r="L535" s="192" t="s">
        <v>258</v>
      </c>
      <c r="M535" s="192" t="s">
        <v>367</v>
      </c>
      <c r="N535" s="52" t="str">
        <f>IF(AND('331-CT'!$E$7=TH!H535,OR(L535="331",M535="331")),"331",IF(AND(OR(L535="131",M535="131"),H535='131-CT'!$E$7),"131",""))</f>
        <v/>
      </c>
      <c r="O535" s="818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52"/>
      <c r="AB535" s="552"/>
      <c r="AC535" s="552"/>
    </row>
    <row r="536" spans="1:32" s="209" customFormat="1" ht="15.75" customHeight="1">
      <c r="A536" s="202" t="str">
        <f>IF(B536&lt;&gt;"",IF(AND(B536&gt;=_TM1,B536&lt;=_TM2,OR(TH!L536="1111",TH!M536="1111")),TH!D536,""),"")</f>
        <v/>
      </c>
      <c r="B536" s="36">
        <f t="shared" si="31"/>
        <v>3</v>
      </c>
      <c r="C536" s="182">
        <f t="shared" si="32"/>
        <v>42451</v>
      </c>
      <c r="D536" s="182" t="s">
        <v>665</v>
      </c>
      <c r="E536" s="189">
        <v>42451</v>
      </c>
      <c r="F536" s="187" t="s">
        <v>666</v>
      </c>
      <c r="G536" s="448" t="s">
        <v>330</v>
      </c>
      <c r="H536" s="191" t="s">
        <v>609</v>
      </c>
      <c r="I536" s="251"/>
      <c r="J536" s="251"/>
      <c r="K536" s="38">
        <v>13067780</v>
      </c>
      <c r="L536" s="561" t="s">
        <v>24</v>
      </c>
      <c r="M536" s="561" t="s">
        <v>258</v>
      </c>
      <c r="N536" s="52" t="str">
        <f>IF(AND('331-CT'!$E$7=TH!H536,OR(L536="331",M536="331")),"331",IF(AND(OR(L536="131",M536="131"),H536='131-CT'!$E$7),"131",""))</f>
        <v/>
      </c>
      <c r="O536" s="818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52"/>
      <c r="AB536" s="552"/>
      <c r="AE536" s="552"/>
      <c r="AF536" s="552"/>
    </row>
    <row r="537" spans="1:32" s="209" customFormat="1" ht="15.75" customHeight="1">
      <c r="A537" s="202" t="str">
        <f>IF(B537&lt;&gt;"",IF(AND(B537&gt;=_TM1,B537&lt;=_TM2,OR(TH!L537="1111",TH!M537="1111")),TH!D537,""),"")</f>
        <v/>
      </c>
      <c r="B537" s="36">
        <f t="shared" si="31"/>
        <v>3</v>
      </c>
      <c r="C537" s="182">
        <f t="shared" si="32"/>
        <v>42451</v>
      </c>
      <c r="D537" s="182" t="s">
        <v>1668</v>
      </c>
      <c r="E537" s="189">
        <v>42451</v>
      </c>
      <c r="F537" s="187" t="s">
        <v>776</v>
      </c>
      <c r="G537" s="448" t="s">
        <v>330</v>
      </c>
      <c r="H537" s="191" t="s">
        <v>675</v>
      </c>
      <c r="I537" s="251"/>
      <c r="J537" s="251"/>
      <c r="K537" s="38">
        <v>13000000</v>
      </c>
      <c r="L537" s="192" t="s">
        <v>47</v>
      </c>
      <c r="M537" s="561" t="s">
        <v>24</v>
      </c>
      <c r="N537" s="52" t="str">
        <f>IF(AND('331-CT'!$E$7=TH!H537,OR(L537="331",M537="331")),"331",IF(AND(OR(L537="131",M537="131"),H537='131-CT'!$E$7),"131",""))</f>
        <v/>
      </c>
      <c r="O537" s="818" t="str">
        <f>IF(AND('341-CT'!$E$9=H537,OR(LEFT(L537,3)=$O$7,LEFT(M537,3)=$O$7)),"x","")</f>
        <v/>
      </c>
      <c r="P537" s="52" t="str">
        <f>IF(AND($B537&gt;='111'!$N$11,$B537&lt;='111'!$O$11,OR($L537=$P$7,$M537=$P$7)),"x","")</f>
        <v>x</v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52"/>
      <c r="AB537" s="552"/>
    </row>
    <row r="538" spans="1:32" s="209" customFormat="1" ht="15.75" customHeight="1">
      <c r="A538" s="202" t="str">
        <f>IF(B538&lt;&gt;"",IF(AND(B538&gt;=_TM1,B538&lt;=_TM2,OR(TH!L538="1111",TH!M538="1111")),TH!D538,""),"")</f>
        <v/>
      </c>
      <c r="B538" s="36">
        <f t="shared" si="31"/>
        <v>3</v>
      </c>
      <c r="C538" s="182">
        <f t="shared" si="32"/>
        <v>42451</v>
      </c>
      <c r="D538" s="189" t="s">
        <v>1669</v>
      </c>
      <c r="E538" s="189">
        <v>42451</v>
      </c>
      <c r="F538" s="190" t="s">
        <v>370</v>
      </c>
      <c r="G538" s="451" t="s">
        <v>818</v>
      </c>
      <c r="H538" s="191" t="s">
        <v>809</v>
      </c>
      <c r="I538" s="251">
        <v>20</v>
      </c>
      <c r="J538" s="253">
        <v>53000</v>
      </c>
      <c r="K538" s="38">
        <v>7670000</v>
      </c>
      <c r="L538" s="192" t="s">
        <v>164</v>
      </c>
      <c r="M538" s="192" t="s">
        <v>47</v>
      </c>
      <c r="N538" s="52" t="str">
        <f>IF(AND('331-CT'!$E$7=TH!H538,OR(L538="331",M538="331")),"331",IF(AND(OR(L538="131",M538="131"),H538='131-CT'!$E$7),"131",""))</f>
        <v/>
      </c>
      <c r="O538" s="818" t="str">
        <f>IF(AND('341-CT'!$E$9=H538,OR(LEFT(L538,3)=$O$7,LEFT(M538,3)=$O$7)),"x","")</f>
        <v/>
      </c>
      <c r="P538" s="52" t="str">
        <f>IF(AND($B538&gt;='111'!$N$11,$B538&lt;='111'!$O$11,OR($L538=$P$7,$M538=$P$7)),"x","")</f>
        <v>x</v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52">
        <v>1</v>
      </c>
      <c r="AB538" s="552"/>
      <c r="AC538" s="552"/>
      <c r="AE538" s="552"/>
      <c r="AF538" s="552"/>
    </row>
    <row r="539" spans="1:32" s="209" customFormat="1" ht="15.75" customHeight="1">
      <c r="A539" s="202" t="str">
        <f>IF(B539&lt;&gt;"",IF(AND(B539&gt;=_TM1,B539&lt;=_TM2,OR(TH!L539="1111",TH!M539="1111")),TH!D539,""),"")</f>
        <v/>
      </c>
      <c r="B539" s="36">
        <f t="shared" si="31"/>
        <v>3</v>
      </c>
      <c r="C539" s="182">
        <f t="shared" si="32"/>
        <v>42451</v>
      </c>
      <c r="D539" s="189" t="s">
        <v>1669</v>
      </c>
      <c r="E539" s="189">
        <v>42451</v>
      </c>
      <c r="F539" s="190" t="s">
        <v>677</v>
      </c>
      <c r="G539" s="451" t="s">
        <v>818</v>
      </c>
      <c r="H539" s="191" t="s">
        <v>809</v>
      </c>
      <c r="I539" s="251"/>
      <c r="J539" s="253"/>
      <c r="K539" s="38">
        <v>767000</v>
      </c>
      <c r="L539" s="192" t="s">
        <v>9</v>
      </c>
      <c r="M539" s="192" t="s">
        <v>47</v>
      </c>
      <c r="N539" s="52" t="str">
        <f>IF(AND('331-CT'!$E$7=TH!H539,OR(L539="331",M539="331")),"331",IF(AND(OR(L539="131",M539="131"),H539='131-CT'!$E$7),"131",""))</f>
        <v/>
      </c>
      <c r="O539" s="818" t="str">
        <f>IF(AND('341-CT'!$E$9=H539,OR(LEFT(L539,3)=$O$7,LEFT(M539,3)=$O$7)),"x","")</f>
        <v/>
      </c>
      <c r="P539" s="52" t="str">
        <f>IF(AND($B539&gt;='111'!$N$11,$B539&lt;='111'!$O$11,OR($L539=$P$7,$M539=$P$7)),"x","")</f>
        <v>x</v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52">
        <v>1</v>
      </c>
      <c r="AB539" s="552"/>
      <c r="AC539" s="552"/>
      <c r="AE539" s="552"/>
      <c r="AF539" s="552"/>
    </row>
    <row r="540" spans="1:32" s="209" customFormat="1" ht="15.75" customHeight="1">
      <c r="A540" s="202" t="str">
        <f>IF(B540&lt;&gt;"",IF(AND(B540&gt;=_TM1,B540&lt;=_TM2,OR(TH!L540="1111",TH!M540="1111")),TH!D540,""),"")</f>
        <v/>
      </c>
      <c r="B540" s="36">
        <f t="shared" si="31"/>
        <v>3</v>
      </c>
      <c r="C540" s="182">
        <f t="shared" si="32"/>
        <v>42451</v>
      </c>
      <c r="D540" s="189" t="s">
        <v>1167</v>
      </c>
      <c r="E540" s="189">
        <v>42451</v>
      </c>
      <c r="F540" s="187" t="s">
        <v>956</v>
      </c>
      <c r="G540" s="451" t="s">
        <v>472</v>
      </c>
      <c r="H540" s="7" t="s">
        <v>797</v>
      </c>
      <c r="I540" s="252">
        <v>544</v>
      </c>
      <c r="J540" s="252">
        <v>6800</v>
      </c>
      <c r="K540" s="38">
        <f>ROUND(I540*J540,0)</f>
        <v>3699200</v>
      </c>
      <c r="L540" s="192" t="s">
        <v>258</v>
      </c>
      <c r="M540" s="192" t="s">
        <v>173</v>
      </c>
      <c r="N540" s="52" t="str">
        <f>IF(AND('331-CT'!$E$7=TH!H540,OR(L540="331",M540="331")),"331",IF(AND(OR(L540="131",M540="131"),H540='131-CT'!$E$7),"131",""))</f>
        <v/>
      </c>
      <c r="O540" s="818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52"/>
      <c r="AB540" s="552"/>
      <c r="AC540" s="552"/>
    </row>
    <row r="541" spans="1:32" s="209" customFormat="1" ht="15.75" customHeight="1">
      <c r="A541" s="202" t="str">
        <f>IF(B541&lt;&gt;"",IF(AND(B541&gt;=_TM1,B541&lt;=_TM2,OR(TH!L541="1111",TH!M541="1111")),TH!D541,""),"")</f>
        <v/>
      </c>
      <c r="B541" s="36">
        <f t="shared" si="31"/>
        <v>3</v>
      </c>
      <c r="C541" s="182">
        <f t="shared" si="32"/>
        <v>42451</v>
      </c>
      <c r="D541" s="189" t="s">
        <v>1167</v>
      </c>
      <c r="E541" s="189">
        <v>42451</v>
      </c>
      <c r="F541" s="187" t="s">
        <v>393</v>
      </c>
      <c r="G541" s="451" t="s">
        <v>472</v>
      </c>
      <c r="H541" s="7" t="s">
        <v>797</v>
      </c>
      <c r="I541" s="252"/>
      <c r="J541" s="252"/>
      <c r="K541" s="560">
        <v>369920</v>
      </c>
      <c r="L541" s="192" t="s">
        <v>258</v>
      </c>
      <c r="M541" s="192" t="s">
        <v>367</v>
      </c>
      <c r="N541" s="52" t="str">
        <f>IF(AND('331-CT'!$E$7=TH!H541,OR(L541="331",M541="331")),"331",IF(AND(OR(L541="131",M541="131"),H541='131-CT'!$E$7),"131",""))</f>
        <v/>
      </c>
      <c r="O541" s="818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52"/>
      <c r="AB541" s="552"/>
      <c r="AC541" s="552"/>
    </row>
    <row r="542" spans="1:32" s="209" customFormat="1" ht="15.75" customHeight="1">
      <c r="A542" s="202" t="str">
        <f>IF(B542&lt;&gt;"",IF(AND(B542&gt;=_TM1,B542&lt;=_TM2,OR(TH!L542="1111",TH!M542="1111")),TH!D542,""),"")</f>
        <v/>
      </c>
      <c r="B542" s="36">
        <f t="shared" si="31"/>
        <v>3</v>
      </c>
      <c r="C542" s="182">
        <f t="shared" si="32"/>
        <v>42452</v>
      </c>
      <c r="D542" s="182" t="s">
        <v>665</v>
      </c>
      <c r="E542" s="182">
        <v>42452</v>
      </c>
      <c r="F542" s="187" t="s">
        <v>766</v>
      </c>
      <c r="G542" s="448" t="s">
        <v>756</v>
      </c>
      <c r="H542" s="191" t="s">
        <v>768</v>
      </c>
      <c r="I542" s="251"/>
      <c r="J542" s="251"/>
      <c r="K542" s="560">
        <v>100000000</v>
      </c>
      <c r="L542" s="561" t="s">
        <v>24</v>
      </c>
      <c r="M542" s="561" t="s">
        <v>755</v>
      </c>
      <c r="N542" s="52" t="str">
        <f>IF(AND('331-CT'!$E$7=TH!H542,OR(L542="331",M542="331")),"331",IF(AND(OR(L542="131",M542="131"),H542='131-CT'!$E$7),"131",""))</f>
        <v/>
      </c>
      <c r="O542" s="818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52"/>
      <c r="AB542" s="552"/>
      <c r="AC542" s="552"/>
      <c r="AD542" s="552"/>
    </row>
    <row r="543" spans="1:32" s="209" customFormat="1" ht="15.75" customHeight="1">
      <c r="A543" s="202" t="str">
        <f>IF(B543&lt;&gt;"",IF(AND(B543&gt;=_TM1,B543&lt;=_TM2,OR(TH!L543="1111",TH!M543="1111")),TH!D543,""),"")</f>
        <v/>
      </c>
      <c r="B543" s="36">
        <f t="shared" si="31"/>
        <v>3</v>
      </c>
      <c r="C543" s="182">
        <f t="shared" si="32"/>
        <v>42452</v>
      </c>
      <c r="D543" s="182" t="s">
        <v>1670</v>
      </c>
      <c r="E543" s="182">
        <v>42452</v>
      </c>
      <c r="F543" s="187" t="s">
        <v>776</v>
      </c>
      <c r="G543" s="448" t="s">
        <v>756</v>
      </c>
      <c r="H543" s="191" t="s">
        <v>673</v>
      </c>
      <c r="I543" s="251"/>
      <c r="J543" s="251"/>
      <c r="K543" s="560">
        <v>100000000</v>
      </c>
      <c r="L543" s="561" t="s">
        <v>47</v>
      </c>
      <c r="M543" s="561" t="s">
        <v>24</v>
      </c>
      <c r="N543" s="52" t="str">
        <f>IF(AND('331-CT'!$E$7=TH!H543,OR(L543="331",M543="331")),"331",IF(AND(OR(L543="131",M543="131"),H543='131-CT'!$E$7),"131",""))</f>
        <v/>
      </c>
      <c r="O543" s="818" t="str">
        <f>IF(AND('341-CT'!$E$9=H543,OR(LEFT(L543,3)=$O$7,LEFT(M543,3)=$O$7)),"x","")</f>
        <v/>
      </c>
      <c r="P543" s="52" t="str">
        <f>IF(AND($B543&gt;='111'!$N$11,$B543&lt;='111'!$O$11,OR($L543=$P$7,$M543=$P$7)),"x","")</f>
        <v>x</v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52"/>
      <c r="AB543" s="552"/>
      <c r="AC543" s="552"/>
      <c r="AD543" s="552"/>
      <c r="AE543" s="552"/>
      <c r="AF543" s="552"/>
    </row>
    <row r="544" spans="1:32" s="209" customFormat="1" ht="15.75" customHeight="1">
      <c r="A544" s="202" t="str">
        <f>IF(B544&lt;&gt;"",IF(AND(B544&gt;=_TM1,B544&lt;=_TM2,OR(TH!L544="1111",TH!M544="1111")),TH!D544,""),"")</f>
        <v/>
      </c>
      <c r="B544" s="36">
        <f t="shared" si="31"/>
        <v>3</v>
      </c>
      <c r="C544" s="182">
        <f t="shared" si="32"/>
        <v>42452</v>
      </c>
      <c r="D544" s="182" t="s">
        <v>665</v>
      </c>
      <c r="E544" s="189">
        <v>42452</v>
      </c>
      <c r="F544" s="187" t="s">
        <v>666</v>
      </c>
      <c r="G544" s="448" t="s">
        <v>330</v>
      </c>
      <c r="H544" s="7" t="s">
        <v>391</v>
      </c>
      <c r="I544" s="251"/>
      <c r="J544" s="251"/>
      <c r="K544" s="38">
        <v>5457540</v>
      </c>
      <c r="L544" s="561" t="s">
        <v>24</v>
      </c>
      <c r="M544" s="561" t="s">
        <v>258</v>
      </c>
      <c r="N544" s="52" t="str">
        <f>IF(AND('331-CT'!$E$7=TH!H544,OR(L544="331",M544="331")),"331",IF(AND(OR(L544="131",M544="131"),H544='131-CT'!$E$7),"131",""))</f>
        <v/>
      </c>
      <c r="O544" s="818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52"/>
      <c r="AB544" s="552"/>
      <c r="AC544" s="552"/>
      <c r="AE544" s="552"/>
      <c r="AF544" s="552"/>
    </row>
    <row r="545" spans="1:32" s="209" customFormat="1" ht="15.75" customHeight="1">
      <c r="A545" s="202" t="str">
        <f>IF(B545&lt;&gt;"",IF(AND(B545&gt;=_TM1,B545&lt;=_TM2,OR(TH!L545="1111",TH!M545="1111")),TH!D545,""),"")</f>
        <v/>
      </c>
      <c r="B545" s="36">
        <f t="shared" si="31"/>
        <v>3</v>
      </c>
      <c r="C545" s="182">
        <f t="shared" si="32"/>
        <v>42452</v>
      </c>
      <c r="D545" s="182" t="s">
        <v>665</v>
      </c>
      <c r="E545" s="189">
        <v>42452</v>
      </c>
      <c r="F545" s="187" t="s">
        <v>666</v>
      </c>
      <c r="G545" s="448" t="s">
        <v>330</v>
      </c>
      <c r="H545" s="7" t="s">
        <v>391</v>
      </c>
      <c r="I545" s="251"/>
      <c r="J545" s="251"/>
      <c r="K545" s="38">
        <v>13347180</v>
      </c>
      <c r="L545" s="561" t="s">
        <v>24</v>
      </c>
      <c r="M545" s="561" t="s">
        <v>258</v>
      </c>
      <c r="N545" s="52" t="str">
        <f>IF(AND('331-CT'!$E$7=TH!H545,OR(L545="331",M545="331")),"331",IF(AND(OR(L545="131",M545="131"),H545='131-CT'!$E$7),"131",""))</f>
        <v/>
      </c>
      <c r="O545" s="818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52"/>
      <c r="AB545" s="552"/>
      <c r="AC545" s="552"/>
      <c r="AE545" s="552"/>
      <c r="AF545" s="552"/>
    </row>
    <row r="546" spans="1:32" s="209" customFormat="1" ht="15.75" customHeight="1">
      <c r="A546" s="202" t="str">
        <f>IF(B546&lt;&gt;"",IF(AND(B546&gt;=_TM1,B546&lt;=_TM2,OR(TH!L546="1111",TH!M546="1111")),TH!D546,""),"")</f>
        <v/>
      </c>
      <c r="B546" s="36">
        <f t="shared" si="31"/>
        <v>3</v>
      </c>
      <c r="C546" s="182">
        <f t="shared" si="32"/>
        <v>42452</v>
      </c>
      <c r="D546" s="182" t="s">
        <v>665</v>
      </c>
      <c r="E546" s="189">
        <v>42452</v>
      </c>
      <c r="F546" s="187" t="s">
        <v>666</v>
      </c>
      <c r="G546" s="448" t="s">
        <v>330</v>
      </c>
      <c r="H546" s="7" t="s">
        <v>788</v>
      </c>
      <c r="I546" s="251"/>
      <c r="J546" s="251"/>
      <c r="K546" s="38">
        <v>7482200</v>
      </c>
      <c r="L546" s="561" t="s">
        <v>24</v>
      </c>
      <c r="M546" s="561" t="s">
        <v>258</v>
      </c>
      <c r="N546" s="52" t="str">
        <f>IF(AND('331-CT'!$E$7=TH!H546,OR(L546="331",M546="331")),"331",IF(AND(OR(L546="131",M546="131"),H546='131-CT'!$E$7),"131",""))</f>
        <v/>
      </c>
      <c r="O546" s="818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52"/>
      <c r="AB546" s="552"/>
      <c r="AE546" s="552"/>
      <c r="AF546" s="552"/>
    </row>
    <row r="547" spans="1:32" s="209" customFormat="1" ht="15.75" customHeight="1">
      <c r="A547" s="202" t="str">
        <f>IF(B547&lt;&gt;"",IF(AND(B547&gt;=_TM1,B547&lt;=_TM2,OR(TH!L547="1111",TH!M547="1111")),TH!D547,""),"")</f>
        <v/>
      </c>
      <c r="B547" s="36">
        <f t="shared" si="31"/>
        <v>3</v>
      </c>
      <c r="C547" s="182">
        <f t="shared" si="32"/>
        <v>42452</v>
      </c>
      <c r="D547" s="182" t="s">
        <v>1671</v>
      </c>
      <c r="E547" s="189">
        <v>42452</v>
      </c>
      <c r="F547" s="187" t="s">
        <v>776</v>
      </c>
      <c r="G547" s="448" t="s">
        <v>330</v>
      </c>
      <c r="H547" s="191" t="s">
        <v>675</v>
      </c>
      <c r="I547" s="251"/>
      <c r="J547" s="251"/>
      <c r="K547" s="38">
        <v>26500000</v>
      </c>
      <c r="L547" s="192" t="s">
        <v>47</v>
      </c>
      <c r="M547" s="561" t="s">
        <v>24</v>
      </c>
      <c r="N547" s="52" t="str">
        <f>IF(AND('331-CT'!$E$7=TH!H547,OR(L547="331",M547="331")),"331",IF(AND(OR(L547="131",M547="131"),H547='131-CT'!$E$7),"131",""))</f>
        <v/>
      </c>
      <c r="O547" s="818" t="str">
        <f>IF(AND('341-CT'!$E$9=H547,OR(LEFT(L547,3)=$O$7,LEFT(M547,3)=$O$7)),"x","")</f>
        <v/>
      </c>
      <c r="P547" s="52" t="str">
        <f>IF(AND($B547&gt;='111'!$N$11,$B547&lt;='111'!$O$11,OR($L547=$P$7,$M547=$P$7)),"x","")</f>
        <v>x</v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52"/>
      <c r="AB547" s="552"/>
      <c r="AC547" s="552"/>
    </row>
    <row r="548" spans="1:32" s="209" customFormat="1" ht="15.75" customHeight="1">
      <c r="A548" s="202" t="str">
        <f>IF(B548&lt;&gt;"",IF(AND(B548&gt;=_TM1,B548&lt;=_TM2,OR(TH!L548="1111",TH!M548="1111")),TH!D548,""),"")</f>
        <v/>
      </c>
      <c r="B548" s="36">
        <f t="shared" si="31"/>
        <v>3</v>
      </c>
      <c r="C548" s="182">
        <f t="shared" si="32"/>
        <v>42452</v>
      </c>
      <c r="D548" s="189" t="s">
        <v>1168</v>
      </c>
      <c r="E548" s="189">
        <v>42452</v>
      </c>
      <c r="F548" s="187" t="s">
        <v>389</v>
      </c>
      <c r="G548" s="451" t="s">
        <v>475</v>
      </c>
      <c r="H548" s="7" t="s">
        <v>391</v>
      </c>
      <c r="I548" s="252">
        <v>1310</v>
      </c>
      <c r="J548" s="252">
        <v>5000</v>
      </c>
      <c r="K548" s="38">
        <f>ROUND(I548*J548,0)</f>
        <v>6550000</v>
      </c>
      <c r="L548" s="192" t="s">
        <v>258</v>
      </c>
      <c r="M548" s="192" t="s">
        <v>173</v>
      </c>
      <c r="N548" s="52" t="str">
        <f>IF(AND('331-CT'!$E$7=TH!H548,OR(L548="331",M548="331")),"331",IF(AND(OR(L548="131",M548="131"),H548='131-CT'!$E$7),"131",""))</f>
        <v/>
      </c>
      <c r="O548" s="818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52"/>
      <c r="AB548" s="552"/>
      <c r="AC548" s="552"/>
    </row>
    <row r="549" spans="1:32" s="209" customFormat="1" ht="15.75" customHeight="1">
      <c r="A549" s="202" t="str">
        <f>IF(B549&lt;&gt;"",IF(AND(B549&gt;=_TM1,B549&lt;=_TM2,OR(TH!L549="1111",TH!M549="1111")),TH!D549,""),"")</f>
        <v/>
      </c>
      <c r="B549" s="36">
        <f t="shared" si="31"/>
        <v>3</v>
      </c>
      <c r="C549" s="182">
        <f t="shared" si="32"/>
        <v>42452</v>
      </c>
      <c r="D549" s="189" t="s">
        <v>1168</v>
      </c>
      <c r="E549" s="189">
        <v>42452</v>
      </c>
      <c r="F549" s="187" t="s">
        <v>393</v>
      </c>
      <c r="G549" s="451" t="s">
        <v>475</v>
      </c>
      <c r="H549" s="7" t="s">
        <v>391</v>
      </c>
      <c r="I549" s="252"/>
      <c r="J549" s="252"/>
      <c r="K549" s="38">
        <v>655000</v>
      </c>
      <c r="L549" s="192" t="s">
        <v>258</v>
      </c>
      <c r="M549" s="192" t="s">
        <v>367</v>
      </c>
      <c r="N549" s="52" t="str">
        <f>IF(AND('331-CT'!$E$7=TH!H549,OR(L549="331",M549="331")),"331",IF(AND(OR(L549="131",M549="131"),H549='131-CT'!$E$7),"131",""))</f>
        <v/>
      </c>
      <c r="O549" s="818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52"/>
      <c r="AB549" s="552"/>
      <c r="AC549" s="552"/>
    </row>
    <row r="550" spans="1:32" s="209" customFormat="1" ht="15.75" customHeight="1">
      <c r="A550" s="202" t="str">
        <f>IF(B550&lt;&gt;"",IF(AND(B550&gt;=_TM1,B550&lt;=_TM2,OR(TH!L550="1111",TH!M550="1111")),TH!D550,""),"")</f>
        <v/>
      </c>
      <c r="B550" s="36">
        <f t="shared" si="31"/>
        <v>3</v>
      </c>
      <c r="C550" s="182">
        <f t="shared" si="32"/>
        <v>42452</v>
      </c>
      <c r="D550" s="189" t="s">
        <v>1169</v>
      </c>
      <c r="E550" s="189">
        <v>42452</v>
      </c>
      <c r="F550" s="187" t="s">
        <v>957</v>
      </c>
      <c r="G550" s="451" t="s">
        <v>476</v>
      </c>
      <c r="H550" s="7" t="s">
        <v>784</v>
      </c>
      <c r="I550" s="251">
        <v>200</v>
      </c>
      <c r="J550" s="251">
        <v>9200</v>
      </c>
      <c r="K550" s="38">
        <f>ROUND(I550*J550,0)</f>
        <v>1840000</v>
      </c>
      <c r="L550" s="192" t="s">
        <v>258</v>
      </c>
      <c r="M550" s="192" t="s">
        <v>173</v>
      </c>
      <c r="N550" s="52" t="str">
        <f>IF(AND('331-CT'!$E$7=TH!H550,OR(L550="331",M550="331")),"331",IF(AND(OR(L550="131",M550="131"),H550='131-CT'!$E$7),"131",""))</f>
        <v/>
      </c>
      <c r="O550" s="818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52"/>
      <c r="AB550" s="552"/>
      <c r="AC550" s="552"/>
    </row>
    <row r="551" spans="1:32" s="209" customFormat="1" ht="15.75" customHeight="1">
      <c r="A551" s="202" t="str">
        <f>IF(B551&lt;&gt;"",IF(AND(B551&gt;=_TM1,B551&lt;=_TM2,OR(TH!L551="1111",TH!M551="1111")),TH!D551,""),"")</f>
        <v/>
      </c>
      <c r="B551" s="36">
        <f t="shared" si="31"/>
        <v>3</v>
      </c>
      <c r="C551" s="182">
        <f t="shared" si="32"/>
        <v>42452</v>
      </c>
      <c r="D551" s="189" t="s">
        <v>1169</v>
      </c>
      <c r="E551" s="189">
        <v>42452</v>
      </c>
      <c r="F551" s="187" t="s">
        <v>393</v>
      </c>
      <c r="G551" s="451" t="s">
        <v>476</v>
      </c>
      <c r="H551" s="7" t="s">
        <v>784</v>
      </c>
      <c r="I551" s="251"/>
      <c r="J551" s="251"/>
      <c r="K551" s="560">
        <v>184000</v>
      </c>
      <c r="L551" s="192" t="s">
        <v>258</v>
      </c>
      <c r="M551" s="192" t="s">
        <v>367</v>
      </c>
      <c r="N551" s="52" t="str">
        <f>IF(AND('331-CT'!$E$7=TH!H551,OR(L551="331",M551="331")),"331",IF(AND(OR(L551="131",M551="131"),H551='131-CT'!$E$7),"131",""))</f>
        <v/>
      </c>
      <c r="O551" s="818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52"/>
      <c r="AB551" s="552"/>
      <c r="AC551" s="552"/>
    </row>
    <row r="552" spans="1:32" s="209" customFormat="1" ht="15.75" customHeight="1">
      <c r="A552" s="202" t="str">
        <f>IF(B552&lt;&gt;"",IF(AND(B552&gt;=_TM1,B552&lt;=_TM2,OR(TH!L552="1111",TH!M552="1111")),TH!D552,""),"")</f>
        <v/>
      </c>
      <c r="B552" s="36">
        <f t="shared" si="31"/>
        <v>3</v>
      </c>
      <c r="C552" s="182">
        <f t="shared" si="32"/>
        <v>42452</v>
      </c>
      <c r="D552" s="189" t="s">
        <v>1170</v>
      </c>
      <c r="E552" s="189">
        <v>42452</v>
      </c>
      <c r="F552" s="187" t="s">
        <v>958</v>
      </c>
      <c r="G552" s="451" t="s">
        <v>478</v>
      </c>
      <c r="H552" s="191" t="s">
        <v>609</v>
      </c>
      <c r="I552" s="251">
        <v>31</v>
      </c>
      <c r="J552" s="251">
        <v>6770</v>
      </c>
      <c r="K552" s="38">
        <f>ROUND(I552*J552,0)</f>
        <v>209870</v>
      </c>
      <c r="L552" s="192" t="s">
        <v>258</v>
      </c>
      <c r="M552" s="192" t="s">
        <v>173</v>
      </c>
      <c r="N552" s="52" t="str">
        <f>IF(AND('331-CT'!$E$7=TH!H552,OR(L552="331",M552="331")),"331",IF(AND(OR(L552="131",M552="131"),H552='131-CT'!$E$7),"131",""))</f>
        <v/>
      </c>
      <c r="O552" s="818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52"/>
      <c r="AB552" s="552"/>
    </row>
    <row r="553" spans="1:32" s="209" customFormat="1" ht="15.75" customHeight="1">
      <c r="A553" s="202" t="str">
        <f>IF(B553&lt;&gt;"",IF(AND(B553&gt;=_TM1,B553&lt;=_TM2,OR(TH!L553="1111",TH!M553="1111")),TH!D553,""),"")</f>
        <v/>
      </c>
      <c r="B553" s="36">
        <f t="shared" si="31"/>
        <v>3</v>
      </c>
      <c r="C553" s="182">
        <f t="shared" si="32"/>
        <v>42452</v>
      </c>
      <c r="D553" s="189" t="s">
        <v>1170</v>
      </c>
      <c r="E553" s="189">
        <v>42452</v>
      </c>
      <c r="F553" s="187" t="s">
        <v>959</v>
      </c>
      <c r="G553" s="451" t="s">
        <v>478</v>
      </c>
      <c r="H553" s="191" t="s">
        <v>609</v>
      </c>
      <c r="I553" s="251">
        <v>106</v>
      </c>
      <c r="J553" s="251">
        <v>9400</v>
      </c>
      <c r="K553" s="38">
        <f>ROUND(I553*J553,0)</f>
        <v>996400</v>
      </c>
      <c r="L553" s="192" t="s">
        <v>258</v>
      </c>
      <c r="M553" s="192" t="s">
        <v>173</v>
      </c>
      <c r="N553" s="52" t="str">
        <f>IF(AND('331-CT'!$E$7=TH!H553,OR(L553="331",M553="331")),"331",IF(AND(OR(L553="131",M553="131"),H553='131-CT'!$E$7),"131",""))</f>
        <v/>
      </c>
      <c r="O553" s="818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52"/>
      <c r="AB553" s="552"/>
      <c r="AC553" s="552"/>
    </row>
    <row r="554" spans="1:32" s="209" customFormat="1" ht="15.75" customHeight="1">
      <c r="A554" s="202" t="str">
        <f>IF(B554&lt;&gt;"",IF(AND(B554&gt;=_TM1,B554&lt;=_TM2,OR(TH!L554="1111",TH!M554="1111")),TH!D554,""),"")</f>
        <v/>
      </c>
      <c r="B554" s="36">
        <f t="shared" si="31"/>
        <v>3</v>
      </c>
      <c r="C554" s="182">
        <f t="shared" si="32"/>
        <v>42452</v>
      </c>
      <c r="D554" s="189" t="s">
        <v>1170</v>
      </c>
      <c r="E554" s="189">
        <v>42452</v>
      </c>
      <c r="F554" s="187" t="s">
        <v>480</v>
      </c>
      <c r="G554" s="451" t="s">
        <v>478</v>
      </c>
      <c r="H554" s="191" t="s">
        <v>609</v>
      </c>
      <c r="I554" s="251">
        <v>584</v>
      </c>
      <c r="J554" s="251">
        <v>9200</v>
      </c>
      <c r="K554" s="38">
        <f>ROUND(I554*J554,0)</f>
        <v>5372800</v>
      </c>
      <c r="L554" s="192" t="s">
        <v>258</v>
      </c>
      <c r="M554" s="192" t="s">
        <v>173</v>
      </c>
      <c r="N554" s="52" t="str">
        <f>IF(AND('331-CT'!$E$7=TH!H554,OR(L554="331",M554="331")),"331",IF(AND(OR(L554="131",M554="131"),H554='131-CT'!$E$7),"131",""))</f>
        <v/>
      </c>
      <c r="O554" s="818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52"/>
      <c r="AB554" s="552"/>
      <c r="AC554" s="552"/>
    </row>
    <row r="555" spans="1:32" s="209" customFormat="1" ht="15.75" customHeight="1">
      <c r="A555" s="202" t="str">
        <f>IF(B555&lt;&gt;"",IF(AND(B555&gt;=_TM1,B555&lt;=_TM2,OR(TH!L555="1111",TH!M555="1111")),TH!D555,""),"")</f>
        <v/>
      </c>
      <c r="B555" s="36">
        <f t="shared" si="31"/>
        <v>3</v>
      </c>
      <c r="C555" s="182">
        <f t="shared" si="32"/>
        <v>42452</v>
      </c>
      <c r="D555" s="189" t="s">
        <v>1170</v>
      </c>
      <c r="E555" s="189">
        <v>42452</v>
      </c>
      <c r="F555" s="190" t="s">
        <v>393</v>
      </c>
      <c r="G555" s="451" t="s">
        <v>478</v>
      </c>
      <c r="H555" s="191" t="s">
        <v>609</v>
      </c>
      <c r="I555" s="251"/>
      <c r="J555" s="251"/>
      <c r="K555" s="560">
        <v>657907</v>
      </c>
      <c r="L555" s="192" t="s">
        <v>258</v>
      </c>
      <c r="M555" s="192" t="s">
        <v>367</v>
      </c>
      <c r="N555" s="52" t="str">
        <f>IF(AND('331-CT'!$E$7=TH!H555,OR(L555="331",M555="331")),"331",IF(AND(OR(L555="131",M555="131"),H555='131-CT'!$E$7),"131",""))</f>
        <v/>
      </c>
      <c r="O555" s="818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52"/>
      <c r="AB555" s="552"/>
    </row>
    <row r="556" spans="1:32" s="209" customFormat="1" ht="15.75" customHeight="1">
      <c r="A556" s="202" t="str">
        <f>IF(B556&lt;&gt;"",IF(AND(B556&gt;=_TM1,B556&lt;=_TM2,OR(TH!L556="1111",TH!M556="1111")),TH!D556,""),"")</f>
        <v/>
      </c>
      <c r="B556" s="36">
        <f t="shared" si="31"/>
        <v>3</v>
      </c>
      <c r="C556" s="182">
        <f t="shared" si="32"/>
        <v>42452</v>
      </c>
      <c r="D556" s="189" t="s">
        <v>1171</v>
      </c>
      <c r="E556" s="189">
        <v>42452</v>
      </c>
      <c r="F556" s="190" t="s">
        <v>480</v>
      </c>
      <c r="G556" s="451" t="s">
        <v>479</v>
      </c>
      <c r="H556" s="191" t="s">
        <v>609</v>
      </c>
      <c r="I556" s="251">
        <v>644</v>
      </c>
      <c r="J556" s="251">
        <v>9200</v>
      </c>
      <c r="K556" s="38">
        <f>ROUND(I556*J556,0)</f>
        <v>5924800</v>
      </c>
      <c r="L556" s="192" t="s">
        <v>258</v>
      </c>
      <c r="M556" s="192" t="s">
        <v>173</v>
      </c>
      <c r="N556" s="52" t="str">
        <f>IF(AND('331-CT'!$E$7=TH!H556,OR(L556="331",M556="331")),"331",IF(AND(OR(L556="131",M556="131"),H556='131-CT'!$E$7),"131",""))</f>
        <v/>
      </c>
      <c r="O556" s="818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52"/>
      <c r="AB556" s="552"/>
      <c r="AC556" s="552"/>
    </row>
    <row r="557" spans="1:32" s="209" customFormat="1" ht="15.75" customHeight="1">
      <c r="A557" s="202" t="str">
        <f>IF(B557&lt;&gt;"",IF(AND(B557&gt;=_TM1,B557&lt;=_TM2,OR(TH!L557="1111",TH!M557="1111")),TH!D557,""),"")</f>
        <v/>
      </c>
      <c r="B557" s="36">
        <f t="shared" si="31"/>
        <v>3</v>
      </c>
      <c r="C557" s="182">
        <f t="shared" si="32"/>
        <v>42452</v>
      </c>
      <c r="D557" s="189" t="s">
        <v>1171</v>
      </c>
      <c r="E557" s="189">
        <v>42452</v>
      </c>
      <c r="F557" s="187" t="s">
        <v>960</v>
      </c>
      <c r="G557" s="451" t="s">
        <v>479</v>
      </c>
      <c r="H557" s="191" t="s">
        <v>609</v>
      </c>
      <c r="I557" s="251">
        <v>34</v>
      </c>
      <c r="J557" s="251">
        <v>17000</v>
      </c>
      <c r="K557" s="38">
        <f>ROUND(I557*J557,0)</f>
        <v>578000</v>
      </c>
      <c r="L557" s="192" t="s">
        <v>258</v>
      </c>
      <c r="M557" s="192" t="s">
        <v>173</v>
      </c>
      <c r="N557" s="52" t="str">
        <f>IF(AND('331-CT'!$E$7=TH!H557,OR(L557="331",M557="331")),"331",IF(AND(OR(L557="131",M557="131"),H557='131-CT'!$E$7),"131",""))</f>
        <v/>
      </c>
      <c r="O557" s="818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52"/>
      <c r="AB557" s="552"/>
      <c r="AC557" s="552"/>
    </row>
    <row r="558" spans="1:32" s="209" customFormat="1" ht="15.75" customHeight="1">
      <c r="A558" s="202" t="str">
        <f>IF(B558&lt;&gt;"",IF(AND(B558&gt;=_TM1,B558&lt;=_TM2,OR(TH!L558="1111",TH!M558="1111")),TH!D558,""),"")</f>
        <v/>
      </c>
      <c r="B558" s="36">
        <f t="shared" si="31"/>
        <v>3</v>
      </c>
      <c r="C558" s="182">
        <f t="shared" si="32"/>
        <v>42452</v>
      </c>
      <c r="D558" s="189" t="s">
        <v>1171</v>
      </c>
      <c r="E558" s="189">
        <v>42452</v>
      </c>
      <c r="F558" s="190" t="s">
        <v>393</v>
      </c>
      <c r="G558" s="451" t="s">
        <v>479</v>
      </c>
      <c r="H558" s="191" t="s">
        <v>609</v>
      </c>
      <c r="I558" s="251"/>
      <c r="J558" s="251"/>
      <c r="K558" s="560">
        <v>650280</v>
      </c>
      <c r="L558" s="192" t="s">
        <v>258</v>
      </c>
      <c r="M558" s="192" t="s">
        <v>367</v>
      </c>
      <c r="N558" s="52" t="str">
        <f>IF(AND('331-CT'!$E$7=TH!H558,OR(L558="331",M558="331")),"331",IF(AND(OR(L558="131",M558="131"),H558='131-CT'!$E$7),"131",""))</f>
        <v/>
      </c>
      <c r="O558" s="818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52"/>
      <c r="AB558" s="552"/>
      <c r="AC558" s="552"/>
    </row>
    <row r="559" spans="1:32" s="209" customFormat="1" ht="15.75" customHeight="1">
      <c r="A559" s="202" t="str">
        <f>IF(B559&lt;&gt;"",IF(AND(B559&gt;=_TM1,B559&lt;=_TM2,OR(TH!L559="1111",TH!M559="1111")),TH!D559,""),"")</f>
        <v/>
      </c>
      <c r="B559" s="36">
        <f t="shared" si="31"/>
        <v>3</v>
      </c>
      <c r="C559" s="182">
        <f t="shared" si="32"/>
        <v>42452</v>
      </c>
      <c r="D559" s="189" t="s">
        <v>1172</v>
      </c>
      <c r="E559" s="189">
        <v>42452</v>
      </c>
      <c r="F559" s="190" t="s">
        <v>1435</v>
      </c>
      <c r="G559" s="451" t="s">
        <v>483</v>
      </c>
      <c r="H559" s="191" t="s">
        <v>615</v>
      </c>
      <c r="I559" s="251">
        <v>5000</v>
      </c>
      <c r="J559" s="251">
        <v>11300</v>
      </c>
      <c r="K559" s="38">
        <f>ROUND(I559*J559,0)</f>
        <v>56500000</v>
      </c>
      <c r="L559" s="192" t="s">
        <v>258</v>
      </c>
      <c r="M559" s="192" t="s">
        <v>173</v>
      </c>
      <c r="N559" s="52" t="str">
        <f>IF(AND('331-CT'!$E$7=TH!H559,OR(L559="331",M559="331")),"331",IF(AND(OR(L559="131",M559="131"),H559='131-CT'!$E$7),"131",""))</f>
        <v/>
      </c>
      <c r="O559" s="818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52"/>
      <c r="AB559" s="552"/>
      <c r="AC559" s="552"/>
    </row>
    <row r="560" spans="1:32" s="209" customFormat="1" ht="15.75" customHeight="1">
      <c r="A560" s="202" t="str">
        <f>IF(B560&lt;&gt;"",IF(AND(B560&gt;=_TM1,B560&lt;=_TM2,OR(TH!L560="1111",TH!M560="1111")),TH!D560,""),"")</f>
        <v/>
      </c>
      <c r="B560" s="36">
        <f t="shared" si="31"/>
        <v>3</v>
      </c>
      <c r="C560" s="182">
        <f t="shared" si="32"/>
        <v>42452</v>
      </c>
      <c r="D560" s="189" t="s">
        <v>1172</v>
      </c>
      <c r="E560" s="189">
        <v>42452</v>
      </c>
      <c r="F560" s="187" t="s">
        <v>393</v>
      </c>
      <c r="G560" s="451" t="s">
        <v>483</v>
      </c>
      <c r="H560" s="191" t="s">
        <v>615</v>
      </c>
      <c r="I560" s="252"/>
      <c r="J560" s="252"/>
      <c r="K560" s="38">
        <v>5650000</v>
      </c>
      <c r="L560" s="192" t="s">
        <v>258</v>
      </c>
      <c r="M560" s="192" t="s">
        <v>367</v>
      </c>
      <c r="N560" s="52" t="str">
        <f>IF(AND('331-CT'!$E$7=TH!H560,OR(L560="331",M560="331")),"331",IF(AND(OR(L560="131",M560="131"),H560='131-CT'!$E$7),"131",""))</f>
        <v/>
      </c>
      <c r="O560" s="818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52"/>
      <c r="AB560" s="552"/>
    </row>
    <row r="561" spans="1:32" s="209" customFormat="1" ht="15.75" customHeight="1">
      <c r="A561" s="202" t="str">
        <f>IF(B561&lt;&gt;"",IF(AND(B561&gt;=_TM1,B561&lt;=_TM2,OR(TH!L561="1111",TH!M561="1111")),TH!D561,""),"")</f>
        <v/>
      </c>
      <c r="B561" s="36">
        <f t="shared" si="31"/>
        <v>3</v>
      </c>
      <c r="C561" s="182">
        <f t="shared" si="32"/>
        <v>42453</v>
      </c>
      <c r="D561" s="189" t="s">
        <v>1173</v>
      </c>
      <c r="E561" s="189">
        <v>42453</v>
      </c>
      <c r="F561" s="187" t="s">
        <v>646</v>
      </c>
      <c r="G561" s="451" t="s">
        <v>484</v>
      </c>
      <c r="H561" s="208" t="s">
        <v>501</v>
      </c>
      <c r="I561" s="251">
        <v>1500</v>
      </c>
      <c r="J561" s="251">
        <v>6950</v>
      </c>
      <c r="K561" s="38">
        <f>ROUND(I561*J561,0)</f>
        <v>10425000</v>
      </c>
      <c r="L561" s="192" t="s">
        <v>258</v>
      </c>
      <c r="M561" s="192" t="s">
        <v>173</v>
      </c>
      <c r="N561" s="52" t="str">
        <f>IF(AND('331-CT'!$E$7=TH!H561,OR(L561="331",M561="331")),"331",IF(AND(OR(L561="131",M561="131"),H561='131-CT'!$E$7),"131",""))</f>
        <v/>
      </c>
      <c r="O561" s="818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52"/>
      <c r="AB561" s="552"/>
      <c r="AC561" s="552"/>
    </row>
    <row r="562" spans="1:32" s="209" customFormat="1" ht="15.75" customHeight="1">
      <c r="A562" s="202" t="str">
        <f>IF(B562&lt;&gt;"",IF(AND(B562&gt;=_TM1,B562&lt;=_TM2,OR(TH!L562="1111",TH!M562="1111")),TH!D562,""),"")</f>
        <v/>
      </c>
      <c r="B562" s="36">
        <f t="shared" si="31"/>
        <v>3</v>
      </c>
      <c r="C562" s="182">
        <f t="shared" si="32"/>
        <v>42453</v>
      </c>
      <c r="D562" s="189" t="s">
        <v>1173</v>
      </c>
      <c r="E562" s="189">
        <v>42453</v>
      </c>
      <c r="F562" s="187" t="s">
        <v>895</v>
      </c>
      <c r="G562" s="451" t="s">
        <v>484</v>
      </c>
      <c r="H562" s="208" t="s">
        <v>501</v>
      </c>
      <c r="I562" s="251">
        <v>250</v>
      </c>
      <c r="J562" s="251">
        <v>5900</v>
      </c>
      <c r="K562" s="38">
        <f>ROUND(I562*J562,0)</f>
        <v>1475000</v>
      </c>
      <c r="L562" s="192" t="s">
        <v>258</v>
      </c>
      <c r="M562" s="192" t="s">
        <v>173</v>
      </c>
      <c r="N562" s="52" t="str">
        <f>IF(AND('331-CT'!$E$7=TH!H562,OR(L562="331",M562="331")),"331",IF(AND(OR(L562="131",M562="131"),H562='131-CT'!$E$7),"131",""))</f>
        <v/>
      </c>
      <c r="O562" s="818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52"/>
      <c r="AB562" s="552"/>
      <c r="AC562" s="552"/>
    </row>
    <row r="563" spans="1:32" s="209" customFormat="1" ht="15.75" customHeight="1">
      <c r="A563" s="202" t="str">
        <f>IF(B563&lt;&gt;"",IF(AND(B563&gt;=_TM1,B563&lt;=_TM2,OR(TH!L563="1111",TH!M563="1111")),TH!D563,""),"")</f>
        <v/>
      </c>
      <c r="B563" s="36">
        <f t="shared" si="31"/>
        <v>3</v>
      </c>
      <c r="C563" s="182">
        <f t="shared" si="32"/>
        <v>42453</v>
      </c>
      <c r="D563" s="189" t="s">
        <v>1173</v>
      </c>
      <c r="E563" s="189">
        <v>42453</v>
      </c>
      <c r="F563" s="187" t="s">
        <v>896</v>
      </c>
      <c r="G563" s="451" t="s">
        <v>484</v>
      </c>
      <c r="H563" s="208" t="s">
        <v>501</v>
      </c>
      <c r="I563" s="252">
        <v>250</v>
      </c>
      <c r="J563" s="252">
        <v>6000</v>
      </c>
      <c r="K563" s="38">
        <f>ROUND(I563*J563,0)</f>
        <v>1500000</v>
      </c>
      <c r="L563" s="192" t="s">
        <v>258</v>
      </c>
      <c r="M563" s="192" t="s">
        <v>173</v>
      </c>
      <c r="N563" s="52" t="str">
        <f>IF(AND('331-CT'!$E$7=TH!H563,OR(L563="331",M563="331")),"331",IF(AND(OR(L563="131",M563="131"),H563='131-CT'!$E$7),"131",""))</f>
        <v/>
      </c>
      <c r="O563" s="818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52"/>
      <c r="AB563" s="552"/>
    </row>
    <row r="564" spans="1:32" s="209" customFormat="1" ht="15.75" customHeight="1">
      <c r="A564" s="202" t="str">
        <f>IF(B564&lt;&gt;"",IF(AND(B564&gt;=_TM1,B564&lt;=_TM2,OR(TH!L564="1111",TH!M564="1111")),TH!D564,""),"")</f>
        <v/>
      </c>
      <c r="B564" s="36">
        <f t="shared" si="31"/>
        <v>3</v>
      </c>
      <c r="C564" s="182">
        <f t="shared" si="32"/>
        <v>42453</v>
      </c>
      <c r="D564" s="189" t="s">
        <v>1173</v>
      </c>
      <c r="E564" s="189">
        <v>42453</v>
      </c>
      <c r="F564" s="187" t="s">
        <v>393</v>
      </c>
      <c r="G564" s="451" t="s">
        <v>484</v>
      </c>
      <c r="H564" s="208" t="s">
        <v>501</v>
      </c>
      <c r="I564" s="251"/>
      <c r="J564" s="251"/>
      <c r="K564" s="560">
        <v>1340000</v>
      </c>
      <c r="L564" s="192" t="s">
        <v>258</v>
      </c>
      <c r="M564" s="192" t="s">
        <v>367</v>
      </c>
      <c r="N564" s="52" t="str">
        <f>IF(AND('331-CT'!$E$7=TH!H564,OR(L564="331",M564="331")),"331",IF(AND(OR(L564="131",M564="131"),H564='131-CT'!$E$7),"131",""))</f>
        <v/>
      </c>
      <c r="O564" s="818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52"/>
      <c r="AB564" s="552"/>
      <c r="AC564" s="552"/>
    </row>
    <row r="565" spans="1:32" s="209" customFormat="1" ht="15.75" customHeight="1">
      <c r="A565" s="202" t="str">
        <f>IF(B565&lt;&gt;"",IF(AND(B565&gt;=_TM1,B565&lt;=_TM2,OR(TH!L565="1111",TH!M565="1111")),TH!D565,""),"")</f>
        <v/>
      </c>
      <c r="B565" s="36">
        <f t="shared" si="31"/>
        <v>3</v>
      </c>
      <c r="C565" s="182">
        <f t="shared" si="32"/>
        <v>42454</v>
      </c>
      <c r="D565" s="182" t="s">
        <v>665</v>
      </c>
      <c r="E565" s="189">
        <v>42454</v>
      </c>
      <c r="F565" s="187" t="s">
        <v>666</v>
      </c>
      <c r="G565" s="448" t="s">
        <v>330</v>
      </c>
      <c r="H565" s="7" t="s">
        <v>391</v>
      </c>
      <c r="I565" s="251"/>
      <c r="J565" s="251"/>
      <c r="K565" s="38">
        <v>7205000</v>
      </c>
      <c r="L565" s="561" t="s">
        <v>24</v>
      </c>
      <c r="M565" s="561" t="s">
        <v>258</v>
      </c>
      <c r="N565" s="52" t="str">
        <f>IF(AND('331-CT'!$E$7=TH!H565,OR(L565="331",M565="331")),"331",IF(AND(OR(L565="131",M565="131"),H565='131-CT'!$E$7),"131",""))</f>
        <v/>
      </c>
      <c r="O565" s="818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52"/>
      <c r="AB565" s="552"/>
      <c r="AC565" s="552"/>
      <c r="AE565" s="552"/>
      <c r="AF565" s="552"/>
    </row>
    <row r="566" spans="1:32" s="209" customFormat="1" ht="15.75" customHeight="1">
      <c r="A566" s="202" t="str">
        <f>IF(B566&lt;&gt;"",IF(AND(B566&gt;=_TM1,B566&lt;=_TM2,OR(TH!L566="1111",TH!M566="1111")),TH!D566,""),"")</f>
        <v/>
      </c>
      <c r="B566" s="36">
        <f t="shared" si="31"/>
        <v>3</v>
      </c>
      <c r="C566" s="182">
        <f t="shared" si="32"/>
        <v>42454</v>
      </c>
      <c r="D566" s="182" t="s">
        <v>665</v>
      </c>
      <c r="E566" s="189">
        <v>42454</v>
      </c>
      <c r="F566" s="187" t="s">
        <v>781</v>
      </c>
      <c r="G566" s="448" t="s">
        <v>330</v>
      </c>
      <c r="H566" s="191"/>
      <c r="I566" s="251"/>
      <c r="J566" s="251"/>
      <c r="K566" s="38">
        <v>1457</v>
      </c>
      <c r="L566" s="561" t="s">
        <v>24</v>
      </c>
      <c r="M566" s="561" t="s">
        <v>40</v>
      </c>
      <c r="N566" s="52" t="str">
        <f>IF(AND('331-CT'!$E$7=TH!H566,OR(L566="331",M566="331")),"331",IF(AND(OR(L566="131",M566="131"),H566='131-CT'!$E$7),"131",""))</f>
        <v/>
      </c>
      <c r="O566" s="818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52"/>
      <c r="AB566" s="552"/>
      <c r="AC566" s="552"/>
      <c r="AE566" s="552"/>
      <c r="AF566" s="552"/>
    </row>
    <row r="567" spans="1:32" s="209" customFormat="1" ht="15.75" customHeight="1">
      <c r="A567" s="202" t="str">
        <f>IF(B567&lt;&gt;"",IF(AND(B567&gt;=_TM1,B567&lt;=_TM2,OR(TH!L567="1111",TH!M567="1111")),TH!D567,""),"")</f>
        <v/>
      </c>
      <c r="B567" s="36">
        <f t="shared" si="31"/>
        <v>3</v>
      </c>
      <c r="C567" s="182">
        <f t="shared" si="32"/>
        <v>42454</v>
      </c>
      <c r="D567" s="189" t="s">
        <v>1174</v>
      </c>
      <c r="E567" s="189">
        <v>42454</v>
      </c>
      <c r="F567" s="187" t="s">
        <v>610</v>
      </c>
      <c r="G567" s="451" t="s">
        <v>486</v>
      </c>
      <c r="H567" s="7" t="s">
        <v>612</v>
      </c>
      <c r="I567" s="252">
        <v>150</v>
      </c>
      <c r="J567" s="252">
        <v>22750</v>
      </c>
      <c r="K567" s="38">
        <f>ROUND(I567*J567,0)</f>
        <v>3412500</v>
      </c>
      <c r="L567" s="192" t="s">
        <v>258</v>
      </c>
      <c r="M567" s="192" t="s">
        <v>173</v>
      </c>
      <c r="N567" s="52" t="str">
        <f>IF(AND('331-CT'!$E$7=TH!H567,OR(L567="331",M567="331")),"331",IF(AND(OR(L567="131",M567="131"),H567='131-CT'!$E$7),"131",""))</f>
        <v/>
      </c>
      <c r="O567" s="818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52"/>
      <c r="AB567" s="552"/>
    </row>
    <row r="568" spans="1:32" s="209" customFormat="1" ht="15.75" customHeight="1">
      <c r="A568" s="202" t="str">
        <f>IF(B568&lt;&gt;"",IF(AND(B568&gt;=_TM1,B568&lt;=_TM2,OR(TH!L568="1111",TH!M568="1111")),TH!D568,""),"")</f>
        <v/>
      </c>
      <c r="B568" s="36">
        <f t="shared" si="31"/>
        <v>3</v>
      </c>
      <c r="C568" s="182">
        <f t="shared" si="32"/>
        <v>42454</v>
      </c>
      <c r="D568" s="189" t="s">
        <v>1174</v>
      </c>
      <c r="E568" s="189">
        <v>42454</v>
      </c>
      <c r="F568" s="190" t="s">
        <v>393</v>
      </c>
      <c r="G568" s="451" t="s">
        <v>486</v>
      </c>
      <c r="H568" s="45" t="s">
        <v>612</v>
      </c>
      <c r="I568" s="251"/>
      <c r="J568" s="251"/>
      <c r="K568" s="38">
        <v>341250</v>
      </c>
      <c r="L568" s="192" t="s">
        <v>258</v>
      </c>
      <c r="M568" s="192" t="s">
        <v>367</v>
      </c>
      <c r="N568" s="52" t="str">
        <f>IF(AND('331-CT'!$E$7=TH!H568,OR(L568="331",M568="331")),"331",IF(AND(OR(L568="131",M568="131"),H568='131-CT'!$E$7),"131",""))</f>
        <v/>
      </c>
      <c r="O568" s="818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52"/>
      <c r="AB568" s="552"/>
      <c r="AC568" s="552"/>
    </row>
    <row r="569" spans="1:32" s="209" customFormat="1" ht="15.75" customHeight="1">
      <c r="A569" s="202" t="str">
        <f>IF(B569&lt;&gt;"",IF(AND(B569&gt;=_TM1,B569&lt;=_TM2,OR(TH!L569="1111",TH!M569="1111")),TH!D569,""),"")</f>
        <v/>
      </c>
      <c r="B569" s="36">
        <f t="shared" si="31"/>
        <v>3</v>
      </c>
      <c r="C569" s="182">
        <f t="shared" si="32"/>
        <v>42454</v>
      </c>
      <c r="D569" s="189" t="s">
        <v>1175</v>
      </c>
      <c r="E569" s="189">
        <v>42454</v>
      </c>
      <c r="F569" s="190" t="s">
        <v>436</v>
      </c>
      <c r="G569" s="451" t="s">
        <v>487</v>
      </c>
      <c r="H569" s="828" t="s">
        <v>565</v>
      </c>
      <c r="I569" s="251">
        <v>1807</v>
      </c>
      <c r="J569" s="251">
        <v>5900</v>
      </c>
      <c r="K569" s="38">
        <f>ROUND(I569*J569,0)</f>
        <v>10661300</v>
      </c>
      <c r="L569" s="192" t="s">
        <v>258</v>
      </c>
      <c r="M569" s="192" t="s">
        <v>173</v>
      </c>
      <c r="N569" s="52" t="str">
        <f>IF(AND('331-CT'!$E$7=TH!H569,OR(L569="331",M569="331")),"331",IF(AND(OR(L569="131",M569="131"),H569='131-CT'!$E$7),"131",""))</f>
        <v/>
      </c>
      <c r="O569" s="818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52"/>
      <c r="AB569" s="552"/>
      <c r="AC569" s="552"/>
    </row>
    <row r="570" spans="1:32" s="209" customFormat="1" ht="15.75" customHeight="1">
      <c r="A570" s="202" t="str">
        <f>IF(B570&lt;&gt;"",IF(AND(B570&gt;=_TM1,B570&lt;=_TM2,OR(TH!L570="1111",TH!M570="1111")),TH!D570,""),"")</f>
        <v/>
      </c>
      <c r="B570" s="36">
        <f t="shared" si="31"/>
        <v>3</v>
      </c>
      <c r="C570" s="182">
        <f t="shared" si="32"/>
        <v>42454</v>
      </c>
      <c r="D570" s="189" t="s">
        <v>1175</v>
      </c>
      <c r="E570" s="189">
        <v>42454</v>
      </c>
      <c r="F570" s="187" t="s">
        <v>393</v>
      </c>
      <c r="G570" s="451" t="s">
        <v>487</v>
      </c>
      <c r="H570" s="828" t="s">
        <v>565</v>
      </c>
      <c r="I570" s="251"/>
      <c r="J570" s="251"/>
      <c r="K570" s="560">
        <v>1066130</v>
      </c>
      <c r="L570" s="192" t="s">
        <v>258</v>
      </c>
      <c r="M570" s="192" t="s">
        <v>367</v>
      </c>
      <c r="N570" s="52" t="str">
        <f>IF(AND('331-CT'!$E$7=TH!H570,OR(L570="331",M570="331")),"331",IF(AND(OR(L570="131",M570="131"),H570='131-CT'!$E$7),"131",""))</f>
        <v/>
      </c>
      <c r="O570" s="818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52"/>
      <c r="AB570" s="552"/>
    </row>
    <row r="571" spans="1:32" s="209" customFormat="1" ht="15.75" customHeight="1">
      <c r="A571" s="202" t="str">
        <f>IF(B571&lt;&gt;"",IF(AND(B571&gt;=_TM1,B571&lt;=_TM2,OR(TH!L571="1111",TH!M571="1111")),TH!D571,""),"")</f>
        <v/>
      </c>
      <c r="B571" s="36">
        <f t="shared" si="31"/>
        <v>3</v>
      </c>
      <c r="C571" s="182">
        <f t="shared" si="32"/>
        <v>42454</v>
      </c>
      <c r="D571" s="189" t="s">
        <v>1176</v>
      </c>
      <c r="E571" s="189">
        <v>42454</v>
      </c>
      <c r="F571" s="187" t="s">
        <v>961</v>
      </c>
      <c r="G571" s="451" t="s">
        <v>488</v>
      </c>
      <c r="H571" s="191" t="s">
        <v>609</v>
      </c>
      <c r="I571" s="251">
        <v>205</v>
      </c>
      <c r="J571" s="251">
        <v>14000</v>
      </c>
      <c r="K571" s="38">
        <f>ROUND(I571*J571,0)</f>
        <v>2870000</v>
      </c>
      <c r="L571" s="192" t="s">
        <v>258</v>
      </c>
      <c r="M571" s="192" t="s">
        <v>173</v>
      </c>
      <c r="N571" s="52" t="str">
        <f>IF(AND('331-CT'!$E$7=TH!H571,OR(L571="331",M571="331")),"331",IF(AND(OR(L571="131",M571="131"),H571='131-CT'!$E$7),"131",""))</f>
        <v/>
      </c>
      <c r="O571" s="818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52"/>
      <c r="AB571" s="552"/>
      <c r="AC571" s="552"/>
    </row>
    <row r="572" spans="1:32" s="209" customFormat="1" ht="15.75" customHeight="1">
      <c r="A572" s="202" t="str">
        <f>IF(B572&lt;&gt;"",IF(AND(B572&gt;=_TM1,B572&lt;=_TM2,OR(TH!L572="1111",TH!M572="1111")),TH!D572,""),"")</f>
        <v/>
      </c>
      <c r="B572" s="36">
        <f t="shared" si="31"/>
        <v>3</v>
      </c>
      <c r="C572" s="182">
        <f t="shared" si="32"/>
        <v>42454</v>
      </c>
      <c r="D572" s="189" t="s">
        <v>1176</v>
      </c>
      <c r="E572" s="189">
        <v>42454</v>
      </c>
      <c r="F572" s="190" t="s">
        <v>1201</v>
      </c>
      <c r="G572" s="451" t="s">
        <v>488</v>
      </c>
      <c r="H572" s="191" t="s">
        <v>609</v>
      </c>
      <c r="I572" s="251">
        <v>1030</v>
      </c>
      <c r="J572" s="251">
        <v>5300</v>
      </c>
      <c r="K572" s="38">
        <f>ROUND(I572*J572,0)</f>
        <v>5459000</v>
      </c>
      <c r="L572" s="192" t="s">
        <v>258</v>
      </c>
      <c r="M572" s="192" t="s">
        <v>173</v>
      </c>
      <c r="N572" s="52" t="str">
        <f>IF(AND('331-CT'!$E$7=TH!H572,OR(L572="331",M572="331")),"331",IF(AND(OR(L572="131",M572="131"),H572='131-CT'!$E$7),"131",""))</f>
        <v/>
      </c>
      <c r="O572" s="818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52"/>
      <c r="AB572" s="552"/>
      <c r="AC572" s="552"/>
    </row>
    <row r="573" spans="1:32" s="209" customFormat="1" ht="15.75" customHeight="1">
      <c r="A573" s="202" t="str">
        <f>IF(B573&lt;&gt;"",IF(AND(B573&gt;=_TM1,B573&lt;=_TM2,OR(TH!L573="1111",TH!M573="1111")),TH!D573,""),"")</f>
        <v/>
      </c>
      <c r="B573" s="36">
        <f t="shared" si="31"/>
        <v>3</v>
      </c>
      <c r="C573" s="182">
        <f t="shared" si="32"/>
        <v>42454</v>
      </c>
      <c r="D573" s="189" t="s">
        <v>1176</v>
      </c>
      <c r="E573" s="189">
        <v>42454</v>
      </c>
      <c r="F573" s="187" t="s">
        <v>393</v>
      </c>
      <c r="G573" s="451" t="s">
        <v>488</v>
      </c>
      <c r="H573" s="191" t="s">
        <v>609</v>
      </c>
      <c r="I573" s="251"/>
      <c r="J573" s="251"/>
      <c r="K573" s="38">
        <v>832900</v>
      </c>
      <c r="L573" s="192" t="s">
        <v>258</v>
      </c>
      <c r="M573" s="192" t="s">
        <v>367</v>
      </c>
      <c r="N573" s="52" t="str">
        <f>IF(AND('331-CT'!$E$7=TH!H573,OR(L573="331",M573="331")),"331",IF(AND(OR(L573="131",M573="131"),H573='131-CT'!$E$7),"131",""))</f>
        <v/>
      </c>
      <c r="O573" s="818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52"/>
      <c r="AB573" s="552"/>
    </row>
    <row r="574" spans="1:32" s="209" customFormat="1" ht="15.75" customHeight="1">
      <c r="A574" s="202" t="str">
        <f>IF(B574&lt;&gt;"",IF(AND(B574&gt;=_TM1,B574&lt;=_TM2,OR(TH!L574="1111",TH!M574="1111")),TH!D574,""),"")</f>
        <v/>
      </c>
      <c r="B574" s="36">
        <f t="shared" si="31"/>
        <v>3</v>
      </c>
      <c r="C574" s="182">
        <f t="shared" si="32"/>
        <v>42455</v>
      </c>
      <c r="D574" s="189" t="s">
        <v>1199</v>
      </c>
      <c r="E574" s="189">
        <v>42455</v>
      </c>
      <c r="F574" s="190" t="s">
        <v>676</v>
      </c>
      <c r="G574" s="448" t="s">
        <v>524</v>
      </c>
      <c r="H574" s="45" t="s">
        <v>803</v>
      </c>
      <c r="I574" s="251">
        <v>1603</v>
      </c>
      <c r="J574" s="251">
        <v>7200</v>
      </c>
      <c r="K574" s="38">
        <f>ROUND(I574*J574,0)</f>
        <v>11541600</v>
      </c>
      <c r="L574" s="192" t="s">
        <v>158</v>
      </c>
      <c r="M574" s="561" t="s">
        <v>8</v>
      </c>
      <c r="N574" s="52" t="str">
        <f>IF(AND('331-CT'!$E$7=TH!H574,OR(L574="331",M574="331")),"331",IF(AND(OR(L574="131",M574="131"),H574='131-CT'!$E$7),"131",""))</f>
        <v/>
      </c>
      <c r="O574" s="818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52">
        <v>1</v>
      </c>
      <c r="AB574" s="552"/>
      <c r="AC574" s="209" t="str">
        <f>IF(VLOOKUP(H574,DSKH,1,0)=H574,"","x")</f>
        <v/>
      </c>
      <c r="AE574" s="552"/>
      <c r="AF574" s="552"/>
    </row>
    <row r="575" spans="1:32" s="209" customFormat="1" ht="15.75" customHeight="1">
      <c r="A575" s="202" t="str">
        <f>IF(B575&lt;&gt;"",IF(AND(B575&gt;=_TM1,B575&lt;=_TM2,OR(TH!L575="1111",TH!M575="1111")),TH!D575,""),"")</f>
        <v/>
      </c>
      <c r="B575" s="36">
        <f t="shared" si="31"/>
        <v>3</v>
      </c>
      <c r="C575" s="182">
        <f t="shared" si="32"/>
        <v>42455</v>
      </c>
      <c r="D575" s="189" t="s">
        <v>1199</v>
      </c>
      <c r="E575" s="189">
        <v>42455</v>
      </c>
      <c r="F575" s="190" t="s">
        <v>684</v>
      </c>
      <c r="G575" s="448" t="s">
        <v>524</v>
      </c>
      <c r="H575" s="45" t="s">
        <v>803</v>
      </c>
      <c r="I575" s="253"/>
      <c r="J575" s="251"/>
      <c r="K575" s="38">
        <v>1154160</v>
      </c>
      <c r="L575" s="192" t="s">
        <v>9</v>
      </c>
      <c r="M575" s="561" t="s">
        <v>8</v>
      </c>
      <c r="N575" s="52" t="str">
        <f>IF(AND('331-CT'!$E$7=TH!H575,OR(L575="331",M575="331")),"331",IF(AND(OR(L575="131",M575="131"),H575='131-CT'!$E$7),"131",""))</f>
        <v/>
      </c>
      <c r="O575" s="818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52">
        <v>1</v>
      </c>
      <c r="AB575" s="552"/>
      <c r="AC575" s="209" t="str">
        <f>IF(VLOOKUP(H575,DSKH,1,0)=H575,"","x")</f>
        <v/>
      </c>
      <c r="AE575" s="552"/>
      <c r="AF575" s="552"/>
    </row>
    <row r="576" spans="1:32" s="209" customFormat="1" ht="15.75" customHeight="1">
      <c r="A576" s="202" t="str">
        <f>IF(B576&lt;&gt;"",IF(AND(B576&gt;=_TM1,B576&lt;=_TM2,OR(TH!L576="1111",TH!M576="1111")),TH!D576,""),"")</f>
        <v/>
      </c>
      <c r="B576" s="36">
        <f t="shared" si="31"/>
        <v>3</v>
      </c>
      <c r="C576" s="182">
        <f t="shared" si="32"/>
        <v>42455</v>
      </c>
      <c r="D576" s="189" t="s">
        <v>1672</v>
      </c>
      <c r="E576" s="189">
        <v>42455</v>
      </c>
      <c r="F576" s="187" t="s">
        <v>671</v>
      </c>
      <c r="G576" s="448" t="s">
        <v>524</v>
      </c>
      <c r="H576" s="45" t="s">
        <v>803</v>
      </c>
      <c r="I576" s="253"/>
      <c r="J576" s="251"/>
      <c r="K576" s="38">
        <v>12695760</v>
      </c>
      <c r="L576" s="192" t="s">
        <v>8</v>
      </c>
      <c r="M576" s="561" t="s">
        <v>47</v>
      </c>
      <c r="N576" s="52" t="str">
        <f>IF(AND('331-CT'!$E$7=TH!H576,OR(L576="331",M576="331")),"331",IF(AND(OR(L576="131",M576="131"),H576='131-CT'!$E$7),"131",""))</f>
        <v/>
      </c>
      <c r="O576" s="818" t="str">
        <f>IF(AND('341-CT'!$E$9=H576,OR(LEFT(L576,3)=$O$7,LEFT(M576,3)=$O$7)),"x","")</f>
        <v/>
      </c>
      <c r="P576" s="52" t="str">
        <f>IF(AND($B576&gt;='111'!$N$11,$B576&lt;='111'!$O$11,OR($L576=$P$7,$M576=$P$7)),"x","")</f>
        <v>x</v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52"/>
      <c r="AB576" s="552"/>
      <c r="AC576" s="209" t="str">
        <f>IF(VLOOKUP(H576,DSKH,1,0)=H576,"","x")</f>
        <v/>
      </c>
      <c r="AE576" s="552"/>
      <c r="AF576" s="552"/>
    </row>
    <row r="577" spans="1:32" s="209" customFormat="1" ht="15.75" customHeight="1">
      <c r="A577" s="202" t="str">
        <f>IF(B577&lt;&gt;"",IF(AND(B577&gt;=_TM1,B577&lt;=_TM2,OR(TH!L577="1111",TH!M577="1111")),TH!D577,""),"")</f>
        <v/>
      </c>
      <c r="B577" s="36">
        <f t="shared" si="31"/>
        <v>3</v>
      </c>
      <c r="C577" s="182">
        <f t="shared" si="32"/>
        <v>42455</v>
      </c>
      <c r="D577" s="189" t="s">
        <v>1177</v>
      </c>
      <c r="E577" s="189">
        <v>42455</v>
      </c>
      <c r="F577" s="190" t="s">
        <v>1443</v>
      </c>
      <c r="G577" s="451" t="s">
        <v>489</v>
      </c>
      <c r="H577" s="191" t="s">
        <v>399</v>
      </c>
      <c r="I577" s="251">
        <v>507</v>
      </c>
      <c r="J577" s="251">
        <v>10500</v>
      </c>
      <c r="K577" s="38">
        <f>ROUND(I577*J577,0)</f>
        <v>5323500</v>
      </c>
      <c r="L577" s="192" t="s">
        <v>258</v>
      </c>
      <c r="M577" s="192" t="s">
        <v>173</v>
      </c>
      <c r="N577" s="52" t="str">
        <f>IF(AND('331-CT'!$E$7=TH!H577,OR(L577="331",M577="331")),"331",IF(AND(OR(L577="131",M577="131"),H577='131-CT'!$E$7),"131",""))</f>
        <v/>
      </c>
      <c r="O577" s="818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52"/>
      <c r="AB577" s="552"/>
      <c r="AC577" s="552"/>
    </row>
    <row r="578" spans="1:32" s="209" customFormat="1" ht="15.75" customHeight="1">
      <c r="A578" s="202" t="str">
        <f>IF(B578&lt;&gt;"",IF(AND(B578&gt;=_TM1,B578&lt;=_TM2,OR(TH!L578="1111",TH!M578="1111")),TH!D578,""),"")</f>
        <v/>
      </c>
      <c r="B578" s="36">
        <f t="shared" si="31"/>
        <v>3</v>
      </c>
      <c r="C578" s="182">
        <f t="shared" si="32"/>
        <v>42455</v>
      </c>
      <c r="D578" s="189" t="s">
        <v>1177</v>
      </c>
      <c r="E578" s="189">
        <v>42455</v>
      </c>
      <c r="F578" s="190" t="s">
        <v>393</v>
      </c>
      <c r="G578" s="451" t="s">
        <v>489</v>
      </c>
      <c r="H578" s="191" t="s">
        <v>399</v>
      </c>
      <c r="I578" s="251"/>
      <c r="J578" s="251"/>
      <c r="K578" s="38">
        <v>532350</v>
      </c>
      <c r="L578" s="192" t="s">
        <v>258</v>
      </c>
      <c r="M578" s="192" t="s">
        <v>367</v>
      </c>
      <c r="N578" s="52" t="str">
        <f>IF(AND('331-CT'!$E$7=TH!H578,OR(L578="331",M578="331")),"331",IF(AND(OR(L578="131",M578="131"),H578='131-CT'!$E$7),"131",""))</f>
        <v/>
      </c>
      <c r="O578" s="818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52"/>
      <c r="AB578" s="552"/>
      <c r="AC578" s="552"/>
    </row>
    <row r="579" spans="1:32" s="209" customFormat="1" ht="15.75" customHeight="1">
      <c r="A579" s="202" t="str">
        <f>IF(B579&lt;&gt;"",IF(AND(B579&gt;=_TM1,B579&lt;=_TM2,OR(TH!L579="1111",TH!M579="1111")),TH!D579,""),"")</f>
        <v/>
      </c>
      <c r="B579" s="36">
        <f t="shared" si="31"/>
        <v>3</v>
      </c>
      <c r="C579" s="182">
        <f t="shared" si="32"/>
        <v>42455</v>
      </c>
      <c r="D579" s="189" t="s">
        <v>1178</v>
      </c>
      <c r="E579" s="189">
        <v>42455</v>
      </c>
      <c r="F579" s="190" t="s">
        <v>962</v>
      </c>
      <c r="G579" s="451" t="s">
        <v>490</v>
      </c>
      <c r="H579" s="191" t="s">
        <v>417</v>
      </c>
      <c r="I579" s="252">
        <v>220</v>
      </c>
      <c r="J579" s="252">
        <v>7900</v>
      </c>
      <c r="K579" s="38">
        <f>ROUND(I579*J579,0)</f>
        <v>1738000</v>
      </c>
      <c r="L579" s="192" t="s">
        <v>258</v>
      </c>
      <c r="M579" s="192" t="s">
        <v>173</v>
      </c>
      <c r="N579" s="52" t="str">
        <f>IF(AND('331-CT'!$E$7=TH!H579,OR(L579="331",M579="331")),"331",IF(AND(OR(L579="131",M579="131"),H579='131-CT'!$E$7),"131",""))</f>
        <v/>
      </c>
      <c r="O579" s="818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52"/>
      <c r="AB579" s="552"/>
      <c r="AC579" s="552"/>
    </row>
    <row r="580" spans="1:32" s="209" customFormat="1" ht="15.75" customHeight="1">
      <c r="A580" s="202" t="str">
        <f>IF(B580&lt;&gt;"",IF(AND(B580&gt;=_TM1,B580&lt;=_TM2,OR(TH!L580="1111",TH!M580="1111")),TH!D580,""),"")</f>
        <v/>
      </c>
      <c r="B580" s="36">
        <f t="shared" si="31"/>
        <v>3</v>
      </c>
      <c r="C580" s="182">
        <f t="shared" si="32"/>
        <v>42455</v>
      </c>
      <c r="D580" s="189" t="s">
        <v>1178</v>
      </c>
      <c r="E580" s="189">
        <v>42455</v>
      </c>
      <c r="F580" s="190" t="s">
        <v>393</v>
      </c>
      <c r="G580" s="451" t="s">
        <v>490</v>
      </c>
      <c r="H580" s="191" t="s">
        <v>417</v>
      </c>
      <c r="I580" s="251"/>
      <c r="J580" s="251"/>
      <c r="K580" s="560">
        <v>173800</v>
      </c>
      <c r="L580" s="192" t="s">
        <v>258</v>
      </c>
      <c r="M580" s="192" t="s">
        <v>367</v>
      </c>
      <c r="N580" s="52" t="str">
        <f>IF(AND('331-CT'!$E$7=TH!H580,OR(L580="331",M580="331")),"331",IF(AND(OR(L580="131",M580="131"),H580='131-CT'!$E$7),"131",""))</f>
        <v/>
      </c>
      <c r="O580" s="818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52"/>
      <c r="AB580" s="552"/>
    </row>
    <row r="581" spans="1:32" s="209" customFormat="1" ht="15.75" customHeight="1">
      <c r="A581" s="202" t="str">
        <f>IF(B581&lt;&gt;"",IF(AND(B581&gt;=_TM1,B581&lt;=_TM2,OR(TH!L581="1111",TH!M581="1111")),TH!D581,""),"")</f>
        <v/>
      </c>
      <c r="B581" s="36">
        <f t="shared" si="31"/>
        <v>3</v>
      </c>
      <c r="C581" s="182">
        <f t="shared" si="32"/>
        <v>42455</v>
      </c>
      <c r="D581" s="189" t="s">
        <v>1179</v>
      </c>
      <c r="E581" s="189">
        <v>42455</v>
      </c>
      <c r="F581" s="190" t="s">
        <v>1437</v>
      </c>
      <c r="G581" s="451" t="s">
        <v>492</v>
      </c>
      <c r="H581" s="7" t="s">
        <v>643</v>
      </c>
      <c r="I581" s="251">
        <v>3000</v>
      </c>
      <c r="J581" s="251">
        <v>5200</v>
      </c>
      <c r="K581" s="38">
        <f>ROUND(I581*J581,0)</f>
        <v>15600000</v>
      </c>
      <c r="L581" s="192" t="s">
        <v>258</v>
      </c>
      <c r="M581" s="192" t="s">
        <v>173</v>
      </c>
      <c r="N581" s="52" t="str">
        <f>IF(AND('331-CT'!$E$7=TH!H581,OR(L581="331",M581="331")),"331",IF(AND(OR(L581="131",M581="131"),H581='131-CT'!$E$7),"131",""))</f>
        <v/>
      </c>
      <c r="O581" s="818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52"/>
      <c r="AB581" s="552"/>
      <c r="AC581" s="552"/>
    </row>
    <row r="582" spans="1:32" s="209" customFormat="1" ht="15.75" customHeight="1">
      <c r="A582" s="202" t="str">
        <f>IF(B582&lt;&gt;"",IF(AND(B582&gt;=_TM1,B582&lt;=_TM2,OR(TH!L582="1111",TH!M582="1111")),TH!D582,""),"")</f>
        <v/>
      </c>
      <c r="B582" s="36">
        <f t="shared" si="31"/>
        <v>3</v>
      </c>
      <c r="C582" s="182">
        <f t="shared" si="32"/>
        <v>42455</v>
      </c>
      <c r="D582" s="189" t="s">
        <v>1179</v>
      </c>
      <c r="E582" s="189">
        <v>42455</v>
      </c>
      <c r="F582" s="190" t="s">
        <v>393</v>
      </c>
      <c r="G582" s="451" t="s">
        <v>492</v>
      </c>
      <c r="H582" s="7" t="s">
        <v>643</v>
      </c>
      <c r="I582" s="251"/>
      <c r="J582" s="251"/>
      <c r="K582" s="560">
        <v>1560000</v>
      </c>
      <c r="L582" s="192" t="s">
        <v>258</v>
      </c>
      <c r="M582" s="192" t="s">
        <v>367</v>
      </c>
      <c r="N582" s="52" t="str">
        <f>IF(AND('331-CT'!$E$7=TH!H582,OR(L582="331",M582="331")),"331",IF(AND(OR(L582="131",M582="131"),H582='131-CT'!$E$7),"131",""))</f>
        <v/>
      </c>
      <c r="O582" s="818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52"/>
      <c r="AB582" s="552"/>
      <c r="AC582" s="552"/>
    </row>
    <row r="583" spans="1:32" s="209" customFormat="1" ht="15.75" customHeight="1">
      <c r="A583" s="202" t="str">
        <f>IF(B583&lt;&gt;"",IF(AND(B583&gt;=_TM1,B583&lt;=_TM2,OR(TH!L583="1111",TH!M583="1111")),TH!D583,""),"")</f>
        <v/>
      </c>
      <c r="B583" s="36">
        <f t="shared" si="31"/>
        <v>3</v>
      </c>
      <c r="C583" s="182">
        <f t="shared" si="32"/>
        <v>42455</v>
      </c>
      <c r="D583" s="189" t="s">
        <v>1180</v>
      </c>
      <c r="E583" s="189">
        <v>42455</v>
      </c>
      <c r="F583" s="190" t="s">
        <v>963</v>
      </c>
      <c r="G583" s="451" t="s">
        <v>493</v>
      </c>
      <c r="H583" s="191" t="s">
        <v>615</v>
      </c>
      <c r="I583" s="253">
        <v>3750</v>
      </c>
      <c r="J583" s="253">
        <v>5600</v>
      </c>
      <c r="K583" s="38">
        <f>ROUND(I583*J583,0)</f>
        <v>21000000</v>
      </c>
      <c r="L583" s="192" t="s">
        <v>258</v>
      </c>
      <c r="M583" s="192" t="s">
        <v>173</v>
      </c>
      <c r="N583" s="52" t="str">
        <f>IF(AND('331-CT'!$E$7=TH!H583,OR(L583="331",M583="331")),"331",IF(AND(OR(L583="131",M583="131"),H583='131-CT'!$E$7),"131",""))</f>
        <v/>
      </c>
      <c r="O583" s="818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52"/>
      <c r="AB583" s="552"/>
      <c r="AC583" s="552"/>
    </row>
    <row r="584" spans="1:32" s="209" customFormat="1" ht="15.75" customHeight="1">
      <c r="A584" s="202" t="str">
        <f>IF(B584&lt;&gt;"",IF(AND(B584&gt;=_TM1,B584&lt;=_TM2,OR(TH!L584="1111",TH!M584="1111")),TH!D584,""),"")</f>
        <v/>
      </c>
      <c r="B584" s="36">
        <f t="shared" si="31"/>
        <v>3</v>
      </c>
      <c r="C584" s="182">
        <f t="shared" si="32"/>
        <v>42455</v>
      </c>
      <c r="D584" s="189" t="s">
        <v>1180</v>
      </c>
      <c r="E584" s="189">
        <v>42455</v>
      </c>
      <c r="F584" s="190" t="s">
        <v>393</v>
      </c>
      <c r="G584" s="451" t="s">
        <v>493</v>
      </c>
      <c r="H584" s="191" t="s">
        <v>615</v>
      </c>
      <c r="I584" s="251"/>
      <c r="J584" s="251"/>
      <c r="K584" s="560">
        <v>2100000</v>
      </c>
      <c r="L584" s="192" t="s">
        <v>258</v>
      </c>
      <c r="M584" s="192" t="s">
        <v>367</v>
      </c>
      <c r="N584" s="52" t="str">
        <f>IF(AND('331-CT'!$E$7=TH!H584,OR(L584="331",M584="331")),"331",IF(AND(OR(L584="131",M584="131"),H584='131-CT'!$E$7),"131",""))</f>
        <v/>
      </c>
      <c r="O584" s="818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52"/>
      <c r="AB584" s="552"/>
      <c r="AC584" s="552"/>
    </row>
    <row r="585" spans="1:32" s="209" customFormat="1" ht="15.75" customHeight="1">
      <c r="A585" s="202" t="str">
        <f>IF(B585&lt;&gt;"",IF(AND(B585&gt;=_TM1,B585&lt;=_TM2,OR(TH!L585="1111",TH!M585="1111")),TH!D585,""),"")</f>
        <v/>
      </c>
      <c r="B585" s="36">
        <f t="shared" si="31"/>
        <v>3</v>
      </c>
      <c r="C585" s="182">
        <f t="shared" si="32"/>
        <v>42456</v>
      </c>
      <c r="D585" s="189" t="s">
        <v>1181</v>
      </c>
      <c r="E585" s="189">
        <v>42456</v>
      </c>
      <c r="F585" s="190" t="s">
        <v>694</v>
      </c>
      <c r="G585" s="451" t="s">
        <v>494</v>
      </c>
      <c r="H585" s="7" t="s">
        <v>424</v>
      </c>
      <c r="I585" s="251">
        <v>1100</v>
      </c>
      <c r="J585" s="251">
        <v>1300</v>
      </c>
      <c r="K585" s="38">
        <f>ROUND(I585*J585,0)</f>
        <v>1430000</v>
      </c>
      <c r="L585" s="192" t="s">
        <v>258</v>
      </c>
      <c r="M585" s="192" t="s">
        <v>173</v>
      </c>
      <c r="N585" s="52" t="str">
        <f>IF(AND('331-CT'!$E$7=TH!H585,OR(L585="331",M585="331")),"331",IF(AND(OR(L585="131",M585="131"),H585='131-CT'!$E$7),"131",""))</f>
        <v/>
      </c>
      <c r="O585" s="818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52"/>
      <c r="AB585" s="552"/>
      <c r="AC585" s="552"/>
    </row>
    <row r="586" spans="1:32" s="209" customFormat="1" ht="15.75" customHeight="1">
      <c r="A586" s="202" t="str">
        <f>IF(B586&lt;&gt;"",IF(AND(B586&gt;=_TM1,B586&lt;=_TM2,OR(TH!L586="1111",TH!M586="1111")),TH!D586,""),"")</f>
        <v/>
      </c>
      <c r="B586" s="36">
        <f t="shared" si="31"/>
        <v>3</v>
      </c>
      <c r="C586" s="182">
        <f t="shared" si="32"/>
        <v>42456</v>
      </c>
      <c r="D586" s="189" t="s">
        <v>1181</v>
      </c>
      <c r="E586" s="189">
        <v>42456</v>
      </c>
      <c r="F586" s="190" t="s">
        <v>950</v>
      </c>
      <c r="G586" s="451" t="s">
        <v>494</v>
      </c>
      <c r="H586" s="7" t="s">
        <v>424</v>
      </c>
      <c r="I586" s="251"/>
      <c r="J586" s="251"/>
      <c r="K586" s="560">
        <v>143000</v>
      </c>
      <c r="L586" s="192" t="s">
        <v>258</v>
      </c>
      <c r="M586" s="192" t="s">
        <v>367</v>
      </c>
      <c r="N586" s="52" t="str">
        <f>IF(AND('331-CT'!$E$7=TH!H586,OR(L586="331",M586="331")),"331",IF(AND(OR(L586="131",M586="131"),H586='131-CT'!$E$7),"131",""))</f>
        <v/>
      </c>
      <c r="O586" s="818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52"/>
      <c r="AB586" s="552"/>
      <c r="AC586" s="552"/>
    </row>
    <row r="587" spans="1:32" s="209" customFormat="1" ht="15.75" customHeight="1">
      <c r="A587" s="202" t="str">
        <f>IF(B587&lt;&gt;"",IF(AND(B587&gt;=_TM1,B587&lt;=_TM2,OR(TH!L587="1111",TH!M587="1111")),TH!D587,""),"")</f>
        <v/>
      </c>
      <c r="B587" s="36">
        <f t="shared" si="31"/>
        <v>3</v>
      </c>
      <c r="C587" s="182">
        <f t="shared" si="32"/>
        <v>42457</v>
      </c>
      <c r="D587" s="182" t="s">
        <v>665</v>
      </c>
      <c r="E587" s="189">
        <v>42457</v>
      </c>
      <c r="F587" s="187" t="s">
        <v>666</v>
      </c>
      <c r="G587" s="448" t="s">
        <v>330</v>
      </c>
      <c r="H587" s="191" t="s">
        <v>609</v>
      </c>
      <c r="I587" s="251"/>
      <c r="J587" s="251"/>
      <c r="K587" s="38">
        <v>15742980</v>
      </c>
      <c r="L587" s="561" t="s">
        <v>24</v>
      </c>
      <c r="M587" s="561" t="s">
        <v>258</v>
      </c>
      <c r="N587" s="52" t="str">
        <f>IF(AND('331-CT'!$E$7=TH!H587,OR(L587="331",M587="331")),"331",IF(AND(OR(L587="131",M587="131"),H587='131-CT'!$E$7),"131",""))</f>
        <v/>
      </c>
      <c r="O587" s="818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52"/>
      <c r="AB587" s="552"/>
      <c r="AC587" s="552"/>
      <c r="AE587" s="552"/>
      <c r="AF587" s="552"/>
    </row>
    <row r="588" spans="1:32" s="209" customFormat="1" ht="15.75" customHeight="1">
      <c r="A588" s="202" t="str">
        <f>IF(B588&lt;&gt;"",IF(AND(B588&gt;=_TM1,B588&lt;=_TM2,OR(TH!L588="1111",TH!M588="1111")),TH!D588,""),"")</f>
        <v/>
      </c>
      <c r="B588" s="36">
        <f t="shared" si="31"/>
        <v>3</v>
      </c>
      <c r="C588" s="182">
        <f t="shared" si="32"/>
        <v>42457</v>
      </c>
      <c r="D588" s="182" t="s">
        <v>669</v>
      </c>
      <c r="E588" s="189">
        <v>42457</v>
      </c>
      <c r="F588" s="190" t="s">
        <v>790</v>
      </c>
      <c r="G588" s="448" t="s">
        <v>330</v>
      </c>
      <c r="H588" s="7"/>
      <c r="I588" s="251"/>
      <c r="J588" s="251"/>
      <c r="K588" s="38">
        <v>13000000</v>
      </c>
      <c r="L588" s="192" t="s">
        <v>8</v>
      </c>
      <c r="M588" s="561" t="s">
        <v>24</v>
      </c>
      <c r="N588" s="52" t="str">
        <f>IF(AND('331-CT'!$E$7=TH!H588,OR(L588="331",M588="331")),"331",IF(AND(OR(L588="131",M588="131"),H588='131-CT'!$E$7),"131",""))</f>
        <v/>
      </c>
      <c r="O588" s="818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52"/>
      <c r="AB588" s="552"/>
      <c r="AC588" s="552"/>
    </row>
    <row r="589" spans="1:32" s="788" customFormat="1" ht="15.75" customHeight="1">
      <c r="A589" s="202" t="str">
        <f>IF(B589&lt;&gt;"",IF(AND(B589&gt;=_TM1,B589&lt;=_TM2,OR(TH!L589="1111",TH!M589="1111")),TH!D589,""),"")</f>
        <v/>
      </c>
      <c r="B589" s="36">
        <f t="shared" si="31"/>
        <v>3</v>
      </c>
      <c r="C589" s="182">
        <f t="shared" si="32"/>
        <v>42457</v>
      </c>
      <c r="D589" s="182" t="s">
        <v>669</v>
      </c>
      <c r="E589" s="189">
        <v>42457</v>
      </c>
      <c r="F589" s="190" t="s">
        <v>672</v>
      </c>
      <c r="G589" s="448" t="s">
        <v>330</v>
      </c>
      <c r="H589" s="45"/>
      <c r="I589" s="251"/>
      <c r="J589" s="251"/>
      <c r="K589" s="38">
        <v>20000</v>
      </c>
      <c r="L589" s="192" t="s">
        <v>83</v>
      </c>
      <c r="M589" s="561" t="s">
        <v>24</v>
      </c>
      <c r="N589" s="52" t="str">
        <f>IF(AND('331-CT'!$E$7=TH!H589,OR(L589="331",M589="331")),"331",IF(AND(OR(L589="131",M589="131"),H589='131-CT'!$E$7),"131",""))</f>
        <v/>
      </c>
      <c r="O589" s="818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>x</v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52"/>
      <c r="AB589" s="552"/>
      <c r="AC589" s="209"/>
      <c r="AD589" s="209"/>
      <c r="AE589" s="209"/>
      <c r="AF589" s="209"/>
    </row>
    <row r="590" spans="1:32" s="788" customFormat="1" ht="15.75" customHeight="1">
      <c r="A590" s="202" t="str">
        <f>IF(B590&lt;&gt;"",IF(AND(B590&gt;=_TM1,B590&lt;=_TM2,OR(TH!L590="1111",TH!M590="1111")),TH!D590,""),"")</f>
        <v/>
      </c>
      <c r="B590" s="36">
        <f t="shared" si="31"/>
        <v>3</v>
      </c>
      <c r="C590" s="182">
        <f t="shared" si="32"/>
        <v>42457</v>
      </c>
      <c r="D590" s="182" t="s">
        <v>669</v>
      </c>
      <c r="E590" s="189">
        <v>42457</v>
      </c>
      <c r="F590" s="190" t="s">
        <v>790</v>
      </c>
      <c r="G590" s="448" t="s">
        <v>330</v>
      </c>
      <c r="H590" s="7"/>
      <c r="I590" s="251"/>
      <c r="J590" s="251"/>
      <c r="K590" s="38">
        <v>10000000</v>
      </c>
      <c r="L590" s="192" t="s">
        <v>8</v>
      </c>
      <c r="M590" s="561" t="s">
        <v>24</v>
      </c>
      <c r="N590" s="52" t="str">
        <f>IF(AND('331-CT'!$E$7=TH!H590,OR(L590="331",M590="331")),"331",IF(AND(OR(L590="131",M590="131"),H590='131-CT'!$E$7),"131",""))</f>
        <v/>
      </c>
      <c r="O590" s="818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52"/>
      <c r="AB590" s="552"/>
      <c r="AC590" s="552"/>
      <c r="AD590" s="209"/>
      <c r="AE590" s="209"/>
      <c r="AF590" s="209"/>
    </row>
    <row r="591" spans="1:32" s="209" customFormat="1" ht="15.75" customHeight="1">
      <c r="A591" s="202" t="str">
        <f>IF(B591&lt;&gt;"",IF(AND(B591&gt;=_TM1,B591&lt;=_TM2,OR(TH!L591="1111",TH!M591="1111")),TH!D591,""),"")</f>
        <v/>
      </c>
      <c r="B591" s="36">
        <f t="shared" si="31"/>
        <v>3</v>
      </c>
      <c r="C591" s="182">
        <f t="shared" si="32"/>
        <v>42457</v>
      </c>
      <c r="D591" s="182" t="s">
        <v>669</v>
      </c>
      <c r="E591" s="189">
        <v>42457</v>
      </c>
      <c r="F591" s="190" t="s">
        <v>672</v>
      </c>
      <c r="G591" s="448" t="s">
        <v>330</v>
      </c>
      <c r="H591" s="45"/>
      <c r="I591" s="251"/>
      <c r="J591" s="251"/>
      <c r="K591" s="38">
        <v>20000</v>
      </c>
      <c r="L591" s="192" t="s">
        <v>83</v>
      </c>
      <c r="M591" s="561" t="s">
        <v>24</v>
      </c>
      <c r="N591" s="52" t="str">
        <f>IF(AND('331-CT'!$E$7=TH!H591,OR(L591="331",M591="331")),"331",IF(AND(OR(L591="131",M591="131"),H591='131-CT'!$E$7),"131",""))</f>
        <v/>
      </c>
      <c r="O591" s="818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52"/>
      <c r="AB591" s="552"/>
      <c r="AC591" s="552"/>
    </row>
    <row r="592" spans="1:32" s="209" customFormat="1" ht="15.75" customHeight="1">
      <c r="A592" s="202" t="str">
        <f>IF(B592&lt;&gt;"",IF(AND(B592&gt;=_TM1,B592&lt;=_TM2,OR(TH!L592="1111",TH!M592="1111")),TH!D592,""),"")</f>
        <v/>
      </c>
      <c r="B592" s="36">
        <f t="shared" si="31"/>
        <v>3</v>
      </c>
      <c r="C592" s="182">
        <f t="shared" si="32"/>
        <v>42458</v>
      </c>
      <c r="D592" s="182" t="s">
        <v>1673</v>
      </c>
      <c r="E592" s="189">
        <v>42458</v>
      </c>
      <c r="F592" s="187" t="s">
        <v>754</v>
      </c>
      <c r="G592" s="448" t="s">
        <v>330</v>
      </c>
      <c r="H592" s="191" t="s">
        <v>675</v>
      </c>
      <c r="I592" s="251"/>
      <c r="J592" s="251"/>
      <c r="K592" s="38">
        <v>50000000</v>
      </c>
      <c r="L592" s="561" t="s">
        <v>24</v>
      </c>
      <c r="M592" s="561" t="s">
        <v>47</v>
      </c>
      <c r="N592" s="52" t="str">
        <f>IF(AND('331-CT'!$E$7=TH!H592,OR(L592="331",M592="331")),"331",IF(AND(OR(L592="131",M592="131"),H592='131-CT'!$E$7),"131",""))</f>
        <v/>
      </c>
      <c r="O592" s="818" t="str">
        <f>IF(AND('341-CT'!$E$9=H592,OR(LEFT(L592,3)=$O$7,LEFT(M592,3)=$O$7)),"x","")</f>
        <v/>
      </c>
      <c r="P592" s="52" t="str">
        <f>IF(AND($B592&gt;='111'!$N$11,$B592&lt;='111'!$O$11,OR($L592=$P$7,$M592=$P$7)),"x","")</f>
        <v>x</v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52"/>
      <c r="AB592" s="552"/>
      <c r="AC592" s="552"/>
    </row>
    <row r="593" spans="1:32" s="209" customFormat="1" ht="15.75" customHeight="1">
      <c r="A593" s="202" t="str">
        <f>IF(B593&lt;&gt;"",IF(AND(B593&gt;=_TM1,B593&lt;=_TM2,OR(TH!L593="1111",TH!M593="1111")),TH!D593,""),"")</f>
        <v/>
      </c>
      <c r="B593" s="36">
        <f t="shared" si="31"/>
        <v>3</v>
      </c>
      <c r="C593" s="182">
        <f t="shared" si="32"/>
        <v>42458</v>
      </c>
      <c r="D593" s="182" t="s">
        <v>669</v>
      </c>
      <c r="E593" s="189">
        <v>42458</v>
      </c>
      <c r="F593" s="190" t="s">
        <v>790</v>
      </c>
      <c r="G593" s="448" t="s">
        <v>330</v>
      </c>
      <c r="H593" s="7" t="s">
        <v>1554</v>
      </c>
      <c r="I593" s="251"/>
      <c r="J593" s="251"/>
      <c r="K593" s="38">
        <v>50000000</v>
      </c>
      <c r="L593" s="192" t="s">
        <v>8</v>
      </c>
      <c r="M593" s="561" t="s">
        <v>24</v>
      </c>
      <c r="N593" s="52" t="str">
        <f>IF(AND('331-CT'!$E$7=TH!H593,OR(L593="331",M593="331")),"331",IF(AND(OR(L593="131",M593="131"),H593='131-CT'!$E$7),"131",""))</f>
        <v/>
      </c>
      <c r="O593" s="818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52"/>
      <c r="AB593" s="552"/>
    </row>
    <row r="594" spans="1:32" s="209" customFormat="1" ht="15.75" customHeight="1">
      <c r="A594" s="202" t="str">
        <f>IF(B594&lt;&gt;"",IF(AND(B594&gt;=_TM1,B594&lt;=_TM2,OR(TH!L594="1111",TH!M594="1111")),TH!D594,""),"")</f>
        <v/>
      </c>
      <c r="B594" s="36">
        <f t="shared" si="31"/>
        <v>3</v>
      </c>
      <c r="C594" s="182">
        <f t="shared" si="32"/>
        <v>42458</v>
      </c>
      <c r="D594" s="182" t="s">
        <v>669</v>
      </c>
      <c r="E594" s="189">
        <v>42458</v>
      </c>
      <c r="F594" s="190" t="s">
        <v>672</v>
      </c>
      <c r="G594" s="448" t="s">
        <v>330</v>
      </c>
      <c r="H594" s="45"/>
      <c r="I594" s="251"/>
      <c r="J594" s="251"/>
      <c r="K594" s="38">
        <v>15000</v>
      </c>
      <c r="L594" s="192" t="s">
        <v>83</v>
      </c>
      <c r="M594" s="561" t="s">
        <v>24</v>
      </c>
      <c r="N594" s="52" t="str">
        <f>IF(AND('331-CT'!$E$7=TH!H594,OR(L594="331",M594="331")),"331",IF(AND(OR(L594="131",M594="131"),H594='131-CT'!$E$7),"131",""))</f>
        <v/>
      </c>
      <c r="O594" s="818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>x</v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52"/>
      <c r="AB594" s="552"/>
      <c r="AC594" s="552"/>
    </row>
    <row r="595" spans="1:32" s="209" customFormat="1" ht="15.75" customHeight="1">
      <c r="A595" s="202" t="str">
        <f>IF(B595&lt;&gt;"",IF(AND(B595&gt;=_TM1,B595&lt;=_TM2,OR(TH!L595="1111",TH!M595="1111")),TH!D595,""),"")</f>
        <v/>
      </c>
      <c r="B595" s="36">
        <f t="shared" si="31"/>
        <v>3</v>
      </c>
      <c r="C595" s="182">
        <f t="shared" si="32"/>
        <v>42458</v>
      </c>
      <c r="D595" s="189" t="s">
        <v>1184</v>
      </c>
      <c r="E595" s="189">
        <v>42458</v>
      </c>
      <c r="F595" s="190" t="s">
        <v>335</v>
      </c>
      <c r="G595" s="451" t="s">
        <v>819</v>
      </c>
      <c r="H595" s="7" t="s">
        <v>811</v>
      </c>
      <c r="I595" s="252">
        <v>48</v>
      </c>
      <c r="J595" s="253">
        <v>41000</v>
      </c>
      <c r="K595" s="38">
        <f>ROUND(I595*J595,0)</f>
        <v>1968000</v>
      </c>
      <c r="L595" s="192" t="s">
        <v>160</v>
      </c>
      <c r="M595" s="192" t="s">
        <v>8</v>
      </c>
      <c r="N595" s="52" t="str">
        <f>IF(AND('331-CT'!$E$7=TH!H595,OR(L595="331",M595="331")),"331",IF(AND(OR(L595="131",M595="131"),H595='131-CT'!$E$7),"131",""))</f>
        <v/>
      </c>
      <c r="O595" s="818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52">
        <v>1</v>
      </c>
      <c r="AB595" s="552"/>
      <c r="AC595" s="209" t="str">
        <f>IF(VLOOKUP(H595,DSKH,1,0)=H595,"","x")</f>
        <v/>
      </c>
    </row>
    <row r="596" spans="1:32" s="209" customFormat="1" ht="15.75" customHeight="1">
      <c r="A596" s="202" t="str">
        <f>IF(B596&lt;&gt;"",IF(AND(B596&gt;=_TM1,B596&lt;=_TM2,OR(TH!L596="1111",TH!M596="1111")),TH!D596,""),"")</f>
        <v/>
      </c>
      <c r="B596" s="36">
        <f t="shared" ref="B596:B659" si="33">IF(C596&lt;&gt;"",MONTH(C596),"")</f>
        <v>3</v>
      </c>
      <c r="C596" s="182">
        <f t="shared" ref="C596:C659" si="34">E596</f>
        <v>42458</v>
      </c>
      <c r="D596" s="189" t="s">
        <v>1184</v>
      </c>
      <c r="E596" s="189">
        <v>42458</v>
      </c>
      <c r="F596" s="190" t="s">
        <v>678</v>
      </c>
      <c r="G596" s="451" t="s">
        <v>819</v>
      </c>
      <c r="H596" s="7" t="s">
        <v>811</v>
      </c>
      <c r="I596" s="251"/>
      <c r="J596" s="253"/>
      <c r="K596" s="38">
        <v>196800</v>
      </c>
      <c r="L596" s="192" t="s">
        <v>9</v>
      </c>
      <c r="M596" s="192" t="s">
        <v>8</v>
      </c>
      <c r="N596" s="52" t="str">
        <f>IF(AND('331-CT'!$E$7=TH!H596,OR(L596="331",M596="331")),"331",IF(AND(OR(L596="131",M596="131"),H596='131-CT'!$E$7),"131",""))</f>
        <v/>
      </c>
      <c r="O596" s="818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52">
        <v>1</v>
      </c>
      <c r="AB596" s="552"/>
      <c r="AC596" s="209" t="str">
        <f>IF(VLOOKUP(H596,DSKH,1,0)=H596,"","x")</f>
        <v/>
      </c>
    </row>
    <row r="597" spans="1:32" s="209" customFormat="1" ht="15.75" customHeight="1">
      <c r="A597" s="202" t="str">
        <f>IF(B597&lt;&gt;"",IF(AND(B597&gt;=_TM1,B597&lt;=_TM2,OR(TH!L597="1111",TH!M597="1111")),TH!D597,""),"")</f>
        <v/>
      </c>
      <c r="B597" s="36">
        <f t="shared" si="33"/>
        <v>3</v>
      </c>
      <c r="C597" s="182">
        <f t="shared" si="34"/>
        <v>42458</v>
      </c>
      <c r="D597" s="189" t="s">
        <v>1674</v>
      </c>
      <c r="E597" s="189">
        <v>42458</v>
      </c>
      <c r="F597" s="190" t="s">
        <v>812</v>
      </c>
      <c r="G597" s="451" t="s">
        <v>819</v>
      </c>
      <c r="H597" s="7" t="s">
        <v>811</v>
      </c>
      <c r="I597" s="251"/>
      <c r="J597" s="251"/>
      <c r="K597" s="560">
        <v>2164800</v>
      </c>
      <c r="L597" s="192" t="s">
        <v>8</v>
      </c>
      <c r="M597" s="192" t="s">
        <v>47</v>
      </c>
      <c r="N597" s="52" t="str">
        <f>IF(AND('331-CT'!$E$7=TH!H597,OR(L597="331",M597="331")),"331",IF(AND(OR(L597="131",M597="131"),H597='131-CT'!$E$7),"131",""))</f>
        <v/>
      </c>
      <c r="O597" s="818" t="str">
        <f>IF(AND('341-CT'!$E$9=H597,OR(LEFT(L597,3)=$O$7,LEFT(M597,3)=$O$7)),"x","")</f>
        <v/>
      </c>
      <c r="P597" s="52" t="str">
        <f>IF(AND($B597&gt;='111'!$N$11,$B597&lt;='111'!$O$11,OR($L597=$P$7,$M597=$P$7)),"x","")</f>
        <v>x</v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52"/>
      <c r="AB597" s="552"/>
      <c r="AC597" s="552"/>
      <c r="AE597" s="552"/>
      <c r="AF597" s="552"/>
    </row>
    <row r="598" spans="1:32" s="209" customFormat="1" ht="15.75" customHeight="1">
      <c r="A598" s="202" t="str">
        <f>IF(B598&lt;&gt;"",IF(AND(B598&gt;=_TM1,B598&lt;=_TM2,OR(TH!L598="1111",TH!M598="1111")),TH!D598,""),"")</f>
        <v/>
      </c>
      <c r="B598" s="36">
        <f t="shared" si="33"/>
        <v>3</v>
      </c>
      <c r="C598" s="182">
        <f t="shared" si="34"/>
        <v>42458</v>
      </c>
      <c r="D598" s="189" t="s">
        <v>1200</v>
      </c>
      <c r="E598" s="182">
        <v>42458</v>
      </c>
      <c r="F598" s="187" t="s">
        <v>822</v>
      </c>
      <c r="G598" s="451" t="s">
        <v>823</v>
      </c>
      <c r="H598" s="7" t="s">
        <v>824</v>
      </c>
      <c r="I598" s="251">
        <v>300</v>
      </c>
      <c r="J598" s="251">
        <v>9893</v>
      </c>
      <c r="K598" s="38">
        <f>ROUND(I598*J598,0)</f>
        <v>2967900</v>
      </c>
      <c r="L598" s="192" t="s">
        <v>158</v>
      </c>
      <c r="M598" s="192" t="s">
        <v>8</v>
      </c>
      <c r="N598" s="52" t="str">
        <f>IF(AND('331-CT'!$E$7=TH!H598,OR(L598="331",M598="331")),"331",IF(AND(OR(L598="131",M598="131"),H598='131-CT'!$E$7),"131",""))</f>
        <v/>
      </c>
      <c r="O598" s="818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52">
        <v>2</v>
      </c>
      <c r="AB598" s="552"/>
      <c r="AC598" s="209" t="str">
        <f>IF(VLOOKUP(H598,DSKH,1,0)=H598,"","x")</f>
        <v/>
      </c>
      <c r="AE598" s="552"/>
      <c r="AF598" s="552"/>
    </row>
    <row r="599" spans="1:32" s="209" customFormat="1" ht="15.75" customHeight="1">
      <c r="A599" s="202" t="str">
        <f>IF(B599&lt;&gt;"",IF(AND(B599&gt;=_TM1,B599&lt;=_TM2,OR(TH!L599="1111",TH!M599="1111")),TH!D599,""),"")</f>
        <v/>
      </c>
      <c r="B599" s="36">
        <f t="shared" si="33"/>
        <v>3</v>
      </c>
      <c r="C599" s="182">
        <f t="shared" si="34"/>
        <v>42458</v>
      </c>
      <c r="D599" s="189" t="s">
        <v>1200</v>
      </c>
      <c r="E599" s="182">
        <v>42458</v>
      </c>
      <c r="F599" s="187" t="s">
        <v>825</v>
      </c>
      <c r="G599" s="451" t="s">
        <v>823</v>
      </c>
      <c r="H599" s="7" t="s">
        <v>824</v>
      </c>
      <c r="I599" s="251">
        <v>640</v>
      </c>
      <c r="J599" s="251">
        <v>9207</v>
      </c>
      <c r="K599" s="38">
        <f>ROUND(I599*J599,0)</f>
        <v>5892480</v>
      </c>
      <c r="L599" s="192" t="s">
        <v>158</v>
      </c>
      <c r="M599" s="192" t="s">
        <v>8</v>
      </c>
      <c r="N599" s="52" t="str">
        <f>IF(AND('331-CT'!$E$7=TH!H599,OR(L599="331",M599="331")),"331",IF(AND(OR(L599="131",M599="131"),H599='131-CT'!$E$7),"131",""))</f>
        <v/>
      </c>
      <c r="O599" s="818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52">
        <v>2</v>
      </c>
      <c r="AB599" s="552"/>
      <c r="AC599" s="209" t="str">
        <f>IF(VLOOKUP(H599,DSKH,1,0)=H599,"","x")</f>
        <v/>
      </c>
      <c r="AE599" s="552"/>
      <c r="AF599" s="552"/>
    </row>
    <row r="600" spans="1:32" s="209" customFormat="1" ht="15.75" customHeight="1">
      <c r="A600" s="202" t="str">
        <f>IF(B600&lt;&gt;"",IF(AND(B600&gt;=_TM1,B600&lt;=_TM2,OR(TH!L600="1111",TH!M600="1111")),TH!D600,""),"")</f>
        <v/>
      </c>
      <c r="B600" s="36">
        <f t="shared" si="33"/>
        <v>3</v>
      </c>
      <c r="C600" s="182">
        <f t="shared" si="34"/>
        <v>42458</v>
      </c>
      <c r="D600" s="189" t="s">
        <v>1200</v>
      </c>
      <c r="E600" s="182">
        <v>42458</v>
      </c>
      <c r="F600" s="190" t="s">
        <v>826</v>
      </c>
      <c r="G600" s="451" t="s">
        <v>823</v>
      </c>
      <c r="H600" s="7" t="s">
        <v>824</v>
      </c>
      <c r="I600" s="251"/>
      <c r="J600" s="251"/>
      <c r="K600" s="560">
        <v>886038</v>
      </c>
      <c r="L600" s="192" t="s">
        <v>9</v>
      </c>
      <c r="M600" s="192" t="s">
        <v>8</v>
      </c>
      <c r="N600" s="52" t="str">
        <f>IF(AND('331-CT'!$E$7=TH!H600,OR(L600="331",M600="331")),"331",IF(AND(OR(L600="131",M600="131"),H600='131-CT'!$E$7),"131",""))</f>
        <v/>
      </c>
      <c r="O600" s="818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52">
        <v>2</v>
      </c>
      <c r="AB600" s="552"/>
      <c r="AC600" s="209" t="str">
        <f>IF(VLOOKUP(H600,DSKH,1,0)=H600,"","x")</f>
        <v/>
      </c>
      <c r="AE600" s="552"/>
      <c r="AF600" s="552"/>
    </row>
    <row r="601" spans="1:32" s="209" customFormat="1" ht="15.75" customHeight="1">
      <c r="A601" s="202" t="str">
        <f>IF(B601&lt;&gt;"",IF(AND(B601&gt;=_TM1,B601&lt;=_TM2,OR(TH!L601="1111",TH!M601="1111")),TH!D601,""),"")</f>
        <v/>
      </c>
      <c r="B601" s="36">
        <f t="shared" si="33"/>
        <v>3</v>
      </c>
      <c r="C601" s="182">
        <f t="shared" si="34"/>
        <v>42458</v>
      </c>
      <c r="D601" s="189" t="s">
        <v>1675</v>
      </c>
      <c r="E601" s="182">
        <v>42458</v>
      </c>
      <c r="F601" s="190" t="s">
        <v>827</v>
      </c>
      <c r="G601" s="451" t="s">
        <v>823</v>
      </c>
      <c r="H601" s="7" t="s">
        <v>824</v>
      </c>
      <c r="I601" s="251"/>
      <c r="J601" s="251"/>
      <c r="K601" s="560">
        <v>9746418</v>
      </c>
      <c r="L601" s="192" t="s">
        <v>8</v>
      </c>
      <c r="M601" s="192" t="s">
        <v>47</v>
      </c>
      <c r="N601" s="52" t="str">
        <f>IF(AND('331-CT'!$E$7=TH!H601,OR(L601="331",M601="331")),"331",IF(AND(OR(L601="131",M601="131"),H601='131-CT'!$E$7),"131",""))</f>
        <v/>
      </c>
      <c r="O601" s="818" t="str">
        <f>IF(AND('341-CT'!$E$9=H601,OR(LEFT(L601,3)=$O$7,LEFT(M601,3)=$O$7)),"x","")</f>
        <v/>
      </c>
      <c r="P601" s="52" t="str">
        <f>IF(AND($B601&gt;='111'!$N$11,$B601&lt;='111'!$O$11,OR($L601=$P$7,$M601=$P$7)),"x","")</f>
        <v>x</v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52"/>
      <c r="AB601" s="552"/>
      <c r="AC601" s="552"/>
    </row>
    <row r="602" spans="1:32" s="209" customFormat="1" ht="15.75" customHeight="1">
      <c r="A602" s="202" t="str">
        <f>IF(B602&lt;&gt;"",IF(AND(B602&gt;=_TM1,B602&lt;=_TM2,OR(TH!L602="1111",TH!M602="1111")),TH!D602,""),"")</f>
        <v/>
      </c>
      <c r="B602" s="36">
        <f t="shared" si="33"/>
        <v>3</v>
      </c>
      <c r="C602" s="182">
        <f t="shared" si="34"/>
        <v>42458</v>
      </c>
      <c r="D602" s="182" t="s">
        <v>1676</v>
      </c>
      <c r="E602" s="189">
        <v>42458</v>
      </c>
      <c r="F602" s="40" t="s">
        <v>666</v>
      </c>
      <c r="G602" s="451" t="s">
        <v>1600</v>
      </c>
      <c r="H602" s="7" t="s">
        <v>1204</v>
      </c>
      <c r="I602" s="252"/>
      <c r="J602" s="252"/>
      <c r="K602" s="560">
        <v>52973910</v>
      </c>
      <c r="L602" s="561" t="s">
        <v>47</v>
      </c>
      <c r="M602" s="561" t="s">
        <v>258</v>
      </c>
      <c r="N602" s="52" t="str">
        <f>IF(AND('331-CT'!$E$7=TH!H602,OR(L602="331",M602="331")),"331",IF(AND(OR(L602="131",M602="131"),H602='131-CT'!$E$7),"131",""))</f>
        <v/>
      </c>
      <c r="O602" s="818" t="str">
        <f>IF(AND('341-CT'!$E$9=H602,OR(LEFT(L602,3)=$O$7,LEFT(M602,3)=$O$7)),"x","")</f>
        <v/>
      </c>
      <c r="P602" s="52" t="str">
        <f>IF(AND($B602&gt;='111'!$N$11,$B602&lt;='111'!$O$11,OR($L602=$P$7,$M602=$P$7)),"x","")</f>
        <v>x</v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52"/>
      <c r="AB602" s="552"/>
    </row>
    <row r="603" spans="1:32" s="209" customFormat="1" ht="15.75" customHeight="1">
      <c r="A603" s="202" t="str">
        <f>IF(B603&lt;&gt;"",IF(AND(B603&gt;=_TM1,B603&lt;=_TM2,OR(TH!L603="1111",TH!M603="1111")),TH!D603,""),"")</f>
        <v/>
      </c>
      <c r="B603" s="36">
        <f t="shared" si="33"/>
        <v>3</v>
      </c>
      <c r="C603" s="839">
        <f t="shared" si="34"/>
        <v>42460</v>
      </c>
      <c r="D603" s="839" t="s">
        <v>332</v>
      </c>
      <c r="E603" s="839">
        <v>42460</v>
      </c>
      <c r="F603" s="845" t="s">
        <v>1429</v>
      </c>
      <c r="G603" s="874"/>
      <c r="H603" s="875"/>
      <c r="I603" s="842"/>
      <c r="J603" s="842"/>
      <c r="K603" s="849">
        <v>10810000</v>
      </c>
      <c r="L603" s="876" t="s">
        <v>83</v>
      </c>
      <c r="M603" s="876" t="s">
        <v>261</v>
      </c>
      <c r="N603" s="52" t="str">
        <f>IF(AND('331-CT'!$E$7=TH!H603,OR(L603="331",M603="331")),"331",IF(AND(OR(L603="131",M603="131"),H603='131-CT'!$E$7),"131",""))</f>
        <v/>
      </c>
      <c r="O603" s="818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>x</v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196"/>
      <c r="AB603" s="196"/>
      <c r="AC603" s="196"/>
      <c r="AD603" s="196"/>
      <c r="AE603" s="196"/>
      <c r="AF603" s="196"/>
    </row>
    <row r="604" spans="1:32" s="209" customFormat="1" ht="15.75" customHeight="1">
      <c r="A604" s="202" t="str">
        <f>IF(B604&lt;&gt;"",IF(AND(B604&gt;=_TM1,B604&lt;=_TM2,OR(TH!L604="1111",TH!M604="1111")),TH!D604,""),"")</f>
        <v/>
      </c>
      <c r="B604" s="36">
        <f t="shared" si="33"/>
        <v>3</v>
      </c>
      <c r="C604" s="839">
        <f t="shared" si="34"/>
        <v>42460</v>
      </c>
      <c r="D604" s="839" t="s">
        <v>332</v>
      </c>
      <c r="E604" s="839">
        <v>42460</v>
      </c>
      <c r="F604" s="845" t="s">
        <v>1430</v>
      </c>
      <c r="G604" s="874"/>
      <c r="H604" s="875"/>
      <c r="I604" s="842"/>
      <c r="J604" s="842"/>
      <c r="K604" s="849">
        <v>25425000</v>
      </c>
      <c r="L604" s="876" t="s">
        <v>164</v>
      </c>
      <c r="M604" s="876" t="s">
        <v>261</v>
      </c>
      <c r="N604" s="52" t="str">
        <f>IF(AND('331-CT'!$E$7=TH!H604,OR(L604="331",M604="331")),"331",IF(AND(OR(L604="131",M604="131"),H604='131-CT'!$E$7),"131",""))</f>
        <v/>
      </c>
      <c r="O604" s="818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196"/>
      <c r="AB604" s="196"/>
      <c r="AC604" s="196"/>
      <c r="AD604" s="196"/>
      <c r="AE604" s="196"/>
      <c r="AF604" s="196"/>
    </row>
    <row r="605" spans="1:32" s="209" customFormat="1" ht="15.75" customHeight="1">
      <c r="A605" s="202" t="str">
        <f>IF(B605&lt;&gt;"",IF(AND(B605&gt;=_TM1,B605&lt;=_TM2,OR(TH!L605="1111",TH!M605="1111")),TH!D605,""),"")</f>
        <v/>
      </c>
      <c r="B605" s="36">
        <f t="shared" si="33"/>
        <v>3</v>
      </c>
      <c r="C605" s="839">
        <f t="shared" si="34"/>
        <v>42460</v>
      </c>
      <c r="D605" s="839" t="s">
        <v>1677</v>
      </c>
      <c r="E605" s="839">
        <v>42460</v>
      </c>
      <c r="F605" s="845" t="str">
        <f>"Thanh toán tiền lương tháng "&amp;MONTH(E605)&amp;"/"&amp;YEAR(E605)</f>
        <v>Thanh toán tiền lương tháng 3/2016</v>
      </c>
      <c r="G605" s="874"/>
      <c r="H605" s="875" t="s">
        <v>1680</v>
      </c>
      <c r="I605" s="842"/>
      <c r="J605" s="842"/>
      <c r="K605" s="849">
        <f>K603+K604</f>
        <v>36235000</v>
      </c>
      <c r="L605" s="876" t="s">
        <v>261</v>
      </c>
      <c r="M605" s="876" t="s">
        <v>47</v>
      </c>
      <c r="N605" s="52" t="str">
        <f>IF(AND('331-CT'!$E$7=TH!H605,OR(L605="331",M605="331")),"331",IF(AND(OR(L605="131",M605="131"),H605='131-CT'!$E$7),"131",""))</f>
        <v/>
      </c>
      <c r="O605" s="818" t="str">
        <f>IF(AND('341-CT'!$E$9=H605,OR(LEFT(L605,3)=$O$7,LEFT(M605,3)=$O$7)),"x","")</f>
        <v/>
      </c>
      <c r="P605" s="52" t="str">
        <f>IF(AND($B605&gt;='111'!$N$11,$B605&lt;='111'!$O$11,OR($L605=$P$7,$M605=$P$7)),"x","")</f>
        <v>x</v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196"/>
      <c r="AB605" s="196"/>
      <c r="AC605" s="196"/>
      <c r="AD605" s="196"/>
      <c r="AE605" s="196"/>
      <c r="AF605" s="196"/>
    </row>
    <row r="606" spans="1:32" s="209" customFormat="1" ht="15.75" customHeight="1">
      <c r="A606" s="202" t="str">
        <f>IF(B606&lt;&gt;"",IF(AND(B606&gt;=_TM1,B606&lt;=_TM2,OR(TH!L606="1111",TH!M606="1111")),TH!D606,""),"")</f>
        <v/>
      </c>
      <c r="B606" s="36">
        <f t="shared" si="33"/>
        <v>3</v>
      </c>
      <c r="C606" s="182">
        <f t="shared" si="34"/>
        <v>42460</v>
      </c>
      <c r="D606" s="830" t="s">
        <v>332</v>
      </c>
      <c r="E606" s="830">
        <v>42460</v>
      </c>
      <c r="F606" s="831" t="s">
        <v>820</v>
      </c>
      <c r="G606" s="832"/>
      <c r="H606" s="833" t="s">
        <v>821</v>
      </c>
      <c r="I606" s="249"/>
      <c r="J606" s="250"/>
      <c r="K606" s="51">
        <v>74403233</v>
      </c>
      <c r="L606" s="818" t="s">
        <v>9</v>
      </c>
      <c r="M606" s="818" t="s">
        <v>17</v>
      </c>
      <c r="N606" s="52" t="str">
        <f>IF(AND('331-CT'!$E$7=TH!H606,OR(L606="331",M606="331")),"331",IF(AND(OR(L606="131",M606="131"),H606='131-CT'!$E$7),"131",""))</f>
        <v/>
      </c>
      <c r="O606" s="818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52"/>
      <c r="AB606" s="552"/>
      <c r="AE606" s="552"/>
      <c r="AF606" s="552"/>
    </row>
    <row r="607" spans="1:32" s="209" customFormat="1" ht="15.75" customHeight="1">
      <c r="A607" s="202" t="str">
        <f>IF(B607&lt;&gt;"",IF(AND(B607&gt;=_TM1,B607&lt;=_TM2,OR(TH!L607="1111",TH!M607="1111")),TH!D607,""),"")</f>
        <v/>
      </c>
      <c r="B607" s="36">
        <f t="shared" si="33"/>
        <v>3</v>
      </c>
      <c r="C607" s="182">
        <f t="shared" si="34"/>
        <v>42460</v>
      </c>
      <c r="D607" s="182" t="s">
        <v>1678</v>
      </c>
      <c r="E607" s="189">
        <v>42460</v>
      </c>
      <c r="F607" s="40" t="s">
        <v>666</v>
      </c>
      <c r="G607" s="451" t="s">
        <v>1612</v>
      </c>
      <c r="H607" s="7" t="s">
        <v>654</v>
      </c>
      <c r="I607" s="252"/>
      <c r="J607" s="252"/>
      <c r="K607" s="560">
        <v>32298085</v>
      </c>
      <c r="L607" s="561" t="s">
        <v>47</v>
      </c>
      <c r="M607" s="561" t="s">
        <v>258</v>
      </c>
      <c r="N607" s="52" t="str">
        <f>IF(AND('331-CT'!$E$7=TH!H607,OR(L607="331",M607="331")),"331",IF(AND(OR(L607="131",M607="131"),H607='131-CT'!$E$7),"131",""))</f>
        <v/>
      </c>
      <c r="O607" s="818" t="str">
        <f>IF(AND('341-CT'!$E$9=H607,OR(LEFT(L607,3)=$O$7,LEFT(M607,3)=$O$7)),"x","")</f>
        <v/>
      </c>
      <c r="P607" s="52" t="str">
        <f>IF(AND($B607&gt;='111'!$N$11,$B607&lt;='111'!$O$11,OR($L607=$P$7,$M607=$P$7)),"x","")</f>
        <v>x</v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52"/>
      <c r="AB607" s="552"/>
      <c r="AC607" s="552"/>
    </row>
    <row r="608" spans="1:32" s="209" customFormat="1" ht="15.75" customHeight="1">
      <c r="A608" s="202" t="str">
        <f>IF(B608&lt;&gt;"",IF(AND(B608&gt;=_TM1,B608&lt;=_TM2,OR(TH!L608="1111",TH!M608="1111")),TH!D608,""),"")</f>
        <v/>
      </c>
      <c r="B608" s="36">
        <f t="shared" si="33"/>
        <v>4</v>
      </c>
      <c r="C608" s="839">
        <f t="shared" si="34"/>
        <v>42461</v>
      </c>
      <c r="D608" s="839" t="s">
        <v>332</v>
      </c>
      <c r="E608" s="839">
        <v>42461</v>
      </c>
      <c r="F608" s="845" t="s">
        <v>1428</v>
      </c>
      <c r="G608" s="841"/>
      <c r="H608" s="875"/>
      <c r="I608" s="842"/>
      <c r="J608" s="842"/>
      <c r="K608" s="849">
        <f>30750000-750000</f>
        <v>30000000</v>
      </c>
      <c r="L608" s="876" t="s">
        <v>164</v>
      </c>
      <c r="M608" s="876" t="s">
        <v>259</v>
      </c>
      <c r="N608" s="52" t="str">
        <f>IF(AND('331-CT'!$E$7=TH!H608,OR(L608="331",M608="331")),"331",IF(AND(OR(L608="131",M608="131"),H608='131-CT'!$E$7),"131",""))</f>
        <v/>
      </c>
      <c r="O608" s="818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77"/>
      <c r="AB608" s="877"/>
      <c r="AC608" s="877"/>
      <c r="AD608" s="877"/>
      <c r="AE608" s="877"/>
      <c r="AF608" s="877"/>
    </row>
    <row r="609" spans="1:32" s="209" customFormat="1" ht="15.75" customHeight="1">
      <c r="A609" s="202" t="str">
        <f>IF(B609&lt;&gt;"",IF(AND(B609&gt;=_TM1,B609&lt;=_TM2,OR(TH!L609="1111",TH!M609="1111")),TH!D609,""),"")</f>
        <v/>
      </c>
      <c r="B609" s="36">
        <f t="shared" si="33"/>
        <v>4</v>
      </c>
      <c r="C609" s="182">
        <f t="shared" si="34"/>
        <v>42461</v>
      </c>
      <c r="D609" s="189" t="s">
        <v>1185</v>
      </c>
      <c r="E609" s="182">
        <v>42461</v>
      </c>
      <c r="F609" s="187" t="s">
        <v>690</v>
      </c>
      <c r="G609" s="451" t="s">
        <v>828</v>
      </c>
      <c r="H609" s="7" t="s">
        <v>829</v>
      </c>
      <c r="I609" s="251">
        <v>18441</v>
      </c>
      <c r="J609" s="251">
        <v>8600</v>
      </c>
      <c r="K609" s="38">
        <f>ROUND(I609*J609,0)</f>
        <v>158592600</v>
      </c>
      <c r="L609" s="192" t="s">
        <v>158</v>
      </c>
      <c r="M609" s="192" t="s">
        <v>8</v>
      </c>
      <c r="N609" s="52" t="str">
        <f>IF(AND('331-CT'!$E$7=TH!H609,OR(L609="331",M609="331")),"331",IF(AND(OR(L609="131",M609="131"),H609='131-CT'!$E$7),"131",""))</f>
        <v/>
      </c>
      <c r="O609" s="818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52">
        <v>2</v>
      </c>
      <c r="AB609" s="552"/>
      <c r="AC609" s="209" t="str">
        <f t="shared" ref="AC609:AC614" si="35">IF(VLOOKUP(H609,DSKH,1,0)=H609,"","x")</f>
        <v/>
      </c>
    </row>
    <row r="610" spans="1:32" s="209" customFormat="1" ht="15.75" customHeight="1">
      <c r="A610" s="202" t="str">
        <f>IF(B610&lt;&gt;"",IF(AND(B610&gt;=_TM1,B610&lt;=_TM2,OR(TH!L610="1111",TH!M610="1111")),TH!D610,""),"")</f>
        <v/>
      </c>
      <c r="B610" s="36">
        <f t="shared" si="33"/>
        <v>4</v>
      </c>
      <c r="C610" s="182">
        <f t="shared" si="34"/>
        <v>42461</v>
      </c>
      <c r="D610" s="189" t="s">
        <v>1185</v>
      </c>
      <c r="E610" s="182">
        <v>42461</v>
      </c>
      <c r="F610" s="187" t="s">
        <v>691</v>
      </c>
      <c r="G610" s="451" t="s">
        <v>828</v>
      </c>
      <c r="H610" s="7" t="s">
        <v>829</v>
      </c>
      <c r="I610" s="251"/>
      <c r="J610" s="251"/>
      <c r="K610" s="560">
        <v>15859260</v>
      </c>
      <c r="L610" s="192" t="s">
        <v>9</v>
      </c>
      <c r="M610" s="192" t="s">
        <v>8</v>
      </c>
      <c r="N610" s="52" t="str">
        <f>IF(AND('331-CT'!$E$7=TH!H610,OR(L610="331",M610="331")),"331",IF(AND(OR(L610="131",M610="131"),H610='131-CT'!$E$7),"131",""))</f>
        <v/>
      </c>
      <c r="O610" s="818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52">
        <v>2</v>
      </c>
      <c r="AB610" s="552"/>
      <c r="AC610" s="209" t="str">
        <f t="shared" si="35"/>
        <v/>
      </c>
    </row>
    <row r="611" spans="1:32" s="209" customFormat="1" ht="15.75" customHeight="1">
      <c r="A611" s="202" t="str">
        <f>IF(B611&lt;&gt;"",IF(AND(B611&gt;=_TM1,B611&lt;=_TM2,OR(TH!L611="1111",TH!M611="1111")),TH!D611,""),"")</f>
        <v/>
      </c>
      <c r="B611" s="36">
        <f t="shared" si="33"/>
        <v>4</v>
      </c>
      <c r="C611" s="182">
        <f t="shared" si="34"/>
        <v>42462</v>
      </c>
      <c r="D611" s="189" t="s">
        <v>1186</v>
      </c>
      <c r="E611" s="182">
        <v>42462</v>
      </c>
      <c r="F611" s="187" t="s">
        <v>680</v>
      </c>
      <c r="G611" s="451" t="s">
        <v>830</v>
      </c>
      <c r="H611" s="7" t="s">
        <v>1554</v>
      </c>
      <c r="I611" s="251">
        <v>7967</v>
      </c>
      <c r="J611" s="251">
        <v>9000</v>
      </c>
      <c r="K611" s="38">
        <f>ROUND(I611*J611,0)</f>
        <v>71703000</v>
      </c>
      <c r="L611" s="192" t="s">
        <v>158</v>
      </c>
      <c r="M611" s="192" t="s">
        <v>8</v>
      </c>
      <c r="N611" s="52" t="str">
        <f>IF(AND('331-CT'!$E$7=TH!H611,OR(L611="331",M611="331")),"331",IF(AND(OR(L611="131",M611="131"),H611='131-CT'!$E$7),"131",""))</f>
        <v/>
      </c>
      <c r="O611" s="818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52">
        <v>2</v>
      </c>
      <c r="AB611" s="552"/>
      <c r="AC611" s="209" t="str">
        <f t="shared" si="35"/>
        <v/>
      </c>
    </row>
    <row r="612" spans="1:32" s="209" customFormat="1" ht="15.75" customHeight="1">
      <c r="A612" s="202" t="str">
        <f>IF(B612&lt;&gt;"",IF(AND(B612&gt;=_TM1,B612&lt;=_TM2,OR(TH!L612="1111",TH!M612="1111")),TH!D612,""),"")</f>
        <v/>
      </c>
      <c r="B612" s="36">
        <f t="shared" si="33"/>
        <v>4</v>
      </c>
      <c r="C612" s="182">
        <f t="shared" si="34"/>
        <v>42462</v>
      </c>
      <c r="D612" s="189" t="s">
        <v>1186</v>
      </c>
      <c r="E612" s="182">
        <v>42462</v>
      </c>
      <c r="F612" s="187" t="s">
        <v>681</v>
      </c>
      <c r="G612" s="451" t="s">
        <v>830</v>
      </c>
      <c r="H612" s="7" t="s">
        <v>1554</v>
      </c>
      <c r="I612" s="251"/>
      <c r="J612" s="251"/>
      <c r="K612" s="560">
        <v>7170300</v>
      </c>
      <c r="L612" s="192" t="s">
        <v>9</v>
      </c>
      <c r="M612" s="192" t="s">
        <v>8</v>
      </c>
      <c r="N612" s="52" t="str">
        <f>IF(AND('331-CT'!$E$7=TH!H612,OR(L612="331",M612="331")),"331",IF(AND(OR(L612="131",M612="131"),H612='131-CT'!$E$7),"131",""))</f>
        <v/>
      </c>
      <c r="O612" s="818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52">
        <v>2</v>
      </c>
      <c r="AB612" s="552"/>
      <c r="AC612" s="209" t="str">
        <f t="shared" si="35"/>
        <v/>
      </c>
      <c r="AE612" s="552"/>
      <c r="AF612" s="552"/>
    </row>
    <row r="613" spans="1:32" s="209" customFormat="1" ht="15.75" customHeight="1">
      <c r="A613" s="202" t="str">
        <f>IF(B613&lt;&gt;"",IF(AND(B613&gt;=_TM1,B613&lt;=_TM2,OR(TH!L613="1111",TH!M613="1111")),TH!D613,""),"")</f>
        <v/>
      </c>
      <c r="B613" s="36">
        <f t="shared" si="33"/>
        <v>4</v>
      </c>
      <c r="C613" s="182">
        <f t="shared" si="34"/>
        <v>42464</v>
      </c>
      <c r="D613" s="189" t="s">
        <v>1187</v>
      </c>
      <c r="E613" s="182">
        <v>42464</v>
      </c>
      <c r="F613" s="187" t="s">
        <v>680</v>
      </c>
      <c r="G613" s="451" t="s">
        <v>831</v>
      </c>
      <c r="H613" s="7" t="s">
        <v>1554</v>
      </c>
      <c r="I613" s="251">
        <v>7293</v>
      </c>
      <c r="J613" s="251">
        <v>9000</v>
      </c>
      <c r="K613" s="38">
        <f>ROUND(I613*J613,0)</f>
        <v>65637000</v>
      </c>
      <c r="L613" s="192" t="s">
        <v>158</v>
      </c>
      <c r="M613" s="192" t="s">
        <v>8</v>
      </c>
      <c r="N613" s="52" t="str">
        <f>IF(AND('331-CT'!$E$7=TH!H613,OR(L613="331",M613="331")),"331",IF(AND(OR(L613="131",M613="131"),H613='131-CT'!$E$7),"131",""))</f>
        <v/>
      </c>
      <c r="O613" s="818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52">
        <v>2</v>
      </c>
      <c r="AB613" s="552"/>
      <c r="AC613" s="209" t="str">
        <f t="shared" si="35"/>
        <v/>
      </c>
      <c r="AE613" s="552"/>
      <c r="AF613" s="552"/>
    </row>
    <row r="614" spans="1:32" s="209" customFormat="1" ht="15.75" customHeight="1">
      <c r="A614" s="202" t="str">
        <f>IF(B614&lt;&gt;"",IF(AND(B614&gt;=_TM1,B614&lt;=_TM2,OR(TH!L614="1111",TH!M614="1111")),TH!D614,""),"")</f>
        <v/>
      </c>
      <c r="B614" s="36">
        <f t="shared" si="33"/>
        <v>4</v>
      </c>
      <c r="C614" s="182">
        <f t="shared" si="34"/>
        <v>42464</v>
      </c>
      <c r="D614" s="189" t="s">
        <v>1187</v>
      </c>
      <c r="E614" s="182">
        <v>42464</v>
      </c>
      <c r="F614" s="187" t="s">
        <v>681</v>
      </c>
      <c r="G614" s="451" t="s">
        <v>831</v>
      </c>
      <c r="H614" s="7" t="s">
        <v>1554</v>
      </c>
      <c r="I614" s="251"/>
      <c r="J614" s="251"/>
      <c r="K614" s="560">
        <v>6563700</v>
      </c>
      <c r="L614" s="192" t="s">
        <v>9</v>
      </c>
      <c r="M614" s="192" t="s">
        <v>8</v>
      </c>
      <c r="N614" s="52" t="str">
        <f>IF(AND('331-CT'!$E$7=TH!H614,OR(L614="331",M614="331")),"331",IF(AND(OR(L614="131",M614="131"),H614='131-CT'!$E$7),"131",""))</f>
        <v/>
      </c>
      <c r="O614" s="818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52">
        <v>2</v>
      </c>
      <c r="AB614" s="552"/>
      <c r="AC614" s="209" t="str">
        <f t="shared" si="35"/>
        <v/>
      </c>
      <c r="AE614" s="552"/>
      <c r="AF614" s="552"/>
    </row>
    <row r="615" spans="1:32" s="209" customFormat="1" ht="15.75" customHeight="1">
      <c r="A615" s="202" t="str">
        <f>IF(B615&lt;&gt;"",IF(AND(B615&gt;=_TM1,B615&lt;=_TM2,OR(TH!L615="1111",TH!M615="1111")),TH!D615,""),"")</f>
        <v/>
      </c>
      <c r="B615" s="36">
        <f t="shared" si="33"/>
        <v>4</v>
      </c>
      <c r="C615" s="182">
        <f t="shared" si="34"/>
        <v>42464</v>
      </c>
      <c r="D615" s="189" t="s">
        <v>1076</v>
      </c>
      <c r="E615" s="189">
        <v>42464</v>
      </c>
      <c r="F615" s="187" t="s">
        <v>1310</v>
      </c>
      <c r="G615" s="451" t="s">
        <v>497</v>
      </c>
      <c r="H615" s="191" t="s">
        <v>615</v>
      </c>
      <c r="I615" s="251">
        <v>300</v>
      </c>
      <c r="J615" s="251">
        <v>15300</v>
      </c>
      <c r="K615" s="38">
        <f>ROUND(I615*J615,0)</f>
        <v>4590000</v>
      </c>
      <c r="L615" s="192" t="s">
        <v>258</v>
      </c>
      <c r="M615" s="192" t="s">
        <v>173</v>
      </c>
      <c r="N615" s="52" t="str">
        <f>IF(AND('331-CT'!$E$7=TH!H615,OR(L615="331",M615="331")),"331",IF(AND(OR(L615="131",M615="131"),H615='131-CT'!$E$7),"131",""))</f>
        <v/>
      </c>
      <c r="O615" s="818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52"/>
      <c r="AB615" s="552"/>
      <c r="AC615" s="552"/>
    </row>
    <row r="616" spans="1:32" s="209" customFormat="1" ht="15.75" customHeight="1">
      <c r="A616" s="202" t="str">
        <f>IF(B616&lt;&gt;"",IF(AND(B616&gt;=_TM1,B616&lt;=_TM2,OR(TH!L616="1111",TH!M616="1111")),TH!D616,""),"")</f>
        <v/>
      </c>
      <c r="B616" s="36">
        <f t="shared" si="33"/>
        <v>4</v>
      </c>
      <c r="C616" s="182">
        <f t="shared" si="34"/>
        <v>42464</v>
      </c>
      <c r="D616" s="189" t="s">
        <v>1076</v>
      </c>
      <c r="E616" s="189">
        <v>42464</v>
      </c>
      <c r="F616" s="190" t="s">
        <v>393</v>
      </c>
      <c r="G616" s="451" t="s">
        <v>497</v>
      </c>
      <c r="H616" s="191" t="s">
        <v>615</v>
      </c>
      <c r="I616" s="251"/>
      <c r="J616" s="251"/>
      <c r="K616" s="560">
        <v>459000</v>
      </c>
      <c r="L616" s="192" t="s">
        <v>258</v>
      </c>
      <c r="M616" s="192" t="s">
        <v>367</v>
      </c>
      <c r="N616" s="52" t="str">
        <f>IF(AND('331-CT'!$E$7=TH!H616,OR(L616="331",M616="331")),"331",IF(AND(OR(L616="131",M616="131"),H616='131-CT'!$E$7),"131",""))</f>
        <v/>
      </c>
      <c r="O616" s="818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52"/>
      <c r="AB616" s="552"/>
      <c r="AC616" s="552"/>
    </row>
    <row r="617" spans="1:32" s="209" customFormat="1" ht="15.75" customHeight="1">
      <c r="A617" s="202" t="str">
        <f>IF(B617&lt;&gt;"",IF(AND(B617&gt;=_TM1,B617&lt;=_TM2,OR(TH!L617="1111",TH!M617="1111")),TH!D617,""),"")</f>
        <v/>
      </c>
      <c r="B617" s="36">
        <f t="shared" si="33"/>
        <v>4</v>
      </c>
      <c r="C617" s="182">
        <f t="shared" si="34"/>
        <v>42465</v>
      </c>
      <c r="D617" s="182" t="s">
        <v>354</v>
      </c>
      <c r="E617" s="189">
        <v>42465</v>
      </c>
      <c r="F617" s="40" t="s">
        <v>666</v>
      </c>
      <c r="G617" s="451" t="s">
        <v>1597</v>
      </c>
      <c r="H617" s="7" t="s">
        <v>1598</v>
      </c>
      <c r="I617" s="252"/>
      <c r="J617" s="252"/>
      <c r="K617" s="560">
        <v>2853400</v>
      </c>
      <c r="L617" s="561" t="s">
        <v>47</v>
      </c>
      <c r="M617" s="561" t="s">
        <v>258</v>
      </c>
      <c r="N617" s="52" t="str">
        <f>IF(AND('331-CT'!$E$7=TH!H617,OR(L617="331",M617="331")),"331",IF(AND(OR(L617="131",M617="131"),H617='131-CT'!$E$7),"131",""))</f>
        <v/>
      </c>
      <c r="O617" s="818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52"/>
      <c r="AB617" s="552"/>
      <c r="AC617" s="552"/>
    </row>
    <row r="618" spans="1:32" s="209" customFormat="1" ht="15.75" customHeight="1">
      <c r="A618" s="202" t="str">
        <f>IF(B618&lt;&gt;"",IF(AND(B618&gt;=_TM1,B618&lt;=_TM2,OR(TH!L618="1111",TH!M618="1111")),TH!D618,""),"")</f>
        <v/>
      </c>
      <c r="B618" s="36">
        <f t="shared" si="33"/>
        <v>4</v>
      </c>
      <c r="C618" s="182">
        <f t="shared" si="34"/>
        <v>42467</v>
      </c>
      <c r="D618" s="189" t="s">
        <v>1188</v>
      </c>
      <c r="E618" s="182">
        <v>42467</v>
      </c>
      <c r="F618" s="187" t="s">
        <v>690</v>
      </c>
      <c r="G618" s="451" t="s">
        <v>832</v>
      </c>
      <c r="H618" s="7" t="s">
        <v>829</v>
      </c>
      <c r="I618" s="251">
        <v>1800</v>
      </c>
      <c r="J618" s="251">
        <v>7200</v>
      </c>
      <c r="K618" s="38">
        <f>ROUND(I618*J618,0)</f>
        <v>12960000</v>
      </c>
      <c r="L618" s="192" t="s">
        <v>158</v>
      </c>
      <c r="M618" s="192" t="s">
        <v>8</v>
      </c>
      <c r="N618" s="52" t="str">
        <f>IF(AND('331-CT'!$E$7=TH!H618,OR(L618="331",M618="331")),"331",IF(AND(OR(L618="131",M618="131"),H618='131-CT'!$E$7),"131",""))</f>
        <v/>
      </c>
      <c r="O618" s="818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52">
        <v>2</v>
      </c>
      <c r="AB618" s="552"/>
      <c r="AC618" s="209" t="str">
        <f>IF(VLOOKUP(H618,DSKH,1,0)=H618,"","x")</f>
        <v/>
      </c>
      <c r="AE618" s="552"/>
      <c r="AF618" s="552"/>
    </row>
    <row r="619" spans="1:32" s="209" customFormat="1" ht="15.75" customHeight="1">
      <c r="A619" s="202" t="str">
        <f>IF(B619&lt;&gt;"",IF(AND(B619&gt;=_TM1,B619&lt;=_TM2,OR(TH!L619="1111",TH!M619="1111")),TH!D619,""),"")</f>
        <v/>
      </c>
      <c r="B619" s="36">
        <f t="shared" si="33"/>
        <v>4</v>
      </c>
      <c r="C619" s="182">
        <f t="shared" si="34"/>
        <v>42467</v>
      </c>
      <c r="D619" s="189" t="s">
        <v>1188</v>
      </c>
      <c r="E619" s="182">
        <v>42467</v>
      </c>
      <c r="F619" s="187" t="s">
        <v>691</v>
      </c>
      <c r="G619" s="451" t="s">
        <v>832</v>
      </c>
      <c r="H619" s="7" t="s">
        <v>829</v>
      </c>
      <c r="I619" s="251"/>
      <c r="J619" s="251"/>
      <c r="K619" s="560">
        <v>1296000</v>
      </c>
      <c r="L619" s="192" t="s">
        <v>9</v>
      </c>
      <c r="M619" s="192" t="s">
        <v>8</v>
      </c>
      <c r="N619" s="52" t="str">
        <f>IF(AND('331-CT'!$E$7=TH!H619,OR(L619="331",M619="331")),"331",IF(AND(OR(L619="131",M619="131"),H619='131-CT'!$E$7),"131",""))</f>
        <v/>
      </c>
      <c r="O619" s="818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52">
        <v>2</v>
      </c>
      <c r="AB619" s="552"/>
      <c r="AC619" s="209" t="str">
        <f>IF(VLOOKUP(H619,DSKH,1,0)=H619,"","x")</f>
        <v/>
      </c>
      <c r="AE619" s="552"/>
      <c r="AF619" s="552"/>
    </row>
    <row r="620" spans="1:32" s="209" customFormat="1" ht="15.75" customHeight="1">
      <c r="A620" s="202" t="str">
        <f>IF(B620&lt;&gt;"",IF(AND(B620&gt;=_TM1,B620&lt;=_TM2,OR(TH!L620="1111",TH!M620="1111")),TH!D620,""),"")</f>
        <v/>
      </c>
      <c r="B620" s="36">
        <f t="shared" si="33"/>
        <v>4</v>
      </c>
      <c r="C620" s="182">
        <f t="shared" si="34"/>
        <v>42467</v>
      </c>
      <c r="D620" s="189" t="s">
        <v>1189</v>
      </c>
      <c r="E620" s="182">
        <v>42467</v>
      </c>
      <c r="F620" s="187" t="s">
        <v>690</v>
      </c>
      <c r="G620" s="451" t="s">
        <v>833</v>
      </c>
      <c r="H620" s="7" t="s">
        <v>829</v>
      </c>
      <c r="I620" s="251">
        <v>2033</v>
      </c>
      <c r="J620" s="251">
        <v>7200</v>
      </c>
      <c r="K620" s="38">
        <f>ROUND(I620*J620,0)</f>
        <v>14637600</v>
      </c>
      <c r="L620" s="192" t="s">
        <v>158</v>
      </c>
      <c r="M620" s="192" t="s">
        <v>8</v>
      </c>
      <c r="N620" s="52" t="str">
        <f>IF(AND('331-CT'!$E$7=TH!H620,OR(L620="331",M620="331")),"331",IF(AND(OR(L620="131",M620="131"),H620='131-CT'!$E$7),"131",""))</f>
        <v/>
      </c>
      <c r="O620" s="818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52">
        <v>2</v>
      </c>
      <c r="AB620" s="552"/>
      <c r="AC620" s="209" t="str">
        <f>IF(VLOOKUP(H620,DSKH,1,0)=H620,"","x")</f>
        <v/>
      </c>
      <c r="AE620" s="552"/>
      <c r="AF620" s="552"/>
    </row>
    <row r="621" spans="1:32" s="209" customFormat="1" ht="15.75" customHeight="1">
      <c r="A621" s="202" t="str">
        <f>IF(B621&lt;&gt;"",IF(AND(B621&gt;=_TM1,B621&lt;=_TM2,OR(TH!L621="1111",TH!M621="1111")),TH!D621,""),"")</f>
        <v/>
      </c>
      <c r="B621" s="36">
        <f t="shared" si="33"/>
        <v>4</v>
      </c>
      <c r="C621" s="182">
        <f t="shared" si="34"/>
        <v>42467</v>
      </c>
      <c r="D621" s="189" t="s">
        <v>1189</v>
      </c>
      <c r="E621" s="182">
        <v>42467</v>
      </c>
      <c r="F621" s="187" t="s">
        <v>691</v>
      </c>
      <c r="G621" s="451" t="s">
        <v>833</v>
      </c>
      <c r="H621" s="7" t="s">
        <v>829</v>
      </c>
      <c r="I621" s="251"/>
      <c r="J621" s="251"/>
      <c r="K621" s="560">
        <v>1463760</v>
      </c>
      <c r="L621" s="192" t="s">
        <v>9</v>
      </c>
      <c r="M621" s="192" t="s">
        <v>8</v>
      </c>
      <c r="N621" s="52" t="str">
        <f>IF(AND('331-CT'!$E$7=TH!H621,OR(L621="331",M621="331")),"331",IF(AND(OR(L621="131",M621="131"),H621='131-CT'!$E$7),"131",""))</f>
        <v/>
      </c>
      <c r="O621" s="818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52">
        <v>2</v>
      </c>
      <c r="AB621" s="552"/>
      <c r="AC621" s="209" t="str">
        <f>IF(VLOOKUP(H621,DSKH,1,0)=H621,"","x")</f>
        <v/>
      </c>
      <c r="AE621" s="552"/>
      <c r="AF621" s="552"/>
    </row>
    <row r="622" spans="1:32" s="209" customFormat="1" ht="15.75" customHeight="1">
      <c r="A622" s="202" t="str">
        <f>IF(B622&lt;&gt;"",IF(AND(B622&gt;=_TM1,B622&lt;=_TM2,OR(TH!L622="1111",TH!M622="1111")),TH!D622,""),"")</f>
        <v/>
      </c>
      <c r="B622" s="36">
        <f t="shared" si="33"/>
        <v>4</v>
      </c>
      <c r="C622" s="182">
        <f t="shared" si="34"/>
        <v>42467</v>
      </c>
      <c r="D622" s="189" t="s">
        <v>1077</v>
      </c>
      <c r="E622" s="189">
        <v>42467</v>
      </c>
      <c r="F622" s="190" t="s">
        <v>1443</v>
      </c>
      <c r="G622" s="451" t="s">
        <v>964</v>
      </c>
      <c r="H622" s="7" t="s">
        <v>399</v>
      </c>
      <c r="I622" s="251">
        <v>292</v>
      </c>
      <c r="J622" s="251">
        <v>10500</v>
      </c>
      <c r="K622" s="38">
        <f>ROUND(I622*J622,0)</f>
        <v>3066000</v>
      </c>
      <c r="L622" s="192" t="s">
        <v>258</v>
      </c>
      <c r="M622" s="192" t="s">
        <v>173</v>
      </c>
      <c r="N622" s="52" t="str">
        <f>IF(AND('331-CT'!$E$7=TH!H622,OR(L622="331",M622="331")),"331",IF(AND(OR(L622="131",M622="131"),H622='131-CT'!$E$7),"131",""))</f>
        <v/>
      </c>
      <c r="O622" s="818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52"/>
      <c r="AB622" s="552"/>
      <c r="AC622" s="552"/>
    </row>
    <row r="623" spans="1:32" s="209" customFormat="1" ht="15.75" customHeight="1">
      <c r="A623" s="202" t="str">
        <f>IF(B623&lt;&gt;"",IF(AND(B623&gt;=_TM1,B623&lt;=_TM2,OR(TH!L623="1111",TH!M623="1111")),TH!D623,""),"")</f>
        <v/>
      </c>
      <c r="B623" s="36">
        <f t="shared" si="33"/>
        <v>4</v>
      </c>
      <c r="C623" s="182">
        <f t="shared" si="34"/>
        <v>42467</v>
      </c>
      <c r="D623" s="189" t="s">
        <v>1077</v>
      </c>
      <c r="E623" s="189">
        <v>42467</v>
      </c>
      <c r="F623" s="190" t="s">
        <v>1443</v>
      </c>
      <c r="G623" s="451" t="s">
        <v>964</v>
      </c>
      <c r="H623" s="7" t="s">
        <v>399</v>
      </c>
      <c r="I623" s="251">
        <v>486</v>
      </c>
      <c r="J623" s="251">
        <v>10500</v>
      </c>
      <c r="K623" s="38">
        <f>ROUND(I623*J623,0)</f>
        <v>5103000</v>
      </c>
      <c r="L623" s="192" t="s">
        <v>258</v>
      </c>
      <c r="M623" s="192" t="s">
        <v>173</v>
      </c>
      <c r="N623" s="52" t="str">
        <f>IF(AND('331-CT'!$E$7=TH!H623,OR(L623="331",M623="331")),"331",IF(AND(OR(L623="131",M623="131"),H623='131-CT'!$E$7),"131",""))</f>
        <v/>
      </c>
      <c r="O623" s="818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52"/>
      <c r="AB623" s="552"/>
      <c r="AC623" s="552"/>
    </row>
    <row r="624" spans="1:32" s="209" customFormat="1" ht="15.75" customHeight="1">
      <c r="A624" s="202" t="str">
        <f>IF(B624&lt;&gt;"",IF(AND(B624&gt;=_TM1,B624&lt;=_TM2,OR(TH!L624="1111",TH!M624="1111")),TH!D624,""),"")</f>
        <v/>
      </c>
      <c r="B624" s="36">
        <f t="shared" si="33"/>
        <v>4</v>
      </c>
      <c r="C624" s="182">
        <f t="shared" si="34"/>
        <v>42467</v>
      </c>
      <c r="D624" s="189" t="s">
        <v>1077</v>
      </c>
      <c r="E624" s="189">
        <v>42467</v>
      </c>
      <c r="F624" s="190" t="s">
        <v>1443</v>
      </c>
      <c r="G624" s="451" t="s">
        <v>964</v>
      </c>
      <c r="H624" s="7" t="s">
        <v>399</v>
      </c>
      <c r="I624" s="251">
        <v>303</v>
      </c>
      <c r="J624" s="251">
        <v>10500</v>
      </c>
      <c r="K624" s="38">
        <f>ROUND(I624*J624,0)</f>
        <v>3181500</v>
      </c>
      <c r="L624" s="192" t="s">
        <v>258</v>
      </c>
      <c r="M624" s="192" t="s">
        <v>173</v>
      </c>
      <c r="N624" s="52" t="str">
        <f>IF(AND('331-CT'!$E$7=TH!H624,OR(L624="331",M624="331")),"331",IF(AND(OR(L624="131",M624="131"),H624='131-CT'!$E$7),"131",""))</f>
        <v/>
      </c>
      <c r="O624" s="818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52"/>
      <c r="AB624" s="552"/>
    </row>
    <row r="625" spans="1:29" s="209" customFormat="1" ht="15.75" customHeight="1">
      <c r="A625" s="202" t="str">
        <f>IF(B625&lt;&gt;"",IF(AND(B625&gt;=_TM1,B625&lt;=_TM2,OR(TH!L625="1111",TH!M625="1111")),TH!D625,""),"")</f>
        <v/>
      </c>
      <c r="B625" s="36">
        <f t="shared" si="33"/>
        <v>4</v>
      </c>
      <c r="C625" s="182">
        <f t="shared" si="34"/>
        <v>42467</v>
      </c>
      <c r="D625" s="189" t="s">
        <v>1077</v>
      </c>
      <c r="E625" s="189">
        <v>42467</v>
      </c>
      <c r="F625" s="187" t="s">
        <v>393</v>
      </c>
      <c r="G625" s="451" t="s">
        <v>964</v>
      </c>
      <c r="H625" s="7" t="s">
        <v>399</v>
      </c>
      <c r="I625" s="251"/>
      <c r="J625" s="251"/>
      <c r="K625" s="560">
        <v>1135050</v>
      </c>
      <c r="L625" s="192" t="s">
        <v>258</v>
      </c>
      <c r="M625" s="192" t="s">
        <v>367</v>
      </c>
      <c r="N625" s="52" t="str">
        <f>IF(AND('331-CT'!$E$7=TH!H625,OR(L625="331",M625="331")),"331",IF(AND(OR(L625="131",M625="131"),H625='131-CT'!$E$7),"131",""))</f>
        <v/>
      </c>
      <c r="O625" s="818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52"/>
      <c r="AB625" s="552"/>
      <c r="AC625" s="552"/>
    </row>
    <row r="626" spans="1:29" s="209" customFormat="1" ht="15.75" customHeight="1">
      <c r="A626" s="202" t="str">
        <f>IF(B626&lt;&gt;"",IF(AND(B626&gt;=_TM1,B626&lt;=_TM2,OR(TH!L626="1111",TH!M626="1111")),TH!D626,""),"")</f>
        <v/>
      </c>
      <c r="B626" s="36">
        <f t="shared" si="33"/>
        <v>4</v>
      </c>
      <c r="C626" s="182">
        <f t="shared" si="34"/>
        <v>42467</v>
      </c>
      <c r="D626" s="189" t="s">
        <v>1078</v>
      </c>
      <c r="E626" s="189">
        <v>42467</v>
      </c>
      <c r="F626" s="286" t="s">
        <v>965</v>
      </c>
      <c r="G626" s="451" t="s">
        <v>498</v>
      </c>
      <c r="H626" s="7" t="s">
        <v>797</v>
      </c>
      <c r="I626" s="252">
        <v>529</v>
      </c>
      <c r="J626" s="252">
        <v>5900</v>
      </c>
      <c r="K626" s="38">
        <f>ROUND(I626*J626,0)</f>
        <v>3121100</v>
      </c>
      <c r="L626" s="192" t="s">
        <v>258</v>
      </c>
      <c r="M626" s="192" t="s">
        <v>173</v>
      </c>
      <c r="N626" s="52" t="str">
        <f>IF(AND('331-CT'!$E$7=TH!H626,OR(L626="331",M626="331")),"331",IF(AND(OR(L626="131",M626="131"),H626='131-CT'!$E$7),"131",""))</f>
        <v/>
      </c>
      <c r="O626" s="818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52"/>
      <c r="AB626" s="552"/>
      <c r="AC626" s="552"/>
    </row>
    <row r="627" spans="1:29" s="209" customFormat="1" ht="15.75" customHeight="1">
      <c r="A627" s="202" t="str">
        <f>IF(B627&lt;&gt;"",IF(AND(B627&gt;=_TM1,B627&lt;=_TM2,OR(TH!L627="1111",TH!M627="1111")),TH!D627,""),"")</f>
        <v/>
      </c>
      <c r="B627" s="36">
        <f t="shared" si="33"/>
        <v>4</v>
      </c>
      <c r="C627" s="182">
        <f t="shared" si="34"/>
        <v>42467</v>
      </c>
      <c r="D627" s="189" t="s">
        <v>1078</v>
      </c>
      <c r="E627" s="189">
        <v>42467</v>
      </c>
      <c r="F627" s="190" t="s">
        <v>966</v>
      </c>
      <c r="G627" s="451" t="s">
        <v>498</v>
      </c>
      <c r="H627" s="7" t="s">
        <v>797</v>
      </c>
      <c r="I627" s="251">
        <v>497</v>
      </c>
      <c r="J627" s="251">
        <v>9100</v>
      </c>
      <c r="K627" s="38">
        <f>ROUND(I627*J627,0)</f>
        <v>4522700</v>
      </c>
      <c r="L627" s="192" t="s">
        <v>258</v>
      </c>
      <c r="M627" s="192" t="s">
        <v>173</v>
      </c>
      <c r="N627" s="52" t="str">
        <f>IF(AND('331-CT'!$E$7=TH!H627,OR(L627="331",M627="331")),"331",IF(AND(OR(L627="131",M627="131"),H627='131-CT'!$E$7),"131",""))</f>
        <v/>
      </c>
      <c r="O627" s="818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52"/>
      <c r="AB627" s="552"/>
      <c r="AC627" s="552"/>
    </row>
    <row r="628" spans="1:29" s="209" customFormat="1" ht="15.75" customHeight="1">
      <c r="A628" s="202" t="str">
        <f>IF(B628&lt;&gt;"",IF(AND(B628&gt;=_TM1,B628&lt;=_TM2,OR(TH!L628="1111",TH!M628="1111")),TH!D628,""),"")</f>
        <v/>
      </c>
      <c r="B628" s="36">
        <f t="shared" si="33"/>
        <v>4</v>
      </c>
      <c r="C628" s="182">
        <f t="shared" si="34"/>
        <v>42467</v>
      </c>
      <c r="D628" s="189" t="s">
        <v>1078</v>
      </c>
      <c r="E628" s="182">
        <v>42467</v>
      </c>
      <c r="F628" s="187" t="s">
        <v>956</v>
      </c>
      <c r="G628" s="562" t="s">
        <v>498</v>
      </c>
      <c r="H628" s="7" t="s">
        <v>797</v>
      </c>
      <c r="I628" s="251">
        <v>516</v>
      </c>
      <c r="J628" s="251">
        <v>6800</v>
      </c>
      <c r="K628" s="38">
        <f>ROUND(I628*J628,0)</f>
        <v>3508800</v>
      </c>
      <c r="L628" s="192" t="s">
        <v>258</v>
      </c>
      <c r="M628" s="192" t="s">
        <v>173</v>
      </c>
      <c r="N628" s="52" t="str">
        <f>IF(AND('331-CT'!$E$7=TH!H628,OR(L628="331",M628="331")),"331",IF(AND(OR(L628="131",M628="131"),H628='131-CT'!$E$7),"131",""))</f>
        <v/>
      </c>
      <c r="O628" s="818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52"/>
      <c r="AB628" s="552"/>
      <c r="AC628" s="552"/>
    </row>
    <row r="629" spans="1:29" s="209" customFormat="1" ht="15.75" customHeight="1">
      <c r="A629" s="202" t="str">
        <f>IF(B629&lt;&gt;"",IF(AND(B629&gt;=_TM1,B629&lt;=_TM2,OR(TH!L629="1111",TH!M629="1111")),TH!D629,""),"")</f>
        <v/>
      </c>
      <c r="B629" s="36">
        <f t="shared" si="33"/>
        <v>4</v>
      </c>
      <c r="C629" s="182">
        <f t="shared" si="34"/>
        <v>42467</v>
      </c>
      <c r="D629" s="189" t="s">
        <v>1078</v>
      </c>
      <c r="E629" s="189">
        <v>42467</v>
      </c>
      <c r="F629" s="190" t="s">
        <v>393</v>
      </c>
      <c r="G629" s="451" t="s">
        <v>498</v>
      </c>
      <c r="H629" s="7" t="s">
        <v>797</v>
      </c>
      <c r="I629" s="252"/>
      <c r="J629" s="252"/>
      <c r="K629" s="38">
        <v>1115260</v>
      </c>
      <c r="L629" s="192" t="s">
        <v>258</v>
      </c>
      <c r="M629" s="192" t="s">
        <v>367</v>
      </c>
      <c r="N629" s="52" t="str">
        <f>IF(AND('331-CT'!$E$7=TH!H629,OR(L629="331",M629="331")),"331",IF(AND(OR(L629="131",M629="131"),H629='131-CT'!$E$7),"131",""))</f>
        <v/>
      </c>
      <c r="O629" s="818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52"/>
      <c r="AB629" s="552"/>
      <c r="AC629" s="552"/>
    </row>
    <row r="630" spans="1:29" s="209" customFormat="1" ht="15.75" customHeight="1">
      <c r="A630" s="202" t="str">
        <f>IF(B630&lt;&gt;"",IF(AND(B630&gt;=_TM1,B630&lt;=_TM2,OR(TH!L630="1111",TH!M630="1111")),TH!D630,""),"")</f>
        <v/>
      </c>
      <c r="B630" s="36">
        <f t="shared" si="33"/>
        <v>4</v>
      </c>
      <c r="C630" s="182">
        <f t="shared" si="34"/>
        <v>42467</v>
      </c>
      <c r="D630" s="182" t="s">
        <v>355</v>
      </c>
      <c r="E630" s="189">
        <v>42467</v>
      </c>
      <c r="F630" s="40" t="s">
        <v>666</v>
      </c>
      <c r="G630" s="451" t="s">
        <v>1585</v>
      </c>
      <c r="H630" s="7" t="s">
        <v>1579</v>
      </c>
      <c r="I630" s="252"/>
      <c r="J630" s="252"/>
      <c r="K630" s="560">
        <v>16881700</v>
      </c>
      <c r="L630" s="561" t="s">
        <v>47</v>
      </c>
      <c r="M630" s="561" t="s">
        <v>258</v>
      </c>
      <c r="N630" s="52" t="str">
        <f>IF(AND('331-CT'!$E$7=TH!H630,OR(L630="331",M630="331")),"331",IF(AND(OR(L630="131",M630="131"),H630='131-CT'!$E$7),"131",""))</f>
        <v/>
      </c>
      <c r="O630" s="818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52"/>
      <c r="AB630" s="552"/>
      <c r="AC630" s="552"/>
    </row>
    <row r="631" spans="1:29" s="209" customFormat="1" ht="15.75" customHeight="1">
      <c r="A631" s="202" t="str">
        <f>IF(B631&lt;&gt;"",IF(AND(B631&gt;=_TM1,B631&lt;=_TM2,OR(TH!L631="1111",TH!M631="1111")),TH!D631,""),"")</f>
        <v/>
      </c>
      <c r="B631" s="36">
        <f t="shared" si="33"/>
        <v>4</v>
      </c>
      <c r="C631" s="182">
        <f t="shared" si="34"/>
        <v>42468</v>
      </c>
      <c r="D631" s="182" t="s">
        <v>665</v>
      </c>
      <c r="E631" s="691">
        <v>42468</v>
      </c>
      <c r="F631" s="190" t="s">
        <v>666</v>
      </c>
      <c r="G631" s="190" t="s">
        <v>330</v>
      </c>
      <c r="H631" s="191" t="s">
        <v>609</v>
      </c>
      <c r="I631" s="251"/>
      <c r="J631" s="251"/>
      <c r="K631" s="560">
        <v>98320332</v>
      </c>
      <c r="L631" s="192" t="s">
        <v>24</v>
      </c>
      <c r="M631" s="192" t="s">
        <v>258</v>
      </c>
      <c r="N631" s="52" t="str">
        <f>IF(AND('331-CT'!$E$7=TH!H631,OR(L631="331",M631="331")),"331",IF(AND(OR(L631="131",M631="131"),H631='131-CT'!$E$7),"131",""))</f>
        <v/>
      </c>
      <c r="O631" s="818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53"/>
      <c r="AB631" s="552"/>
      <c r="AC631" s="552"/>
    </row>
    <row r="632" spans="1:29" s="209" customFormat="1" ht="15.75" customHeight="1">
      <c r="A632" s="202" t="str">
        <f>IF(B632&lt;&gt;"",IF(AND(B632&gt;=_TM1,B632&lt;=_TM2,OR(TH!L632="1111",TH!M632="1111")),TH!D632,""),"")</f>
        <v/>
      </c>
      <c r="B632" s="36">
        <f t="shared" si="33"/>
        <v>4</v>
      </c>
      <c r="C632" s="182">
        <f t="shared" si="34"/>
        <v>42468</v>
      </c>
      <c r="D632" s="182" t="s">
        <v>669</v>
      </c>
      <c r="E632" s="691">
        <v>42468</v>
      </c>
      <c r="F632" s="187" t="s">
        <v>791</v>
      </c>
      <c r="G632" s="190" t="s">
        <v>330</v>
      </c>
      <c r="H632" s="7" t="s">
        <v>792</v>
      </c>
      <c r="I632" s="251"/>
      <c r="J632" s="251"/>
      <c r="K632" s="560">
        <v>40700000</v>
      </c>
      <c r="L632" s="192" t="s">
        <v>8</v>
      </c>
      <c r="M632" s="192" t="s">
        <v>24</v>
      </c>
      <c r="N632" s="52" t="str">
        <f>IF(AND('331-CT'!$E$7=TH!H632,OR(L632="331",M632="331")),"331",IF(AND(OR(L632="131",M632="131"),H632='131-CT'!$E$7),"131",""))</f>
        <v/>
      </c>
      <c r="O632" s="818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53"/>
      <c r="AB632" s="552"/>
    </row>
    <row r="633" spans="1:29" s="209" customFormat="1" ht="15.75" customHeight="1">
      <c r="A633" s="202" t="str">
        <f>IF(B633&lt;&gt;"",IF(AND(B633&gt;=_TM1,B633&lt;=_TM2,OR(TH!L633="1111",TH!M633="1111")),TH!D633,""),"")</f>
        <v/>
      </c>
      <c r="B633" s="36">
        <f t="shared" si="33"/>
        <v>4</v>
      </c>
      <c r="C633" s="182">
        <f t="shared" si="34"/>
        <v>42468</v>
      </c>
      <c r="D633" s="182" t="s">
        <v>669</v>
      </c>
      <c r="E633" s="691">
        <v>42468</v>
      </c>
      <c r="F633" s="190" t="s">
        <v>671</v>
      </c>
      <c r="G633" s="190" t="s">
        <v>330</v>
      </c>
      <c r="H633" s="7" t="s">
        <v>1554</v>
      </c>
      <c r="I633" s="251"/>
      <c r="J633" s="251"/>
      <c r="K633" s="560">
        <v>26189560</v>
      </c>
      <c r="L633" s="192" t="s">
        <v>8</v>
      </c>
      <c r="M633" s="192" t="s">
        <v>24</v>
      </c>
      <c r="N633" s="52" t="str">
        <f>IF(AND('331-CT'!$E$7=TH!H633,OR(L633="331",M633="331")),"331",IF(AND(OR(L633="131",M633="131"),H633='131-CT'!$E$7),"131",""))</f>
        <v/>
      </c>
      <c r="O633" s="818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53"/>
      <c r="AB633" s="552"/>
      <c r="AC633" s="552"/>
    </row>
    <row r="634" spans="1:29" s="209" customFormat="1" ht="15.75" customHeight="1">
      <c r="A634" s="202" t="str">
        <f>IF(B634&lt;&gt;"",IF(AND(B634&gt;=_TM1,B634&lt;=_TM2,OR(TH!L634="1111",TH!M634="1111")),TH!D634,""),"")</f>
        <v/>
      </c>
      <c r="B634" s="36">
        <f t="shared" si="33"/>
        <v>4</v>
      </c>
      <c r="C634" s="182">
        <f t="shared" si="34"/>
        <v>42468</v>
      </c>
      <c r="D634" s="182" t="s">
        <v>359</v>
      </c>
      <c r="E634" s="691">
        <v>42468</v>
      </c>
      <c r="F634" s="190" t="s">
        <v>670</v>
      </c>
      <c r="G634" s="190" t="s">
        <v>330</v>
      </c>
      <c r="H634" s="7" t="s">
        <v>675</v>
      </c>
      <c r="I634" s="251"/>
      <c r="J634" s="251"/>
      <c r="K634" s="560">
        <v>30700000</v>
      </c>
      <c r="L634" s="192" t="s">
        <v>47</v>
      </c>
      <c r="M634" s="192" t="s">
        <v>24</v>
      </c>
      <c r="N634" s="52" t="str">
        <f>IF(AND('331-CT'!$E$7=TH!H634,OR(L634="331",M634="331")),"331",IF(AND(OR(L634="131",M634="131"),H634='131-CT'!$E$7),"131",""))</f>
        <v/>
      </c>
      <c r="O634" s="818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53"/>
      <c r="AB634" s="552"/>
    </row>
    <row r="635" spans="1:29" s="209" customFormat="1" ht="15.75" customHeight="1">
      <c r="A635" s="202" t="str">
        <f>IF(B635&lt;&gt;"",IF(AND(B635&gt;=_TM1,B635&lt;=_TM2,OR(TH!L635="1111",TH!M635="1111")),TH!D635,""),"")</f>
        <v/>
      </c>
      <c r="B635" s="36">
        <f t="shared" si="33"/>
        <v>4</v>
      </c>
      <c r="C635" s="182">
        <f t="shared" si="34"/>
        <v>42468</v>
      </c>
      <c r="D635" s="182" t="s">
        <v>669</v>
      </c>
      <c r="E635" s="691">
        <v>42468</v>
      </c>
      <c r="F635" s="190" t="s">
        <v>672</v>
      </c>
      <c r="G635" s="190" t="s">
        <v>330</v>
      </c>
      <c r="H635" s="191"/>
      <c r="I635" s="251"/>
      <c r="J635" s="251"/>
      <c r="K635" s="560">
        <v>13636</v>
      </c>
      <c r="L635" s="192" t="s">
        <v>83</v>
      </c>
      <c r="M635" s="192" t="s">
        <v>24</v>
      </c>
      <c r="N635" s="52" t="str">
        <f>IF(AND('331-CT'!$E$7=TH!H635,OR(L635="331",M635="331")),"331",IF(AND(OR(L635="131",M635="131"),H635='131-CT'!$E$7),"131",""))</f>
        <v/>
      </c>
      <c r="O635" s="818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52">
        <v>2</v>
      </c>
      <c r="AB635" s="552"/>
      <c r="AC635" s="552"/>
    </row>
    <row r="636" spans="1:29" s="209" customFormat="1" ht="15.75" customHeight="1">
      <c r="A636" s="202" t="str">
        <f>IF(B636&lt;&gt;"",IF(AND(B636&gt;=_TM1,B636&lt;=_TM2,OR(TH!L636="1111",TH!M636="1111")),TH!D636,""),"")</f>
        <v/>
      </c>
      <c r="B636" s="36">
        <f t="shared" si="33"/>
        <v>4</v>
      </c>
      <c r="C636" s="182">
        <f t="shared" si="34"/>
        <v>42468</v>
      </c>
      <c r="D636" s="182" t="s">
        <v>669</v>
      </c>
      <c r="E636" s="691">
        <v>42468</v>
      </c>
      <c r="F636" s="190" t="s">
        <v>762</v>
      </c>
      <c r="G636" s="190" t="s">
        <v>330</v>
      </c>
      <c r="H636" s="191"/>
      <c r="I636" s="251"/>
      <c r="J636" s="251"/>
      <c r="K636" s="560">
        <v>1364</v>
      </c>
      <c r="L636" s="192" t="s">
        <v>9</v>
      </c>
      <c r="M636" s="192" t="s">
        <v>24</v>
      </c>
      <c r="N636" s="52" t="str">
        <f>IF(AND('331-CT'!$E$7=TH!H636,OR(L636="331",M636="331")),"331",IF(AND(OR(L636="131",M636="131"),H636='131-CT'!$E$7),"131",""))</f>
        <v/>
      </c>
      <c r="O636" s="818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52">
        <v>2</v>
      </c>
      <c r="AB636" s="552"/>
    </row>
    <row r="637" spans="1:29" s="209" customFormat="1" ht="15.75" customHeight="1">
      <c r="A637" s="202" t="str">
        <f>IF(B637&lt;&gt;"",IF(AND(B637&gt;=_TM1,B637&lt;=_TM2,OR(TH!L637="1111",TH!M637="1111")),TH!D637,""),"")</f>
        <v/>
      </c>
      <c r="B637" s="36">
        <f t="shared" si="33"/>
        <v>4</v>
      </c>
      <c r="C637" s="182">
        <f t="shared" si="34"/>
        <v>42468</v>
      </c>
      <c r="D637" s="189" t="s">
        <v>1079</v>
      </c>
      <c r="E637" s="182">
        <v>42468</v>
      </c>
      <c r="F637" s="187" t="s">
        <v>436</v>
      </c>
      <c r="G637" s="562" t="s">
        <v>500</v>
      </c>
      <c r="H637" s="828" t="s">
        <v>565</v>
      </c>
      <c r="I637" s="251">
        <v>652</v>
      </c>
      <c r="J637" s="251">
        <v>7300</v>
      </c>
      <c r="K637" s="38">
        <f>ROUND(I637*J637,0)</f>
        <v>4759600</v>
      </c>
      <c r="L637" s="192" t="s">
        <v>258</v>
      </c>
      <c r="M637" s="192" t="s">
        <v>173</v>
      </c>
      <c r="N637" s="52" t="str">
        <f>IF(AND('331-CT'!$E$7=TH!H637,OR(L637="331",M637="331")),"331",IF(AND(OR(L637="131",M637="131"),H637='131-CT'!$E$7),"131",""))</f>
        <v/>
      </c>
      <c r="O637" s="818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52"/>
      <c r="AB637" s="552"/>
      <c r="AC637" s="552"/>
    </row>
    <row r="638" spans="1:29" s="209" customFormat="1" ht="15.75" customHeight="1">
      <c r="A638" s="202" t="str">
        <f>IF(B638&lt;&gt;"",IF(AND(B638&gt;=_TM1,B638&lt;=_TM2,OR(TH!L638="1111",TH!M638="1111")),TH!D638,""),"")</f>
        <v/>
      </c>
      <c r="B638" s="36">
        <f t="shared" si="33"/>
        <v>4</v>
      </c>
      <c r="C638" s="182">
        <f t="shared" si="34"/>
        <v>42468</v>
      </c>
      <c r="D638" s="189" t="s">
        <v>1079</v>
      </c>
      <c r="E638" s="182">
        <v>42468</v>
      </c>
      <c r="F638" s="190" t="s">
        <v>436</v>
      </c>
      <c r="G638" s="562" t="s">
        <v>500</v>
      </c>
      <c r="H638" s="828" t="s">
        <v>565</v>
      </c>
      <c r="I638" s="251">
        <v>1495</v>
      </c>
      <c r="J638" s="251">
        <v>5900</v>
      </c>
      <c r="K638" s="38">
        <f>ROUND(I638*J638,0)</f>
        <v>8820500</v>
      </c>
      <c r="L638" s="192" t="s">
        <v>258</v>
      </c>
      <c r="M638" s="192" t="s">
        <v>173</v>
      </c>
      <c r="N638" s="52" t="str">
        <f>IF(AND('331-CT'!$E$7=TH!H638,OR(L638="331",M638="331")),"331",IF(AND(OR(L638="131",M638="131"),H638='131-CT'!$E$7),"131",""))</f>
        <v/>
      </c>
      <c r="O638" s="818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52"/>
      <c r="AB638" s="552"/>
    </row>
    <row r="639" spans="1:29" s="209" customFormat="1" ht="15.75" customHeight="1">
      <c r="A639" s="202" t="str">
        <f>IF(B639&lt;&gt;"",IF(AND(B639&gt;=_TM1,B639&lt;=_TM2,OR(TH!L639="1111",TH!M639="1111")),TH!D639,""),"")</f>
        <v/>
      </c>
      <c r="B639" s="36">
        <f t="shared" si="33"/>
        <v>4</v>
      </c>
      <c r="C639" s="182">
        <f t="shared" si="34"/>
        <v>42468</v>
      </c>
      <c r="D639" s="189" t="s">
        <v>1079</v>
      </c>
      <c r="E639" s="189">
        <v>42468</v>
      </c>
      <c r="F639" s="190" t="s">
        <v>393</v>
      </c>
      <c r="G639" s="451" t="s">
        <v>500</v>
      </c>
      <c r="H639" s="828" t="s">
        <v>565</v>
      </c>
      <c r="I639" s="251"/>
      <c r="J639" s="251"/>
      <c r="K639" s="560">
        <v>1358010</v>
      </c>
      <c r="L639" s="192" t="s">
        <v>258</v>
      </c>
      <c r="M639" s="192" t="s">
        <v>367</v>
      </c>
      <c r="N639" s="52" t="str">
        <f>IF(AND('331-CT'!$E$7=TH!H639,OR(L639="331",M639="331")),"331",IF(AND(OR(L639="131",M639="131"),H639='131-CT'!$E$7),"131",""))</f>
        <v/>
      </c>
      <c r="O639" s="818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52"/>
      <c r="AB639" s="552"/>
      <c r="AC639" s="552"/>
    </row>
    <row r="640" spans="1:29" s="209" customFormat="1" ht="15.75" customHeight="1">
      <c r="A640" s="202" t="str">
        <f>IF(B640&lt;&gt;"",IF(AND(B640&gt;=_TM1,B640&lt;=_TM2,OR(TH!L640="1111",TH!M640="1111")),TH!D640,""),"")</f>
        <v/>
      </c>
      <c r="B640" s="36">
        <f t="shared" si="33"/>
        <v>4</v>
      </c>
      <c r="C640" s="182">
        <f t="shared" si="34"/>
        <v>42468</v>
      </c>
      <c r="D640" s="189" t="s">
        <v>1080</v>
      </c>
      <c r="E640" s="189">
        <v>42468</v>
      </c>
      <c r="F640" s="190" t="s">
        <v>638</v>
      </c>
      <c r="G640" s="451" t="s">
        <v>502</v>
      </c>
      <c r="H640" s="7" t="s">
        <v>788</v>
      </c>
      <c r="I640" s="251">
        <v>210</v>
      </c>
      <c r="J640" s="251">
        <v>6000</v>
      </c>
      <c r="K640" s="38">
        <f>ROUND(I640*J640,0)</f>
        <v>1260000</v>
      </c>
      <c r="L640" s="192" t="s">
        <v>258</v>
      </c>
      <c r="M640" s="192" t="s">
        <v>173</v>
      </c>
      <c r="N640" s="52" t="str">
        <f>IF(AND('331-CT'!$E$7=TH!H640,OR(L640="331",M640="331")),"331",IF(AND(OR(L640="131",M640="131"),H640='131-CT'!$E$7),"131",""))</f>
        <v/>
      </c>
      <c r="O640" s="818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52"/>
      <c r="AB640" s="552"/>
      <c r="AC640" s="552"/>
    </row>
    <row r="641" spans="1:30" s="209" customFormat="1" ht="15.75" customHeight="1">
      <c r="A641" s="202" t="str">
        <f>IF(B641&lt;&gt;"",IF(AND(B641&gt;=_TM1,B641&lt;=_TM2,OR(TH!L641="1111",TH!M641="1111")),TH!D641,""),"")</f>
        <v/>
      </c>
      <c r="B641" s="36">
        <f t="shared" si="33"/>
        <v>4</v>
      </c>
      <c r="C641" s="182">
        <f t="shared" si="34"/>
        <v>42468</v>
      </c>
      <c r="D641" s="189" t="s">
        <v>1080</v>
      </c>
      <c r="E641" s="189">
        <v>42468</v>
      </c>
      <c r="F641" s="190" t="s">
        <v>639</v>
      </c>
      <c r="G641" s="451" t="s">
        <v>502</v>
      </c>
      <c r="H641" s="7" t="s">
        <v>788</v>
      </c>
      <c r="I641" s="251">
        <v>320</v>
      </c>
      <c r="J641" s="251">
        <v>6600</v>
      </c>
      <c r="K641" s="38">
        <f>ROUND(I641*J641,0)</f>
        <v>2112000</v>
      </c>
      <c r="L641" s="192" t="s">
        <v>258</v>
      </c>
      <c r="M641" s="192" t="s">
        <v>173</v>
      </c>
      <c r="N641" s="52" t="str">
        <f>IF(AND('331-CT'!$E$7=TH!H641,OR(L641="331",M641="331")),"331",IF(AND(OR(L641="131",M641="131"),H641='131-CT'!$E$7),"131",""))</f>
        <v/>
      </c>
      <c r="O641" s="818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52"/>
      <c r="AB641" s="552"/>
      <c r="AC641" s="552"/>
    </row>
    <row r="642" spans="1:30" s="209" customFormat="1" ht="15.75" customHeight="1">
      <c r="A642" s="202" t="str">
        <f>IF(B642&lt;&gt;"",IF(AND(B642&gt;=_TM1,B642&lt;=_TM2,OR(TH!L642="1111",TH!M642="1111")),TH!D642,""),"")</f>
        <v/>
      </c>
      <c r="B642" s="36">
        <f t="shared" si="33"/>
        <v>4</v>
      </c>
      <c r="C642" s="182">
        <f t="shared" si="34"/>
        <v>42468</v>
      </c>
      <c r="D642" s="189" t="s">
        <v>1080</v>
      </c>
      <c r="E642" s="189">
        <v>42468</v>
      </c>
      <c r="F642" s="190" t="s">
        <v>393</v>
      </c>
      <c r="G642" s="451" t="s">
        <v>502</v>
      </c>
      <c r="H642" s="7" t="s">
        <v>788</v>
      </c>
      <c r="I642" s="251"/>
      <c r="J642" s="251"/>
      <c r="K642" s="38">
        <v>337200</v>
      </c>
      <c r="L642" s="192" t="s">
        <v>258</v>
      </c>
      <c r="M642" s="192" t="s">
        <v>367</v>
      </c>
      <c r="N642" s="52" t="str">
        <f>IF(AND('331-CT'!$E$7=TH!H642,OR(L642="331",M642="331")),"331",IF(AND(OR(L642="131",M642="131"),H642='131-CT'!$E$7),"131",""))</f>
        <v/>
      </c>
      <c r="O642" s="818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52"/>
      <c r="AB642" s="552"/>
      <c r="AC642" s="552"/>
    </row>
    <row r="643" spans="1:30" s="209" customFormat="1" ht="15.75" customHeight="1">
      <c r="A643" s="202" t="str">
        <f>IF(B643&lt;&gt;"",IF(AND(B643&gt;=_TM1,B643&lt;=_TM2,OR(TH!L643="1111",TH!M643="1111")),TH!D643,""),"")</f>
        <v/>
      </c>
      <c r="B643" s="36">
        <f t="shared" si="33"/>
        <v>4</v>
      </c>
      <c r="C643" s="182">
        <f t="shared" si="34"/>
        <v>42468</v>
      </c>
      <c r="D643" s="189" t="s">
        <v>1081</v>
      </c>
      <c r="E643" s="189">
        <v>42468</v>
      </c>
      <c r="F643" s="187" t="s">
        <v>1434</v>
      </c>
      <c r="G643" s="451" t="s">
        <v>503</v>
      </c>
      <c r="H643" s="191" t="s">
        <v>615</v>
      </c>
      <c r="I643" s="251">
        <v>200</v>
      </c>
      <c r="J643" s="251">
        <v>10900</v>
      </c>
      <c r="K643" s="38">
        <f>ROUND(I643*J643,0)</f>
        <v>2180000</v>
      </c>
      <c r="L643" s="192" t="s">
        <v>258</v>
      </c>
      <c r="M643" s="192" t="s">
        <v>173</v>
      </c>
      <c r="N643" s="52" t="str">
        <f>IF(AND('331-CT'!$E$7=TH!H643,OR(L643="331",M643="331")),"331",IF(AND(OR(L643="131",M643="131"),H643='131-CT'!$E$7),"131",""))</f>
        <v/>
      </c>
      <c r="O643" s="818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52"/>
      <c r="AB643" s="552"/>
      <c r="AC643" s="552"/>
    </row>
    <row r="644" spans="1:30" s="209" customFormat="1" ht="15.75" customHeight="1">
      <c r="A644" s="202" t="str">
        <f>IF(B644&lt;&gt;"",IF(AND(B644&gt;=_TM1,B644&lt;=_TM2,OR(TH!L644="1111",TH!M644="1111")),TH!D644,""),"")</f>
        <v/>
      </c>
      <c r="B644" s="36">
        <f t="shared" si="33"/>
        <v>4</v>
      </c>
      <c r="C644" s="182">
        <f t="shared" si="34"/>
        <v>42468</v>
      </c>
      <c r="D644" s="189" t="s">
        <v>1081</v>
      </c>
      <c r="E644" s="189">
        <v>42468</v>
      </c>
      <c r="F644" s="190" t="s">
        <v>1435</v>
      </c>
      <c r="G644" s="451" t="s">
        <v>503</v>
      </c>
      <c r="H644" s="191" t="s">
        <v>615</v>
      </c>
      <c r="I644" s="251">
        <v>200</v>
      </c>
      <c r="J644" s="251">
        <v>11700</v>
      </c>
      <c r="K644" s="38">
        <f>ROUND(I644*J644,0)</f>
        <v>2340000</v>
      </c>
      <c r="L644" s="192" t="s">
        <v>258</v>
      </c>
      <c r="M644" s="192" t="s">
        <v>173</v>
      </c>
      <c r="N644" s="52" t="str">
        <f>IF(AND('331-CT'!$E$7=TH!H644,OR(L644="331",M644="331")),"331",IF(AND(OR(L644="131",M644="131"),H644='131-CT'!$E$7),"131",""))</f>
        <v/>
      </c>
      <c r="O644" s="818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52"/>
      <c r="AB644" s="552"/>
      <c r="AC644" s="552"/>
    </row>
    <row r="645" spans="1:30" s="209" customFormat="1" ht="15.75" customHeight="1">
      <c r="A645" s="202" t="str">
        <f>IF(B645&lt;&gt;"",IF(AND(B645&gt;=_TM1,B645&lt;=_TM2,OR(TH!L645="1111",TH!M645="1111")),TH!D645,""),"")</f>
        <v/>
      </c>
      <c r="B645" s="36">
        <f t="shared" si="33"/>
        <v>4</v>
      </c>
      <c r="C645" s="182">
        <f t="shared" si="34"/>
        <v>42468</v>
      </c>
      <c r="D645" s="189" t="s">
        <v>1081</v>
      </c>
      <c r="E645" s="182">
        <v>42468</v>
      </c>
      <c r="F645" s="187" t="s">
        <v>1306</v>
      </c>
      <c r="G645" s="562" t="s">
        <v>503</v>
      </c>
      <c r="H645" s="191" t="s">
        <v>615</v>
      </c>
      <c r="I645" s="251">
        <v>200</v>
      </c>
      <c r="J645" s="251">
        <v>12400</v>
      </c>
      <c r="K645" s="38">
        <f>ROUND(I645*J645,0)</f>
        <v>2480000</v>
      </c>
      <c r="L645" s="192" t="s">
        <v>258</v>
      </c>
      <c r="M645" s="192" t="s">
        <v>173</v>
      </c>
      <c r="N645" s="52" t="str">
        <f>IF(AND('331-CT'!$E$7=TH!H645,OR(L645="331",M645="331")),"331",IF(AND(OR(L645="131",M645="131"),H645='131-CT'!$E$7),"131",""))</f>
        <v/>
      </c>
      <c r="O645" s="818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52"/>
      <c r="AB645" s="552"/>
      <c r="AC645" s="552"/>
    </row>
    <row r="646" spans="1:30" s="209" customFormat="1" ht="15.75" customHeight="1">
      <c r="A646" s="202" t="str">
        <f>IF(B646&lt;&gt;"",IF(AND(B646&gt;=_TM1,B646&lt;=_TM2,OR(TH!L646="1111",TH!M646="1111")),TH!D646,""),"")</f>
        <v/>
      </c>
      <c r="B646" s="36">
        <f t="shared" si="33"/>
        <v>4</v>
      </c>
      <c r="C646" s="182">
        <f t="shared" si="34"/>
        <v>42468</v>
      </c>
      <c r="D646" s="189" t="s">
        <v>1081</v>
      </c>
      <c r="E646" s="189">
        <v>42468</v>
      </c>
      <c r="F646" s="187" t="s">
        <v>1307</v>
      </c>
      <c r="G646" s="451" t="s">
        <v>503</v>
      </c>
      <c r="H646" s="191" t="s">
        <v>615</v>
      </c>
      <c r="I646" s="251">
        <v>200</v>
      </c>
      <c r="J646" s="251">
        <v>14200</v>
      </c>
      <c r="K646" s="38">
        <f>ROUND(I646*J646,0)</f>
        <v>2840000</v>
      </c>
      <c r="L646" s="192" t="s">
        <v>258</v>
      </c>
      <c r="M646" s="192" t="s">
        <v>173</v>
      </c>
      <c r="N646" s="52" t="str">
        <f>IF(AND('331-CT'!$E$7=TH!H646,OR(L646="331",M646="331")),"331",IF(AND(OR(L646="131",M646="131"),H646='131-CT'!$E$7),"131",""))</f>
        <v/>
      </c>
      <c r="O646" s="818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52"/>
      <c r="AB646" s="552"/>
      <c r="AC646" s="552"/>
    </row>
    <row r="647" spans="1:30" s="209" customFormat="1" ht="15.75" customHeight="1">
      <c r="A647" s="202" t="str">
        <f>IF(B647&lt;&gt;"",IF(AND(B647&gt;=_TM1,B647&lt;=_TM2,OR(TH!L647="1111",TH!M647="1111")),TH!D647,""),"")</f>
        <v/>
      </c>
      <c r="B647" s="36">
        <f t="shared" si="33"/>
        <v>4</v>
      </c>
      <c r="C647" s="182">
        <f t="shared" si="34"/>
        <v>42468</v>
      </c>
      <c r="D647" s="189" t="s">
        <v>1081</v>
      </c>
      <c r="E647" s="189">
        <v>42468</v>
      </c>
      <c r="F647" s="190" t="s">
        <v>393</v>
      </c>
      <c r="G647" s="451" t="s">
        <v>503</v>
      </c>
      <c r="H647" s="191" t="s">
        <v>615</v>
      </c>
      <c r="I647" s="251"/>
      <c r="J647" s="251"/>
      <c r="K647" s="38">
        <v>984000</v>
      </c>
      <c r="L647" s="192" t="s">
        <v>258</v>
      </c>
      <c r="M647" s="192" t="s">
        <v>367</v>
      </c>
      <c r="N647" s="52" t="str">
        <f>IF(AND('331-CT'!$E$7=TH!H647,OR(L647="331",M647="331")),"331",IF(AND(OR(L647="131",M647="131"),H647='131-CT'!$E$7),"131",""))</f>
        <v/>
      </c>
      <c r="O647" s="818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52"/>
      <c r="AB647" s="552"/>
    </row>
    <row r="648" spans="1:30" s="209" customFormat="1" ht="15.75" customHeight="1">
      <c r="A648" s="202" t="str">
        <f>IF(B648&lt;&gt;"",IF(AND(B648&gt;=_TM1,B648&lt;=_TM2,OR(TH!L648="1111",TH!M648="1111")),TH!D648,""),"")</f>
        <v/>
      </c>
      <c r="B648" s="36">
        <f t="shared" si="33"/>
        <v>4</v>
      </c>
      <c r="C648" s="182">
        <f t="shared" si="34"/>
        <v>42468</v>
      </c>
      <c r="D648" s="189" t="s">
        <v>1082</v>
      </c>
      <c r="E648" s="189">
        <v>42468</v>
      </c>
      <c r="F648" s="190" t="s">
        <v>911</v>
      </c>
      <c r="G648" s="451" t="s">
        <v>504</v>
      </c>
      <c r="H648" s="7" t="s">
        <v>784</v>
      </c>
      <c r="I648" s="251">
        <v>40</v>
      </c>
      <c r="J648" s="251">
        <v>24700</v>
      </c>
      <c r="K648" s="38">
        <f>ROUND(I648*J648,0)</f>
        <v>988000</v>
      </c>
      <c r="L648" s="192" t="s">
        <v>258</v>
      </c>
      <c r="M648" s="192" t="s">
        <v>173</v>
      </c>
      <c r="N648" s="52" t="str">
        <f>IF(AND('331-CT'!$E$7=TH!H648,OR(L648="331",M648="331")),"331",IF(AND(OR(L648="131",M648="131"),H648='131-CT'!$E$7),"131",""))</f>
        <v/>
      </c>
      <c r="O648" s="818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52"/>
      <c r="AB648" s="552"/>
      <c r="AC648" s="552"/>
    </row>
    <row r="649" spans="1:30" s="209" customFormat="1" ht="15.75" customHeight="1">
      <c r="A649" s="202" t="str">
        <f>IF(B649&lt;&gt;"",IF(AND(B649&gt;=_TM1,B649&lt;=_TM2,OR(TH!L649="1111",TH!M649="1111")),TH!D649,""),"")</f>
        <v/>
      </c>
      <c r="B649" s="36">
        <f t="shared" si="33"/>
        <v>4</v>
      </c>
      <c r="C649" s="182">
        <f t="shared" si="34"/>
        <v>42468</v>
      </c>
      <c r="D649" s="189" t="s">
        <v>1082</v>
      </c>
      <c r="E649" s="189">
        <v>42468</v>
      </c>
      <c r="F649" s="190" t="s">
        <v>393</v>
      </c>
      <c r="G649" s="451" t="s">
        <v>504</v>
      </c>
      <c r="H649" s="7" t="s">
        <v>784</v>
      </c>
      <c r="I649" s="251"/>
      <c r="J649" s="251"/>
      <c r="K649" s="38">
        <v>98800</v>
      </c>
      <c r="L649" s="192" t="s">
        <v>258</v>
      </c>
      <c r="M649" s="192" t="s">
        <v>367</v>
      </c>
      <c r="N649" s="52" t="str">
        <f>IF(AND('331-CT'!$E$7=TH!H649,OR(L649="331",M649="331")),"331",IF(AND(OR(L649="131",M649="131"),H649='131-CT'!$E$7),"131",""))</f>
        <v/>
      </c>
      <c r="O649" s="818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52"/>
      <c r="AB649" s="552"/>
      <c r="AC649" s="552"/>
    </row>
    <row r="650" spans="1:30" s="209" customFormat="1" ht="15.75" customHeight="1">
      <c r="A650" s="202" t="str">
        <f>IF(B650&lt;&gt;"",IF(AND(B650&gt;=_TM1,B650&lt;=_TM2,OR(TH!L650="1111",TH!M650="1111")),TH!D650,""),"")</f>
        <v/>
      </c>
      <c r="B650" s="36">
        <f t="shared" si="33"/>
        <v>4</v>
      </c>
      <c r="C650" s="182">
        <f t="shared" si="34"/>
        <v>42468</v>
      </c>
      <c r="D650" s="189" t="s">
        <v>1083</v>
      </c>
      <c r="E650" s="189">
        <v>42468</v>
      </c>
      <c r="F650" s="187" t="s">
        <v>967</v>
      </c>
      <c r="G650" s="451" t="s">
        <v>505</v>
      </c>
      <c r="H650" s="7" t="s">
        <v>778</v>
      </c>
      <c r="I650" s="251">
        <v>540</v>
      </c>
      <c r="J650" s="251">
        <v>11000</v>
      </c>
      <c r="K650" s="38">
        <f>ROUND(I650*J650,0)</f>
        <v>5940000</v>
      </c>
      <c r="L650" s="192" t="s">
        <v>258</v>
      </c>
      <c r="M650" s="192" t="s">
        <v>173</v>
      </c>
      <c r="N650" s="52" t="str">
        <f>IF(AND('331-CT'!$E$7=TH!H650,OR(L650="331",M650="331")),"331",IF(AND(OR(L650="131",M650="131"),H650='131-CT'!$E$7),"131",""))</f>
        <v/>
      </c>
      <c r="O650" s="818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52"/>
      <c r="AB650" s="552"/>
      <c r="AC650" s="552"/>
    </row>
    <row r="651" spans="1:30" s="209" customFormat="1" ht="15.75" customHeight="1">
      <c r="A651" s="202" t="str">
        <f>IF(B651&lt;&gt;"",IF(AND(B651&gt;=_TM1,B651&lt;=_TM2,OR(TH!L651="1111",TH!M651="1111")),TH!D651,""),"")</f>
        <v/>
      </c>
      <c r="B651" s="36">
        <f t="shared" si="33"/>
        <v>4</v>
      </c>
      <c r="C651" s="182">
        <f t="shared" si="34"/>
        <v>42468</v>
      </c>
      <c r="D651" s="189" t="s">
        <v>1083</v>
      </c>
      <c r="E651" s="189">
        <v>42468</v>
      </c>
      <c r="F651" s="187" t="s">
        <v>393</v>
      </c>
      <c r="G651" s="451" t="s">
        <v>505</v>
      </c>
      <c r="H651" s="7" t="s">
        <v>778</v>
      </c>
      <c r="I651" s="251"/>
      <c r="J651" s="251"/>
      <c r="K651" s="560">
        <v>594000</v>
      </c>
      <c r="L651" s="192" t="s">
        <v>258</v>
      </c>
      <c r="M651" s="192" t="s">
        <v>367</v>
      </c>
      <c r="N651" s="52" t="str">
        <f>IF(AND('331-CT'!$E$7=TH!H651,OR(L651="331",M651="331")),"331",IF(AND(OR(L651="131",M651="131"),H651='131-CT'!$E$7),"131",""))</f>
        <v/>
      </c>
      <c r="O651" s="818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52"/>
      <c r="AB651" s="552"/>
    </row>
    <row r="652" spans="1:30" s="209" customFormat="1" ht="15.75" customHeight="1">
      <c r="A652" s="202" t="str">
        <f>IF(B652&lt;&gt;"",IF(AND(B652&gt;=_TM1,B652&lt;=_TM2,OR(TH!L652="1111",TH!M652="1111")),TH!D652,""),"")</f>
        <v/>
      </c>
      <c r="B652" s="36">
        <f t="shared" si="33"/>
        <v>4</v>
      </c>
      <c r="C652" s="182">
        <f t="shared" si="34"/>
        <v>42468</v>
      </c>
      <c r="D652" s="189" t="s">
        <v>1084</v>
      </c>
      <c r="E652" s="189">
        <v>42468</v>
      </c>
      <c r="F652" s="190" t="s">
        <v>1437</v>
      </c>
      <c r="G652" s="451" t="s">
        <v>506</v>
      </c>
      <c r="H652" s="7" t="s">
        <v>643</v>
      </c>
      <c r="I652" s="251">
        <v>3000</v>
      </c>
      <c r="J652" s="251">
        <v>5200</v>
      </c>
      <c r="K652" s="38">
        <f>ROUND(I652*J652,0)</f>
        <v>15600000</v>
      </c>
      <c r="L652" s="192" t="s">
        <v>258</v>
      </c>
      <c r="M652" s="192" t="s">
        <v>173</v>
      </c>
      <c r="N652" s="52" t="str">
        <f>IF(AND('331-CT'!$E$7=TH!H652,OR(L652="331",M652="331")),"331",IF(AND(OR(L652="131",M652="131"),H652='131-CT'!$E$7),"131",""))</f>
        <v/>
      </c>
      <c r="O652" s="818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52"/>
      <c r="AB652" s="552"/>
      <c r="AC652" s="552"/>
    </row>
    <row r="653" spans="1:30" s="209" customFormat="1" ht="15.75" customHeight="1">
      <c r="A653" s="202" t="str">
        <f>IF(B653&lt;&gt;"",IF(AND(B653&gt;=_TM1,B653&lt;=_TM2,OR(TH!L653="1111",TH!M653="1111")),TH!D653,""),"")</f>
        <v/>
      </c>
      <c r="B653" s="36">
        <f t="shared" si="33"/>
        <v>4</v>
      </c>
      <c r="C653" s="182">
        <f t="shared" si="34"/>
        <v>42468</v>
      </c>
      <c r="D653" s="189" t="s">
        <v>1084</v>
      </c>
      <c r="E653" s="189">
        <v>42468</v>
      </c>
      <c r="F653" s="187" t="s">
        <v>393</v>
      </c>
      <c r="G653" s="451" t="s">
        <v>506</v>
      </c>
      <c r="H653" s="7" t="s">
        <v>643</v>
      </c>
      <c r="I653" s="251"/>
      <c r="J653" s="251"/>
      <c r="K653" s="560">
        <v>1560000</v>
      </c>
      <c r="L653" s="192" t="s">
        <v>258</v>
      </c>
      <c r="M653" s="192" t="s">
        <v>367</v>
      </c>
      <c r="N653" s="52" t="str">
        <f>IF(AND('331-CT'!$E$7=TH!H653,OR(L653="331",M653="331")),"331",IF(AND(OR(L653="131",M653="131"),H653='131-CT'!$E$7),"131",""))</f>
        <v/>
      </c>
      <c r="O653" s="818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52"/>
      <c r="AB653" s="552"/>
    </row>
    <row r="654" spans="1:30" s="209" customFormat="1" ht="15.75" customHeight="1">
      <c r="A654" s="202" t="str">
        <f>IF(B654&lt;&gt;"",IF(AND(B654&gt;=_TM1,B654&lt;=_TM2,OR(TH!L654="1111",TH!M654="1111")),TH!D654,""),"")</f>
        <v/>
      </c>
      <c r="B654" s="36">
        <f t="shared" si="33"/>
        <v>4</v>
      </c>
      <c r="C654" s="182">
        <f t="shared" si="34"/>
        <v>42471</v>
      </c>
      <c r="D654" s="182" t="s">
        <v>665</v>
      </c>
      <c r="E654" s="691">
        <v>42471</v>
      </c>
      <c r="F654" s="190" t="s">
        <v>666</v>
      </c>
      <c r="G654" s="190" t="s">
        <v>330</v>
      </c>
      <c r="H654" s="191" t="s">
        <v>615</v>
      </c>
      <c r="I654" s="251"/>
      <c r="J654" s="251"/>
      <c r="K654" s="560">
        <v>62150000</v>
      </c>
      <c r="L654" s="192" t="s">
        <v>24</v>
      </c>
      <c r="M654" s="192" t="s">
        <v>258</v>
      </c>
      <c r="N654" s="52" t="str">
        <f>IF(AND('331-CT'!$E$7=TH!H654,OR(L654="331",M654="331")),"331",IF(AND(OR(L654="131",M654="131"),H654='131-CT'!$E$7),"131",""))</f>
        <v/>
      </c>
      <c r="O654" s="818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53"/>
      <c r="AB654" s="552"/>
    </row>
    <row r="655" spans="1:30" s="209" customFormat="1" ht="15.75" customHeight="1">
      <c r="A655" s="202" t="str">
        <f>IF(B655&lt;&gt;"",IF(AND(B655&gt;=_TM1,B655&lt;=_TM2,OR(TH!L655="1111",TH!M655="1111")),TH!D655,""),"")</f>
        <v/>
      </c>
      <c r="B655" s="36">
        <f t="shared" si="33"/>
        <v>4</v>
      </c>
      <c r="C655" s="182">
        <f t="shared" si="34"/>
        <v>42471</v>
      </c>
      <c r="D655" s="182" t="s">
        <v>669</v>
      </c>
      <c r="E655" s="691">
        <v>42471</v>
      </c>
      <c r="F655" s="190" t="s">
        <v>793</v>
      </c>
      <c r="G655" s="190" t="s">
        <v>330</v>
      </c>
      <c r="H655" s="7" t="s">
        <v>1457</v>
      </c>
      <c r="I655" s="251"/>
      <c r="J655" s="251"/>
      <c r="K655" s="560">
        <v>5000000</v>
      </c>
      <c r="L655" s="192" t="s">
        <v>8</v>
      </c>
      <c r="M655" s="192" t="s">
        <v>24</v>
      </c>
      <c r="N655" s="52" t="str">
        <f>IF(AND('331-CT'!$E$7=TH!H655,OR(L655="331",M655="331")),"331",IF(AND(OR(L655="131",M655="131"),H655='131-CT'!$E$7),"131",""))</f>
        <v/>
      </c>
      <c r="O655" s="818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53"/>
      <c r="AB655" s="552"/>
      <c r="AC655" s="552"/>
      <c r="AD655" s="552"/>
    </row>
    <row r="656" spans="1:30" s="209" customFormat="1" ht="15.75" customHeight="1">
      <c r="A656" s="202" t="str">
        <f>IF(B656&lt;&gt;"",IF(AND(B656&gt;=_TM1,B656&lt;=_TM2,OR(TH!L656="1111",TH!M656="1111")),TH!D656,""),"")</f>
        <v/>
      </c>
      <c r="B656" s="36">
        <f t="shared" si="33"/>
        <v>4</v>
      </c>
      <c r="C656" s="182">
        <f t="shared" si="34"/>
        <v>42471</v>
      </c>
      <c r="D656" s="182" t="s">
        <v>669</v>
      </c>
      <c r="E656" s="691">
        <v>42471</v>
      </c>
      <c r="F656" s="190" t="s">
        <v>793</v>
      </c>
      <c r="G656" s="190" t="s">
        <v>330</v>
      </c>
      <c r="H656" s="7" t="s">
        <v>1452</v>
      </c>
      <c r="I656" s="251"/>
      <c r="J656" s="251"/>
      <c r="K656" s="560">
        <v>15000000</v>
      </c>
      <c r="L656" s="192" t="s">
        <v>8</v>
      </c>
      <c r="M656" s="192" t="s">
        <v>24</v>
      </c>
      <c r="N656" s="52" t="str">
        <f>IF(AND('331-CT'!$E$7=TH!H656,OR(L656="331",M656="331")),"331",IF(AND(OR(L656="131",M656="131"),H656='131-CT'!$E$7),"131",""))</f>
        <v/>
      </c>
      <c r="O656" s="818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53"/>
      <c r="AB656" s="552"/>
      <c r="AC656" s="552"/>
    </row>
    <row r="657" spans="1:30" s="209" customFormat="1" ht="15.75" customHeight="1">
      <c r="A657" s="202" t="str">
        <f>IF(B657&lt;&gt;"",IF(AND(B657&gt;=_TM1,B657&lt;=_TM2,OR(TH!L657="1111",TH!M657="1111")),TH!D657,""),"")</f>
        <v/>
      </c>
      <c r="B657" s="36">
        <f t="shared" si="33"/>
        <v>4</v>
      </c>
      <c r="C657" s="182">
        <f t="shared" si="34"/>
        <v>42471</v>
      </c>
      <c r="D657" s="182" t="s">
        <v>669</v>
      </c>
      <c r="E657" s="691">
        <v>42471</v>
      </c>
      <c r="F657" s="190" t="s">
        <v>793</v>
      </c>
      <c r="G657" s="190" t="s">
        <v>330</v>
      </c>
      <c r="H657" s="7" t="s">
        <v>1453</v>
      </c>
      <c r="I657" s="251"/>
      <c r="J657" s="251"/>
      <c r="K657" s="560">
        <v>10000000</v>
      </c>
      <c r="L657" s="192" t="s">
        <v>8</v>
      </c>
      <c r="M657" s="192" t="s">
        <v>24</v>
      </c>
      <c r="N657" s="52" t="str">
        <f>IF(AND('331-CT'!$E$7=TH!H657,OR(L657="331",M657="331")),"331",IF(AND(OR(L657="131",M657="131"),H657='131-CT'!$E$7),"131",""))</f>
        <v/>
      </c>
      <c r="O657" s="818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53"/>
      <c r="AB657" s="552"/>
      <c r="AC657" s="552"/>
      <c r="AD657" s="552"/>
    </row>
    <row r="658" spans="1:30" s="209" customFormat="1" ht="15.75" customHeight="1">
      <c r="A658" s="202" t="str">
        <f>IF(B658&lt;&gt;"",IF(AND(B658&gt;=_TM1,B658&lt;=_TM2,OR(TH!L658="1111",TH!M658="1111")),TH!D658,""),"")</f>
        <v/>
      </c>
      <c r="B658" s="36">
        <f t="shared" si="33"/>
        <v>4</v>
      </c>
      <c r="C658" s="182">
        <f t="shared" si="34"/>
        <v>42471</v>
      </c>
      <c r="D658" s="182" t="s">
        <v>669</v>
      </c>
      <c r="E658" s="691">
        <v>42471</v>
      </c>
      <c r="F658" s="190" t="s">
        <v>672</v>
      </c>
      <c r="G658" s="190" t="s">
        <v>330</v>
      </c>
      <c r="H658" s="191"/>
      <c r="I658" s="251"/>
      <c r="J658" s="251"/>
      <c r="K658" s="560">
        <v>13636</v>
      </c>
      <c r="L658" s="192" t="s">
        <v>83</v>
      </c>
      <c r="M658" s="192" t="s">
        <v>24</v>
      </c>
      <c r="N658" s="52" t="str">
        <f>IF(AND('331-CT'!$E$7=TH!H658,OR(L658="331",M658="331")),"331",IF(AND(OR(L658="131",M658="131"),H658='131-CT'!$E$7),"131",""))</f>
        <v/>
      </c>
      <c r="O658" s="818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>x</v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52">
        <v>2</v>
      </c>
      <c r="AB658" s="552"/>
    </row>
    <row r="659" spans="1:30" s="209" customFormat="1" ht="15.75" customHeight="1">
      <c r="A659" s="202" t="str">
        <f>IF(B659&lt;&gt;"",IF(AND(B659&gt;=_TM1,B659&lt;=_TM2,OR(TH!L659="1111",TH!M659="1111")),TH!D659,""),"")</f>
        <v/>
      </c>
      <c r="B659" s="36">
        <f t="shared" si="33"/>
        <v>4</v>
      </c>
      <c r="C659" s="182">
        <f t="shared" si="34"/>
        <v>42471</v>
      </c>
      <c r="D659" s="182" t="s">
        <v>669</v>
      </c>
      <c r="E659" s="691">
        <v>42471</v>
      </c>
      <c r="F659" s="190" t="s">
        <v>762</v>
      </c>
      <c r="G659" s="190" t="s">
        <v>330</v>
      </c>
      <c r="H659" s="191"/>
      <c r="I659" s="251"/>
      <c r="J659" s="251"/>
      <c r="K659" s="560">
        <v>1364</v>
      </c>
      <c r="L659" s="192" t="s">
        <v>9</v>
      </c>
      <c r="M659" s="192" t="s">
        <v>24</v>
      </c>
      <c r="N659" s="52" t="str">
        <f>IF(AND('331-CT'!$E$7=TH!H659,OR(L659="331",M659="331")),"331",IF(AND(OR(L659="131",M659="131"),H659='131-CT'!$E$7),"131",""))</f>
        <v/>
      </c>
      <c r="O659" s="818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52">
        <v>2</v>
      </c>
      <c r="AB659" s="552"/>
      <c r="AC659" s="552"/>
    </row>
    <row r="660" spans="1:30" s="209" customFormat="1" ht="15.75" customHeight="1">
      <c r="A660" s="202" t="str">
        <f>IF(B660&lt;&gt;"",IF(AND(B660&gt;=_TM1,B660&lt;=_TM2,OR(TH!L660="1111",TH!M660="1111")),TH!D660,""),"")</f>
        <v/>
      </c>
      <c r="B660" s="36">
        <f t="shared" ref="B660:B723" si="36">IF(C660&lt;&gt;"",MONTH(C660),"")</f>
        <v>4</v>
      </c>
      <c r="C660" s="182">
        <f t="shared" ref="C660:C723" si="37">E660</f>
        <v>42471</v>
      </c>
      <c r="D660" s="182" t="s">
        <v>669</v>
      </c>
      <c r="E660" s="691">
        <v>42471</v>
      </c>
      <c r="F660" s="190" t="s">
        <v>672</v>
      </c>
      <c r="G660" s="190" t="s">
        <v>330</v>
      </c>
      <c r="H660" s="191"/>
      <c r="I660" s="251"/>
      <c r="J660" s="251"/>
      <c r="K660" s="560">
        <v>13636</v>
      </c>
      <c r="L660" s="192" t="s">
        <v>83</v>
      </c>
      <c r="M660" s="192" t="s">
        <v>24</v>
      </c>
      <c r="N660" s="52" t="str">
        <f>IF(AND('331-CT'!$E$7=TH!H660,OR(L660="331",M660="331")),"331",IF(AND(OR(L660="131",M660="131"),H660='131-CT'!$E$7),"131",""))</f>
        <v/>
      </c>
      <c r="O660" s="818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>x</v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52">
        <v>2</v>
      </c>
      <c r="AB660" s="552"/>
      <c r="AC660" s="552"/>
    </row>
    <row r="661" spans="1:30" s="209" customFormat="1" ht="15.75" customHeight="1">
      <c r="A661" s="202" t="str">
        <f>IF(B661&lt;&gt;"",IF(AND(B661&gt;=_TM1,B661&lt;=_TM2,OR(TH!L661="1111",TH!M661="1111")),TH!D661,""),"")</f>
        <v/>
      </c>
      <c r="B661" s="36">
        <f t="shared" si="36"/>
        <v>4</v>
      </c>
      <c r="C661" s="182">
        <f t="shared" si="37"/>
        <v>42471</v>
      </c>
      <c r="D661" s="182" t="s">
        <v>669</v>
      </c>
      <c r="E661" s="691">
        <v>42471</v>
      </c>
      <c r="F661" s="190" t="s">
        <v>762</v>
      </c>
      <c r="G661" s="190" t="s">
        <v>330</v>
      </c>
      <c r="H661" s="7"/>
      <c r="I661" s="251"/>
      <c r="J661" s="251"/>
      <c r="K661" s="560">
        <v>1364</v>
      </c>
      <c r="L661" s="192" t="s">
        <v>9</v>
      </c>
      <c r="M661" s="192" t="s">
        <v>24</v>
      </c>
      <c r="N661" s="52" t="str">
        <f>IF(AND('331-CT'!$E$7=TH!H661,OR(L661="331",M661="331")),"331",IF(AND(OR(L661="131",M661="131"),H661='131-CT'!$E$7),"131",""))</f>
        <v/>
      </c>
      <c r="O661" s="818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52">
        <v>2</v>
      </c>
      <c r="AB661" s="552"/>
      <c r="AC661" s="552"/>
      <c r="AD661" s="552"/>
    </row>
    <row r="662" spans="1:30" s="209" customFormat="1" ht="15.75" customHeight="1">
      <c r="A662" s="202" t="str">
        <f>IF(B662&lt;&gt;"",IF(AND(B662&gt;=_TM1,B662&lt;=_TM2,OR(TH!L662="1111",TH!M662="1111")),TH!D662,""),"")</f>
        <v/>
      </c>
      <c r="B662" s="36">
        <f t="shared" si="36"/>
        <v>4</v>
      </c>
      <c r="C662" s="182">
        <f t="shared" si="37"/>
        <v>42471</v>
      </c>
      <c r="D662" s="182" t="s">
        <v>669</v>
      </c>
      <c r="E662" s="691">
        <v>42471</v>
      </c>
      <c r="F662" s="190" t="s">
        <v>672</v>
      </c>
      <c r="G662" s="190" t="s">
        <v>330</v>
      </c>
      <c r="H662" s="7"/>
      <c r="I662" s="251"/>
      <c r="J662" s="251"/>
      <c r="K662" s="560">
        <v>9091</v>
      </c>
      <c r="L662" s="192" t="s">
        <v>83</v>
      </c>
      <c r="M662" s="192" t="s">
        <v>24</v>
      </c>
      <c r="N662" s="52" t="str">
        <f>IF(AND('331-CT'!$E$7=TH!H662,OR(L662="331",M662="331")),"331",IF(AND(OR(L662="131",M662="131"),H662='131-CT'!$E$7),"131",""))</f>
        <v/>
      </c>
      <c r="O662" s="818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>x</v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52">
        <v>2</v>
      </c>
      <c r="AB662" s="552"/>
      <c r="AC662" s="552"/>
    </row>
    <row r="663" spans="1:30" s="209" customFormat="1" ht="15.75" customHeight="1">
      <c r="A663" s="202" t="str">
        <f>IF(B663&lt;&gt;"",IF(AND(B663&gt;=_TM1,B663&lt;=_TM2,OR(TH!L663="1111",TH!M663="1111")),TH!D663,""),"")</f>
        <v/>
      </c>
      <c r="B663" s="36">
        <f t="shared" si="36"/>
        <v>4</v>
      </c>
      <c r="C663" s="182">
        <f t="shared" si="37"/>
        <v>42471</v>
      </c>
      <c r="D663" s="182" t="s">
        <v>669</v>
      </c>
      <c r="E663" s="691">
        <v>42471</v>
      </c>
      <c r="F663" s="190" t="s">
        <v>762</v>
      </c>
      <c r="G663" s="190" t="s">
        <v>330</v>
      </c>
      <c r="H663" s="7"/>
      <c r="I663" s="251"/>
      <c r="J663" s="251"/>
      <c r="K663" s="560">
        <v>909</v>
      </c>
      <c r="L663" s="192" t="s">
        <v>9</v>
      </c>
      <c r="M663" s="192" t="s">
        <v>24</v>
      </c>
      <c r="N663" s="52" t="str">
        <f>IF(AND('331-CT'!$E$7=TH!H663,OR(L663="331",M663="331")),"331",IF(AND(OR(L663="131",M663="131"),H663='131-CT'!$E$7),"131",""))</f>
        <v/>
      </c>
      <c r="O663" s="818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52">
        <v>2</v>
      </c>
      <c r="AB663" s="552"/>
    </row>
    <row r="664" spans="1:30" s="209" customFormat="1" ht="15.75" customHeight="1">
      <c r="A664" s="202" t="str">
        <f>IF(B664&lt;&gt;"",IF(AND(B664&gt;=_TM1,B664&lt;=_TM2,OR(TH!L664="1111",TH!M664="1111")),TH!D664,""),"")</f>
        <v/>
      </c>
      <c r="B664" s="36">
        <f t="shared" si="36"/>
        <v>4</v>
      </c>
      <c r="C664" s="182">
        <f t="shared" si="37"/>
        <v>42471</v>
      </c>
      <c r="D664" s="189" t="s">
        <v>1085</v>
      </c>
      <c r="E664" s="189">
        <v>42471</v>
      </c>
      <c r="F664" s="286" t="s">
        <v>968</v>
      </c>
      <c r="G664" s="451" t="s">
        <v>508</v>
      </c>
      <c r="H664" s="7" t="s">
        <v>969</v>
      </c>
      <c r="I664" s="251">
        <v>100</v>
      </c>
      <c r="J664" s="251">
        <v>13500</v>
      </c>
      <c r="K664" s="38">
        <f>ROUND(I664*J664,0)</f>
        <v>1350000</v>
      </c>
      <c r="L664" s="192" t="s">
        <v>258</v>
      </c>
      <c r="M664" s="192" t="s">
        <v>173</v>
      </c>
      <c r="N664" s="52" t="str">
        <f>IF(AND('331-CT'!$E$7=TH!H664,OR(L664="331",M664="331")),"331",IF(AND(OR(L664="131",M664="131"),H664='131-CT'!$E$7),"131",""))</f>
        <v/>
      </c>
      <c r="O664" s="818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52"/>
      <c r="AB664" s="552"/>
      <c r="AC664" s="552"/>
    </row>
    <row r="665" spans="1:30" s="209" customFormat="1" ht="15.75" customHeight="1">
      <c r="A665" s="202" t="str">
        <f>IF(B665&lt;&gt;"",IF(AND(B665&gt;=_TM1,B665&lt;=_TM2,OR(TH!L665="1111",TH!M665="1111")),TH!D665,""),"")</f>
        <v/>
      </c>
      <c r="B665" s="36">
        <f t="shared" si="36"/>
        <v>4</v>
      </c>
      <c r="C665" s="182">
        <f t="shared" si="37"/>
        <v>42471</v>
      </c>
      <c r="D665" s="189" t="s">
        <v>1085</v>
      </c>
      <c r="E665" s="189">
        <v>42471</v>
      </c>
      <c r="F665" s="187" t="s">
        <v>970</v>
      </c>
      <c r="G665" s="451" t="s">
        <v>508</v>
      </c>
      <c r="H665" s="7" t="s">
        <v>969</v>
      </c>
      <c r="I665" s="251">
        <v>100</v>
      </c>
      <c r="J665" s="251">
        <v>15500</v>
      </c>
      <c r="K665" s="38">
        <f>ROUND(I665*J665,0)</f>
        <v>1550000</v>
      </c>
      <c r="L665" s="192" t="s">
        <v>258</v>
      </c>
      <c r="M665" s="192" t="s">
        <v>173</v>
      </c>
      <c r="N665" s="52" t="str">
        <f>IF(AND('331-CT'!$E$7=TH!H665,OR(L665="331",M665="331")),"331",IF(AND(OR(L665="131",M665="131"),H665='131-CT'!$E$7),"131",""))</f>
        <v/>
      </c>
      <c r="O665" s="818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52"/>
      <c r="AB665" s="552"/>
      <c r="AC665" s="552"/>
    </row>
    <row r="666" spans="1:30" s="209" customFormat="1" ht="15.75" customHeight="1">
      <c r="A666" s="202" t="str">
        <f>IF(B666&lt;&gt;"",IF(AND(B666&gt;=_TM1,B666&lt;=_TM2,OR(TH!L666="1111",TH!M666="1111")),TH!D666,""),"")</f>
        <v/>
      </c>
      <c r="B666" s="36">
        <f t="shared" si="36"/>
        <v>4</v>
      </c>
      <c r="C666" s="182">
        <f t="shared" si="37"/>
        <v>42471</v>
      </c>
      <c r="D666" s="189" t="s">
        <v>1085</v>
      </c>
      <c r="E666" s="189">
        <v>42471</v>
      </c>
      <c r="F666" s="187" t="s">
        <v>971</v>
      </c>
      <c r="G666" s="451" t="s">
        <v>508</v>
      </c>
      <c r="H666" s="7" t="s">
        <v>969</v>
      </c>
      <c r="I666" s="251">
        <v>110</v>
      </c>
      <c r="J666" s="251">
        <v>14500</v>
      </c>
      <c r="K666" s="38">
        <f>ROUND(I666*J666,0)</f>
        <v>1595000</v>
      </c>
      <c r="L666" s="192" t="s">
        <v>258</v>
      </c>
      <c r="M666" s="192" t="s">
        <v>173</v>
      </c>
      <c r="N666" s="52" t="str">
        <f>IF(AND('331-CT'!$E$7=TH!H666,OR(L666="331",M666="331")),"331",IF(AND(OR(L666="131",M666="131"),H666='131-CT'!$E$7),"131",""))</f>
        <v/>
      </c>
      <c r="O666" s="818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52"/>
      <c r="AB666" s="552"/>
      <c r="AC666" s="552"/>
    </row>
    <row r="667" spans="1:30" s="209" customFormat="1" ht="15.75" customHeight="1">
      <c r="A667" s="202" t="str">
        <f>IF(B667&lt;&gt;"",IF(AND(B667&gt;=_TM1,B667&lt;=_TM2,OR(TH!L667="1111",TH!M667="1111")),TH!D667,""),"")</f>
        <v/>
      </c>
      <c r="B667" s="36">
        <f t="shared" si="36"/>
        <v>4</v>
      </c>
      <c r="C667" s="182">
        <f t="shared" si="37"/>
        <v>42471</v>
      </c>
      <c r="D667" s="189" t="s">
        <v>1085</v>
      </c>
      <c r="E667" s="189">
        <v>42471</v>
      </c>
      <c r="F667" s="187" t="s">
        <v>393</v>
      </c>
      <c r="G667" s="451" t="s">
        <v>508</v>
      </c>
      <c r="H667" s="7" t="s">
        <v>969</v>
      </c>
      <c r="I667" s="251"/>
      <c r="J667" s="251"/>
      <c r="K667" s="560">
        <v>449500</v>
      </c>
      <c r="L667" s="192" t="s">
        <v>258</v>
      </c>
      <c r="M667" s="192" t="s">
        <v>367</v>
      </c>
      <c r="N667" s="52" t="str">
        <f>IF(AND('331-CT'!$E$7=TH!H667,OR(L667="331",M667="331")),"331",IF(AND(OR(L667="131",M667="131"),H667='131-CT'!$E$7),"131",""))</f>
        <v/>
      </c>
      <c r="O667" s="818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52"/>
      <c r="AB667" s="552"/>
      <c r="AC667" s="552"/>
    </row>
    <row r="668" spans="1:30" s="209" customFormat="1" ht="15.75" customHeight="1">
      <c r="A668" s="202" t="str">
        <f>IF(B668&lt;&gt;"",IF(AND(B668&gt;=_TM1,B668&lt;=_TM2,OR(TH!L668="1111",TH!M668="1111")),TH!D668,""),"")</f>
        <v/>
      </c>
      <c r="B668" s="36">
        <f t="shared" si="36"/>
        <v>4</v>
      </c>
      <c r="C668" s="182">
        <f t="shared" si="37"/>
        <v>42472</v>
      </c>
      <c r="D668" s="189" t="s">
        <v>1086</v>
      </c>
      <c r="E668" s="189">
        <v>42472</v>
      </c>
      <c r="F668" s="187" t="s">
        <v>645</v>
      </c>
      <c r="G668" s="451" t="s">
        <v>509</v>
      </c>
      <c r="H668" s="7" t="s">
        <v>428</v>
      </c>
      <c r="I668" s="251">
        <v>1004</v>
      </c>
      <c r="J668" s="251">
        <v>13800</v>
      </c>
      <c r="K668" s="38">
        <f>ROUND(I668*J668,0)</f>
        <v>13855200</v>
      </c>
      <c r="L668" s="192" t="s">
        <v>258</v>
      </c>
      <c r="M668" s="192" t="s">
        <v>173</v>
      </c>
      <c r="N668" s="52" t="str">
        <f>IF(AND('331-CT'!$E$7=TH!H668,OR(L668="331",M668="331")),"331",IF(AND(OR(L668="131",M668="131"),H668='131-CT'!$E$7),"131",""))</f>
        <v/>
      </c>
      <c r="O668" s="818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52"/>
      <c r="AB668" s="552"/>
      <c r="AC668" s="552"/>
    </row>
    <row r="669" spans="1:30" s="209" customFormat="1" ht="15.75" customHeight="1">
      <c r="A669" s="202" t="str">
        <f>IF(B669&lt;&gt;"",IF(AND(B669&gt;=_TM1,B669&lt;=_TM2,OR(TH!L669="1111",TH!M669="1111")),TH!D669,""),"")</f>
        <v/>
      </c>
      <c r="B669" s="36">
        <f t="shared" si="36"/>
        <v>4</v>
      </c>
      <c r="C669" s="182">
        <f t="shared" si="37"/>
        <v>42472</v>
      </c>
      <c r="D669" s="189" t="s">
        <v>1086</v>
      </c>
      <c r="E669" s="182">
        <v>42472</v>
      </c>
      <c r="F669" s="187" t="s">
        <v>693</v>
      </c>
      <c r="G669" s="562" t="s">
        <v>509</v>
      </c>
      <c r="H669" s="191" t="s">
        <v>428</v>
      </c>
      <c r="I669" s="251">
        <v>2008</v>
      </c>
      <c r="J669" s="251">
        <v>1300</v>
      </c>
      <c r="K669" s="38">
        <f>ROUND(I669*J669,0)</f>
        <v>2610400</v>
      </c>
      <c r="L669" s="192" t="s">
        <v>258</v>
      </c>
      <c r="M669" s="192" t="s">
        <v>173</v>
      </c>
      <c r="N669" s="52" t="str">
        <f>IF(AND('331-CT'!$E$7=TH!H669,OR(L669="331",M669="331")),"331",IF(AND(OR(L669="131",M669="131"),H669='131-CT'!$E$7),"131",""))</f>
        <v/>
      </c>
      <c r="O669" s="818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52"/>
      <c r="AB669" s="552"/>
      <c r="AC669" s="552"/>
    </row>
    <row r="670" spans="1:30" s="209" customFormat="1" ht="15.75" customHeight="1">
      <c r="A670" s="202" t="str">
        <f>IF(B670&lt;&gt;"",IF(AND(B670&gt;=_TM1,B670&lt;=_TM2,OR(TH!L670="1111",TH!M670="1111")),TH!D670,""),"")</f>
        <v/>
      </c>
      <c r="B670" s="36">
        <f t="shared" si="36"/>
        <v>4</v>
      </c>
      <c r="C670" s="182">
        <f t="shared" si="37"/>
        <v>42472</v>
      </c>
      <c r="D670" s="189" t="s">
        <v>1086</v>
      </c>
      <c r="E670" s="182">
        <v>42472</v>
      </c>
      <c r="F670" s="187" t="s">
        <v>393</v>
      </c>
      <c r="G670" s="562" t="s">
        <v>509</v>
      </c>
      <c r="H670" s="7" t="s">
        <v>428</v>
      </c>
      <c r="I670" s="251"/>
      <c r="J670" s="251"/>
      <c r="K670" s="560">
        <v>1646560</v>
      </c>
      <c r="L670" s="192" t="s">
        <v>258</v>
      </c>
      <c r="M670" s="192" t="s">
        <v>367</v>
      </c>
      <c r="N670" s="52" t="str">
        <f>IF(AND('331-CT'!$E$7=TH!H670,OR(L670="331",M670="331")),"331",IF(AND(OR(L670="131",M670="131"),H670='131-CT'!$E$7),"131",""))</f>
        <v/>
      </c>
      <c r="O670" s="818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52"/>
      <c r="AB670" s="552"/>
      <c r="AC670" s="552"/>
    </row>
    <row r="671" spans="1:30" s="209" customFormat="1" ht="15.75" customHeight="1">
      <c r="A671" s="202" t="str">
        <f>IF(B671&lt;&gt;"",IF(AND(B671&gt;=_TM1,B671&lt;=_TM2,OR(TH!L671="1111",TH!M671="1111")),TH!D671,""),"")</f>
        <v/>
      </c>
      <c r="B671" s="36">
        <f t="shared" si="36"/>
        <v>4</v>
      </c>
      <c r="C671" s="182">
        <f t="shared" si="37"/>
        <v>42472</v>
      </c>
      <c r="D671" s="189" t="s">
        <v>1087</v>
      </c>
      <c r="E671" s="182">
        <v>42472</v>
      </c>
      <c r="F671" s="187" t="s">
        <v>972</v>
      </c>
      <c r="G671" s="562" t="s">
        <v>510</v>
      </c>
      <c r="H671" s="191" t="s">
        <v>1268</v>
      </c>
      <c r="I671" s="251">
        <v>207</v>
      </c>
      <c r="J671" s="251">
        <v>13200</v>
      </c>
      <c r="K671" s="38">
        <f>ROUND(I671*J671,0)</f>
        <v>2732400</v>
      </c>
      <c r="L671" s="192" t="s">
        <v>258</v>
      </c>
      <c r="M671" s="192" t="s">
        <v>173</v>
      </c>
      <c r="N671" s="52" t="str">
        <f>IF(AND('331-CT'!$E$7=TH!H671,OR(L671="331",M671="331")),"331",IF(AND(OR(L671="131",M671="131"),H671='131-CT'!$E$7),"131",""))</f>
        <v/>
      </c>
      <c r="O671" s="818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52"/>
      <c r="AB671" s="552"/>
      <c r="AC671" s="552"/>
    </row>
    <row r="672" spans="1:30" s="209" customFormat="1" ht="15.75" customHeight="1">
      <c r="A672" s="202" t="str">
        <f>IF(B672&lt;&gt;"",IF(AND(B672&gt;=_TM1,B672&lt;=_TM2,OR(TH!L672="1111",TH!M672="1111")),TH!D672,""),"")</f>
        <v/>
      </c>
      <c r="B672" s="36">
        <f t="shared" si="36"/>
        <v>4</v>
      </c>
      <c r="C672" s="182">
        <f t="shared" si="37"/>
        <v>42472</v>
      </c>
      <c r="D672" s="189" t="s">
        <v>1087</v>
      </c>
      <c r="E672" s="182">
        <v>42472</v>
      </c>
      <c r="F672" s="187" t="s">
        <v>973</v>
      </c>
      <c r="G672" s="562" t="s">
        <v>510</v>
      </c>
      <c r="H672" s="191" t="s">
        <v>1268</v>
      </c>
      <c r="I672" s="251">
        <v>173</v>
      </c>
      <c r="J672" s="251">
        <v>11000</v>
      </c>
      <c r="K672" s="38">
        <f>ROUND(I672*J672,0)</f>
        <v>1903000</v>
      </c>
      <c r="L672" s="192" t="s">
        <v>258</v>
      </c>
      <c r="M672" s="192" t="s">
        <v>173</v>
      </c>
      <c r="N672" s="52" t="str">
        <f>IF(AND('331-CT'!$E$7=TH!H672,OR(L672="331",M672="331")),"331",IF(AND(OR(L672="131",M672="131"),H672='131-CT'!$E$7),"131",""))</f>
        <v/>
      </c>
      <c r="O672" s="818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52"/>
      <c r="AB672" s="552"/>
    </row>
    <row r="673" spans="1:29" s="209" customFormat="1" ht="15.75" customHeight="1">
      <c r="A673" s="202" t="str">
        <f>IF(B673&lt;&gt;"",IF(AND(B673&gt;=_TM1,B673&lt;=_TM2,OR(TH!L673="1111",TH!M673="1111")),TH!D673,""),"")</f>
        <v/>
      </c>
      <c r="B673" s="36">
        <f t="shared" si="36"/>
        <v>4</v>
      </c>
      <c r="C673" s="182">
        <f t="shared" si="37"/>
        <v>42472</v>
      </c>
      <c r="D673" s="189" t="s">
        <v>1087</v>
      </c>
      <c r="E673" s="189">
        <v>42472</v>
      </c>
      <c r="F673" s="187" t="s">
        <v>393</v>
      </c>
      <c r="G673" s="451" t="s">
        <v>510</v>
      </c>
      <c r="H673" s="191" t="s">
        <v>1268</v>
      </c>
      <c r="I673" s="251"/>
      <c r="J673" s="251"/>
      <c r="K673" s="560">
        <v>463540</v>
      </c>
      <c r="L673" s="192" t="s">
        <v>258</v>
      </c>
      <c r="M673" s="192" t="s">
        <v>367</v>
      </c>
      <c r="N673" s="52" t="str">
        <f>IF(AND('331-CT'!$E$7=TH!H673,OR(L673="331",M673="331")),"331",IF(AND(OR(L673="131",M673="131"),H673='131-CT'!$E$7),"131",""))</f>
        <v/>
      </c>
      <c r="O673" s="818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52"/>
      <c r="AB673" s="552"/>
      <c r="AC673" s="552"/>
    </row>
    <row r="674" spans="1:29" s="209" customFormat="1" ht="15.75" customHeight="1">
      <c r="A674" s="202" t="str">
        <f>IF(B674&lt;&gt;"",IF(AND(B674&gt;=_TM1,B674&lt;=_TM2,OR(TH!L674="1111",TH!M674="1111")),TH!D674,""),"")</f>
        <v/>
      </c>
      <c r="B674" s="36">
        <f t="shared" si="36"/>
        <v>4</v>
      </c>
      <c r="C674" s="182">
        <f t="shared" si="37"/>
        <v>42472</v>
      </c>
      <c r="D674" s="189" t="s">
        <v>1088</v>
      </c>
      <c r="E674" s="189">
        <v>42472</v>
      </c>
      <c r="F674" s="187" t="s">
        <v>974</v>
      </c>
      <c r="G674" s="451" t="s">
        <v>511</v>
      </c>
      <c r="H674" s="7" t="s">
        <v>780</v>
      </c>
      <c r="I674" s="251">
        <v>505</v>
      </c>
      <c r="J674" s="251">
        <v>6400</v>
      </c>
      <c r="K674" s="38">
        <f>ROUND(I674*J674,0)</f>
        <v>3232000</v>
      </c>
      <c r="L674" s="192" t="s">
        <v>258</v>
      </c>
      <c r="M674" s="192" t="s">
        <v>173</v>
      </c>
      <c r="N674" s="52" t="str">
        <f>IF(AND('331-CT'!$E$7=TH!H674,OR(L674="331",M674="331")),"331",IF(AND(OR(L674="131",M674="131"),H674='131-CT'!$E$7),"131",""))</f>
        <v/>
      </c>
      <c r="O674" s="818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52"/>
      <c r="AB674" s="552"/>
      <c r="AC674" s="552"/>
    </row>
    <row r="675" spans="1:29" s="209" customFormat="1" ht="15.75" customHeight="1">
      <c r="A675" s="202" t="str">
        <f>IF(B675&lt;&gt;"",IF(AND(B675&gt;=_TM1,B675&lt;=_TM2,OR(TH!L675="1111",TH!M675="1111")),TH!D675,""),"")</f>
        <v/>
      </c>
      <c r="B675" s="36">
        <f t="shared" si="36"/>
        <v>4</v>
      </c>
      <c r="C675" s="182">
        <f t="shared" si="37"/>
        <v>42472</v>
      </c>
      <c r="D675" s="189" t="s">
        <v>1088</v>
      </c>
      <c r="E675" s="189">
        <v>42472</v>
      </c>
      <c r="F675" s="187" t="s">
        <v>975</v>
      </c>
      <c r="G675" s="451" t="s">
        <v>511</v>
      </c>
      <c r="H675" s="7" t="s">
        <v>780</v>
      </c>
      <c r="I675" s="251">
        <v>988</v>
      </c>
      <c r="J675" s="251">
        <v>7700</v>
      </c>
      <c r="K675" s="38">
        <f>ROUND(I675*J675,0)</f>
        <v>7607600</v>
      </c>
      <c r="L675" s="192" t="s">
        <v>258</v>
      </c>
      <c r="M675" s="192" t="s">
        <v>173</v>
      </c>
      <c r="N675" s="52" t="str">
        <f>IF(AND('331-CT'!$E$7=TH!H675,OR(L675="331",M675="331")),"331",IF(AND(OR(L675="131",M675="131"),H675='131-CT'!$E$7),"131",""))</f>
        <v/>
      </c>
      <c r="O675" s="818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52"/>
      <c r="AB675" s="552"/>
    </row>
    <row r="676" spans="1:29" s="209" customFormat="1" ht="15.75" customHeight="1">
      <c r="A676" s="202" t="str">
        <f>IF(B676&lt;&gt;"",IF(AND(B676&gt;=_TM1,B676&lt;=_TM2,OR(TH!L676="1111",TH!M676="1111")),TH!D676,""),"")</f>
        <v/>
      </c>
      <c r="B676" s="36">
        <f t="shared" si="36"/>
        <v>4</v>
      </c>
      <c r="C676" s="182">
        <f t="shared" si="37"/>
        <v>42472</v>
      </c>
      <c r="D676" s="189" t="s">
        <v>1088</v>
      </c>
      <c r="E676" s="189">
        <v>42472</v>
      </c>
      <c r="F676" s="187" t="s">
        <v>393</v>
      </c>
      <c r="G676" s="451" t="s">
        <v>511</v>
      </c>
      <c r="H676" s="7" t="s">
        <v>780</v>
      </c>
      <c r="I676" s="251"/>
      <c r="J676" s="251"/>
      <c r="K676" s="560">
        <v>1083960</v>
      </c>
      <c r="L676" s="192" t="s">
        <v>258</v>
      </c>
      <c r="M676" s="192" t="s">
        <v>367</v>
      </c>
      <c r="N676" s="52" t="str">
        <f>IF(AND('331-CT'!$E$7=TH!H676,OR(L676="331",M676="331")),"331",IF(AND(OR(L676="131",M676="131"),H676='131-CT'!$E$7),"131",""))</f>
        <v/>
      </c>
      <c r="O676" s="818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52"/>
      <c r="AB676" s="552"/>
      <c r="AC676" s="552"/>
    </row>
    <row r="677" spans="1:29" s="209" customFormat="1" ht="15.75" customHeight="1">
      <c r="A677" s="202" t="str">
        <f>IF(B677&lt;&gt;"",IF(AND(B677&gt;=_TM1,B677&lt;=_TM2,OR(TH!L677="1111",TH!M677="1111")),TH!D677,""),"")</f>
        <v/>
      </c>
      <c r="B677" s="36">
        <f t="shared" si="36"/>
        <v>4</v>
      </c>
      <c r="C677" s="182">
        <f t="shared" si="37"/>
        <v>42472</v>
      </c>
      <c r="D677" s="189" t="s">
        <v>1089</v>
      </c>
      <c r="E677" s="189">
        <v>42472</v>
      </c>
      <c r="F677" s="187" t="s">
        <v>630</v>
      </c>
      <c r="G677" s="451" t="s">
        <v>513</v>
      </c>
      <c r="H677" s="7" t="s">
        <v>527</v>
      </c>
      <c r="I677" s="251">
        <v>735</v>
      </c>
      <c r="J677" s="251">
        <v>7135</v>
      </c>
      <c r="K677" s="38">
        <f>ROUND(I677*J677,0)</f>
        <v>5244225</v>
      </c>
      <c r="L677" s="192" t="s">
        <v>258</v>
      </c>
      <c r="M677" s="192" t="s">
        <v>173</v>
      </c>
      <c r="N677" s="52" t="str">
        <f>IF(AND('331-CT'!$E$7=TH!H677,OR(L677="331",M677="331")),"331",IF(AND(OR(L677="131",M677="131"),H677='131-CT'!$E$7),"131",""))</f>
        <v/>
      </c>
      <c r="O677" s="818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52"/>
      <c r="AB677" s="552"/>
    </row>
    <row r="678" spans="1:29" s="209" customFormat="1" ht="15.75" customHeight="1">
      <c r="A678" s="202" t="str">
        <f>IF(B678&lt;&gt;"",IF(AND(B678&gt;=_TM1,B678&lt;=_TM2,OR(TH!L678="1111",TH!M678="1111")),TH!D678,""),"")</f>
        <v/>
      </c>
      <c r="B678" s="36">
        <f t="shared" si="36"/>
        <v>4</v>
      </c>
      <c r="C678" s="182">
        <f t="shared" si="37"/>
        <v>42472</v>
      </c>
      <c r="D678" s="189" t="s">
        <v>1089</v>
      </c>
      <c r="E678" s="189">
        <v>42472</v>
      </c>
      <c r="F678" s="190" t="s">
        <v>418</v>
      </c>
      <c r="G678" s="451" t="s">
        <v>513</v>
      </c>
      <c r="H678" s="7" t="s">
        <v>527</v>
      </c>
      <c r="I678" s="251">
        <v>194</v>
      </c>
      <c r="J678" s="251">
        <v>47449</v>
      </c>
      <c r="K678" s="38">
        <f>ROUND(I678*J678,0)</f>
        <v>9205106</v>
      </c>
      <c r="L678" s="192" t="s">
        <v>258</v>
      </c>
      <c r="M678" s="192" t="s">
        <v>173</v>
      </c>
      <c r="N678" s="52" t="str">
        <f>IF(AND('331-CT'!$E$7=TH!H678,OR(L678="331",M678="331")),"331",IF(AND(OR(L678="131",M678="131"),H678='131-CT'!$E$7),"131",""))</f>
        <v/>
      </c>
      <c r="O678" s="818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52"/>
      <c r="AB678" s="552"/>
      <c r="AC678" s="552"/>
    </row>
    <row r="679" spans="1:29" s="209" customFormat="1" ht="15.75" customHeight="1">
      <c r="A679" s="202" t="str">
        <f>IF(B679&lt;&gt;"",IF(AND(B679&gt;=_TM1,B679&lt;=_TM2,OR(TH!L679="1111",TH!M679="1111")),TH!D679,""),"")</f>
        <v/>
      </c>
      <c r="B679" s="36">
        <f t="shared" si="36"/>
        <v>4</v>
      </c>
      <c r="C679" s="182">
        <f t="shared" si="37"/>
        <v>42472</v>
      </c>
      <c r="D679" s="189" t="s">
        <v>1089</v>
      </c>
      <c r="E679" s="189">
        <v>42472</v>
      </c>
      <c r="F679" s="187" t="s">
        <v>976</v>
      </c>
      <c r="G679" s="451" t="s">
        <v>513</v>
      </c>
      <c r="H679" s="7" t="s">
        <v>527</v>
      </c>
      <c r="I679" s="251">
        <v>20</v>
      </c>
      <c r="J679" s="251">
        <v>54530</v>
      </c>
      <c r="K679" s="38">
        <f>ROUND(I679*J679,0)</f>
        <v>1090600</v>
      </c>
      <c r="L679" s="192" t="s">
        <v>258</v>
      </c>
      <c r="M679" s="192" t="s">
        <v>173</v>
      </c>
      <c r="N679" s="52" t="str">
        <f>IF(AND('331-CT'!$E$7=TH!H679,OR(L679="331",M679="331")),"331",IF(AND(OR(L679="131",M679="131"),H679='131-CT'!$E$7),"131",""))</f>
        <v/>
      </c>
      <c r="O679" s="818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52"/>
      <c r="AB679" s="552"/>
      <c r="AC679" s="552"/>
    </row>
    <row r="680" spans="1:29" s="209" customFormat="1" ht="15.75" customHeight="1">
      <c r="A680" s="202" t="str">
        <f>IF(B680&lt;&gt;"",IF(AND(B680&gt;=_TM1,B680&lt;=_TM2,OR(TH!L680="1111",TH!M680="1111")),TH!D680,""),"")</f>
        <v/>
      </c>
      <c r="B680" s="36">
        <f t="shared" si="36"/>
        <v>4</v>
      </c>
      <c r="C680" s="182">
        <f t="shared" si="37"/>
        <v>42472</v>
      </c>
      <c r="D680" s="189" t="s">
        <v>1089</v>
      </c>
      <c r="E680" s="189">
        <v>42472</v>
      </c>
      <c r="F680" s="187" t="s">
        <v>393</v>
      </c>
      <c r="G680" s="451" t="s">
        <v>513</v>
      </c>
      <c r="H680" s="7" t="s">
        <v>527</v>
      </c>
      <c r="I680" s="252"/>
      <c r="J680" s="251"/>
      <c r="K680" s="560">
        <v>1553993</v>
      </c>
      <c r="L680" s="192" t="s">
        <v>258</v>
      </c>
      <c r="M680" s="192" t="s">
        <v>367</v>
      </c>
      <c r="N680" s="52" t="str">
        <f>IF(AND('331-CT'!$E$7=TH!H680,OR(L680="331",M680="331")),"331",IF(AND(OR(L680="131",M680="131"),H680='131-CT'!$E$7),"131",""))</f>
        <v/>
      </c>
      <c r="O680" s="818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52"/>
      <c r="AB680" s="552"/>
      <c r="AC680" s="552"/>
    </row>
    <row r="681" spans="1:29" s="209" customFormat="1" ht="15.75" customHeight="1">
      <c r="A681" s="202" t="str">
        <f>IF(B681&lt;&gt;"",IF(AND(B681&gt;=_TM1,B681&lt;=_TM2,OR(TH!L681="1111",TH!M681="1111")),TH!D681,""),"")</f>
        <v/>
      </c>
      <c r="B681" s="36">
        <f t="shared" si="36"/>
        <v>4</v>
      </c>
      <c r="C681" s="182">
        <f t="shared" si="37"/>
        <v>42472</v>
      </c>
      <c r="D681" s="182" t="s">
        <v>1619</v>
      </c>
      <c r="E681" s="189">
        <v>42472</v>
      </c>
      <c r="F681" s="40" t="s">
        <v>666</v>
      </c>
      <c r="G681" s="451" t="s">
        <v>1604</v>
      </c>
      <c r="H681" s="7" t="s">
        <v>399</v>
      </c>
      <c r="I681" s="252"/>
      <c r="J681" s="252"/>
      <c r="K681" s="38">
        <v>11984940</v>
      </c>
      <c r="L681" s="561" t="s">
        <v>47</v>
      </c>
      <c r="M681" s="561" t="s">
        <v>258</v>
      </c>
      <c r="N681" s="52" t="str">
        <f>IF(AND('331-CT'!$E$7=TH!H681,OR(L681="331",M681="331")),"331",IF(AND(OR(L681="131",M681="131"),H681='131-CT'!$E$7),"131",""))</f>
        <v/>
      </c>
      <c r="O681" s="818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52"/>
      <c r="AB681" s="552"/>
    </row>
    <row r="682" spans="1:29" s="209" customFormat="1" ht="15.75" customHeight="1">
      <c r="A682" s="202" t="str">
        <f>IF(B682&lt;&gt;"",IF(AND(B682&gt;=_TM1,B682&lt;=_TM2,OR(TH!L682="1111",TH!M682="1111")),TH!D682,""),"")</f>
        <v/>
      </c>
      <c r="B682" s="36">
        <f t="shared" si="36"/>
        <v>4</v>
      </c>
      <c r="C682" s="182">
        <f t="shared" si="37"/>
        <v>42473</v>
      </c>
      <c r="D682" s="182" t="s">
        <v>665</v>
      </c>
      <c r="E682" s="691">
        <v>42473</v>
      </c>
      <c r="F682" s="190" t="s">
        <v>666</v>
      </c>
      <c r="G682" s="190" t="s">
        <v>330</v>
      </c>
      <c r="H682" s="7" t="s">
        <v>785</v>
      </c>
      <c r="I682" s="251"/>
      <c r="J682" s="251"/>
      <c r="K682" s="560">
        <v>5000000</v>
      </c>
      <c r="L682" s="192" t="s">
        <v>24</v>
      </c>
      <c r="M682" s="192" t="s">
        <v>258</v>
      </c>
      <c r="N682" s="52" t="str">
        <f>IF(AND('331-CT'!$E$7=TH!H682,OR(L682="331",M682="331")),"331",IF(AND(OR(L682="131",M682="131"),H682='131-CT'!$E$7),"131",""))</f>
        <v/>
      </c>
      <c r="O682" s="818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53"/>
      <c r="AB682" s="552"/>
      <c r="AC682" s="552"/>
    </row>
    <row r="683" spans="1:29" s="209" customFormat="1" ht="15.75" customHeight="1">
      <c r="A683" s="202" t="str">
        <f>IF(B683&lt;&gt;"",IF(AND(B683&gt;=_TM1,B683&lt;=_TM2,OR(TH!L683="1111",TH!M683="1111")),TH!D683,""),"")</f>
        <v/>
      </c>
      <c r="B683" s="36">
        <f t="shared" si="36"/>
        <v>4</v>
      </c>
      <c r="C683" s="182">
        <f t="shared" si="37"/>
        <v>42473</v>
      </c>
      <c r="D683" s="189" t="s">
        <v>1090</v>
      </c>
      <c r="E683" s="189">
        <v>42473</v>
      </c>
      <c r="F683" s="187" t="s">
        <v>389</v>
      </c>
      <c r="G683" s="451" t="s">
        <v>514</v>
      </c>
      <c r="H683" s="7" t="s">
        <v>391</v>
      </c>
      <c r="I683" s="251">
        <v>1222</v>
      </c>
      <c r="J683" s="251">
        <v>5000</v>
      </c>
      <c r="K683" s="38">
        <f>ROUND(I683*J683,0)</f>
        <v>6110000</v>
      </c>
      <c r="L683" s="192" t="s">
        <v>258</v>
      </c>
      <c r="M683" s="192" t="s">
        <v>173</v>
      </c>
      <c r="N683" s="52" t="str">
        <f>IF(AND('331-CT'!$E$7=TH!H683,OR(L683="331",M683="331")),"331",IF(AND(OR(L683="131",M683="131"),H683='131-CT'!$E$7),"131",""))</f>
        <v/>
      </c>
      <c r="O683" s="818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52"/>
      <c r="AB683" s="552"/>
    </row>
    <row r="684" spans="1:29" s="209" customFormat="1" ht="15.75" customHeight="1">
      <c r="A684" s="202" t="str">
        <f>IF(B684&lt;&gt;"",IF(AND(B684&gt;=_TM1,B684&lt;=_TM2,OR(TH!L684="1111",TH!M684="1111")),TH!D684,""),"")</f>
        <v/>
      </c>
      <c r="B684" s="36">
        <f t="shared" si="36"/>
        <v>4</v>
      </c>
      <c r="C684" s="182">
        <f t="shared" si="37"/>
        <v>42473</v>
      </c>
      <c r="D684" s="189" t="s">
        <v>1090</v>
      </c>
      <c r="E684" s="189">
        <v>42473</v>
      </c>
      <c r="F684" s="190" t="s">
        <v>441</v>
      </c>
      <c r="G684" s="451" t="s">
        <v>514</v>
      </c>
      <c r="H684" s="7" t="s">
        <v>391</v>
      </c>
      <c r="I684" s="251">
        <v>602</v>
      </c>
      <c r="J684" s="251">
        <v>9700</v>
      </c>
      <c r="K684" s="38">
        <f>ROUND(I684*J684,0)</f>
        <v>5839400</v>
      </c>
      <c r="L684" s="192" t="s">
        <v>258</v>
      </c>
      <c r="M684" s="192" t="s">
        <v>173</v>
      </c>
      <c r="N684" s="52" t="str">
        <f>IF(AND('331-CT'!$E$7=TH!H684,OR(L684="331",M684="331")),"331",IF(AND(OR(L684="131",M684="131"),H684='131-CT'!$E$7),"131",""))</f>
        <v/>
      </c>
      <c r="O684" s="818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52"/>
      <c r="AB684" s="552"/>
      <c r="AC684" s="552"/>
    </row>
    <row r="685" spans="1:29" s="209" customFormat="1" ht="15.75" customHeight="1">
      <c r="A685" s="202" t="str">
        <f>IF(B685&lt;&gt;"",IF(AND(B685&gt;=_TM1,B685&lt;=_TM2,OR(TH!L685="1111",TH!M685="1111")),TH!D685,""),"")</f>
        <v/>
      </c>
      <c r="B685" s="36">
        <f t="shared" si="36"/>
        <v>4</v>
      </c>
      <c r="C685" s="182">
        <f t="shared" si="37"/>
        <v>42473</v>
      </c>
      <c r="D685" s="189" t="s">
        <v>1090</v>
      </c>
      <c r="E685" s="189">
        <v>42473</v>
      </c>
      <c r="F685" s="190" t="s">
        <v>393</v>
      </c>
      <c r="G685" s="451" t="s">
        <v>514</v>
      </c>
      <c r="H685" s="7" t="s">
        <v>391</v>
      </c>
      <c r="I685" s="251"/>
      <c r="J685" s="251"/>
      <c r="K685" s="560">
        <v>1194940</v>
      </c>
      <c r="L685" s="192" t="s">
        <v>258</v>
      </c>
      <c r="M685" s="192" t="s">
        <v>367</v>
      </c>
      <c r="N685" s="52" t="str">
        <f>IF(AND('331-CT'!$E$7=TH!H685,OR(L685="331",M685="331")),"331",IF(AND(OR(L685="131",M685="131"),H685='131-CT'!$E$7),"131",""))</f>
        <v/>
      </c>
      <c r="O685" s="818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52"/>
      <c r="AB685" s="552"/>
    </row>
    <row r="686" spans="1:29" s="209" customFormat="1" ht="15.75" customHeight="1">
      <c r="A686" s="202" t="str">
        <f>IF(B686&lt;&gt;"",IF(AND(B686&gt;=_TM1,B686&lt;=_TM2,OR(TH!L686="1111",TH!M686="1111")),TH!D686,""),"")</f>
        <v/>
      </c>
      <c r="B686" s="36">
        <f t="shared" si="36"/>
        <v>4</v>
      </c>
      <c r="C686" s="182">
        <f t="shared" si="37"/>
        <v>42473</v>
      </c>
      <c r="D686" s="189" t="s">
        <v>1091</v>
      </c>
      <c r="E686" s="189">
        <v>42473</v>
      </c>
      <c r="F686" s="40" t="s">
        <v>680</v>
      </c>
      <c r="G686" s="451" t="s">
        <v>515</v>
      </c>
      <c r="H686" s="7" t="s">
        <v>798</v>
      </c>
      <c r="I686" s="251">
        <v>1540</v>
      </c>
      <c r="J686" s="251">
        <v>9300</v>
      </c>
      <c r="K686" s="38">
        <f>ROUND(I686*J686,0)</f>
        <v>14322000</v>
      </c>
      <c r="L686" s="192" t="s">
        <v>258</v>
      </c>
      <c r="M686" s="192" t="s">
        <v>173</v>
      </c>
      <c r="N686" s="52" t="str">
        <f>IF(AND('331-CT'!$E$7=TH!H686,OR(L686="331",M686="331")),"331",IF(AND(OR(L686="131",M686="131"),H686='131-CT'!$E$7),"131",""))</f>
        <v/>
      </c>
      <c r="O686" s="818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52"/>
      <c r="AB686" s="552"/>
    </row>
    <row r="687" spans="1:29" s="209" customFormat="1" ht="15.75" customHeight="1">
      <c r="A687" s="202" t="str">
        <f>IF(B687&lt;&gt;"",IF(AND(B687&gt;=_TM1,B687&lt;=_TM2,OR(TH!L687="1111",TH!M687="1111")),TH!D687,""),"")</f>
        <v/>
      </c>
      <c r="B687" s="36">
        <f t="shared" si="36"/>
        <v>4</v>
      </c>
      <c r="C687" s="182">
        <f t="shared" si="37"/>
        <v>42473</v>
      </c>
      <c r="D687" s="189" t="s">
        <v>1091</v>
      </c>
      <c r="E687" s="189">
        <v>42473</v>
      </c>
      <c r="F687" s="187" t="s">
        <v>525</v>
      </c>
      <c r="G687" s="451" t="s">
        <v>515</v>
      </c>
      <c r="H687" s="7" t="s">
        <v>798</v>
      </c>
      <c r="I687" s="251"/>
      <c r="J687" s="251"/>
      <c r="K687" s="560">
        <v>1432200</v>
      </c>
      <c r="L687" s="192" t="s">
        <v>258</v>
      </c>
      <c r="M687" s="192" t="s">
        <v>367</v>
      </c>
      <c r="N687" s="52" t="str">
        <f>IF(AND('331-CT'!$E$7=TH!H687,OR(L687="331",M687="331")),"331",IF(AND(OR(L687="131",M687="131"),H687='131-CT'!$E$7),"131",""))</f>
        <v/>
      </c>
      <c r="O687" s="818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52"/>
      <c r="AB687" s="552"/>
      <c r="AC687" s="552"/>
    </row>
    <row r="688" spans="1:29" s="209" customFormat="1" ht="15.75" customHeight="1">
      <c r="A688" s="202" t="str">
        <f>IF(B688&lt;&gt;"",IF(AND(B688&gt;=_TM1,B688&lt;=_TM2,OR(TH!L688="1111",TH!M688="1111")),TH!D688,""),"")</f>
        <v/>
      </c>
      <c r="B688" s="36">
        <f t="shared" si="36"/>
        <v>4</v>
      </c>
      <c r="C688" s="182">
        <f t="shared" si="37"/>
        <v>42474</v>
      </c>
      <c r="D688" s="182" t="s">
        <v>1620</v>
      </c>
      <c r="E688" s="691">
        <v>42474</v>
      </c>
      <c r="F688" s="190" t="s">
        <v>670</v>
      </c>
      <c r="G688" s="190" t="s">
        <v>330</v>
      </c>
      <c r="H688" s="7" t="s">
        <v>675</v>
      </c>
      <c r="I688" s="251"/>
      <c r="J688" s="251"/>
      <c r="K688" s="560">
        <v>37800000</v>
      </c>
      <c r="L688" s="192" t="s">
        <v>47</v>
      </c>
      <c r="M688" s="192" t="s">
        <v>24</v>
      </c>
      <c r="N688" s="52" t="str">
        <f>IF(AND('331-CT'!$E$7=TH!H688,OR(L688="331",M688="331")),"331",IF(AND(OR(L688="131",M688="131"),H688='131-CT'!$E$7),"131",""))</f>
        <v/>
      </c>
      <c r="O688" s="818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53"/>
      <c r="AB688" s="552"/>
      <c r="AC688" s="552"/>
    </row>
    <row r="689" spans="1:32" s="209" customFormat="1" ht="15.75" customHeight="1">
      <c r="A689" s="202" t="str">
        <f>IF(B689&lt;&gt;"",IF(AND(B689&gt;=_TM1,B689&lt;=_TM2,OR(TH!L689="1111",TH!M689="1111")),TH!D689,""),"")</f>
        <v/>
      </c>
      <c r="B689" s="36">
        <f t="shared" si="36"/>
        <v>4</v>
      </c>
      <c r="C689" s="182">
        <f t="shared" si="37"/>
        <v>42474</v>
      </c>
      <c r="D689" s="182" t="s">
        <v>669</v>
      </c>
      <c r="E689" s="691">
        <v>42474</v>
      </c>
      <c r="F689" s="187" t="s">
        <v>674</v>
      </c>
      <c r="G689" s="190" t="s">
        <v>330</v>
      </c>
      <c r="H689" s="7"/>
      <c r="I689" s="251"/>
      <c r="J689" s="251"/>
      <c r="K689" s="560">
        <v>13636</v>
      </c>
      <c r="L689" s="192" t="s">
        <v>83</v>
      </c>
      <c r="M689" s="192" t="s">
        <v>24</v>
      </c>
      <c r="N689" s="52" t="str">
        <f>IF(AND('331-CT'!$E$7=TH!H689,OR(L689="331",M689="331")),"331",IF(AND(OR(L689="131",M689="131"),H689='131-CT'!$E$7),"131",""))</f>
        <v/>
      </c>
      <c r="O689" s="818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>x</v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52">
        <v>2</v>
      </c>
      <c r="AB689" s="552"/>
      <c r="AC689" s="552"/>
    </row>
    <row r="690" spans="1:32" s="209" customFormat="1" ht="15.75" customHeight="1">
      <c r="A690" s="202" t="str">
        <f>IF(B690&lt;&gt;"",IF(AND(B690&gt;=_TM1,B690&lt;=_TM2,OR(TH!L690="1111",TH!M690="1111")),TH!D690,""),"")</f>
        <v/>
      </c>
      <c r="B690" s="36">
        <f t="shared" si="36"/>
        <v>4</v>
      </c>
      <c r="C690" s="182">
        <f t="shared" si="37"/>
        <v>42474</v>
      </c>
      <c r="D690" s="182" t="s">
        <v>669</v>
      </c>
      <c r="E690" s="691">
        <v>42474</v>
      </c>
      <c r="F690" s="187" t="s">
        <v>794</v>
      </c>
      <c r="G690" s="190" t="s">
        <v>330</v>
      </c>
      <c r="H690" s="7"/>
      <c r="I690" s="251"/>
      <c r="J690" s="251"/>
      <c r="K690" s="560">
        <v>1364</v>
      </c>
      <c r="L690" s="192" t="s">
        <v>9</v>
      </c>
      <c r="M690" s="192" t="s">
        <v>24</v>
      </c>
      <c r="N690" s="52" t="str">
        <f>IF(AND('331-CT'!$E$7=TH!H690,OR(L690="331",M690="331")),"331",IF(AND(OR(L690="131",M690="131"),H690='131-CT'!$E$7),"131",""))</f>
        <v/>
      </c>
      <c r="O690" s="818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52">
        <v>2</v>
      </c>
      <c r="AB690" s="552"/>
    </row>
    <row r="691" spans="1:32" s="209" customFormat="1" ht="15.75" customHeight="1">
      <c r="A691" s="202" t="str">
        <f>IF(B691&lt;&gt;"",IF(AND(B691&gt;=_TM1,B691&lt;=_TM2,OR(TH!L691="1111",TH!M691="1111")),TH!D691,""),"")</f>
        <v/>
      </c>
      <c r="B691" s="36">
        <f t="shared" si="36"/>
        <v>4</v>
      </c>
      <c r="C691" s="182">
        <f t="shared" si="37"/>
        <v>42474</v>
      </c>
      <c r="D691" s="189" t="s">
        <v>1190</v>
      </c>
      <c r="E691" s="182">
        <v>42474</v>
      </c>
      <c r="F691" s="190" t="s">
        <v>682</v>
      </c>
      <c r="G691" s="451" t="s">
        <v>652</v>
      </c>
      <c r="H691" s="7" t="s">
        <v>834</v>
      </c>
      <c r="I691" s="251">
        <v>33077</v>
      </c>
      <c r="J691" s="251">
        <v>8200</v>
      </c>
      <c r="K691" s="38">
        <f>ROUND(I691*J691,0)</f>
        <v>271231400</v>
      </c>
      <c r="L691" s="192" t="s">
        <v>158</v>
      </c>
      <c r="M691" s="192" t="s">
        <v>8</v>
      </c>
      <c r="N691" s="52" t="str">
        <f>IF(AND('331-CT'!$E$7=TH!H691,OR(L691="331",M691="331")),"331",IF(AND(OR(L691="131",M691="131"),H691='131-CT'!$E$7),"131",""))</f>
        <v/>
      </c>
      <c r="O691" s="818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52">
        <v>2</v>
      </c>
      <c r="AB691" s="552"/>
      <c r="AC691" s="209" t="str">
        <f>IF(VLOOKUP(H691,DSKH,1,0)=H691,"","x")</f>
        <v/>
      </c>
      <c r="AE691" s="552"/>
      <c r="AF691" s="552"/>
    </row>
    <row r="692" spans="1:32" s="209" customFormat="1" ht="15.75" customHeight="1">
      <c r="A692" s="202" t="str">
        <f>IF(B692&lt;&gt;"",IF(AND(B692&gt;=_TM1,B692&lt;=_TM2,OR(TH!L692="1111",TH!M692="1111")),TH!D692,""),"")</f>
        <v/>
      </c>
      <c r="B692" s="36">
        <f t="shared" si="36"/>
        <v>4</v>
      </c>
      <c r="C692" s="182">
        <f t="shared" si="37"/>
        <v>42474</v>
      </c>
      <c r="D692" s="189" t="s">
        <v>1190</v>
      </c>
      <c r="E692" s="182">
        <v>42474</v>
      </c>
      <c r="F692" s="190" t="s">
        <v>683</v>
      </c>
      <c r="G692" s="451" t="s">
        <v>652</v>
      </c>
      <c r="H692" s="7" t="s">
        <v>834</v>
      </c>
      <c r="I692" s="251"/>
      <c r="J692" s="251"/>
      <c r="K692" s="560">
        <v>27123140</v>
      </c>
      <c r="L692" s="192" t="s">
        <v>9</v>
      </c>
      <c r="M692" s="192" t="s">
        <v>8</v>
      </c>
      <c r="N692" s="52" t="str">
        <f>IF(AND('331-CT'!$E$7=TH!H692,OR(L692="331",M692="331")),"331",IF(AND(OR(L692="131",M692="131"),H692='131-CT'!$E$7),"131",""))</f>
        <v/>
      </c>
      <c r="O692" s="818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52">
        <v>2</v>
      </c>
      <c r="AB692" s="552"/>
      <c r="AC692" s="209" t="str">
        <f>IF(VLOOKUP(H692,DSKH,1,0)=H692,"","x")</f>
        <v/>
      </c>
      <c r="AE692" s="552"/>
      <c r="AF692" s="552"/>
    </row>
    <row r="693" spans="1:32" s="209" customFormat="1" ht="15.75" customHeight="1">
      <c r="A693" s="202" t="str">
        <f>IF(B693&lt;&gt;"",IF(AND(B693&gt;=_TM1,B693&lt;=_TM2,OR(TH!L693="1111",TH!M693="1111")),TH!D693,""),"")</f>
        <v/>
      </c>
      <c r="B693" s="36">
        <f t="shared" si="36"/>
        <v>4</v>
      </c>
      <c r="C693" s="182">
        <f t="shared" si="37"/>
        <v>42475</v>
      </c>
      <c r="D693" s="182" t="s">
        <v>665</v>
      </c>
      <c r="E693" s="691">
        <v>42475</v>
      </c>
      <c r="F693" s="190" t="s">
        <v>666</v>
      </c>
      <c r="G693" s="190" t="s">
        <v>330</v>
      </c>
      <c r="H693" s="7" t="s">
        <v>778</v>
      </c>
      <c r="I693" s="251"/>
      <c r="J693" s="251"/>
      <c r="K693" s="560">
        <v>6134000</v>
      </c>
      <c r="L693" s="192" t="s">
        <v>24</v>
      </c>
      <c r="M693" s="192" t="s">
        <v>258</v>
      </c>
      <c r="N693" s="52" t="str">
        <f>IF(AND('331-CT'!$E$7=TH!H693,OR(L693="331",M693="331")),"331",IF(AND(OR(L693="131",M693="131"),H693='131-CT'!$E$7),"131",""))</f>
        <v/>
      </c>
      <c r="O693" s="818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53"/>
      <c r="AB693" s="552"/>
      <c r="AC693" s="552"/>
    </row>
    <row r="694" spans="1:32" s="209" customFormat="1" ht="15.75" customHeight="1">
      <c r="A694" s="202" t="str">
        <f>IF(B694&lt;&gt;"",IF(AND(B694&gt;=_TM1,B694&lt;=_TM2,OR(TH!L694="1111",TH!M694="1111")),TH!D694,""),"")</f>
        <v/>
      </c>
      <c r="B694" s="36">
        <f t="shared" si="36"/>
        <v>4</v>
      </c>
      <c r="C694" s="182">
        <f t="shared" si="37"/>
        <v>42475</v>
      </c>
      <c r="D694" s="182" t="s">
        <v>665</v>
      </c>
      <c r="E694" s="691">
        <v>42475</v>
      </c>
      <c r="F694" s="190" t="s">
        <v>666</v>
      </c>
      <c r="G694" s="190" t="s">
        <v>330</v>
      </c>
      <c r="H694" s="191" t="s">
        <v>1268</v>
      </c>
      <c r="I694" s="251"/>
      <c r="J694" s="251"/>
      <c r="K694" s="560">
        <v>5062640</v>
      </c>
      <c r="L694" s="192" t="s">
        <v>24</v>
      </c>
      <c r="M694" s="192" t="s">
        <v>258</v>
      </c>
      <c r="N694" s="52" t="str">
        <f>IF(AND('331-CT'!$E$7=TH!H694,OR(L694="331",M694="331")),"331",IF(AND(OR(L694="131",M694="131"),H694='131-CT'!$E$7),"131",""))</f>
        <v/>
      </c>
      <c r="O694" s="818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53"/>
      <c r="AB694" s="552"/>
      <c r="AC694" s="552"/>
    </row>
    <row r="695" spans="1:32" s="209" customFormat="1" ht="15.75" customHeight="1">
      <c r="A695" s="202" t="str">
        <f>IF(B695&lt;&gt;"",IF(AND(B695&gt;=_TM1,B695&lt;=_TM2,OR(TH!L695="1111",TH!M695="1111")),TH!D695,""),"")</f>
        <v/>
      </c>
      <c r="B695" s="36">
        <f t="shared" si="36"/>
        <v>4</v>
      </c>
      <c r="C695" s="182">
        <f t="shared" si="37"/>
        <v>42475</v>
      </c>
      <c r="D695" s="189" t="s">
        <v>1092</v>
      </c>
      <c r="E695" s="189">
        <v>42475</v>
      </c>
      <c r="F695" s="190" t="s">
        <v>418</v>
      </c>
      <c r="G695" s="451" t="s">
        <v>977</v>
      </c>
      <c r="H695" s="7" t="s">
        <v>527</v>
      </c>
      <c r="I695" s="251">
        <v>295</v>
      </c>
      <c r="J695" s="251">
        <v>47449</v>
      </c>
      <c r="K695" s="38">
        <f>ROUND(I695*J695,0)</f>
        <v>13997455</v>
      </c>
      <c r="L695" s="192" t="s">
        <v>258</v>
      </c>
      <c r="M695" s="192" t="s">
        <v>173</v>
      </c>
      <c r="N695" s="52" t="str">
        <f>IF(AND('331-CT'!$E$7=TH!H695,OR(L695="331",M695="331")),"331",IF(AND(OR(L695="131",M695="131"),H695='131-CT'!$E$7),"131",""))</f>
        <v/>
      </c>
      <c r="O695" s="818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52"/>
      <c r="AB695" s="552"/>
      <c r="AC695" s="552"/>
    </row>
    <row r="696" spans="1:32" s="209" customFormat="1" ht="15.75" customHeight="1">
      <c r="A696" s="202" t="str">
        <f>IF(B696&lt;&gt;"",IF(AND(B696&gt;=_TM1,B696&lt;=_TM2,OR(TH!L696="1111",TH!M696="1111")),TH!D696,""),"")</f>
        <v/>
      </c>
      <c r="B696" s="779">
        <f t="shared" si="36"/>
        <v>4</v>
      </c>
      <c r="C696" s="780">
        <f t="shared" si="37"/>
        <v>42475</v>
      </c>
      <c r="D696" s="189" t="s">
        <v>1092</v>
      </c>
      <c r="E696" s="189">
        <v>42475</v>
      </c>
      <c r="F696" s="187" t="s">
        <v>978</v>
      </c>
      <c r="G696" s="451" t="s">
        <v>977</v>
      </c>
      <c r="H696" s="7" t="s">
        <v>527</v>
      </c>
      <c r="I696" s="251">
        <v>41</v>
      </c>
      <c r="J696" s="251">
        <v>54530</v>
      </c>
      <c r="K696" s="38">
        <f>ROUND(I696*J696,0)</f>
        <v>2235730</v>
      </c>
      <c r="L696" s="192" t="s">
        <v>258</v>
      </c>
      <c r="M696" s="192" t="s">
        <v>173</v>
      </c>
      <c r="N696" s="52" t="str">
        <f>IF(AND('331-CT'!$E$7=TH!H696,OR(L696="331",M696="331")),"331",IF(AND(OR(L696="131",M696="131"),H696='131-CT'!$E$7),"131",""))</f>
        <v/>
      </c>
      <c r="O696" s="818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52"/>
      <c r="AB696" s="552"/>
      <c r="AC696" s="788"/>
      <c r="AD696" s="788"/>
      <c r="AE696" s="788"/>
      <c r="AF696" s="788"/>
    </row>
    <row r="697" spans="1:32" s="209" customFormat="1" ht="15.75" customHeight="1">
      <c r="A697" s="202" t="str">
        <f>IF(B697&lt;&gt;"",IF(AND(B697&gt;=_TM1,B697&lt;=_TM2,OR(TH!L697="1111",TH!M697="1111")),TH!D697,""),"")</f>
        <v/>
      </c>
      <c r="B697" s="36">
        <f t="shared" si="36"/>
        <v>4</v>
      </c>
      <c r="C697" s="182">
        <f t="shared" si="37"/>
        <v>42475</v>
      </c>
      <c r="D697" s="189" t="s">
        <v>1092</v>
      </c>
      <c r="E697" s="182">
        <v>42475</v>
      </c>
      <c r="F697" s="187" t="s">
        <v>393</v>
      </c>
      <c r="G697" s="562" t="s">
        <v>977</v>
      </c>
      <c r="H697" s="191" t="s">
        <v>527</v>
      </c>
      <c r="I697" s="251"/>
      <c r="J697" s="251"/>
      <c r="K697" s="560">
        <v>1623318</v>
      </c>
      <c r="L697" s="192" t="s">
        <v>258</v>
      </c>
      <c r="M697" s="192" t="s">
        <v>367</v>
      </c>
      <c r="N697" s="52" t="str">
        <f>IF(AND('331-CT'!$E$7=TH!H697,OR(L697="331",M697="331")),"331",IF(AND(OR(L697="131",M697="131"),H697='131-CT'!$E$7),"131",""))</f>
        <v/>
      </c>
      <c r="O697" s="818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52"/>
      <c r="AB697" s="552"/>
      <c r="AC697" s="552"/>
    </row>
    <row r="698" spans="1:32" s="209" customFormat="1" ht="15.75" customHeight="1">
      <c r="A698" s="202" t="str">
        <f>IF(B698&lt;&gt;"",IF(AND(B698&gt;=_TM1,B698&lt;=_TM2,OR(TH!L698="1111",TH!M698="1111")),TH!D698,""),"")</f>
        <v/>
      </c>
      <c r="B698" s="36">
        <f t="shared" si="36"/>
        <v>4</v>
      </c>
      <c r="C698" s="182">
        <f t="shared" si="37"/>
        <v>42475</v>
      </c>
      <c r="D698" s="189" t="s">
        <v>1093</v>
      </c>
      <c r="E698" s="182">
        <v>42475</v>
      </c>
      <c r="F698" s="187" t="s">
        <v>411</v>
      </c>
      <c r="G698" s="562" t="s">
        <v>519</v>
      </c>
      <c r="H698" s="7" t="s">
        <v>780</v>
      </c>
      <c r="I698" s="251">
        <v>991</v>
      </c>
      <c r="J698" s="251">
        <v>6700</v>
      </c>
      <c r="K698" s="38">
        <f>ROUND(I698*J698,0)</f>
        <v>6639700</v>
      </c>
      <c r="L698" s="192" t="s">
        <v>258</v>
      </c>
      <c r="M698" s="192" t="s">
        <v>173</v>
      </c>
      <c r="N698" s="52" t="str">
        <f>IF(AND('331-CT'!$E$7=TH!H698,OR(L698="331",M698="331")),"331",IF(AND(OR(L698="131",M698="131"),H698='131-CT'!$E$7),"131",""))</f>
        <v/>
      </c>
      <c r="O698" s="818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52"/>
      <c r="AB698" s="552"/>
    </row>
    <row r="699" spans="1:32" s="209" customFormat="1" ht="15.75" customHeight="1">
      <c r="A699" s="202" t="str">
        <f>IF(B699&lt;&gt;"",IF(AND(B699&gt;=_TM1,B699&lt;=_TM2,OR(TH!L699="1111",TH!M699="1111")),TH!D699,""),"")</f>
        <v/>
      </c>
      <c r="B699" s="36">
        <f t="shared" si="36"/>
        <v>4</v>
      </c>
      <c r="C699" s="182">
        <f t="shared" si="37"/>
        <v>42475</v>
      </c>
      <c r="D699" s="189" t="s">
        <v>1093</v>
      </c>
      <c r="E699" s="189">
        <v>42475</v>
      </c>
      <c r="F699" s="187" t="s">
        <v>607</v>
      </c>
      <c r="G699" s="451" t="s">
        <v>519</v>
      </c>
      <c r="H699" s="7" t="s">
        <v>780</v>
      </c>
      <c r="I699" s="251">
        <v>105</v>
      </c>
      <c r="J699" s="251">
        <v>27000</v>
      </c>
      <c r="K699" s="38">
        <f>ROUND(I699*J699,0)</f>
        <v>2835000</v>
      </c>
      <c r="L699" s="192" t="s">
        <v>258</v>
      </c>
      <c r="M699" s="192" t="s">
        <v>173</v>
      </c>
      <c r="N699" s="52" t="str">
        <f>IF(AND('331-CT'!$E$7=TH!H699,OR(L699="331",M699="331")),"331",IF(AND(OR(L699="131",M699="131"),H699='131-CT'!$E$7),"131",""))</f>
        <v/>
      </c>
      <c r="O699" s="818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52"/>
      <c r="AB699" s="552"/>
      <c r="AC699" s="552"/>
    </row>
    <row r="700" spans="1:32" s="209" customFormat="1" ht="15.75" customHeight="1">
      <c r="A700" s="202" t="str">
        <f>IF(B700&lt;&gt;"",IF(AND(B700&gt;=_TM1,B700&lt;=_TM2,OR(TH!L700="1111",TH!M700="1111")),TH!D700,""),"")</f>
        <v/>
      </c>
      <c r="B700" s="36">
        <f t="shared" si="36"/>
        <v>4</v>
      </c>
      <c r="C700" s="182">
        <f t="shared" si="37"/>
        <v>42475</v>
      </c>
      <c r="D700" s="189" t="s">
        <v>1093</v>
      </c>
      <c r="E700" s="189">
        <v>42475</v>
      </c>
      <c r="F700" s="187" t="s">
        <v>979</v>
      </c>
      <c r="G700" s="451" t="s">
        <v>519</v>
      </c>
      <c r="H700" s="7" t="s">
        <v>780</v>
      </c>
      <c r="I700" s="251">
        <v>209</v>
      </c>
      <c r="J700" s="251">
        <v>5700</v>
      </c>
      <c r="K700" s="38">
        <f>ROUND(I700*J700,0)</f>
        <v>1191300</v>
      </c>
      <c r="L700" s="192" t="s">
        <v>258</v>
      </c>
      <c r="M700" s="192" t="s">
        <v>173</v>
      </c>
      <c r="N700" s="52" t="str">
        <f>IF(AND('331-CT'!$E$7=TH!H700,OR(L700="331",M700="331")),"331",IF(AND(OR(L700="131",M700="131"),H700='131-CT'!$E$7),"131",""))</f>
        <v/>
      </c>
      <c r="O700" s="818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52"/>
      <c r="AB700" s="552"/>
    </row>
    <row r="701" spans="1:32" s="209" customFormat="1" ht="15.75" customHeight="1">
      <c r="A701" s="202" t="str">
        <f>IF(B701&lt;&gt;"",IF(AND(B701&gt;=_TM1,B701&lt;=_TM2,OR(TH!L701="1111",TH!M701="1111")),TH!D701,""),"")</f>
        <v/>
      </c>
      <c r="B701" s="36">
        <f t="shared" si="36"/>
        <v>4</v>
      </c>
      <c r="C701" s="182">
        <f t="shared" si="37"/>
        <v>42475</v>
      </c>
      <c r="D701" s="189" t="s">
        <v>1093</v>
      </c>
      <c r="E701" s="189">
        <v>42475</v>
      </c>
      <c r="F701" s="187" t="s">
        <v>393</v>
      </c>
      <c r="G701" s="451" t="s">
        <v>519</v>
      </c>
      <c r="H701" s="7" t="s">
        <v>780</v>
      </c>
      <c r="I701" s="251"/>
      <c r="J701" s="251"/>
      <c r="K701" s="560">
        <v>1066600</v>
      </c>
      <c r="L701" s="192" t="s">
        <v>258</v>
      </c>
      <c r="M701" s="192" t="s">
        <v>367</v>
      </c>
      <c r="N701" s="52" t="str">
        <f>IF(AND('331-CT'!$E$7=TH!H701,OR(L701="331",M701="331")),"331",IF(AND(OR(L701="131",M701="131"),H701='131-CT'!$E$7),"131",""))</f>
        <v/>
      </c>
      <c r="O701" s="818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52"/>
      <c r="AB701" s="552"/>
      <c r="AC701" s="552"/>
    </row>
    <row r="702" spans="1:32" s="209" customFormat="1" ht="15.75" customHeight="1">
      <c r="A702" s="202" t="str">
        <f>IF(B702&lt;&gt;"",IF(AND(B702&gt;=_TM1,B702&lt;=_TM2,OR(TH!L702="1111",TH!M702="1111")),TH!D702,""),"")</f>
        <v/>
      </c>
      <c r="B702" s="36">
        <f t="shared" si="36"/>
        <v>4</v>
      </c>
      <c r="C702" s="182">
        <f t="shared" si="37"/>
        <v>42476</v>
      </c>
      <c r="D702" s="182" t="s">
        <v>1621</v>
      </c>
      <c r="E702" s="189">
        <v>42476</v>
      </c>
      <c r="F702" s="40" t="s">
        <v>666</v>
      </c>
      <c r="G702" s="451" t="s">
        <v>1593</v>
      </c>
      <c r="H702" s="7" t="s">
        <v>1594</v>
      </c>
      <c r="I702" s="252"/>
      <c r="J702" s="252"/>
      <c r="K702" s="560">
        <v>17174144</v>
      </c>
      <c r="L702" s="561" t="s">
        <v>47</v>
      </c>
      <c r="M702" s="561" t="s">
        <v>258</v>
      </c>
      <c r="N702" s="52" t="str">
        <f>IF(AND('331-CT'!$E$7=TH!H702,OR(L702="331",M702="331")),"331",IF(AND(OR(L702="131",M702="131"),H702='131-CT'!$E$7),"131",""))</f>
        <v/>
      </c>
      <c r="O702" s="818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52"/>
      <c r="AB702" s="552"/>
    </row>
    <row r="703" spans="1:32" s="209" customFormat="1" ht="15.75" customHeight="1">
      <c r="A703" s="202" t="str">
        <f>IF(B703&lt;&gt;"",IF(AND(B703&gt;=_TM1,B703&lt;=_TM2,OR(TH!L703="1111",TH!M703="1111")),TH!D703,""),"")</f>
        <v/>
      </c>
      <c r="B703" s="36">
        <f t="shared" si="36"/>
        <v>4</v>
      </c>
      <c r="C703" s="182">
        <f t="shared" si="37"/>
        <v>42478</v>
      </c>
      <c r="D703" s="189" t="s">
        <v>1618</v>
      </c>
      <c r="E703" s="182">
        <v>42478</v>
      </c>
      <c r="F703" s="190" t="s">
        <v>835</v>
      </c>
      <c r="G703" s="451" t="s">
        <v>836</v>
      </c>
      <c r="H703" s="208" t="s">
        <v>837</v>
      </c>
      <c r="I703" s="251"/>
      <c r="J703" s="251"/>
      <c r="K703" s="560">
        <v>513637</v>
      </c>
      <c r="L703" s="192" t="s">
        <v>83</v>
      </c>
      <c r="M703" s="192" t="s">
        <v>47</v>
      </c>
      <c r="N703" s="52" t="str">
        <f>IF(AND('331-CT'!$E$7=TH!H703,OR(L703="331",M703="331")),"331",IF(AND(OR(L703="131",M703="131"),H703='131-CT'!$E$7),"131",""))</f>
        <v/>
      </c>
      <c r="O703" s="818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>x</v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52">
        <v>2</v>
      </c>
      <c r="AB703" s="552"/>
      <c r="AC703" s="552"/>
      <c r="AE703" s="552"/>
      <c r="AF703" s="552"/>
    </row>
    <row r="704" spans="1:32" s="209" customFormat="1" ht="15.75" customHeight="1">
      <c r="A704" s="202" t="str">
        <f>IF(B704&lt;&gt;"",IF(AND(B704&gt;=_TM1,B704&lt;=_TM2,OR(TH!L704="1111",TH!M704="1111")),TH!D704,""),"")</f>
        <v/>
      </c>
      <c r="B704" s="36">
        <f t="shared" si="36"/>
        <v>4</v>
      </c>
      <c r="C704" s="182">
        <f t="shared" si="37"/>
        <v>42478</v>
      </c>
      <c r="D704" s="189" t="s">
        <v>1618</v>
      </c>
      <c r="E704" s="182">
        <v>42478</v>
      </c>
      <c r="F704" s="187" t="s">
        <v>838</v>
      </c>
      <c r="G704" s="451" t="s">
        <v>836</v>
      </c>
      <c r="H704" s="208" t="s">
        <v>837</v>
      </c>
      <c r="I704" s="251"/>
      <c r="J704" s="251"/>
      <c r="K704" s="560">
        <v>51363</v>
      </c>
      <c r="L704" s="192" t="s">
        <v>9</v>
      </c>
      <c r="M704" s="192" t="s">
        <v>47</v>
      </c>
      <c r="N704" s="52" t="str">
        <f>IF(AND('331-CT'!$E$7=TH!H704,OR(L704="331",M704="331")),"331",IF(AND(OR(L704="131",M704="131"),H704='131-CT'!$E$7),"131",""))</f>
        <v/>
      </c>
      <c r="O704" s="818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52">
        <v>2</v>
      </c>
      <c r="AB704" s="552"/>
      <c r="AC704" s="552"/>
      <c r="AE704" s="552"/>
      <c r="AF704" s="552"/>
    </row>
    <row r="705" spans="1:32" s="209" customFormat="1" ht="15.75" customHeight="1">
      <c r="A705" s="202" t="str">
        <f>IF(B705&lt;&gt;"",IF(AND(B705&gt;=_TM1,B705&lt;=_TM2,OR(TH!L705="1111",TH!M705="1111")),TH!D705,""),"")</f>
        <v/>
      </c>
      <c r="B705" s="779">
        <f t="shared" si="36"/>
        <v>4</v>
      </c>
      <c r="C705" s="780">
        <f t="shared" si="37"/>
        <v>42478</v>
      </c>
      <c r="D705" s="189" t="s">
        <v>1622</v>
      </c>
      <c r="E705" s="182">
        <v>42478</v>
      </c>
      <c r="F705" s="190" t="s">
        <v>835</v>
      </c>
      <c r="G705" s="451" t="s">
        <v>839</v>
      </c>
      <c r="H705" s="208" t="s">
        <v>837</v>
      </c>
      <c r="I705" s="251"/>
      <c r="J705" s="251"/>
      <c r="K705" s="560">
        <v>513637</v>
      </c>
      <c r="L705" s="192" t="s">
        <v>83</v>
      </c>
      <c r="M705" s="192" t="s">
        <v>47</v>
      </c>
      <c r="N705" s="52" t="str">
        <f>IF(AND('331-CT'!$E$7=TH!H705,OR(L705="331",M705="331")),"331",IF(AND(OR(L705="131",M705="131"),H705='131-CT'!$E$7),"131",""))</f>
        <v/>
      </c>
      <c r="O705" s="818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>x</v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52">
        <v>2</v>
      </c>
      <c r="AB705" s="787"/>
      <c r="AC705" s="788"/>
      <c r="AD705" s="788"/>
      <c r="AE705" s="787"/>
      <c r="AF705" s="787"/>
    </row>
    <row r="706" spans="1:32" s="209" customFormat="1" ht="15.75" customHeight="1">
      <c r="A706" s="202" t="str">
        <f>IF(B706&lt;&gt;"",IF(AND(B706&gt;=_TM1,B706&lt;=_TM2,OR(TH!L706="1111",TH!M706="1111")),TH!D706,""),"")</f>
        <v/>
      </c>
      <c r="B706" s="36">
        <f t="shared" si="36"/>
        <v>4</v>
      </c>
      <c r="C706" s="182">
        <f t="shared" si="37"/>
        <v>42478</v>
      </c>
      <c r="D706" s="189" t="s">
        <v>1622</v>
      </c>
      <c r="E706" s="182">
        <v>42478</v>
      </c>
      <c r="F706" s="187" t="s">
        <v>838</v>
      </c>
      <c r="G706" s="451" t="s">
        <v>839</v>
      </c>
      <c r="H706" s="208" t="s">
        <v>837</v>
      </c>
      <c r="I706" s="251"/>
      <c r="J706" s="251"/>
      <c r="K706" s="560">
        <v>51363</v>
      </c>
      <c r="L706" s="192" t="s">
        <v>9</v>
      </c>
      <c r="M706" s="192" t="s">
        <v>47</v>
      </c>
      <c r="N706" s="52" t="str">
        <f>IF(AND('331-CT'!$E$7=TH!H706,OR(L706="331",M706="331")),"331",IF(AND(OR(L706="131",M706="131"),H706='131-CT'!$E$7),"131",""))</f>
        <v/>
      </c>
      <c r="O706" s="818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52">
        <v>2</v>
      </c>
      <c r="AB706" s="552"/>
      <c r="AC706" s="552"/>
      <c r="AE706" s="552"/>
      <c r="AF706" s="552"/>
    </row>
    <row r="707" spans="1:32" s="209" customFormat="1" ht="15.75" customHeight="1">
      <c r="A707" s="202" t="str">
        <f>IF(B707&lt;&gt;"",IF(AND(B707&gt;=_TM1,B707&lt;=_TM2,OR(TH!L707="1111",TH!M707="1111")),TH!D707,""),"")</f>
        <v/>
      </c>
      <c r="B707" s="36">
        <f t="shared" si="36"/>
        <v>4</v>
      </c>
      <c r="C707" s="182">
        <f t="shared" si="37"/>
        <v>42478</v>
      </c>
      <c r="D707" s="189" t="s">
        <v>1094</v>
      </c>
      <c r="E707" s="189">
        <v>42478</v>
      </c>
      <c r="F707" s="190" t="s">
        <v>436</v>
      </c>
      <c r="G707" s="451" t="s">
        <v>520</v>
      </c>
      <c r="H707" s="828" t="s">
        <v>565</v>
      </c>
      <c r="I707" s="251">
        <v>566</v>
      </c>
      <c r="J707" s="251">
        <v>5900</v>
      </c>
      <c r="K707" s="38">
        <f>ROUND(I707*J707,0)</f>
        <v>3339400</v>
      </c>
      <c r="L707" s="192" t="s">
        <v>258</v>
      </c>
      <c r="M707" s="192" t="s">
        <v>173</v>
      </c>
      <c r="N707" s="52" t="str">
        <f>IF(AND('331-CT'!$E$7=TH!H707,OR(L707="331",M707="331")),"331",IF(AND(OR(L707="131",M707="131"),H707='131-CT'!$E$7),"131",""))</f>
        <v/>
      </c>
      <c r="O707" s="818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52"/>
      <c r="AB707" s="552"/>
      <c r="AC707" s="552"/>
    </row>
    <row r="708" spans="1:32" s="209" customFormat="1" ht="15.75" customHeight="1">
      <c r="A708" s="202" t="str">
        <f>IF(B708&lt;&gt;"",IF(AND(B708&gt;=_TM1,B708&lt;=_TM2,OR(TH!L708="1111",TH!M708="1111")),TH!D708,""),"")</f>
        <v/>
      </c>
      <c r="B708" s="36">
        <f t="shared" si="36"/>
        <v>4</v>
      </c>
      <c r="C708" s="182">
        <f t="shared" si="37"/>
        <v>42478</v>
      </c>
      <c r="D708" s="189" t="s">
        <v>1094</v>
      </c>
      <c r="E708" s="189">
        <v>42478</v>
      </c>
      <c r="F708" s="187" t="s">
        <v>393</v>
      </c>
      <c r="G708" s="451" t="s">
        <v>520</v>
      </c>
      <c r="H708" s="828" t="s">
        <v>565</v>
      </c>
      <c r="I708" s="251"/>
      <c r="J708" s="251"/>
      <c r="K708" s="560">
        <v>333940</v>
      </c>
      <c r="L708" s="192" t="s">
        <v>258</v>
      </c>
      <c r="M708" s="192" t="s">
        <v>367</v>
      </c>
      <c r="N708" s="52" t="str">
        <f>IF(AND('331-CT'!$E$7=TH!H708,OR(L708="331",M708="331")),"331",IF(AND(OR(L708="131",M708="131"),H708='131-CT'!$E$7),"131",""))</f>
        <v/>
      </c>
      <c r="O708" s="818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52"/>
      <c r="AB708" s="552"/>
    </row>
    <row r="709" spans="1:32" s="209" customFormat="1" ht="15.75" customHeight="1">
      <c r="A709" s="202" t="str">
        <f>IF(B709&lt;&gt;"",IF(AND(B709&gt;=_TM1,B709&lt;=_TM2,OR(TH!L709="1111",TH!M709="1111")),TH!D709,""),"")</f>
        <v/>
      </c>
      <c r="B709" s="36">
        <f t="shared" si="36"/>
        <v>4</v>
      </c>
      <c r="C709" s="182">
        <f t="shared" si="37"/>
        <v>42478</v>
      </c>
      <c r="D709" s="189" t="s">
        <v>1095</v>
      </c>
      <c r="E709" s="189">
        <v>42478</v>
      </c>
      <c r="F709" s="190" t="s">
        <v>549</v>
      </c>
      <c r="G709" s="451" t="s">
        <v>521</v>
      </c>
      <c r="H709" s="7" t="s">
        <v>980</v>
      </c>
      <c r="I709" s="251">
        <v>151</v>
      </c>
      <c r="J709" s="251">
        <v>20000</v>
      </c>
      <c r="K709" s="38">
        <f>ROUND(I709*J709,0)</f>
        <v>3020000</v>
      </c>
      <c r="L709" s="192" t="s">
        <v>258</v>
      </c>
      <c r="M709" s="192" t="s">
        <v>173</v>
      </c>
      <c r="N709" s="52" t="str">
        <f>IF(AND('331-CT'!$E$7=TH!H709,OR(L709="331",M709="331")),"331",IF(AND(OR(L709="131",M709="131"),H709='131-CT'!$E$7),"131",""))</f>
        <v/>
      </c>
      <c r="O709" s="818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52"/>
      <c r="AB709" s="552"/>
      <c r="AC709" s="552"/>
    </row>
    <row r="710" spans="1:32" s="209" customFormat="1" ht="15.75" customHeight="1">
      <c r="A710" s="202" t="str">
        <f>IF(B710&lt;&gt;"",IF(AND(B710&gt;=_TM1,B710&lt;=_TM2,OR(TH!L710="1111",TH!M710="1111")),TH!D710,""),"")</f>
        <v/>
      </c>
      <c r="B710" s="36">
        <f t="shared" si="36"/>
        <v>4</v>
      </c>
      <c r="C710" s="182">
        <f t="shared" si="37"/>
        <v>42478</v>
      </c>
      <c r="D710" s="189" t="s">
        <v>1095</v>
      </c>
      <c r="E710" s="189">
        <v>42478</v>
      </c>
      <c r="F710" s="190" t="s">
        <v>393</v>
      </c>
      <c r="G710" s="451" t="s">
        <v>521</v>
      </c>
      <c r="H710" s="7" t="s">
        <v>980</v>
      </c>
      <c r="I710" s="251"/>
      <c r="J710" s="251"/>
      <c r="K710" s="560">
        <v>302000</v>
      </c>
      <c r="L710" s="192" t="s">
        <v>258</v>
      </c>
      <c r="M710" s="192" t="s">
        <v>367</v>
      </c>
      <c r="N710" s="52" t="str">
        <f>IF(AND('331-CT'!$E$7=TH!H710,OR(L710="331",M710="331")),"331",IF(AND(OR(L710="131",M710="131"),H710='131-CT'!$E$7),"131",""))</f>
        <v/>
      </c>
      <c r="O710" s="818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52"/>
      <c r="AB710" s="552"/>
      <c r="AC710" s="552"/>
    </row>
    <row r="711" spans="1:32" s="552" customFormat="1" ht="15.75" customHeight="1">
      <c r="A711" s="202" t="str">
        <f>IF(B711&lt;&gt;"",IF(AND(B711&gt;=_TM1,B711&lt;=_TM2,OR(TH!L711="1111",TH!M711="1111")),TH!D711,""),"")</f>
        <v/>
      </c>
      <c r="B711" s="36">
        <f t="shared" si="36"/>
        <v>4</v>
      </c>
      <c r="C711" s="182">
        <f t="shared" si="37"/>
        <v>42479</v>
      </c>
      <c r="D711" s="182" t="s">
        <v>1624</v>
      </c>
      <c r="E711" s="182">
        <v>42479</v>
      </c>
      <c r="F711" s="190" t="s">
        <v>754</v>
      </c>
      <c r="G711" s="451" t="s">
        <v>756</v>
      </c>
      <c r="H711" s="191" t="s">
        <v>673</v>
      </c>
      <c r="I711" s="251"/>
      <c r="J711" s="251"/>
      <c r="K711" s="560">
        <v>14400000</v>
      </c>
      <c r="L711" s="192" t="s">
        <v>24</v>
      </c>
      <c r="M711" s="561" t="s">
        <v>47</v>
      </c>
      <c r="N711" s="52" t="str">
        <f>IF(AND('331-CT'!$E$7=TH!H711,OR(L711="331",M711="331")),"331",IF(AND(OR(L711="131",M711="131"),H711='131-CT'!$E$7),"131",""))</f>
        <v/>
      </c>
      <c r="O711" s="818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52"/>
    </row>
    <row r="712" spans="1:32" s="552" customFormat="1" ht="15.75" customHeight="1">
      <c r="A712" s="202" t="str">
        <f>IF(B712&lt;&gt;"",IF(AND(B712&gt;=_TM1,B712&lt;=_TM2,OR(TH!L712="1111",TH!M712="1111")),TH!D712,""),"")</f>
        <v/>
      </c>
      <c r="B712" s="36">
        <f t="shared" si="36"/>
        <v>4</v>
      </c>
      <c r="C712" s="182">
        <f t="shared" si="37"/>
        <v>42479</v>
      </c>
      <c r="D712" s="182" t="s">
        <v>669</v>
      </c>
      <c r="E712" s="182">
        <v>42479</v>
      </c>
      <c r="F712" s="187" t="s">
        <v>770</v>
      </c>
      <c r="G712" s="448" t="s">
        <v>756</v>
      </c>
      <c r="H712" s="191" t="s">
        <v>767</v>
      </c>
      <c r="I712" s="251"/>
      <c r="J712" s="251"/>
      <c r="K712" s="560">
        <v>1646637</v>
      </c>
      <c r="L712" s="561" t="s">
        <v>81</v>
      </c>
      <c r="M712" s="561" t="s">
        <v>24</v>
      </c>
      <c r="N712" s="52" t="str">
        <f>IF(AND('331-CT'!$E$7=TH!H712,OR(L712="331",M712="331")),"331",IF(AND(OR(L712="131",M712="131"),H712='131-CT'!$E$7),"131",""))</f>
        <v/>
      </c>
      <c r="O712" s="818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52"/>
    </row>
    <row r="713" spans="1:32" s="552" customFormat="1" ht="15.75" customHeight="1">
      <c r="A713" s="202" t="str">
        <f>IF(B713&lt;&gt;"",IF(AND(B713&gt;=_TM1,B713&lt;=_TM2,OR(TH!L713="1111",TH!M713="1111")),TH!D713,""),"")</f>
        <v/>
      </c>
      <c r="B713" s="36">
        <f t="shared" si="36"/>
        <v>4</v>
      </c>
      <c r="C713" s="182">
        <f t="shared" si="37"/>
        <v>42479</v>
      </c>
      <c r="D713" s="182" t="s">
        <v>669</v>
      </c>
      <c r="E713" s="182">
        <v>42479</v>
      </c>
      <c r="F713" s="187" t="s">
        <v>770</v>
      </c>
      <c r="G713" s="448" t="s">
        <v>756</v>
      </c>
      <c r="H713" s="191" t="s">
        <v>757</v>
      </c>
      <c r="I713" s="251"/>
      <c r="J713" s="251"/>
      <c r="K713" s="560">
        <v>11179858</v>
      </c>
      <c r="L713" s="561" t="s">
        <v>81</v>
      </c>
      <c r="M713" s="561" t="s">
        <v>24</v>
      </c>
      <c r="N713" s="52" t="str">
        <f>IF(AND('331-CT'!$E$7=TH!H713,OR(L713="331",M713="331")),"331",IF(AND(OR(L713="131",M713="131"),H713='131-CT'!$E$7),"131",""))</f>
        <v/>
      </c>
      <c r="O713" s="818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52"/>
    </row>
    <row r="714" spans="1:32" s="552" customFormat="1" ht="15.75" customHeight="1">
      <c r="A714" s="202" t="str">
        <f>IF(B714&lt;&gt;"",IF(AND(B714&gt;=_TM1,B714&lt;=_TM2,OR(TH!L714="1111",TH!M714="1111")),TH!D714,""),"")</f>
        <v/>
      </c>
      <c r="B714" s="36">
        <f t="shared" si="36"/>
        <v>4</v>
      </c>
      <c r="C714" s="182">
        <f t="shared" si="37"/>
        <v>42479</v>
      </c>
      <c r="D714" s="182" t="s">
        <v>669</v>
      </c>
      <c r="E714" s="182">
        <v>42479</v>
      </c>
      <c r="F714" s="187" t="s">
        <v>770</v>
      </c>
      <c r="G714" s="448" t="s">
        <v>756</v>
      </c>
      <c r="H714" s="191" t="s">
        <v>763</v>
      </c>
      <c r="I714" s="251"/>
      <c r="J714" s="251"/>
      <c r="K714" s="560">
        <v>2305203</v>
      </c>
      <c r="L714" s="561" t="s">
        <v>81</v>
      </c>
      <c r="M714" s="561" t="s">
        <v>24</v>
      </c>
      <c r="N714" s="52" t="str">
        <f>IF(AND('331-CT'!$E$7=TH!H714,OR(L714="331",M714="331")),"331",IF(AND(OR(L714="131",M714="131"),H714='131-CT'!$E$7),"131",""))</f>
        <v/>
      </c>
      <c r="O714" s="818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52"/>
      <c r="AE714" s="209"/>
      <c r="AF714" s="209"/>
    </row>
    <row r="715" spans="1:32" s="552" customFormat="1" ht="15.75" customHeight="1">
      <c r="A715" s="202" t="str">
        <f>IF(B715&lt;&gt;"",IF(AND(B715&gt;=_TM1,B715&lt;=_TM2,OR(TH!L715="1111",TH!M715="1111")),TH!D715,""),"")</f>
        <v/>
      </c>
      <c r="B715" s="36">
        <f t="shared" si="36"/>
        <v>4</v>
      </c>
      <c r="C715" s="182">
        <f t="shared" si="37"/>
        <v>42479</v>
      </c>
      <c r="D715" s="182" t="s">
        <v>1626</v>
      </c>
      <c r="E715" s="691">
        <v>42479</v>
      </c>
      <c r="F715" s="190" t="s">
        <v>668</v>
      </c>
      <c r="G715" s="190" t="s">
        <v>330</v>
      </c>
      <c r="H715" s="7" t="s">
        <v>782</v>
      </c>
      <c r="I715" s="251"/>
      <c r="J715" s="251"/>
      <c r="K715" s="560">
        <v>31500000</v>
      </c>
      <c r="L715" s="192" t="s">
        <v>24</v>
      </c>
      <c r="M715" s="192" t="s">
        <v>47</v>
      </c>
      <c r="N715" s="52" t="str">
        <f>IF(AND('331-CT'!$E$7=TH!H715,OR(L715="331",M715="331")),"331",IF(AND(OR(L715="131",M715="131"),H715='131-CT'!$E$7),"131",""))</f>
        <v/>
      </c>
      <c r="O715" s="818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53"/>
      <c r="AD715" s="209"/>
      <c r="AE715" s="209"/>
      <c r="AF715" s="209"/>
    </row>
    <row r="716" spans="1:32" s="552" customFormat="1" ht="15.75" customHeight="1">
      <c r="A716" s="202" t="str">
        <f>IF(B716&lt;&gt;"",IF(AND(B716&gt;=_TM1,B716&lt;=_TM2,OR(TH!L716="1111",TH!M716="1111")),TH!D716,""),"")</f>
        <v/>
      </c>
      <c r="B716" s="36">
        <f t="shared" si="36"/>
        <v>4</v>
      </c>
      <c r="C716" s="182">
        <f t="shared" si="37"/>
        <v>42479</v>
      </c>
      <c r="D716" s="182" t="s">
        <v>669</v>
      </c>
      <c r="E716" s="189">
        <v>42479</v>
      </c>
      <c r="F716" s="190" t="s">
        <v>671</v>
      </c>
      <c r="G716" s="190" t="s">
        <v>330</v>
      </c>
      <c r="H716" s="7" t="s">
        <v>834</v>
      </c>
      <c r="I716" s="251"/>
      <c r="J716" s="251"/>
      <c r="K716" s="560">
        <v>25000000</v>
      </c>
      <c r="L716" s="192" t="s">
        <v>8</v>
      </c>
      <c r="M716" s="192" t="s">
        <v>24</v>
      </c>
      <c r="N716" s="52" t="str">
        <f>IF(AND('331-CT'!$E$7=TH!H716,OR(L716="331",M716="331")),"331",IF(AND(OR(L716="131",M716="131"),H716='131-CT'!$E$7),"131",""))</f>
        <v/>
      </c>
      <c r="O716" s="818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53"/>
      <c r="AE716" s="209"/>
      <c r="AF716" s="209"/>
    </row>
    <row r="717" spans="1:32" s="552" customFormat="1" ht="15.75" customHeight="1">
      <c r="A717" s="202" t="str">
        <f>IF(B717&lt;&gt;"",IF(AND(B717&gt;=_TM1,B717&lt;=_TM2,OR(TH!L717="1111",TH!M717="1111")),TH!D717,""),"")</f>
        <v/>
      </c>
      <c r="B717" s="36">
        <f t="shared" si="36"/>
        <v>4</v>
      </c>
      <c r="C717" s="182">
        <f t="shared" si="37"/>
        <v>42479</v>
      </c>
      <c r="D717" s="182" t="s">
        <v>665</v>
      </c>
      <c r="E717" s="189">
        <v>42479</v>
      </c>
      <c r="F717" s="190" t="s">
        <v>795</v>
      </c>
      <c r="G717" s="190" t="s">
        <v>764</v>
      </c>
      <c r="H717" s="7" t="s">
        <v>796</v>
      </c>
      <c r="I717" s="251"/>
      <c r="J717" s="251"/>
      <c r="K717" s="560">
        <v>17600000</v>
      </c>
      <c r="L717" s="192" t="s">
        <v>24</v>
      </c>
      <c r="M717" s="192" t="s">
        <v>24</v>
      </c>
      <c r="N717" s="52" t="str">
        <f>IF(AND('331-CT'!$E$7=TH!H717,OR(L717="331",M717="331")),"331",IF(AND(OR(L717="131",M717="131"),H717='131-CT'!$E$7),"131",""))</f>
        <v/>
      </c>
      <c r="O717" s="818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53"/>
      <c r="AC717" s="209"/>
      <c r="AD717" s="209"/>
      <c r="AE717" s="209"/>
      <c r="AF717" s="209"/>
    </row>
    <row r="718" spans="1:32" s="552" customFormat="1" ht="15.75" customHeight="1">
      <c r="A718" s="202" t="str">
        <f>IF(B718&lt;&gt;"",IF(AND(B718&gt;=_TM1,B718&lt;=_TM2,OR(TH!L718="1111",TH!M718="1111")),TH!D718,""),"")</f>
        <v/>
      </c>
      <c r="B718" s="36">
        <f t="shared" si="36"/>
        <v>4</v>
      </c>
      <c r="C718" s="182">
        <f t="shared" si="37"/>
        <v>42479</v>
      </c>
      <c r="D718" s="182" t="s">
        <v>669</v>
      </c>
      <c r="E718" s="189">
        <v>42479</v>
      </c>
      <c r="F718" s="187" t="s">
        <v>674</v>
      </c>
      <c r="G718" s="190" t="s">
        <v>330</v>
      </c>
      <c r="H718" s="7"/>
      <c r="I718" s="251"/>
      <c r="J718" s="251"/>
      <c r="K718" s="560">
        <v>13636</v>
      </c>
      <c r="L718" s="192" t="s">
        <v>83</v>
      </c>
      <c r="M718" s="192" t="s">
        <v>24</v>
      </c>
      <c r="N718" s="52" t="str">
        <f>IF(AND('331-CT'!$E$7=TH!H718,OR(L718="331",M718="331")),"331",IF(AND(OR(L718="131",M718="131"),H718='131-CT'!$E$7),"131",""))</f>
        <v/>
      </c>
      <c r="O718" s="818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>x</v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52">
        <v>2</v>
      </c>
      <c r="AD718" s="209"/>
      <c r="AE718" s="209"/>
      <c r="AF718" s="209"/>
    </row>
    <row r="719" spans="1:32" s="552" customFormat="1" ht="15.75" customHeight="1">
      <c r="A719" s="202" t="str">
        <f>IF(B719&lt;&gt;"",IF(AND(B719&gt;=_TM1,B719&lt;=_TM2,OR(TH!L719="1111",TH!M719="1111")),TH!D719,""),"")</f>
        <v/>
      </c>
      <c r="B719" s="36">
        <f t="shared" si="36"/>
        <v>4</v>
      </c>
      <c r="C719" s="182">
        <f t="shared" si="37"/>
        <v>42479</v>
      </c>
      <c r="D719" s="182" t="s">
        <v>669</v>
      </c>
      <c r="E719" s="189">
        <v>42479</v>
      </c>
      <c r="F719" s="187" t="s">
        <v>794</v>
      </c>
      <c r="G719" s="190" t="s">
        <v>330</v>
      </c>
      <c r="H719" s="7"/>
      <c r="I719" s="251"/>
      <c r="J719" s="251"/>
      <c r="K719" s="560">
        <v>1364</v>
      </c>
      <c r="L719" s="192" t="s">
        <v>9</v>
      </c>
      <c r="M719" s="192" t="s">
        <v>24</v>
      </c>
      <c r="N719" s="52" t="str">
        <f>IF(AND('331-CT'!$E$7=TH!H719,OR(L719="331",M719="331")),"331",IF(AND(OR(L719="131",M719="131"),H719='131-CT'!$E$7),"131",""))</f>
        <v/>
      </c>
      <c r="O719" s="818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52">
        <v>2</v>
      </c>
      <c r="AD719" s="209"/>
      <c r="AE719" s="209"/>
      <c r="AF719" s="209"/>
    </row>
    <row r="720" spans="1:32" s="552" customFormat="1" ht="15.75" customHeight="1">
      <c r="A720" s="202" t="str">
        <f>IF(B720&lt;&gt;"",IF(AND(B720&gt;=_TM1,B720&lt;=_TM2,OR(TH!L720="1111",TH!M720="1111")),TH!D720,""),"")</f>
        <v/>
      </c>
      <c r="B720" s="36">
        <f t="shared" si="36"/>
        <v>4</v>
      </c>
      <c r="C720" s="182">
        <f t="shared" si="37"/>
        <v>42479</v>
      </c>
      <c r="D720" s="182" t="s">
        <v>669</v>
      </c>
      <c r="E720" s="189">
        <v>42479</v>
      </c>
      <c r="F720" s="190" t="s">
        <v>672</v>
      </c>
      <c r="G720" s="190" t="s">
        <v>330</v>
      </c>
      <c r="H720" s="7"/>
      <c r="I720" s="251"/>
      <c r="J720" s="251"/>
      <c r="K720" s="560">
        <v>13636</v>
      </c>
      <c r="L720" s="192" t="s">
        <v>83</v>
      </c>
      <c r="M720" s="192" t="s">
        <v>24</v>
      </c>
      <c r="N720" s="52" t="str">
        <f>IF(AND('331-CT'!$E$7=TH!H720,OR(L720="331",M720="331")),"331",IF(AND(OR(L720="131",M720="131"),H720='131-CT'!$E$7),"131",""))</f>
        <v/>
      </c>
      <c r="O720" s="818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>x</v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52">
        <v>2</v>
      </c>
      <c r="AD720" s="209"/>
      <c r="AE720" s="209"/>
      <c r="AF720" s="209"/>
    </row>
    <row r="721" spans="1:32" s="552" customFormat="1" ht="15.75" customHeight="1">
      <c r="A721" s="202" t="str">
        <f>IF(B721&lt;&gt;"",IF(AND(B721&gt;=_TM1,B721&lt;=_TM2,OR(TH!L721="1111",TH!M721="1111")),TH!D721,""),"")</f>
        <v/>
      </c>
      <c r="B721" s="36">
        <f t="shared" si="36"/>
        <v>4</v>
      </c>
      <c r="C721" s="182">
        <f t="shared" si="37"/>
        <v>42479</v>
      </c>
      <c r="D721" s="182" t="s">
        <v>669</v>
      </c>
      <c r="E721" s="189">
        <v>42479</v>
      </c>
      <c r="F721" s="190" t="s">
        <v>762</v>
      </c>
      <c r="G721" s="190" t="s">
        <v>330</v>
      </c>
      <c r="H721" s="7"/>
      <c r="I721" s="251"/>
      <c r="J721" s="251"/>
      <c r="K721" s="560">
        <v>1364</v>
      </c>
      <c r="L721" s="192" t="s">
        <v>9</v>
      </c>
      <c r="M721" s="192" t="s">
        <v>24</v>
      </c>
      <c r="N721" s="52" t="str">
        <f>IF(AND('331-CT'!$E$7=TH!H721,OR(L721="331",M721="331")),"331",IF(AND(OR(L721="131",M721="131"),H721='131-CT'!$E$7),"131",""))</f>
        <v/>
      </c>
      <c r="O721" s="818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52">
        <v>2</v>
      </c>
      <c r="AD721" s="209"/>
      <c r="AE721" s="209"/>
      <c r="AF721" s="209"/>
    </row>
    <row r="722" spans="1:32" s="552" customFormat="1" ht="15.75" customHeight="1">
      <c r="A722" s="202" t="str">
        <f>IF(B722&lt;&gt;"",IF(AND(B722&gt;=_TM1,B722&lt;=_TM2,OR(TH!L722="1111",TH!M722="1111")),TH!D722,""),"")</f>
        <v/>
      </c>
      <c r="B722" s="36">
        <f t="shared" si="36"/>
        <v>4</v>
      </c>
      <c r="C722" s="182">
        <f t="shared" si="37"/>
        <v>42479</v>
      </c>
      <c r="D722" s="189" t="s">
        <v>1096</v>
      </c>
      <c r="E722" s="189">
        <v>42479</v>
      </c>
      <c r="F722" s="190" t="s">
        <v>651</v>
      </c>
      <c r="G722" s="451" t="s">
        <v>522</v>
      </c>
      <c r="H722" s="7" t="s">
        <v>783</v>
      </c>
      <c r="I722" s="251">
        <v>303</v>
      </c>
      <c r="J722" s="251">
        <v>5800</v>
      </c>
      <c r="K722" s="38">
        <f>ROUND(I722*J722,0)</f>
        <v>1757400</v>
      </c>
      <c r="L722" s="192" t="s">
        <v>258</v>
      </c>
      <c r="M722" s="192" t="s">
        <v>173</v>
      </c>
      <c r="N722" s="52" t="str">
        <f>IF(AND('331-CT'!$E$7=TH!H722,OR(L722="331",M722="331")),"331",IF(AND(OR(L722="131",M722="131"),H722='131-CT'!$E$7),"131",""))</f>
        <v/>
      </c>
      <c r="O722" s="818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52"/>
      <c r="AC722" s="209"/>
      <c r="AD722" s="209"/>
      <c r="AE722" s="209"/>
      <c r="AF722" s="209"/>
    </row>
    <row r="723" spans="1:32" s="552" customFormat="1" ht="15.75" customHeight="1">
      <c r="A723" s="202" t="str">
        <f>IF(B723&lt;&gt;"",IF(AND(B723&gt;=_TM1,B723&lt;=_TM2,OR(TH!L723="1111",TH!M723="1111")),TH!D723,""),"")</f>
        <v/>
      </c>
      <c r="B723" s="36">
        <f t="shared" si="36"/>
        <v>4</v>
      </c>
      <c r="C723" s="182">
        <f t="shared" si="37"/>
        <v>42479</v>
      </c>
      <c r="D723" s="189" t="s">
        <v>1096</v>
      </c>
      <c r="E723" s="189">
        <v>42479</v>
      </c>
      <c r="F723" s="187" t="s">
        <v>540</v>
      </c>
      <c r="G723" s="451" t="s">
        <v>522</v>
      </c>
      <c r="H723" s="7" t="s">
        <v>783</v>
      </c>
      <c r="I723" s="251">
        <v>318</v>
      </c>
      <c r="J723" s="251">
        <v>6400</v>
      </c>
      <c r="K723" s="38">
        <f>ROUND(I723*J723,0)</f>
        <v>2035200</v>
      </c>
      <c r="L723" s="192" t="s">
        <v>258</v>
      </c>
      <c r="M723" s="192" t="s">
        <v>173</v>
      </c>
      <c r="N723" s="52" t="str">
        <f>IF(AND('331-CT'!$E$7=TH!H723,OR(L723="331",M723="331")),"331",IF(AND(OR(L723="131",M723="131"),H723='131-CT'!$E$7),"131",""))</f>
        <v/>
      </c>
      <c r="O723" s="818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52"/>
      <c r="AD723" s="209"/>
      <c r="AE723" s="209"/>
      <c r="AF723" s="209"/>
    </row>
    <row r="724" spans="1:32" s="552" customFormat="1" ht="15.75" customHeight="1">
      <c r="A724" s="202" t="str">
        <f>IF(B724&lt;&gt;"",IF(AND(B724&gt;=_TM1,B724&lt;=_TM2,OR(TH!L724="1111",TH!M724="1111")),TH!D724,""),"")</f>
        <v/>
      </c>
      <c r="B724" s="36">
        <f t="shared" ref="B724:B787" si="38">IF(C724&lt;&gt;"",MONTH(C724),"")</f>
        <v>4</v>
      </c>
      <c r="C724" s="182">
        <f t="shared" ref="C724:C787" si="39">E724</f>
        <v>42479</v>
      </c>
      <c r="D724" s="189" t="s">
        <v>1096</v>
      </c>
      <c r="E724" s="182">
        <v>42479</v>
      </c>
      <c r="F724" s="187" t="s">
        <v>393</v>
      </c>
      <c r="G724" s="562" t="s">
        <v>522</v>
      </c>
      <c r="H724" s="7" t="s">
        <v>783</v>
      </c>
      <c r="I724" s="251"/>
      <c r="J724" s="251"/>
      <c r="K724" s="560">
        <v>379260</v>
      </c>
      <c r="L724" s="192" t="s">
        <v>258</v>
      </c>
      <c r="M724" s="192" t="s">
        <v>367</v>
      </c>
      <c r="N724" s="52" t="str">
        <f>IF(AND('331-CT'!$E$7=TH!H724,OR(L724="331",M724="331")),"331",IF(AND(OR(L724="131",M724="131"),H724='131-CT'!$E$7),"131",""))</f>
        <v/>
      </c>
      <c r="O724" s="818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52"/>
      <c r="AD724" s="209"/>
      <c r="AE724" s="209"/>
      <c r="AF724" s="209"/>
    </row>
    <row r="725" spans="1:32" s="209" customFormat="1" ht="15.75" customHeight="1">
      <c r="A725" s="202" t="str">
        <f>IF(B725&lt;&gt;"",IF(AND(B725&gt;=_TM1,B725&lt;=_TM2,OR(TH!L725="1111",TH!M725="1111")),TH!D725,""),"")</f>
        <v/>
      </c>
      <c r="B725" s="36">
        <f t="shared" si="38"/>
        <v>4</v>
      </c>
      <c r="C725" s="182">
        <f t="shared" si="39"/>
        <v>42479</v>
      </c>
      <c r="D725" s="189" t="s">
        <v>1097</v>
      </c>
      <c r="E725" s="189">
        <v>42479</v>
      </c>
      <c r="F725" s="190" t="s">
        <v>627</v>
      </c>
      <c r="G725" s="451" t="s">
        <v>981</v>
      </c>
      <c r="H725" s="191" t="s">
        <v>399</v>
      </c>
      <c r="I725" s="251">
        <v>518</v>
      </c>
      <c r="J725" s="251">
        <v>8800</v>
      </c>
      <c r="K725" s="38">
        <f>ROUND(I725*J725,0)</f>
        <v>4558400</v>
      </c>
      <c r="L725" s="192" t="s">
        <v>258</v>
      </c>
      <c r="M725" s="192" t="s">
        <v>173</v>
      </c>
      <c r="N725" s="52" t="str">
        <f>IF(AND('331-CT'!$E$7=TH!H725,OR(L725="331",M725="331")),"331",IF(AND(OR(L725="131",M725="131"),H725='131-CT'!$E$7),"131",""))</f>
        <v/>
      </c>
      <c r="O725" s="818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52"/>
      <c r="AB725" s="552"/>
      <c r="AC725" s="552"/>
    </row>
    <row r="726" spans="1:32" s="209" customFormat="1" ht="15.75" customHeight="1">
      <c r="A726" s="202" t="str">
        <f>IF(B726&lt;&gt;"",IF(AND(B726&gt;=_TM1,B726&lt;=_TM2,OR(TH!L726="1111",TH!M726="1111")),TH!D726,""),"")</f>
        <v/>
      </c>
      <c r="B726" s="36">
        <f t="shared" si="38"/>
        <v>4</v>
      </c>
      <c r="C726" s="182">
        <f t="shared" si="39"/>
        <v>42479</v>
      </c>
      <c r="D726" s="189" t="s">
        <v>1097</v>
      </c>
      <c r="E726" s="189">
        <v>42479</v>
      </c>
      <c r="F726" s="190" t="s">
        <v>1443</v>
      </c>
      <c r="G726" s="451" t="s">
        <v>981</v>
      </c>
      <c r="H726" s="191" t="s">
        <v>399</v>
      </c>
      <c r="I726" s="252">
        <v>540</v>
      </c>
      <c r="J726" s="252">
        <v>10500</v>
      </c>
      <c r="K726" s="38">
        <f>ROUND(I726*J726,0)</f>
        <v>5670000</v>
      </c>
      <c r="L726" s="192" t="s">
        <v>258</v>
      </c>
      <c r="M726" s="192" t="s">
        <v>173</v>
      </c>
      <c r="N726" s="52" t="str">
        <f>IF(AND('331-CT'!$E$7=TH!H726,OR(L726="331",M726="331")),"331",IF(AND(OR(L726="131",M726="131"),H726='131-CT'!$E$7),"131",""))</f>
        <v/>
      </c>
      <c r="O726" s="818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52"/>
      <c r="AB726" s="552"/>
      <c r="AC726" s="552"/>
    </row>
    <row r="727" spans="1:32" s="552" customFormat="1" ht="15.75" customHeight="1">
      <c r="A727" s="202" t="str">
        <f>IF(B727&lt;&gt;"",IF(AND(B727&gt;=_TM1,B727&lt;=_TM2,OR(TH!L727="1111",TH!M727="1111")),TH!D727,""),"")</f>
        <v/>
      </c>
      <c r="B727" s="36">
        <f t="shared" si="38"/>
        <v>4</v>
      </c>
      <c r="C727" s="182">
        <f t="shared" si="39"/>
        <v>42479</v>
      </c>
      <c r="D727" s="189" t="s">
        <v>1097</v>
      </c>
      <c r="E727" s="189">
        <v>42479</v>
      </c>
      <c r="F727" s="190" t="s">
        <v>400</v>
      </c>
      <c r="G727" s="451" t="s">
        <v>981</v>
      </c>
      <c r="H727" s="191" t="s">
        <v>399</v>
      </c>
      <c r="I727" s="251">
        <v>200</v>
      </c>
      <c r="J727" s="251">
        <v>10000</v>
      </c>
      <c r="K727" s="38">
        <f>ROUND(I727*J727,0)</f>
        <v>2000000</v>
      </c>
      <c r="L727" s="192" t="s">
        <v>258</v>
      </c>
      <c r="M727" s="192" t="s">
        <v>173</v>
      </c>
      <c r="N727" s="52" t="str">
        <f>IF(AND('331-CT'!$E$7=TH!H727,OR(L727="331",M727="331")),"331",IF(AND(OR(L727="131",M727="131"),H727='131-CT'!$E$7),"131",""))</f>
        <v/>
      </c>
      <c r="O727" s="818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52"/>
      <c r="AD727" s="209"/>
      <c r="AE727" s="209"/>
      <c r="AF727" s="209"/>
    </row>
    <row r="728" spans="1:32" s="552" customFormat="1" ht="15.75" customHeight="1">
      <c r="A728" s="202" t="str">
        <f>IF(B728&lt;&gt;"",IF(AND(B728&gt;=_TM1,B728&lt;=_TM2,OR(TH!L728="1111",TH!M728="1111")),TH!D728,""),"")</f>
        <v/>
      </c>
      <c r="B728" s="36">
        <f t="shared" si="38"/>
        <v>4</v>
      </c>
      <c r="C728" s="182">
        <f t="shared" si="39"/>
        <v>42479</v>
      </c>
      <c r="D728" s="189" t="s">
        <v>1097</v>
      </c>
      <c r="E728" s="189">
        <v>42479</v>
      </c>
      <c r="F728" s="190" t="s">
        <v>393</v>
      </c>
      <c r="G728" s="451" t="s">
        <v>981</v>
      </c>
      <c r="H728" s="191" t="s">
        <v>399</v>
      </c>
      <c r="I728" s="252"/>
      <c r="J728" s="252"/>
      <c r="K728" s="560">
        <v>1222840</v>
      </c>
      <c r="L728" s="192" t="s">
        <v>258</v>
      </c>
      <c r="M728" s="192" t="s">
        <v>367</v>
      </c>
      <c r="N728" s="52" t="str">
        <f>IF(AND('331-CT'!$E$7=TH!H728,OR(L728="331",M728="331")),"331",IF(AND(OR(L728="131",M728="131"),H728='131-CT'!$E$7),"131",""))</f>
        <v/>
      </c>
      <c r="O728" s="818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52"/>
      <c r="AD728" s="209"/>
      <c r="AE728" s="209"/>
      <c r="AF728" s="209"/>
    </row>
    <row r="729" spans="1:32" s="552" customFormat="1" ht="15.75" customHeight="1">
      <c r="A729" s="202" t="str">
        <f>IF(B729&lt;&gt;"",IF(AND(B729&gt;=_TM1,B729&lt;=_TM2,OR(TH!L729="1111",TH!M729="1111")),TH!D729,""),"")</f>
        <v/>
      </c>
      <c r="B729" s="36">
        <f t="shared" si="38"/>
        <v>4</v>
      </c>
      <c r="C729" s="182">
        <f t="shared" si="39"/>
        <v>42479</v>
      </c>
      <c r="D729" s="182" t="s">
        <v>1623</v>
      </c>
      <c r="E729" s="189">
        <v>42479</v>
      </c>
      <c r="F729" s="40" t="s">
        <v>666</v>
      </c>
      <c r="G729" s="451" t="s">
        <v>1601</v>
      </c>
      <c r="H729" s="7" t="s">
        <v>527</v>
      </c>
      <c r="I729" s="252"/>
      <c r="J729" s="252"/>
      <c r="K729" s="560">
        <v>24359428</v>
      </c>
      <c r="L729" s="561" t="s">
        <v>47</v>
      </c>
      <c r="M729" s="561" t="s">
        <v>258</v>
      </c>
      <c r="N729" s="52" t="str">
        <f>IF(AND('331-CT'!$E$7=TH!H729,OR(L729="331",M729="331")),"331",IF(AND(OR(L729="131",M729="131"),H729='131-CT'!$E$7),"131",""))</f>
        <v/>
      </c>
      <c r="O729" s="818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52"/>
      <c r="AD729" s="209"/>
      <c r="AE729" s="209"/>
      <c r="AF729" s="209"/>
    </row>
    <row r="730" spans="1:32" s="552" customFormat="1" ht="15.75" customHeight="1">
      <c r="A730" s="202" t="str">
        <f>IF(B730&lt;&gt;"",IF(AND(B730&gt;=_TM1,B730&lt;=_TM2,OR(TH!L730="1111",TH!M730="1111")),TH!D730,""),"")</f>
        <v/>
      </c>
      <c r="B730" s="36">
        <f t="shared" si="38"/>
        <v>4</v>
      </c>
      <c r="C730" s="182">
        <f t="shared" si="39"/>
        <v>42480</v>
      </c>
      <c r="D730" s="182" t="s">
        <v>669</v>
      </c>
      <c r="E730" s="182">
        <v>42480</v>
      </c>
      <c r="F730" s="187" t="s">
        <v>769</v>
      </c>
      <c r="G730" s="448" t="s">
        <v>756</v>
      </c>
      <c r="H730" s="191" t="s">
        <v>763</v>
      </c>
      <c r="I730" s="251"/>
      <c r="J730" s="251"/>
      <c r="K730" s="38">
        <v>16500000</v>
      </c>
      <c r="L730" s="561" t="s">
        <v>755</v>
      </c>
      <c r="M730" s="561" t="s">
        <v>24</v>
      </c>
      <c r="N730" s="52" t="str">
        <f>IF(AND('331-CT'!$E$7=TH!H730,OR(L730="331",M730="331")),"331",IF(AND(OR(L730="131",M730="131"),H730='131-CT'!$E$7),"131",""))</f>
        <v/>
      </c>
      <c r="O730" s="818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52"/>
      <c r="AE730" s="209"/>
      <c r="AF730" s="209"/>
    </row>
    <row r="731" spans="1:32" s="552" customFormat="1" ht="15.75" customHeight="1">
      <c r="A731" s="202" t="str">
        <f>IF(B731&lt;&gt;"",IF(AND(B731&gt;=_TM1,B731&lt;=_TM2,OR(TH!L731="1111",TH!M731="1111")),TH!D731,""),"")</f>
        <v/>
      </c>
      <c r="B731" s="36">
        <f t="shared" si="38"/>
        <v>4</v>
      </c>
      <c r="C731" s="182">
        <f t="shared" si="39"/>
        <v>42480</v>
      </c>
      <c r="D731" s="182" t="s">
        <v>665</v>
      </c>
      <c r="E731" s="154">
        <v>42480</v>
      </c>
      <c r="F731" s="190" t="s">
        <v>666</v>
      </c>
      <c r="G731" s="190" t="s">
        <v>330</v>
      </c>
      <c r="H731" s="7" t="s">
        <v>784</v>
      </c>
      <c r="I731" s="251"/>
      <c r="J731" s="251"/>
      <c r="K731" s="560">
        <v>3110800</v>
      </c>
      <c r="L731" s="192" t="s">
        <v>24</v>
      </c>
      <c r="M731" s="192" t="s">
        <v>258</v>
      </c>
      <c r="N731" s="52" t="str">
        <f>IF(AND('331-CT'!$E$7=TH!H731,OR(L731="331",M731="331")),"331",IF(AND(OR(L731="131",M731="131"),H731='131-CT'!$E$7),"131",""))</f>
        <v/>
      </c>
      <c r="O731" s="818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53"/>
      <c r="AD731" s="209"/>
      <c r="AE731" s="209"/>
      <c r="AF731" s="209"/>
    </row>
    <row r="732" spans="1:32" s="209" customFormat="1" ht="15.75" customHeight="1">
      <c r="A732" s="202" t="str">
        <f>IF(B732&lt;&gt;"",IF(AND(B732&gt;=_TM1,B732&lt;=_TM2,OR(TH!L732="1111",TH!M732="1111")),TH!D732,""),"")</f>
        <v/>
      </c>
      <c r="B732" s="36">
        <f t="shared" si="38"/>
        <v>4</v>
      </c>
      <c r="C732" s="182">
        <f t="shared" si="39"/>
        <v>42481</v>
      </c>
      <c r="D732" s="182" t="s">
        <v>665</v>
      </c>
      <c r="E732" s="154">
        <v>42481</v>
      </c>
      <c r="F732" s="190" t="s">
        <v>666</v>
      </c>
      <c r="G732" s="190" t="s">
        <v>330</v>
      </c>
      <c r="H732" s="191" t="s">
        <v>428</v>
      </c>
      <c r="I732" s="251"/>
      <c r="J732" s="251"/>
      <c r="K732" s="560">
        <v>18112160</v>
      </c>
      <c r="L732" s="192" t="s">
        <v>24</v>
      </c>
      <c r="M732" s="192" t="s">
        <v>258</v>
      </c>
      <c r="N732" s="52" t="str">
        <f>IF(AND('331-CT'!$E$7=TH!H732,OR(L732="331",M732="331")),"331",IF(AND(OR(L732="131",M732="131"),H732='131-CT'!$E$7),"131",""))</f>
        <v/>
      </c>
      <c r="O732" s="818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53"/>
      <c r="AB732" s="552"/>
      <c r="AC732" s="552"/>
    </row>
    <row r="733" spans="1:32" s="209" customFormat="1" ht="15.75" customHeight="1">
      <c r="A733" s="202" t="str">
        <f>IF(B733&lt;&gt;"",IF(AND(B733&gt;=_TM1,B733&lt;=_TM2,OR(TH!L733="1111",TH!M733="1111")),TH!D733,""),"")</f>
        <v/>
      </c>
      <c r="B733" s="36">
        <f t="shared" si="38"/>
        <v>4</v>
      </c>
      <c r="C733" s="182">
        <f t="shared" si="39"/>
        <v>42481</v>
      </c>
      <c r="D733" s="189" t="s">
        <v>1098</v>
      </c>
      <c r="E733" s="189">
        <v>42481</v>
      </c>
      <c r="F733" s="190" t="s">
        <v>982</v>
      </c>
      <c r="G733" s="451" t="s">
        <v>692</v>
      </c>
      <c r="H733" s="191" t="s">
        <v>544</v>
      </c>
      <c r="I733" s="251">
        <v>60</v>
      </c>
      <c r="J733" s="251">
        <v>31000</v>
      </c>
      <c r="K733" s="38">
        <f>ROUND(I733*J733,0)</f>
        <v>1860000</v>
      </c>
      <c r="L733" s="192" t="s">
        <v>258</v>
      </c>
      <c r="M733" s="192" t="s">
        <v>173</v>
      </c>
      <c r="N733" s="52" t="str">
        <f>IF(AND('331-CT'!$E$7=TH!H733,OR(L733="331",M733="331")),"331",IF(AND(OR(L733="131",M733="131"),H733='131-CT'!$E$7),"131",""))</f>
        <v/>
      </c>
      <c r="O733" s="818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52"/>
      <c r="AB733" s="552"/>
    </row>
    <row r="734" spans="1:32" s="209" customFormat="1" ht="15.75" customHeight="1">
      <c r="A734" s="202" t="str">
        <f>IF(B734&lt;&gt;"",IF(AND(B734&gt;=_TM1,B734&lt;=_TM2,OR(TH!L734="1111",TH!M734="1111")),TH!D734,""),"")</f>
        <v/>
      </c>
      <c r="B734" s="36">
        <f t="shared" si="38"/>
        <v>4</v>
      </c>
      <c r="C734" s="182">
        <f t="shared" si="39"/>
        <v>42481</v>
      </c>
      <c r="D734" s="189" t="s">
        <v>1098</v>
      </c>
      <c r="E734" s="189">
        <v>42481</v>
      </c>
      <c r="F734" s="190" t="s">
        <v>983</v>
      </c>
      <c r="G734" s="451" t="s">
        <v>692</v>
      </c>
      <c r="H734" s="191" t="s">
        <v>544</v>
      </c>
      <c r="I734" s="252">
        <v>60</v>
      </c>
      <c r="J734" s="252">
        <v>35000</v>
      </c>
      <c r="K734" s="38">
        <f>ROUND(I734*J734,0)</f>
        <v>2100000</v>
      </c>
      <c r="L734" s="192" t="s">
        <v>258</v>
      </c>
      <c r="M734" s="192" t="s">
        <v>173</v>
      </c>
      <c r="N734" s="52" t="str">
        <f>IF(AND('331-CT'!$E$7=TH!H734,OR(L734="331",M734="331")),"331",IF(AND(OR(L734="131",M734="131"),H734='131-CT'!$E$7),"131",""))</f>
        <v/>
      </c>
      <c r="O734" s="818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52"/>
      <c r="AB734" s="552"/>
      <c r="AC734" s="552"/>
    </row>
    <row r="735" spans="1:32" s="209" customFormat="1" ht="15.75" customHeight="1">
      <c r="A735" s="202" t="str">
        <f>IF(B735&lt;&gt;"",IF(AND(B735&gt;=_TM1,B735&lt;=_TM2,OR(TH!L735="1111",TH!M735="1111")),TH!D735,""),"")</f>
        <v/>
      </c>
      <c r="B735" s="36">
        <f t="shared" si="38"/>
        <v>4</v>
      </c>
      <c r="C735" s="182">
        <f t="shared" si="39"/>
        <v>42481</v>
      </c>
      <c r="D735" s="189" t="s">
        <v>1098</v>
      </c>
      <c r="E735" s="189">
        <v>42481</v>
      </c>
      <c r="F735" s="190" t="s">
        <v>393</v>
      </c>
      <c r="G735" s="451" t="s">
        <v>692</v>
      </c>
      <c r="H735" s="191" t="s">
        <v>544</v>
      </c>
      <c r="I735" s="251"/>
      <c r="J735" s="251"/>
      <c r="K735" s="560">
        <v>396000</v>
      </c>
      <c r="L735" s="192" t="s">
        <v>258</v>
      </c>
      <c r="M735" s="192" t="s">
        <v>367</v>
      </c>
      <c r="N735" s="52" t="str">
        <f>IF(AND('331-CT'!$E$7=TH!H735,OR(L735="331",M735="331")),"331",IF(AND(OR(L735="131",M735="131"),H735='131-CT'!$E$7),"131",""))</f>
        <v/>
      </c>
      <c r="O735" s="818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52"/>
      <c r="AB735" s="552"/>
      <c r="AC735" s="552"/>
    </row>
    <row r="736" spans="1:32" s="552" customFormat="1" ht="15.75" customHeight="1">
      <c r="A736" s="202" t="str">
        <f>IF(B736&lt;&gt;"",IF(AND(B736&gt;=_TM1,B736&lt;=_TM2,OR(TH!L736="1111",TH!M736="1111")),TH!D736,""),"")</f>
        <v/>
      </c>
      <c r="B736" s="36">
        <f t="shared" si="38"/>
        <v>4</v>
      </c>
      <c r="C736" s="182">
        <f t="shared" si="39"/>
        <v>42482</v>
      </c>
      <c r="D736" s="182" t="s">
        <v>665</v>
      </c>
      <c r="E736" s="154">
        <v>42482</v>
      </c>
      <c r="F736" s="190" t="s">
        <v>666</v>
      </c>
      <c r="G736" s="190" t="s">
        <v>330</v>
      </c>
      <c r="H736" s="7" t="s">
        <v>783</v>
      </c>
      <c r="I736" s="251"/>
      <c r="J736" s="251"/>
      <c r="K736" s="560">
        <v>3569280</v>
      </c>
      <c r="L736" s="192" t="s">
        <v>24</v>
      </c>
      <c r="M736" s="192" t="s">
        <v>258</v>
      </c>
      <c r="N736" s="52" t="str">
        <f>IF(AND('331-CT'!$E$7=TH!H736,OR(L736="331",M736="331")),"331",IF(AND(OR(L736="131",M736="131"),H736='131-CT'!$E$7),"131",""))</f>
        <v/>
      </c>
      <c r="O736" s="818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53"/>
      <c r="AD736" s="209"/>
      <c r="AE736" s="209"/>
      <c r="AF736" s="209"/>
    </row>
    <row r="737" spans="1:32" s="552" customFormat="1" ht="15.75" customHeight="1">
      <c r="A737" s="202" t="str">
        <f>IF(B737&lt;&gt;"",IF(AND(B737&gt;=_TM1,B737&lt;=_TM2,OR(TH!L737="1111",TH!M737="1111")),TH!D737,""),"")</f>
        <v/>
      </c>
      <c r="B737" s="36">
        <f t="shared" si="38"/>
        <v>4</v>
      </c>
      <c r="C737" s="182">
        <f t="shared" si="39"/>
        <v>42482</v>
      </c>
      <c r="D737" s="182" t="s">
        <v>665</v>
      </c>
      <c r="E737" s="154">
        <v>42482</v>
      </c>
      <c r="F737" s="190" t="s">
        <v>666</v>
      </c>
      <c r="G737" s="190" t="s">
        <v>330</v>
      </c>
      <c r="H737" s="7" t="s">
        <v>664</v>
      </c>
      <c r="I737" s="251"/>
      <c r="J737" s="251"/>
      <c r="K737" s="560">
        <v>8530500</v>
      </c>
      <c r="L737" s="192" t="s">
        <v>24</v>
      </c>
      <c r="M737" s="192" t="s">
        <v>258</v>
      </c>
      <c r="N737" s="52" t="str">
        <f>IF(AND('331-CT'!$E$7=TH!H737,OR(L737="331",M737="331")),"331",IF(AND(OR(L737="131",M737="131"),H737='131-CT'!$E$7),"131",""))</f>
        <v/>
      </c>
      <c r="O737" s="818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53"/>
      <c r="AD737" s="209"/>
      <c r="AE737" s="209"/>
      <c r="AF737" s="209"/>
    </row>
    <row r="738" spans="1:32" s="552" customFormat="1" ht="15.75" customHeight="1">
      <c r="A738" s="202" t="str">
        <f>IF(B738&lt;&gt;"",IF(AND(B738&gt;=_TM1,B738&lt;=_TM2,OR(TH!L738="1111",TH!M738="1111")),TH!D738,""),"")</f>
        <v/>
      </c>
      <c r="B738" s="36">
        <f t="shared" si="38"/>
        <v>4</v>
      </c>
      <c r="C738" s="182">
        <f t="shared" si="39"/>
        <v>42482</v>
      </c>
      <c r="D738" s="182" t="s">
        <v>665</v>
      </c>
      <c r="E738" s="154">
        <v>42482</v>
      </c>
      <c r="F738" s="190" t="s">
        <v>672</v>
      </c>
      <c r="G738" s="190" t="s">
        <v>330</v>
      </c>
      <c r="H738" s="7" t="s">
        <v>664</v>
      </c>
      <c r="I738" s="251"/>
      <c r="J738" s="251"/>
      <c r="K738" s="560">
        <v>22000</v>
      </c>
      <c r="L738" s="192" t="s">
        <v>83</v>
      </c>
      <c r="M738" s="192" t="s">
        <v>258</v>
      </c>
      <c r="N738" s="52" t="str">
        <f>IF(AND('331-CT'!$E$7=TH!H738,OR(L738="331",M738="331")),"331",IF(AND(OR(L738="131",M738="131"),H738='131-CT'!$E$7),"131",""))</f>
        <v/>
      </c>
      <c r="O738" s="818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>x</v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53"/>
      <c r="AD738" s="209"/>
      <c r="AE738" s="209"/>
      <c r="AF738" s="209"/>
    </row>
    <row r="739" spans="1:32" s="552" customFormat="1" ht="15.75" customHeight="1">
      <c r="A739" s="202" t="str">
        <f>IF(B739&lt;&gt;"",IF(AND(B739&gt;=_TM1,B739&lt;=_TM2,OR(TH!L739="1111",TH!M739="1111")),TH!D739,""),"")</f>
        <v/>
      </c>
      <c r="B739" s="36">
        <f t="shared" si="38"/>
        <v>4</v>
      </c>
      <c r="C739" s="182">
        <f t="shared" si="39"/>
        <v>42482</v>
      </c>
      <c r="D739" s="182" t="s">
        <v>665</v>
      </c>
      <c r="E739" s="154">
        <v>42482</v>
      </c>
      <c r="F739" s="190" t="s">
        <v>666</v>
      </c>
      <c r="G739" s="190" t="s">
        <v>330</v>
      </c>
      <c r="H739" s="191" t="s">
        <v>391</v>
      </c>
      <c r="I739" s="251"/>
      <c r="J739" s="251"/>
      <c r="K739" s="560">
        <v>13144340</v>
      </c>
      <c r="L739" s="192" t="s">
        <v>24</v>
      </c>
      <c r="M739" s="192" t="s">
        <v>258</v>
      </c>
      <c r="N739" s="52" t="str">
        <f>IF(AND('331-CT'!$E$7=TH!H739,OR(L739="331",M739="331")),"331",IF(AND(OR(L739="131",M739="131"),H739='131-CT'!$E$7),"131",""))</f>
        <v/>
      </c>
      <c r="O739" s="818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53"/>
      <c r="AC739" s="209"/>
      <c r="AD739" s="209"/>
      <c r="AE739" s="209"/>
      <c r="AF739" s="209"/>
    </row>
    <row r="740" spans="1:32" s="552" customFormat="1" ht="15.75" customHeight="1">
      <c r="A740" s="202" t="str">
        <f>IF(B740&lt;&gt;"",IF(AND(B740&gt;=_TM1,B740&lt;=_TM2,OR(TH!L740="1111",TH!M740="1111")),TH!D740,""),"")</f>
        <v/>
      </c>
      <c r="B740" s="36">
        <f t="shared" si="38"/>
        <v>4</v>
      </c>
      <c r="C740" s="182">
        <f t="shared" si="39"/>
        <v>42482</v>
      </c>
      <c r="D740" s="189" t="s">
        <v>1099</v>
      </c>
      <c r="E740" s="189">
        <v>42482</v>
      </c>
      <c r="F740" s="190" t="s">
        <v>477</v>
      </c>
      <c r="G740" s="451" t="s">
        <v>523</v>
      </c>
      <c r="H740" s="191" t="s">
        <v>417</v>
      </c>
      <c r="I740" s="252">
        <v>208</v>
      </c>
      <c r="J740" s="252">
        <v>6400</v>
      </c>
      <c r="K740" s="38">
        <f>ROUND(I740*J740,0)</f>
        <v>1331200</v>
      </c>
      <c r="L740" s="192" t="s">
        <v>258</v>
      </c>
      <c r="M740" s="192" t="s">
        <v>173</v>
      </c>
      <c r="N740" s="52" t="str">
        <f>IF(AND('331-CT'!$E$7=TH!H740,OR(L740="331",M740="331")),"331",IF(AND(OR(L740="131",M740="131"),H740='131-CT'!$E$7),"131",""))</f>
        <v/>
      </c>
      <c r="O740" s="818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52"/>
      <c r="AC740" s="209"/>
      <c r="AD740" s="209"/>
      <c r="AE740" s="209"/>
      <c r="AF740" s="209"/>
    </row>
    <row r="741" spans="1:32" s="552" customFormat="1" ht="15.75" customHeight="1">
      <c r="A741" s="202" t="str">
        <f>IF(B741&lt;&gt;"",IF(AND(B741&gt;=_TM1,B741&lt;=_TM2,OR(TH!L741="1111",TH!M741="1111")),TH!D741,""),"")</f>
        <v/>
      </c>
      <c r="B741" s="36">
        <f t="shared" si="38"/>
        <v>4</v>
      </c>
      <c r="C741" s="182">
        <f t="shared" si="39"/>
        <v>42482</v>
      </c>
      <c r="D741" s="189" t="s">
        <v>1099</v>
      </c>
      <c r="E741" s="189">
        <v>42482</v>
      </c>
      <c r="F741" s="190" t="s">
        <v>393</v>
      </c>
      <c r="G741" s="451" t="s">
        <v>523</v>
      </c>
      <c r="H741" s="191" t="s">
        <v>417</v>
      </c>
      <c r="I741" s="251"/>
      <c r="J741" s="251"/>
      <c r="K741" s="38">
        <v>133120</v>
      </c>
      <c r="L741" s="192" t="s">
        <v>258</v>
      </c>
      <c r="M741" s="192" t="s">
        <v>367</v>
      </c>
      <c r="N741" s="52" t="str">
        <f>IF(AND('331-CT'!$E$7=TH!H741,OR(L741="331",M741="331")),"331",IF(AND(OR(L741="131",M741="131"),H741='131-CT'!$E$7),"131",""))</f>
        <v/>
      </c>
      <c r="O741" s="818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52"/>
      <c r="AD741" s="209"/>
      <c r="AE741" s="209"/>
      <c r="AF741" s="209"/>
    </row>
    <row r="742" spans="1:32" s="552" customFormat="1" ht="15.75" customHeight="1">
      <c r="A742" s="202" t="str">
        <f>IF(B742&lt;&gt;"",IF(AND(B742&gt;=_TM1,B742&lt;=_TM2,OR(TH!L742="1111",TH!M742="1111")),TH!D742,""),"")</f>
        <v/>
      </c>
      <c r="B742" s="36">
        <f t="shared" si="38"/>
        <v>4</v>
      </c>
      <c r="C742" s="182">
        <f t="shared" si="39"/>
        <v>42483</v>
      </c>
      <c r="D742" s="189" t="s">
        <v>1100</v>
      </c>
      <c r="E742" s="189">
        <v>42483</v>
      </c>
      <c r="F742" s="187" t="s">
        <v>645</v>
      </c>
      <c r="G742" s="451" t="s">
        <v>526</v>
      </c>
      <c r="H742" s="7" t="s">
        <v>428</v>
      </c>
      <c r="I742" s="251">
        <v>100</v>
      </c>
      <c r="J742" s="251">
        <v>13400</v>
      </c>
      <c r="K742" s="38">
        <f>ROUND(I742*J742,0)</f>
        <v>1340000</v>
      </c>
      <c r="L742" s="192" t="s">
        <v>258</v>
      </c>
      <c r="M742" s="192" t="s">
        <v>173</v>
      </c>
      <c r="N742" s="52" t="str">
        <f>IF(AND('331-CT'!$E$7=TH!H742,OR(L742="331",M742="331")),"331",IF(AND(OR(L742="131",M742="131"),H742='131-CT'!$E$7),"131",""))</f>
        <v/>
      </c>
      <c r="O742" s="818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52"/>
      <c r="AC742" s="209"/>
      <c r="AD742" s="209"/>
      <c r="AE742" s="209"/>
      <c r="AF742" s="209"/>
    </row>
    <row r="743" spans="1:32" s="552" customFormat="1" ht="15.75" customHeight="1">
      <c r="A743" s="202" t="str">
        <f>IF(B743&lt;&gt;"",IF(AND(B743&gt;=_TM1,B743&lt;=_TM2,OR(TH!L743="1111",TH!M743="1111")),TH!D743,""),"")</f>
        <v/>
      </c>
      <c r="B743" s="36">
        <f t="shared" si="38"/>
        <v>4</v>
      </c>
      <c r="C743" s="182">
        <f t="shared" si="39"/>
        <v>42483</v>
      </c>
      <c r="D743" s="189" t="s">
        <v>1100</v>
      </c>
      <c r="E743" s="189">
        <v>42483</v>
      </c>
      <c r="F743" s="187" t="s">
        <v>693</v>
      </c>
      <c r="G743" s="451" t="s">
        <v>526</v>
      </c>
      <c r="H743" s="7" t="s">
        <v>428</v>
      </c>
      <c r="I743" s="251">
        <v>200</v>
      </c>
      <c r="J743" s="251">
        <v>1300</v>
      </c>
      <c r="K743" s="38">
        <f>ROUND(I743*J743,0)</f>
        <v>260000</v>
      </c>
      <c r="L743" s="192" t="s">
        <v>258</v>
      </c>
      <c r="M743" s="192" t="s">
        <v>173</v>
      </c>
      <c r="N743" s="52" t="str">
        <f>IF(AND('331-CT'!$E$7=TH!H743,OR(L743="331",M743="331")),"331",IF(AND(OR(L743="131",M743="131"),H743='131-CT'!$E$7),"131",""))</f>
        <v/>
      </c>
      <c r="O743" s="818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52"/>
      <c r="AD743" s="209"/>
      <c r="AE743" s="209"/>
      <c r="AF743" s="209"/>
    </row>
    <row r="744" spans="1:32" s="552" customFormat="1" ht="15.75" customHeight="1">
      <c r="A744" s="202" t="str">
        <f>IF(B744&lt;&gt;"",IF(AND(B744&gt;=_TM1,B744&lt;=_TM2,OR(TH!L744="1111",TH!M744="1111")),TH!D744,""),"")</f>
        <v/>
      </c>
      <c r="B744" s="36">
        <f t="shared" si="38"/>
        <v>4</v>
      </c>
      <c r="C744" s="182">
        <f t="shared" si="39"/>
        <v>42483</v>
      </c>
      <c r="D744" s="189" t="s">
        <v>1100</v>
      </c>
      <c r="E744" s="189">
        <v>42483</v>
      </c>
      <c r="F744" s="187" t="s">
        <v>393</v>
      </c>
      <c r="G744" s="451" t="s">
        <v>526</v>
      </c>
      <c r="H744" s="7" t="s">
        <v>428</v>
      </c>
      <c r="I744" s="251"/>
      <c r="J744" s="251"/>
      <c r="K744" s="560">
        <v>160000</v>
      </c>
      <c r="L744" s="192" t="s">
        <v>258</v>
      </c>
      <c r="M744" s="192" t="s">
        <v>367</v>
      </c>
      <c r="N744" s="52" t="str">
        <f>IF(AND('331-CT'!$E$7=TH!H744,OR(L744="331",M744="331")),"331",IF(AND(OR(L744="131",M744="131"),H744='131-CT'!$E$7),"131",""))</f>
        <v/>
      </c>
      <c r="O744" s="818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52"/>
      <c r="AD744" s="209"/>
      <c r="AE744" s="209"/>
      <c r="AF744" s="209"/>
    </row>
    <row r="745" spans="1:32" s="552" customFormat="1" ht="15.75" customHeight="1">
      <c r="A745" s="202" t="str">
        <f>IF(B745&lt;&gt;"",IF(AND(B745&gt;=_TM1,B745&lt;=_TM2,OR(TH!L745="1111",TH!M745="1111")),TH!D745,""),"")</f>
        <v/>
      </c>
      <c r="B745" s="36">
        <f t="shared" si="38"/>
        <v>4</v>
      </c>
      <c r="C745" s="182">
        <f t="shared" si="39"/>
        <v>42485</v>
      </c>
      <c r="D745" s="182" t="s">
        <v>665</v>
      </c>
      <c r="E745" s="154">
        <v>42485</v>
      </c>
      <c r="F745" s="190" t="s">
        <v>667</v>
      </c>
      <c r="G745" s="190" t="s">
        <v>330</v>
      </c>
      <c r="H745" s="7"/>
      <c r="I745" s="251"/>
      <c r="J745" s="251"/>
      <c r="K745" s="560">
        <v>4510</v>
      </c>
      <c r="L745" s="192" t="s">
        <v>24</v>
      </c>
      <c r="M745" s="192" t="s">
        <v>40</v>
      </c>
      <c r="N745" s="52" t="str">
        <f>IF(AND('331-CT'!$E$7=TH!H745,OR(L745="331",M745="331")),"331",IF(AND(OR(L745="131",M745="131"),H745='131-CT'!$E$7),"131",""))</f>
        <v/>
      </c>
      <c r="O745" s="818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53"/>
      <c r="AD745" s="209"/>
      <c r="AE745" s="209"/>
      <c r="AF745" s="209"/>
    </row>
    <row r="746" spans="1:32" s="552" customFormat="1" ht="15.75" customHeight="1">
      <c r="A746" s="202" t="str">
        <f>IF(B746&lt;&gt;"",IF(AND(B746&gt;=_TM1,B746&lt;=_TM2,OR(TH!L746="1111",TH!M746="1111")),TH!D746,""),"")</f>
        <v/>
      </c>
      <c r="B746" s="36">
        <f t="shared" si="38"/>
        <v>4</v>
      </c>
      <c r="C746" s="182">
        <f t="shared" si="39"/>
        <v>42485</v>
      </c>
      <c r="D746" s="182" t="s">
        <v>669</v>
      </c>
      <c r="E746" s="189">
        <v>42485</v>
      </c>
      <c r="F746" s="190" t="s">
        <v>671</v>
      </c>
      <c r="G746" s="190" t="s">
        <v>330</v>
      </c>
      <c r="H746" s="7" t="s">
        <v>1453</v>
      </c>
      <c r="I746" s="251"/>
      <c r="J746" s="251"/>
      <c r="K746" s="560">
        <v>8000000</v>
      </c>
      <c r="L746" s="192" t="s">
        <v>8</v>
      </c>
      <c r="M746" s="192" t="s">
        <v>24</v>
      </c>
      <c r="N746" s="52" t="str">
        <f>IF(AND('331-CT'!$E$7=TH!H746,OR(L746="331",M746="331")),"331",IF(AND(OR(L746="131",M746="131"),H746='131-CT'!$E$7),"131",""))</f>
        <v/>
      </c>
      <c r="O746" s="818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53"/>
      <c r="AC746" s="209"/>
      <c r="AD746" s="209"/>
      <c r="AE746" s="209"/>
      <c r="AF746" s="209"/>
    </row>
    <row r="747" spans="1:32" s="552" customFormat="1" ht="15.75" customHeight="1">
      <c r="A747" s="202" t="str">
        <f>IF(B747&lt;&gt;"",IF(AND(B747&gt;=_TM1,B747&lt;=_TM2,OR(TH!L747="1111",TH!M747="1111")),TH!D747,""),"")</f>
        <v/>
      </c>
      <c r="B747" s="36">
        <f t="shared" si="38"/>
        <v>4</v>
      </c>
      <c r="C747" s="182">
        <f t="shared" si="39"/>
        <v>42485</v>
      </c>
      <c r="D747" s="182" t="s">
        <v>1625</v>
      </c>
      <c r="E747" s="189">
        <v>42485</v>
      </c>
      <c r="F747" s="190" t="s">
        <v>670</v>
      </c>
      <c r="G747" s="190" t="s">
        <v>330</v>
      </c>
      <c r="H747" s="7" t="s">
        <v>782</v>
      </c>
      <c r="I747" s="251"/>
      <c r="J747" s="251"/>
      <c r="K747" s="560">
        <v>38500000</v>
      </c>
      <c r="L747" s="192" t="s">
        <v>47</v>
      </c>
      <c r="M747" s="192" t="s">
        <v>24</v>
      </c>
      <c r="N747" s="52" t="str">
        <f>IF(AND('331-CT'!$E$7=TH!H747,OR(L747="331",M747="331")),"331",IF(AND(OR(L747="131",M747="131"),H747='131-CT'!$E$7),"131",""))</f>
        <v/>
      </c>
      <c r="O747" s="818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53"/>
      <c r="AD747" s="209"/>
      <c r="AE747" s="209"/>
      <c r="AF747" s="209"/>
    </row>
    <row r="748" spans="1:32" s="552" customFormat="1" ht="15.75" customHeight="1">
      <c r="A748" s="202" t="str">
        <f>IF(B748&lt;&gt;"",IF(AND(B748&gt;=_TM1,B748&lt;=_TM2,OR(TH!L748="1111",TH!M748="1111")),TH!D748,""),"")</f>
        <v/>
      </c>
      <c r="B748" s="36">
        <f t="shared" si="38"/>
        <v>4</v>
      </c>
      <c r="C748" s="182">
        <f t="shared" si="39"/>
        <v>42485</v>
      </c>
      <c r="D748" s="189" t="s">
        <v>1101</v>
      </c>
      <c r="E748" s="839">
        <v>42485</v>
      </c>
      <c r="F748" s="840" t="s">
        <v>984</v>
      </c>
      <c r="G748" s="841" t="s">
        <v>528</v>
      </c>
      <c r="H748" s="191" t="s">
        <v>609</v>
      </c>
      <c r="I748" s="842">
        <v>420</v>
      </c>
      <c r="J748" s="842">
        <v>9700</v>
      </c>
      <c r="K748" s="843">
        <f>ROUND(I748*J748,0)</f>
        <v>4074000</v>
      </c>
      <c r="L748" s="844" t="s">
        <v>258</v>
      </c>
      <c r="M748" s="192" t="s">
        <v>173</v>
      </c>
      <c r="N748" s="52" t="str">
        <f>IF(AND('331-CT'!$E$7=TH!H748,OR(L748="331",M748="331")),"331",IF(AND(OR(L748="131",M748="131"),H748='131-CT'!$E$7),"131",""))</f>
        <v/>
      </c>
      <c r="O748" s="818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52"/>
      <c r="AC748" s="209"/>
      <c r="AD748" s="209"/>
      <c r="AE748" s="209"/>
      <c r="AF748" s="209"/>
    </row>
    <row r="749" spans="1:32" s="552" customFormat="1" ht="15.75" customHeight="1">
      <c r="A749" s="202" t="str">
        <f>IF(B749&lt;&gt;"",IF(AND(B749&gt;=_TM1,B749&lt;=_TM2,OR(TH!L749="1111",TH!M749="1111")),TH!D749,""),"")</f>
        <v/>
      </c>
      <c r="B749" s="36">
        <f t="shared" si="38"/>
        <v>4</v>
      </c>
      <c r="C749" s="182">
        <f t="shared" si="39"/>
        <v>42485</v>
      </c>
      <c r="D749" s="189" t="s">
        <v>1101</v>
      </c>
      <c r="E749" s="839">
        <v>42485</v>
      </c>
      <c r="F749" s="845" t="s">
        <v>480</v>
      </c>
      <c r="G749" s="841" t="s">
        <v>528</v>
      </c>
      <c r="H749" s="191" t="s">
        <v>609</v>
      </c>
      <c r="I749" s="842">
        <v>371</v>
      </c>
      <c r="J749" s="842">
        <v>9200</v>
      </c>
      <c r="K749" s="843">
        <f>ROUND(I749*J749,0)</f>
        <v>3413200</v>
      </c>
      <c r="L749" s="844" t="s">
        <v>258</v>
      </c>
      <c r="M749" s="192" t="s">
        <v>173</v>
      </c>
      <c r="N749" s="52" t="str">
        <f>IF(AND('331-CT'!$E$7=TH!H749,OR(L749="331",M749="331")),"331",IF(AND(OR(L749="131",M749="131"),H749='131-CT'!$E$7),"131",""))</f>
        <v/>
      </c>
      <c r="O749" s="818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52"/>
      <c r="AD749" s="209"/>
      <c r="AE749" s="209"/>
      <c r="AF749" s="209"/>
    </row>
    <row r="750" spans="1:32" s="552" customFormat="1" ht="15.75" customHeight="1">
      <c r="A750" s="202" t="str">
        <f>IF(B750&lt;&gt;"",IF(AND(B750&gt;=_TM1,B750&lt;=_TM2,OR(TH!L750="1111",TH!M750="1111")),TH!D750,""),"")</f>
        <v/>
      </c>
      <c r="B750" s="36">
        <f t="shared" si="38"/>
        <v>4</v>
      </c>
      <c r="C750" s="182">
        <f t="shared" si="39"/>
        <v>42485</v>
      </c>
      <c r="D750" s="189" t="s">
        <v>1101</v>
      </c>
      <c r="E750" s="839">
        <v>42485</v>
      </c>
      <c r="F750" s="846" t="s">
        <v>480</v>
      </c>
      <c r="G750" s="841" t="s">
        <v>528</v>
      </c>
      <c r="H750" s="191" t="s">
        <v>609</v>
      </c>
      <c r="I750" s="842">
        <v>205</v>
      </c>
      <c r="J750" s="842">
        <v>9350</v>
      </c>
      <c r="K750" s="843">
        <f>ROUND(I750*J750,0)</f>
        <v>1916750</v>
      </c>
      <c r="L750" s="844" t="s">
        <v>258</v>
      </c>
      <c r="M750" s="192" t="s">
        <v>173</v>
      </c>
      <c r="N750" s="52" t="str">
        <f>IF(AND('331-CT'!$E$7=TH!H750,OR(L750="331",M750="331")),"331",IF(AND(OR(L750="131",M750="131"),H750='131-CT'!$E$7),"131",""))</f>
        <v/>
      </c>
      <c r="O750" s="818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52"/>
      <c r="AC750" s="209"/>
      <c r="AD750" s="209"/>
      <c r="AE750" s="209"/>
      <c r="AF750" s="209"/>
    </row>
    <row r="751" spans="1:32" s="552" customFormat="1" ht="15.75" customHeight="1">
      <c r="A751" s="202" t="str">
        <f>IF(B751&lt;&gt;"",IF(AND(B751&gt;=_TM1,B751&lt;=_TM2,OR(TH!L751="1111",TH!M751="1111")),TH!D751,""),"")</f>
        <v/>
      </c>
      <c r="B751" s="36">
        <f t="shared" si="38"/>
        <v>4</v>
      </c>
      <c r="C751" s="182">
        <f t="shared" si="39"/>
        <v>42485</v>
      </c>
      <c r="D751" s="189" t="s">
        <v>1101</v>
      </c>
      <c r="E751" s="189">
        <v>42485</v>
      </c>
      <c r="F751" s="187" t="s">
        <v>393</v>
      </c>
      <c r="G751" s="451" t="s">
        <v>528</v>
      </c>
      <c r="H751" s="191" t="s">
        <v>609</v>
      </c>
      <c r="I751" s="251"/>
      <c r="J751" s="251"/>
      <c r="K751" s="560">
        <v>940395</v>
      </c>
      <c r="L751" s="192" t="s">
        <v>258</v>
      </c>
      <c r="M751" s="192" t="s">
        <v>367</v>
      </c>
      <c r="N751" s="52" t="str">
        <f>IF(AND('331-CT'!$E$7=TH!H751,OR(L751="331",M751="331")),"331",IF(AND(OR(L751="131",M751="131"),H751='131-CT'!$E$7),"131",""))</f>
        <v/>
      </c>
      <c r="O751" s="818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52"/>
      <c r="AD751" s="209"/>
      <c r="AE751" s="209"/>
      <c r="AF751" s="209"/>
    </row>
    <row r="752" spans="1:32" s="552" customFormat="1" ht="15.75" customHeight="1">
      <c r="A752" s="202" t="str">
        <f>IF(B752&lt;&gt;"",IF(AND(B752&gt;=_TM1,B752&lt;=_TM2,OR(TH!L752="1111",TH!M752="1111")),TH!D752,""),"")</f>
        <v/>
      </c>
      <c r="B752" s="36">
        <f t="shared" si="38"/>
        <v>4</v>
      </c>
      <c r="C752" s="182">
        <f t="shared" si="39"/>
        <v>42485</v>
      </c>
      <c r="D752" s="189" t="s">
        <v>1102</v>
      </c>
      <c r="E752" s="189">
        <v>42485</v>
      </c>
      <c r="F752" s="187" t="s">
        <v>985</v>
      </c>
      <c r="G752" s="451" t="s">
        <v>529</v>
      </c>
      <c r="H752" s="191" t="s">
        <v>609</v>
      </c>
      <c r="I752" s="251">
        <v>220</v>
      </c>
      <c r="J752" s="251">
        <v>9700</v>
      </c>
      <c r="K752" s="38">
        <f>ROUND(I752*J752,0)</f>
        <v>2134000</v>
      </c>
      <c r="L752" s="192" t="s">
        <v>258</v>
      </c>
      <c r="M752" s="192" t="s">
        <v>173</v>
      </c>
      <c r="N752" s="52" t="str">
        <f>IF(AND('331-CT'!$E$7=TH!H752,OR(L752="331",M752="331")),"331",IF(AND(OR(L752="131",M752="131"),H752='131-CT'!$E$7),"131",""))</f>
        <v/>
      </c>
      <c r="O752" s="818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52"/>
      <c r="AD752" s="209"/>
      <c r="AE752" s="209"/>
      <c r="AF752" s="209"/>
    </row>
    <row r="753" spans="1:32" s="552" customFormat="1" ht="15.75" customHeight="1">
      <c r="A753" s="202" t="str">
        <f>IF(B753&lt;&gt;"",IF(AND(B753&gt;=_TM1,B753&lt;=_TM2,OR(TH!L753="1111",TH!M753="1111")),TH!D753,""),"")</f>
        <v/>
      </c>
      <c r="B753" s="36">
        <f t="shared" si="38"/>
        <v>4</v>
      </c>
      <c r="C753" s="182">
        <f t="shared" si="39"/>
        <v>42485</v>
      </c>
      <c r="D753" s="189" t="s">
        <v>1102</v>
      </c>
      <c r="E753" s="189">
        <v>42485</v>
      </c>
      <c r="F753" s="190" t="s">
        <v>934</v>
      </c>
      <c r="G753" s="451" t="s">
        <v>529</v>
      </c>
      <c r="H753" s="191" t="s">
        <v>609</v>
      </c>
      <c r="I753" s="252">
        <v>210</v>
      </c>
      <c r="J753" s="252">
        <v>9800</v>
      </c>
      <c r="K753" s="38">
        <f>ROUND(I753*J753,0)</f>
        <v>2058000</v>
      </c>
      <c r="L753" s="192" t="s">
        <v>258</v>
      </c>
      <c r="M753" s="192" t="s">
        <v>173</v>
      </c>
      <c r="N753" s="52" t="str">
        <f>IF(AND('331-CT'!$E$7=TH!H753,OR(L753="331",M753="331")),"331",IF(AND(OR(L753="131",M753="131"),H753='131-CT'!$E$7),"131",""))</f>
        <v/>
      </c>
      <c r="O753" s="818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52"/>
      <c r="AD753" s="209"/>
      <c r="AE753" s="209"/>
      <c r="AF753" s="209"/>
    </row>
    <row r="754" spans="1:32" s="552" customFormat="1" ht="15.75" customHeight="1">
      <c r="A754" s="202" t="str">
        <f>IF(B754&lt;&gt;"",IF(AND(B754&gt;=_TM1,B754&lt;=_TM2,OR(TH!L754="1111",TH!M754="1111")),TH!D754,""),"")</f>
        <v/>
      </c>
      <c r="B754" s="36">
        <f t="shared" si="38"/>
        <v>4</v>
      </c>
      <c r="C754" s="182">
        <f t="shared" si="39"/>
        <v>42485</v>
      </c>
      <c r="D754" s="189" t="s">
        <v>1102</v>
      </c>
      <c r="E754" s="189">
        <v>42485</v>
      </c>
      <c r="F754" s="187" t="s">
        <v>480</v>
      </c>
      <c r="G754" s="451" t="s">
        <v>529</v>
      </c>
      <c r="H754" s="191" t="s">
        <v>609</v>
      </c>
      <c r="I754" s="251">
        <v>645</v>
      </c>
      <c r="J754" s="251">
        <v>9200</v>
      </c>
      <c r="K754" s="38">
        <f>ROUND(I754*J754,0)</f>
        <v>5934000</v>
      </c>
      <c r="L754" s="192" t="s">
        <v>258</v>
      </c>
      <c r="M754" s="192" t="s">
        <v>173</v>
      </c>
      <c r="N754" s="52" t="str">
        <f>IF(AND('331-CT'!$E$7=TH!H754,OR(L754="331",M754="331")),"331",IF(AND(OR(L754="131",M754="131"),H754='131-CT'!$E$7),"131",""))</f>
        <v/>
      </c>
      <c r="O754" s="818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52"/>
      <c r="AD754" s="209"/>
      <c r="AE754" s="209"/>
      <c r="AF754" s="209"/>
    </row>
    <row r="755" spans="1:32" s="552" customFormat="1" ht="15.75" customHeight="1">
      <c r="A755" s="202" t="str">
        <f>IF(B755&lt;&gt;"",IF(AND(B755&gt;=_TM1,B755&lt;=_TM2,OR(TH!L755="1111",TH!M755="1111")),TH!D755,""),"")</f>
        <v/>
      </c>
      <c r="B755" s="36">
        <f t="shared" si="38"/>
        <v>4</v>
      </c>
      <c r="C755" s="182">
        <f t="shared" si="39"/>
        <v>42485</v>
      </c>
      <c r="D755" s="189" t="s">
        <v>1102</v>
      </c>
      <c r="E755" s="189">
        <v>42485</v>
      </c>
      <c r="F755" s="187" t="s">
        <v>986</v>
      </c>
      <c r="G755" s="451" t="s">
        <v>529</v>
      </c>
      <c r="H755" s="191" t="s">
        <v>609</v>
      </c>
      <c r="I755" s="251">
        <v>210</v>
      </c>
      <c r="J755" s="251">
        <v>9950</v>
      </c>
      <c r="K755" s="38">
        <f>ROUND(I755*J755,0)</f>
        <v>2089500</v>
      </c>
      <c r="L755" s="192" t="s">
        <v>258</v>
      </c>
      <c r="M755" s="192" t="s">
        <v>173</v>
      </c>
      <c r="N755" s="52" t="str">
        <f>IF(AND('331-CT'!$E$7=TH!H755,OR(L755="331",M755="331")),"331",IF(AND(OR(L755="131",M755="131"),H755='131-CT'!$E$7),"131",""))</f>
        <v/>
      </c>
      <c r="O755" s="818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52"/>
      <c r="AD755" s="209"/>
      <c r="AE755" s="209"/>
      <c r="AF755" s="209"/>
    </row>
    <row r="756" spans="1:32" s="552" customFormat="1" ht="15.75" customHeight="1">
      <c r="A756" s="202" t="str">
        <f>IF(B756&lt;&gt;"",IF(AND(B756&gt;=_TM1,B756&lt;=_TM2,OR(TH!L756="1111",TH!M756="1111")),TH!D756,""),"")</f>
        <v/>
      </c>
      <c r="B756" s="36">
        <f t="shared" si="38"/>
        <v>4</v>
      </c>
      <c r="C756" s="182">
        <f t="shared" si="39"/>
        <v>42485</v>
      </c>
      <c r="D756" s="189" t="s">
        <v>1102</v>
      </c>
      <c r="E756" s="182">
        <v>42485</v>
      </c>
      <c r="F756" s="187" t="s">
        <v>393</v>
      </c>
      <c r="G756" s="562" t="s">
        <v>529</v>
      </c>
      <c r="H756" s="191" t="s">
        <v>609</v>
      </c>
      <c r="I756" s="251"/>
      <c r="J756" s="251"/>
      <c r="K756" s="560">
        <v>1221550</v>
      </c>
      <c r="L756" s="192" t="s">
        <v>258</v>
      </c>
      <c r="M756" s="192" t="s">
        <v>367</v>
      </c>
      <c r="N756" s="52" t="str">
        <f>IF(AND('331-CT'!$E$7=TH!H756,OR(L756="331",M756="331")),"331",IF(AND(OR(L756="131",M756="131"),H756='131-CT'!$E$7),"131",""))</f>
        <v/>
      </c>
      <c r="O756" s="818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52"/>
      <c r="AD756" s="209"/>
      <c r="AE756" s="209"/>
      <c r="AF756" s="209"/>
    </row>
    <row r="757" spans="1:32" s="552" customFormat="1" ht="15.75" customHeight="1">
      <c r="A757" s="202" t="str">
        <f>IF(B757&lt;&gt;"",IF(AND(B757&gt;=_TM1,B757&lt;=_TM2,OR(TH!L757="1111",TH!M757="1111")),TH!D757,""),"")</f>
        <v/>
      </c>
      <c r="B757" s="36">
        <f t="shared" si="38"/>
        <v>4</v>
      </c>
      <c r="C757" s="182">
        <f t="shared" si="39"/>
        <v>42486</v>
      </c>
      <c r="D757" s="182" t="s">
        <v>665</v>
      </c>
      <c r="E757" s="154">
        <v>42486</v>
      </c>
      <c r="F757" s="190" t="s">
        <v>666</v>
      </c>
      <c r="G757" s="190" t="s">
        <v>330</v>
      </c>
      <c r="H757" s="7" t="s">
        <v>1285</v>
      </c>
      <c r="I757" s="251"/>
      <c r="J757" s="251"/>
      <c r="K757" s="560">
        <v>15372500</v>
      </c>
      <c r="L757" s="192" t="s">
        <v>24</v>
      </c>
      <c r="M757" s="192" t="s">
        <v>258</v>
      </c>
      <c r="N757" s="52" t="str">
        <f>IF(AND('331-CT'!$E$7=TH!H757,OR(L757="331",M757="331")),"331",IF(AND(OR(L757="131",M757="131"),H757='131-CT'!$E$7),"131",""))</f>
        <v/>
      </c>
      <c r="O757" s="818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53"/>
      <c r="AE757" s="209"/>
      <c r="AF757" s="209"/>
    </row>
    <row r="758" spans="1:32" s="552" customFormat="1" ht="15.75" customHeight="1">
      <c r="A758" s="202" t="str">
        <f>IF(B758&lt;&gt;"",IF(AND(B758&gt;=_TM1,B758&lt;=_TM2,OR(TH!L758="1111",TH!M758="1111")),TH!D758,""),"")</f>
        <v/>
      </c>
      <c r="B758" s="36">
        <f t="shared" si="38"/>
        <v>4</v>
      </c>
      <c r="C758" s="182">
        <f t="shared" si="39"/>
        <v>42486</v>
      </c>
      <c r="D758" s="189" t="s">
        <v>1627</v>
      </c>
      <c r="E758" s="182">
        <v>42486</v>
      </c>
      <c r="F758" s="187" t="s">
        <v>370</v>
      </c>
      <c r="G758" s="451" t="s">
        <v>840</v>
      </c>
      <c r="H758" s="191" t="s">
        <v>809</v>
      </c>
      <c r="I758" s="251"/>
      <c r="J758" s="251"/>
      <c r="K758" s="560">
        <v>6580000</v>
      </c>
      <c r="L758" s="192" t="s">
        <v>164</v>
      </c>
      <c r="M758" s="192" t="s">
        <v>47</v>
      </c>
      <c r="N758" s="52" t="str">
        <f>IF(AND('331-CT'!$E$7=TH!H758,OR(L758="331",M758="331")),"331",IF(AND(OR(L758="131",M758="131"),H758='131-CT'!$E$7),"131",""))</f>
        <v/>
      </c>
      <c r="O758" s="818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52">
        <v>2</v>
      </c>
      <c r="AC758" s="209"/>
      <c r="AD758" s="209"/>
    </row>
    <row r="759" spans="1:32" s="552" customFormat="1" ht="15.75" customHeight="1">
      <c r="A759" s="202" t="str">
        <f>IF(B759&lt;&gt;"",IF(AND(B759&gt;=_TM1,B759&lt;=_TM2,OR(TH!L759="1111",TH!M759="1111")),TH!D759,""),"")</f>
        <v/>
      </c>
      <c r="B759" s="36">
        <f t="shared" si="38"/>
        <v>4</v>
      </c>
      <c r="C759" s="182">
        <f t="shared" si="39"/>
        <v>42486</v>
      </c>
      <c r="D759" s="189" t="s">
        <v>1627</v>
      </c>
      <c r="E759" s="182">
        <v>42486</v>
      </c>
      <c r="F759" s="190" t="s">
        <v>677</v>
      </c>
      <c r="G759" s="451" t="s">
        <v>840</v>
      </c>
      <c r="H759" s="191" t="s">
        <v>809</v>
      </c>
      <c r="I759" s="251"/>
      <c r="J759" s="251"/>
      <c r="K759" s="560">
        <v>658000</v>
      </c>
      <c r="L759" s="192" t="s">
        <v>9</v>
      </c>
      <c r="M759" s="192" t="s">
        <v>47</v>
      </c>
      <c r="N759" s="52" t="str">
        <f>IF(AND('331-CT'!$E$7=TH!H759,OR(L759="331",M759="331")),"331",IF(AND(OR(L759="131",M759="131"),H759='131-CT'!$E$7),"131",""))</f>
        <v/>
      </c>
      <c r="O759" s="818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52">
        <v>2</v>
      </c>
      <c r="AD759" s="209"/>
    </row>
    <row r="760" spans="1:32" s="552" customFormat="1" ht="15.75" customHeight="1">
      <c r="A760" s="202" t="str">
        <f>IF(B760&lt;&gt;"",IF(AND(B760&gt;=_TM1,B760&lt;=_TM2,OR(TH!L760="1111",TH!M760="1111")),TH!D760,""),"")</f>
        <v/>
      </c>
      <c r="B760" s="36">
        <f t="shared" si="38"/>
        <v>4</v>
      </c>
      <c r="C760" s="182">
        <f t="shared" si="39"/>
        <v>42486</v>
      </c>
      <c r="D760" s="189" t="s">
        <v>1103</v>
      </c>
      <c r="E760" s="839">
        <v>42486</v>
      </c>
      <c r="F760" s="846" t="s">
        <v>987</v>
      </c>
      <c r="G760" s="841" t="s">
        <v>534</v>
      </c>
      <c r="H760" s="191" t="s">
        <v>609</v>
      </c>
      <c r="I760" s="847">
        <v>105</v>
      </c>
      <c r="J760" s="847">
        <v>8700</v>
      </c>
      <c r="K760" s="843">
        <f>ROUND(I760*J760,0)</f>
        <v>913500</v>
      </c>
      <c r="L760" s="844" t="s">
        <v>258</v>
      </c>
      <c r="M760" s="192" t="s">
        <v>173</v>
      </c>
      <c r="N760" s="52" t="str">
        <f>IF(AND('331-CT'!$E$7=TH!H760,OR(L760="331",M760="331")),"331",IF(AND(OR(L760="131",M760="131"),H760='131-CT'!$E$7),"131",""))</f>
        <v/>
      </c>
      <c r="O760" s="818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52"/>
      <c r="AD760" s="209"/>
      <c r="AE760" s="209"/>
      <c r="AF760" s="209"/>
    </row>
    <row r="761" spans="1:32" s="552" customFormat="1" ht="15.75" customHeight="1">
      <c r="A761" s="202" t="str">
        <f>IF(B761&lt;&gt;"",IF(AND(B761&gt;=_TM1,B761&lt;=_TM2,OR(TH!L761="1111",TH!M761="1111")),TH!D761,""),"")</f>
        <v/>
      </c>
      <c r="B761" s="36">
        <f t="shared" si="38"/>
        <v>4</v>
      </c>
      <c r="C761" s="182">
        <f t="shared" si="39"/>
        <v>42486</v>
      </c>
      <c r="D761" s="189" t="s">
        <v>1103</v>
      </c>
      <c r="E761" s="839">
        <v>42486</v>
      </c>
      <c r="F761" s="187" t="s">
        <v>408</v>
      </c>
      <c r="G761" s="841" t="s">
        <v>534</v>
      </c>
      <c r="H761" s="191" t="s">
        <v>609</v>
      </c>
      <c r="I761" s="847">
        <v>125</v>
      </c>
      <c r="J761" s="847">
        <v>9500</v>
      </c>
      <c r="K761" s="843">
        <f>ROUND(I761*J761,0)</f>
        <v>1187500</v>
      </c>
      <c r="L761" s="844" t="s">
        <v>258</v>
      </c>
      <c r="M761" s="192" t="s">
        <v>173</v>
      </c>
      <c r="N761" s="52" t="str">
        <f>IF(AND('331-CT'!$E$7=TH!H761,OR(L761="331",M761="331")),"331",IF(AND(OR(L761="131",M761="131"),H761='131-CT'!$E$7),"131",""))</f>
        <v/>
      </c>
      <c r="O761" s="818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52"/>
      <c r="AD761" s="209"/>
      <c r="AE761" s="209"/>
      <c r="AF761" s="209"/>
    </row>
    <row r="762" spans="1:32" s="552" customFormat="1" ht="15.75" customHeight="1">
      <c r="A762" s="202" t="str">
        <f>IF(B762&lt;&gt;"",IF(AND(B762&gt;=_TM1,B762&lt;=_TM2,OR(TH!L762="1111",TH!M762="1111")),TH!D762,""),"")</f>
        <v/>
      </c>
      <c r="B762" s="36">
        <f t="shared" si="38"/>
        <v>4</v>
      </c>
      <c r="C762" s="182">
        <f t="shared" si="39"/>
        <v>42486</v>
      </c>
      <c r="D762" s="189" t="s">
        <v>1103</v>
      </c>
      <c r="E762" s="839">
        <v>42486</v>
      </c>
      <c r="F762" s="846" t="s">
        <v>480</v>
      </c>
      <c r="G762" s="841" t="s">
        <v>534</v>
      </c>
      <c r="H762" s="191" t="s">
        <v>609</v>
      </c>
      <c r="I762" s="847">
        <v>644</v>
      </c>
      <c r="J762" s="847">
        <v>9200</v>
      </c>
      <c r="K762" s="843">
        <f>ROUND(I762*J762,0)</f>
        <v>5924800</v>
      </c>
      <c r="L762" s="844" t="s">
        <v>258</v>
      </c>
      <c r="M762" s="192" t="s">
        <v>173</v>
      </c>
      <c r="N762" s="52" t="str">
        <f>IF(AND('331-CT'!$E$7=TH!H762,OR(L762="331",M762="331")),"331",IF(AND(OR(L762="131",M762="131"),H762='131-CT'!$E$7),"131",""))</f>
        <v/>
      </c>
      <c r="O762" s="818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52"/>
      <c r="AD762" s="209"/>
      <c r="AE762" s="209"/>
      <c r="AF762" s="209"/>
    </row>
    <row r="763" spans="1:32" s="552" customFormat="1" ht="15.75" customHeight="1">
      <c r="A763" s="202" t="str">
        <f>IF(B763&lt;&gt;"",IF(AND(B763&gt;=_TM1,B763&lt;=_TM2,OR(TH!L763="1111",TH!M763="1111")),TH!D763,""),"")</f>
        <v/>
      </c>
      <c r="B763" s="36">
        <f t="shared" si="38"/>
        <v>4</v>
      </c>
      <c r="C763" s="182">
        <f t="shared" si="39"/>
        <v>42486</v>
      </c>
      <c r="D763" s="189" t="s">
        <v>1103</v>
      </c>
      <c r="E763" s="189">
        <v>42486</v>
      </c>
      <c r="F763" s="190" t="s">
        <v>393</v>
      </c>
      <c r="G763" s="451" t="s">
        <v>534</v>
      </c>
      <c r="H763" s="191" t="s">
        <v>609</v>
      </c>
      <c r="I763" s="251"/>
      <c r="J763" s="251"/>
      <c r="K763" s="560">
        <v>802580</v>
      </c>
      <c r="L763" s="192" t="s">
        <v>258</v>
      </c>
      <c r="M763" s="192" t="s">
        <v>367</v>
      </c>
      <c r="N763" s="52" t="str">
        <f>IF(AND('331-CT'!$E$7=TH!H763,OR(L763="331",M763="331")),"331",IF(AND(OR(L763="131",M763="131"),H763='131-CT'!$E$7),"131",""))</f>
        <v/>
      </c>
      <c r="O763" s="818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52"/>
      <c r="AD763" s="209"/>
      <c r="AE763" s="209"/>
      <c r="AF763" s="209"/>
    </row>
    <row r="764" spans="1:32" s="552" customFormat="1" ht="15.75" customHeight="1">
      <c r="A764" s="202" t="str">
        <f>IF(B764&lt;&gt;"",IF(AND(B764&gt;=_TM1,B764&lt;=_TM2,OR(TH!L764="1111",TH!M764="1111")),TH!D764,""),"")</f>
        <v/>
      </c>
      <c r="B764" s="36">
        <f t="shared" si="38"/>
        <v>4</v>
      </c>
      <c r="C764" s="182">
        <f t="shared" si="39"/>
        <v>42486</v>
      </c>
      <c r="D764" s="189" t="s">
        <v>1104</v>
      </c>
      <c r="E764" s="189">
        <v>42486</v>
      </c>
      <c r="F764" s="190" t="s">
        <v>988</v>
      </c>
      <c r="G764" s="451" t="s">
        <v>535</v>
      </c>
      <c r="H764" s="7" t="s">
        <v>797</v>
      </c>
      <c r="I764" s="251">
        <v>514</v>
      </c>
      <c r="J764" s="251">
        <v>6650</v>
      </c>
      <c r="K764" s="38">
        <f>ROUND(I764*J764,0)</f>
        <v>3418100</v>
      </c>
      <c r="L764" s="192" t="s">
        <v>258</v>
      </c>
      <c r="M764" s="192" t="s">
        <v>173</v>
      </c>
      <c r="N764" s="52" t="str">
        <f>IF(AND('331-CT'!$E$7=TH!H764,OR(L764="331",M764="331")),"331",IF(AND(OR(L764="131",M764="131"),H764='131-CT'!$E$7),"131",""))</f>
        <v/>
      </c>
      <c r="O764" s="818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52"/>
      <c r="AC764" s="209"/>
      <c r="AD764" s="209"/>
      <c r="AE764" s="209"/>
      <c r="AF764" s="209"/>
    </row>
    <row r="765" spans="1:32" s="552" customFormat="1" ht="15.75" customHeight="1">
      <c r="A765" s="202" t="str">
        <f>IF(B765&lt;&gt;"",IF(AND(B765&gt;=_TM1,B765&lt;=_TM2,OR(TH!L765="1111",TH!M765="1111")),TH!D765,""),"")</f>
        <v/>
      </c>
      <c r="B765" s="36">
        <f t="shared" si="38"/>
        <v>4</v>
      </c>
      <c r="C765" s="182">
        <f t="shared" si="39"/>
        <v>42486</v>
      </c>
      <c r="D765" s="189" t="s">
        <v>1104</v>
      </c>
      <c r="E765" s="189">
        <v>42486</v>
      </c>
      <c r="F765" s="187" t="s">
        <v>393</v>
      </c>
      <c r="G765" s="451" t="s">
        <v>535</v>
      </c>
      <c r="H765" s="7" t="s">
        <v>797</v>
      </c>
      <c r="I765" s="252"/>
      <c r="J765" s="251"/>
      <c r="K765" s="560">
        <v>341810</v>
      </c>
      <c r="L765" s="192" t="s">
        <v>258</v>
      </c>
      <c r="M765" s="192" t="s">
        <v>367</v>
      </c>
      <c r="N765" s="52" t="str">
        <f>IF(AND('331-CT'!$E$7=TH!H765,OR(L765="331",M765="331")),"331",IF(AND(OR(L765="131",M765="131"),H765='131-CT'!$E$7),"131",""))</f>
        <v/>
      </c>
      <c r="O765" s="818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52"/>
      <c r="AD765" s="209"/>
      <c r="AE765" s="209"/>
      <c r="AF765" s="209"/>
    </row>
    <row r="766" spans="1:32" s="552" customFormat="1" ht="15.75" customHeight="1">
      <c r="A766" s="202" t="str">
        <f>IF(B766&lt;&gt;"",IF(AND(B766&gt;=_TM1,B766&lt;=_TM2,OR(TH!L766="1111",TH!M766="1111")),TH!D766,""),"")</f>
        <v/>
      </c>
      <c r="B766" s="36">
        <f t="shared" si="38"/>
        <v>4</v>
      </c>
      <c r="C766" s="182">
        <f t="shared" si="39"/>
        <v>42487</v>
      </c>
      <c r="D766" s="182" t="s">
        <v>665</v>
      </c>
      <c r="E766" s="154">
        <v>42487</v>
      </c>
      <c r="F766" s="190" t="s">
        <v>666</v>
      </c>
      <c r="G766" s="190" t="s">
        <v>330</v>
      </c>
      <c r="H766" s="191" t="s">
        <v>609</v>
      </c>
      <c r="I766" s="251"/>
      <c r="J766" s="251"/>
      <c r="K766" s="560">
        <v>24892857</v>
      </c>
      <c r="L766" s="192" t="s">
        <v>24</v>
      </c>
      <c r="M766" s="192" t="s">
        <v>258</v>
      </c>
      <c r="N766" s="52" t="str">
        <f>IF(AND('331-CT'!$E$7=TH!H766,OR(L766="331",M766="331")),"331",IF(AND(OR(L766="131",M766="131"),H766='131-CT'!$E$7),"131",""))</f>
        <v/>
      </c>
      <c r="O766" s="818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53"/>
      <c r="AE766" s="209"/>
      <c r="AF766" s="209"/>
    </row>
    <row r="767" spans="1:32" s="552" customFormat="1" ht="15.75" customHeight="1">
      <c r="A767" s="202" t="str">
        <f>IF(B767&lt;&gt;"",IF(AND(B767&gt;=_TM1,B767&lt;=_TM2,OR(TH!L767="1111",TH!M767="1111")),TH!D767,""),"")</f>
        <v/>
      </c>
      <c r="B767" s="36">
        <f t="shared" si="38"/>
        <v>4</v>
      </c>
      <c r="C767" s="182">
        <f t="shared" si="39"/>
        <v>42487</v>
      </c>
      <c r="D767" s="189" t="s">
        <v>1628</v>
      </c>
      <c r="E767" s="182">
        <v>42487</v>
      </c>
      <c r="F767" s="187" t="s">
        <v>687</v>
      </c>
      <c r="G767" s="451" t="s">
        <v>841</v>
      </c>
      <c r="H767" s="7" t="s">
        <v>842</v>
      </c>
      <c r="I767" s="251"/>
      <c r="J767" s="251"/>
      <c r="K767" s="560">
        <v>785455</v>
      </c>
      <c r="L767" s="192" t="s">
        <v>83</v>
      </c>
      <c r="M767" s="192" t="s">
        <v>47</v>
      </c>
      <c r="N767" s="52" t="str">
        <f>IF(AND('331-CT'!$E$7=TH!H767,OR(L767="331",M767="331")),"331",IF(AND(OR(L767="131",M767="131"),H767='131-CT'!$E$7),"131",""))</f>
        <v/>
      </c>
      <c r="O767" s="818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>x</v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52">
        <v>2</v>
      </c>
      <c r="AD767" s="209"/>
    </row>
    <row r="768" spans="1:32" s="552" customFormat="1" ht="15.75" customHeight="1">
      <c r="A768" s="202" t="str">
        <f>IF(B768&lt;&gt;"",IF(AND(B768&gt;=_TM1,B768&lt;=_TM2,OR(TH!L768="1111",TH!M768="1111")),TH!D768,""),"")</f>
        <v/>
      </c>
      <c r="B768" s="36">
        <f t="shared" si="38"/>
        <v>4</v>
      </c>
      <c r="C768" s="182">
        <f t="shared" si="39"/>
        <v>42487</v>
      </c>
      <c r="D768" s="189" t="s">
        <v>1628</v>
      </c>
      <c r="E768" s="182">
        <v>42487</v>
      </c>
      <c r="F768" s="187" t="s">
        <v>688</v>
      </c>
      <c r="G768" s="451" t="s">
        <v>841</v>
      </c>
      <c r="H768" s="7" t="s">
        <v>842</v>
      </c>
      <c r="I768" s="251"/>
      <c r="J768" s="251"/>
      <c r="K768" s="560">
        <v>78545</v>
      </c>
      <c r="L768" s="192" t="s">
        <v>9</v>
      </c>
      <c r="M768" s="192" t="s">
        <v>47</v>
      </c>
      <c r="N768" s="52" t="str">
        <f>IF(AND('331-CT'!$E$7=TH!H768,OR(L768="331",M768="331")),"331",IF(AND(OR(L768="131",M768="131"),H768='131-CT'!$E$7),"131",""))</f>
        <v/>
      </c>
      <c r="O768" s="818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52">
        <v>2</v>
      </c>
      <c r="AC768" s="209"/>
      <c r="AD768" s="209"/>
    </row>
    <row r="769" spans="1:32" s="209" customFormat="1" ht="15.75" customHeight="1">
      <c r="A769" s="202" t="str">
        <f>IF(B769&lt;&gt;"",IF(AND(B769&gt;=_TM1,B769&lt;=_TM2,OR(TH!L769="1111",TH!M769="1111")),TH!D769,""),"")</f>
        <v/>
      </c>
      <c r="B769" s="36">
        <f t="shared" si="38"/>
        <v>4</v>
      </c>
      <c r="C769" s="182">
        <f t="shared" si="39"/>
        <v>42488</v>
      </c>
      <c r="D769" s="182" t="s">
        <v>669</v>
      </c>
      <c r="E769" s="189">
        <v>42488</v>
      </c>
      <c r="F769" s="190" t="s">
        <v>671</v>
      </c>
      <c r="G769" s="190" t="s">
        <v>330</v>
      </c>
      <c r="H769" s="7"/>
      <c r="I769" s="251"/>
      <c r="J769" s="251"/>
      <c r="K769" s="560">
        <v>8000000</v>
      </c>
      <c r="L769" s="192" t="s">
        <v>8</v>
      </c>
      <c r="M769" s="192" t="s">
        <v>24</v>
      </c>
      <c r="N769" s="52" t="str">
        <f>IF(AND('331-CT'!$E$7=TH!H769,OR(L769="331",M769="331")),"331",IF(AND(OR(L769="131",M769="131"),H769='131-CT'!$E$7),"131",""))</f>
        <v/>
      </c>
      <c r="O769" s="818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53"/>
      <c r="AB769" s="552"/>
      <c r="AC769" s="552"/>
    </row>
    <row r="770" spans="1:32" s="209" customFormat="1" ht="15.75" customHeight="1">
      <c r="A770" s="202" t="str">
        <f>IF(B770&lt;&gt;"",IF(AND(B770&gt;=_TM1,B770&lt;=_TM2,OR(TH!L770="1111",TH!M770="1111")),TH!D770,""),"")</f>
        <v/>
      </c>
      <c r="B770" s="36">
        <f t="shared" si="38"/>
        <v>4</v>
      </c>
      <c r="C770" s="182">
        <f t="shared" si="39"/>
        <v>42488</v>
      </c>
      <c r="D770" s="182" t="s">
        <v>669</v>
      </c>
      <c r="E770" s="189">
        <v>42488</v>
      </c>
      <c r="F770" s="190" t="s">
        <v>671</v>
      </c>
      <c r="G770" s="190" t="s">
        <v>330</v>
      </c>
      <c r="H770" s="7"/>
      <c r="I770" s="251"/>
      <c r="J770" s="251"/>
      <c r="K770" s="560">
        <v>6000000</v>
      </c>
      <c r="L770" s="192" t="s">
        <v>8</v>
      </c>
      <c r="M770" s="192" t="s">
        <v>24</v>
      </c>
      <c r="N770" s="52" t="str">
        <f>IF(AND('331-CT'!$E$7=TH!H770,OR(L770="331",M770="331")),"331",IF(AND(OR(L770="131",M770="131"),H770='131-CT'!$E$7),"131",""))</f>
        <v/>
      </c>
      <c r="O770" s="818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53"/>
      <c r="AB770" s="552"/>
      <c r="AC770" s="552"/>
    </row>
    <row r="771" spans="1:32" s="552" customFormat="1" ht="15.75" customHeight="1">
      <c r="A771" s="202" t="str">
        <f>IF(B771&lt;&gt;"",IF(AND(B771&gt;=_TM1,B771&lt;=_TM2,OR(TH!L771="1111",TH!M771="1111")),TH!D771,""),"")</f>
        <v/>
      </c>
      <c r="B771" s="36">
        <f t="shared" si="38"/>
        <v>4</v>
      </c>
      <c r="C771" s="182">
        <f t="shared" si="39"/>
        <v>42488</v>
      </c>
      <c r="D771" s="182" t="s">
        <v>665</v>
      </c>
      <c r="E771" s="704">
        <v>42488</v>
      </c>
      <c r="F771" s="190" t="s">
        <v>666</v>
      </c>
      <c r="G771" s="190" t="s">
        <v>330</v>
      </c>
      <c r="H771" s="7" t="s">
        <v>797</v>
      </c>
      <c r="I771" s="252"/>
      <c r="J771" s="252"/>
      <c r="K771" s="38">
        <v>4069120</v>
      </c>
      <c r="L771" s="192" t="s">
        <v>24</v>
      </c>
      <c r="M771" s="192" t="s">
        <v>258</v>
      </c>
      <c r="N771" s="52" t="str">
        <f>IF(AND('331-CT'!$E$7=TH!H771,OR(L771="331",M771="331")),"331",IF(AND(OR(L771="131",M771="131"),H771='131-CT'!$E$7),"131",""))</f>
        <v/>
      </c>
      <c r="O771" s="818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53"/>
      <c r="AD771" s="209"/>
      <c r="AE771" s="209"/>
      <c r="AF771" s="209"/>
    </row>
    <row r="772" spans="1:32" s="552" customFormat="1" ht="15.75" customHeight="1">
      <c r="A772" s="202" t="str">
        <f>IF(B772&lt;&gt;"",IF(AND(B772&gt;=_TM1,B772&lt;=_TM2,OR(TH!L772="1111",TH!M772="1111")),TH!D772,""),"")</f>
        <v/>
      </c>
      <c r="B772" s="36">
        <f t="shared" si="38"/>
        <v>4</v>
      </c>
      <c r="C772" s="182">
        <f t="shared" si="39"/>
        <v>42488</v>
      </c>
      <c r="D772" s="182" t="s">
        <v>669</v>
      </c>
      <c r="E772" s="189">
        <v>42488</v>
      </c>
      <c r="F772" s="190" t="s">
        <v>672</v>
      </c>
      <c r="G772" s="190" t="s">
        <v>330</v>
      </c>
      <c r="H772" s="191"/>
      <c r="I772" s="251"/>
      <c r="J772" s="251"/>
      <c r="K772" s="560">
        <v>13636</v>
      </c>
      <c r="L772" s="192" t="s">
        <v>83</v>
      </c>
      <c r="M772" s="192" t="s">
        <v>24</v>
      </c>
      <c r="N772" s="52" t="str">
        <f>IF(AND('331-CT'!$E$7=TH!H772,OR(L772="331",M772="331")),"331",IF(AND(OR(L772="131",M772="131"),H772='131-CT'!$E$7),"131",""))</f>
        <v/>
      </c>
      <c r="O772" s="818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>x</v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52">
        <v>2</v>
      </c>
      <c r="AD772" s="209"/>
      <c r="AE772" s="209"/>
      <c r="AF772" s="209"/>
    </row>
    <row r="773" spans="1:32" s="552" customFormat="1" ht="15.75" customHeight="1">
      <c r="A773" s="202" t="str">
        <f>IF(B773&lt;&gt;"",IF(AND(B773&gt;=_TM1,B773&lt;=_TM2,OR(TH!L773="1111",TH!M773="1111")),TH!D773,""),"")</f>
        <v/>
      </c>
      <c r="B773" s="36">
        <f t="shared" si="38"/>
        <v>4</v>
      </c>
      <c r="C773" s="182">
        <f t="shared" si="39"/>
        <v>42488</v>
      </c>
      <c r="D773" s="182" t="s">
        <v>669</v>
      </c>
      <c r="E773" s="189">
        <v>42488</v>
      </c>
      <c r="F773" s="190" t="s">
        <v>762</v>
      </c>
      <c r="G773" s="190" t="s">
        <v>330</v>
      </c>
      <c r="H773" s="191"/>
      <c r="I773" s="251"/>
      <c r="J773" s="251"/>
      <c r="K773" s="560">
        <v>1364</v>
      </c>
      <c r="L773" s="192" t="s">
        <v>9</v>
      </c>
      <c r="M773" s="192" t="s">
        <v>24</v>
      </c>
      <c r="N773" s="52" t="str">
        <f>IF(AND('331-CT'!$E$7=TH!H773,OR(L773="331",M773="331")),"331",IF(AND(OR(L773="131",M773="131"),H773='131-CT'!$E$7),"131",""))</f>
        <v/>
      </c>
      <c r="O773" s="818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52">
        <v>2</v>
      </c>
      <c r="AC773" s="209"/>
      <c r="AD773" s="209"/>
      <c r="AE773" s="209"/>
      <c r="AF773" s="209"/>
    </row>
    <row r="774" spans="1:32" s="552" customFormat="1" ht="15.75" customHeight="1">
      <c r="A774" s="202" t="str">
        <f>IF(B774&lt;&gt;"",IF(AND(B774&gt;=_TM1,B774&lt;=_TM2,OR(TH!L774="1111",TH!M774="1111")),TH!D774,""),"")</f>
        <v/>
      </c>
      <c r="B774" s="36">
        <f t="shared" si="38"/>
        <v>4</v>
      </c>
      <c r="C774" s="182">
        <f t="shared" si="39"/>
        <v>42489</v>
      </c>
      <c r="D774" s="189" t="s">
        <v>1191</v>
      </c>
      <c r="E774" s="182">
        <v>42489</v>
      </c>
      <c r="F774" s="187" t="s">
        <v>680</v>
      </c>
      <c r="G774" s="451" t="s">
        <v>843</v>
      </c>
      <c r="H774" s="7" t="s">
        <v>1554</v>
      </c>
      <c r="I774" s="251">
        <v>9501</v>
      </c>
      <c r="J774" s="251">
        <v>9000</v>
      </c>
      <c r="K774" s="38">
        <f>ROUND(I774*J774,0)</f>
        <v>85509000</v>
      </c>
      <c r="L774" s="192" t="s">
        <v>158</v>
      </c>
      <c r="M774" s="192" t="s">
        <v>8</v>
      </c>
      <c r="N774" s="52" t="str">
        <f>IF(AND('331-CT'!$E$7=TH!H774,OR(L774="331",M774="331")),"331",IF(AND(OR(L774="131",M774="131"),H774='131-CT'!$E$7),"131",""))</f>
        <v/>
      </c>
      <c r="O774" s="818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52">
        <v>2</v>
      </c>
      <c r="AC774" s="209" t="str">
        <f>IF(VLOOKUP(H774,DSKH,1,0)=H774,"","x")</f>
        <v/>
      </c>
      <c r="AD774" s="209"/>
    </row>
    <row r="775" spans="1:32" s="552" customFormat="1" ht="15.75" customHeight="1">
      <c r="A775" s="202" t="str">
        <f>IF(B775&lt;&gt;"",IF(AND(B775&gt;=_TM1,B775&lt;=_TM2,OR(TH!L775="1111",TH!M775="1111")),TH!D775,""),"")</f>
        <v/>
      </c>
      <c r="B775" s="36">
        <f t="shared" si="38"/>
        <v>4</v>
      </c>
      <c r="C775" s="182">
        <f t="shared" si="39"/>
        <v>42489</v>
      </c>
      <c r="D775" s="189" t="s">
        <v>1191</v>
      </c>
      <c r="E775" s="182">
        <v>42489</v>
      </c>
      <c r="F775" s="187" t="s">
        <v>681</v>
      </c>
      <c r="G775" s="451" t="s">
        <v>843</v>
      </c>
      <c r="H775" s="7" t="s">
        <v>1554</v>
      </c>
      <c r="I775" s="251"/>
      <c r="J775" s="251"/>
      <c r="K775" s="560">
        <v>8550900</v>
      </c>
      <c r="L775" s="192" t="s">
        <v>9</v>
      </c>
      <c r="M775" s="192" t="s">
        <v>8</v>
      </c>
      <c r="N775" s="52" t="str">
        <f>IF(AND('331-CT'!$E$7=TH!H775,OR(L775="331",M775="331")),"331",IF(AND(OR(L775="131",M775="131"),H775='131-CT'!$E$7),"131",""))</f>
        <v/>
      </c>
      <c r="O775" s="818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52">
        <v>2</v>
      </c>
      <c r="AC775" s="209" t="str">
        <f>IF(VLOOKUP(H775,DSKH,1,0)=H775,"","x")</f>
        <v/>
      </c>
      <c r="AD775" s="209"/>
    </row>
    <row r="776" spans="1:32" s="209" customFormat="1" ht="15.75" customHeight="1">
      <c r="A776" s="202" t="str">
        <f>IF(B776&lt;&gt;"",IF(AND(B776&gt;=_TM1,B776&lt;=_TM2,OR(TH!L776="1111",TH!M776="1111")),TH!D776,""),"")</f>
        <v/>
      </c>
      <c r="B776" s="36">
        <f t="shared" si="38"/>
        <v>4</v>
      </c>
      <c r="C776" s="182">
        <f t="shared" si="39"/>
        <v>42489</v>
      </c>
      <c r="D776" s="189" t="s">
        <v>1105</v>
      </c>
      <c r="E776" s="189">
        <v>42489</v>
      </c>
      <c r="F776" s="190" t="s">
        <v>418</v>
      </c>
      <c r="G776" s="451" t="s">
        <v>536</v>
      </c>
      <c r="H776" s="7" t="s">
        <v>527</v>
      </c>
      <c r="I776" s="251">
        <v>208</v>
      </c>
      <c r="J776" s="251">
        <v>47449</v>
      </c>
      <c r="K776" s="38">
        <f>ROUND(I776*J776,0)</f>
        <v>9869392</v>
      </c>
      <c r="L776" s="192" t="s">
        <v>258</v>
      </c>
      <c r="M776" s="192" t="s">
        <v>173</v>
      </c>
      <c r="N776" s="52" t="str">
        <f>IF(AND('331-CT'!$E$7=TH!H776,OR(L776="331",M776="331")),"331",IF(AND(OR(L776="131",M776="131"),H776='131-CT'!$E$7),"131",""))</f>
        <v/>
      </c>
      <c r="O776" s="818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52"/>
      <c r="AB776" s="552"/>
    </row>
    <row r="777" spans="1:32" s="209" customFormat="1" ht="15.75" customHeight="1">
      <c r="A777" s="202" t="str">
        <f>IF(B777&lt;&gt;"",IF(AND(B777&gt;=_TM1,B777&lt;=_TM2,OR(TH!L777="1111",TH!M777="1111")),TH!D777,""),"")</f>
        <v/>
      </c>
      <c r="B777" s="36">
        <f t="shared" si="38"/>
        <v>4</v>
      </c>
      <c r="C777" s="182">
        <f t="shared" si="39"/>
        <v>42489</v>
      </c>
      <c r="D777" s="189" t="s">
        <v>1105</v>
      </c>
      <c r="E777" s="189">
        <v>42489</v>
      </c>
      <c r="F777" s="190" t="s">
        <v>393</v>
      </c>
      <c r="G777" s="451" t="s">
        <v>536</v>
      </c>
      <c r="H777" s="7" t="s">
        <v>527</v>
      </c>
      <c r="I777" s="251"/>
      <c r="J777" s="251"/>
      <c r="K777" s="560">
        <v>986939</v>
      </c>
      <c r="L777" s="192" t="s">
        <v>258</v>
      </c>
      <c r="M777" s="192" t="s">
        <v>367</v>
      </c>
      <c r="N777" s="52" t="str">
        <f>IF(AND('331-CT'!$E$7=TH!H777,OR(L777="331",M777="331")),"331",IF(AND(OR(L777="131",M777="131"),H777='131-CT'!$E$7),"131",""))</f>
        <v/>
      </c>
      <c r="O777" s="818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52"/>
      <c r="AB777" s="552"/>
      <c r="AC777" s="552"/>
    </row>
    <row r="778" spans="1:32" s="209" customFormat="1" ht="15.75" customHeight="1">
      <c r="A778" s="202" t="str">
        <f>IF(B778&lt;&gt;"",IF(AND(B778&gt;=_TM1,B778&lt;=_TM2,OR(TH!L778="1111",TH!M778="1111")),TH!D778,""),"")</f>
        <v/>
      </c>
      <c r="B778" s="36">
        <f t="shared" si="38"/>
        <v>4</v>
      </c>
      <c r="C778" s="839">
        <f t="shared" si="39"/>
        <v>42490</v>
      </c>
      <c r="D778" s="839" t="s">
        <v>332</v>
      </c>
      <c r="E778" s="839">
        <v>42490</v>
      </c>
      <c r="F778" s="845" t="s">
        <v>1429</v>
      </c>
      <c r="G778" s="874"/>
      <c r="H778" s="875"/>
      <c r="I778" s="842"/>
      <c r="J778" s="842"/>
      <c r="K778" s="849">
        <v>5375000</v>
      </c>
      <c r="L778" s="876" t="s">
        <v>83</v>
      </c>
      <c r="M778" s="876" t="s">
        <v>261</v>
      </c>
      <c r="N778" s="52" t="str">
        <f>IF(AND('331-CT'!$E$7=TH!H778,OR(L778="331",M778="331")),"331",IF(AND(OR(L778="131",M778="131"),H778='131-CT'!$E$7),"131",""))</f>
        <v/>
      </c>
      <c r="O778" s="818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>x</v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196"/>
      <c r="AB778" s="196"/>
      <c r="AC778" s="196"/>
      <c r="AD778" s="196"/>
      <c r="AE778" s="196"/>
      <c r="AF778" s="196"/>
    </row>
    <row r="779" spans="1:32" s="209" customFormat="1" ht="15.75" customHeight="1">
      <c r="A779" s="202" t="str">
        <f>IF(B779&lt;&gt;"",IF(AND(B779&gt;=_TM1,B779&lt;=_TM2,OR(TH!L779="1111",TH!M779="1111")),TH!D779,""),"")</f>
        <v/>
      </c>
      <c r="B779" s="36">
        <f t="shared" si="38"/>
        <v>4</v>
      </c>
      <c r="C779" s="839">
        <f t="shared" si="39"/>
        <v>42490</v>
      </c>
      <c r="D779" s="839" t="s">
        <v>332</v>
      </c>
      <c r="E779" s="839">
        <v>42490</v>
      </c>
      <c r="F779" s="845" t="s">
        <v>1430</v>
      </c>
      <c r="G779" s="874"/>
      <c r="H779" s="875"/>
      <c r="I779" s="842"/>
      <c r="J779" s="842"/>
      <c r="K779" s="849">
        <v>16125000</v>
      </c>
      <c r="L779" s="876" t="s">
        <v>164</v>
      </c>
      <c r="M779" s="876" t="s">
        <v>261</v>
      </c>
      <c r="N779" s="52" t="str">
        <f>IF(AND('331-CT'!$E$7=TH!H779,OR(L779="331",M779="331")),"331",IF(AND(OR(L779="131",M779="131"),H779='131-CT'!$E$7),"131",""))</f>
        <v/>
      </c>
      <c r="O779" s="818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196"/>
      <c r="AB779" s="196"/>
      <c r="AC779" s="196"/>
      <c r="AD779" s="196"/>
      <c r="AE779" s="196"/>
      <c r="AF779" s="196"/>
    </row>
    <row r="780" spans="1:32" s="552" customFormat="1" ht="15.75" customHeight="1">
      <c r="A780" s="202" t="str">
        <f>IF(B780&lt;&gt;"",IF(AND(B780&gt;=_TM1,B780&lt;=_TM2,OR(TH!L780="1111",TH!M780="1111")),TH!D780,""),"")</f>
        <v/>
      </c>
      <c r="B780" s="36">
        <f t="shared" si="38"/>
        <v>4</v>
      </c>
      <c r="C780" s="839">
        <f t="shared" si="39"/>
        <v>42490</v>
      </c>
      <c r="D780" s="839" t="s">
        <v>1629</v>
      </c>
      <c r="E780" s="839">
        <v>42490</v>
      </c>
      <c r="F780" s="845" t="str">
        <f>"Thanh toán tiền lương tháng "&amp;MONTH(E780)&amp;"/"&amp;YEAR(E780)</f>
        <v>Thanh toán tiền lương tháng 4/2016</v>
      </c>
      <c r="G780" s="874"/>
      <c r="H780" s="875" t="s">
        <v>1680</v>
      </c>
      <c r="I780" s="842"/>
      <c r="J780" s="842"/>
      <c r="K780" s="849">
        <f>K778+K779</f>
        <v>21500000</v>
      </c>
      <c r="L780" s="876" t="s">
        <v>261</v>
      </c>
      <c r="M780" s="876" t="s">
        <v>47</v>
      </c>
      <c r="N780" s="52" t="str">
        <f>IF(AND('331-CT'!$E$7=TH!H780,OR(L780="331",M780="331")),"331",IF(AND(OR(L780="131",M780="131"),H780='131-CT'!$E$7),"131",""))</f>
        <v/>
      </c>
      <c r="O780" s="818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196"/>
      <c r="AB780" s="196"/>
      <c r="AC780" s="196"/>
      <c r="AD780" s="196"/>
      <c r="AE780" s="196"/>
      <c r="AF780" s="196"/>
    </row>
    <row r="781" spans="1:32" s="552" customFormat="1" ht="15.75" customHeight="1">
      <c r="A781" s="202" t="str">
        <f>IF(B781&lt;&gt;"",IF(AND(B781&gt;=_TM1,B781&lt;=_TM2,OR(TH!L781="1111",TH!M781="1111")),TH!D781,""),"")</f>
        <v/>
      </c>
      <c r="B781" s="36">
        <f t="shared" si="38"/>
        <v>5</v>
      </c>
      <c r="C781" s="182">
        <f t="shared" si="39"/>
        <v>42494</v>
      </c>
      <c r="D781" s="182" t="s">
        <v>665</v>
      </c>
      <c r="E781" s="704">
        <v>42494</v>
      </c>
      <c r="F781" s="190" t="s">
        <v>666</v>
      </c>
      <c r="G781" s="190" t="s">
        <v>330</v>
      </c>
      <c r="H781" s="191" t="s">
        <v>428</v>
      </c>
      <c r="I781" s="251"/>
      <c r="J781" s="251"/>
      <c r="K781" s="560">
        <v>1760000</v>
      </c>
      <c r="L781" s="192" t="s">
        <v>24</v>
      </c>
      <c r="M781" s="192" t="s">
        <v>258</v>
      </c>
      <c r="N781" s="52" t="str">
        <f>IF(AND('331-CT'!$E$7=TH!H781,OR(L781="331",M781="331")),"331",IF(AND(OR(L781="131",M781="131"),H781='131-CT'!$E$7),"131",""))</f>
        <v/>
      </c>
      <c r="O781" s="818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53"/>
      <c r="AC781" s="209"/>
      <c r="AD781" s="209"/>
      <c r="AE781" s="209"/>
      <c r="AF781" s="209"/>
    </row>
    <row r="782" spans="1:32" s="552" customFormat="1" ht="15.75" customHeight="1">
      <c r="A782" s="202" t="str">
        <f>IF(B782&lt;&gt;"",IF(AND(B782&gt;=_TM1,B782&lt;=_TM2,OR(TH!L782="1111",TH!M782="1111")),TH!D782,""),"")</f>
        <v/>
      </c>
      <c r="B782" s="36">
        <f t="shared" si="38"/>
        <v>5</v>
      </c>
      <c r="C782" s="182">
        <f t="shared" si="39"/>
        <v>42494</v>
      </c>
      <c r="D782" s="189" t="s">
        <v>1106</v>
      </c>
      <c r="E782" s="189">
        <v>42494</v>
      </c>
      <c r="F782" s="190" t="s">
        <v>418</v>
      </c>
      <c r="G782" s="451" t="s">
        <v>537</v>
      </c>
      <c r="H782" s="7" t="s">
        <v>527</v>
      </c>
      <c r="I782" s="251">
        <v>101</v>
      </c>
      <c r="J782" s="251">
        <v>47449</v>
      </c>
      <c r="K782" s="38">
        <f>ROUND(I782*J782,0)</f>
        <v>4792349</v>
      </c>
      <c r="L782" s="192" t="s">
        <v>258</v>
      </c>
      <c r="M782" s="192" t="s">
        <v>173</v>
      </c>
      <c r="N782" s="52" t="str">
        <f>IF(AND('331-CT'!$E$7=TH!H782,OR(L782="331",M782="331")),"331",IF(AND(OR(L782="131",M782="131"),H782='131-CT'!$E$7),"131",""))</f>
        <v/>
      </c>
      <c r="O782" s="818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52"/>
      <c r="AD782" s="209"/>
      <c r="AE782" s="209"/>
      <c r="AF782" s="209"/>
    </row>
    <row r="783" spans="1:32" s="552" customFormat="1" ht="15.75" customHeight="1">
      <c r="A783" s="202" t="str">
        <f>IF(B783&lt;&gt;"",IF(AND(B783&gt;=_TM1,B783&lt;=_TM2,OR(TH!L783="1111",TH!M783="1111")),TH!D783,""),"")</f>
        <v/>
      </c>
      <c r="B783" s="36">
        <f t="shared" si="38"/>
        <v>5</v>
      </c>
      <c r="C783" s="182">
        <f t="shared" si="39"/>
        <v>42494</v>
      </c>
      <c r="D783" s="189" t="s">
        <v>1106</v>
      </c>
      <c r="E783" s="189">
        <v>42494</v>
      </c>
      <c r="F783" s="190" t="s">
        <v>393</v>
      </c>
      <c r="G783" s="451" t="s">
        <v>537</v>
      </c>
      <c r="H783" s="7" t="s">
        <v>527</v>
      </c>
      <c r="I783" s="251"/>
      <c r="J783" s="251"/>
      <c r="K783" s="560">
        <v>479235</v>
      </c>
      <c r="L783" s="192" t="s">
        <v>258</v>
      </c>
      <c r="M783" s="192" t="s">
        <v>367</v>
      </c>
      <c r="N783" s="52" t="str">
        <f>IF(AND('331-CT'!$E$7=TH!H783,OR(L783="331",M783="331")),"331",IF(AND(OR(L783="131",M783="131"),H783='131-CT'!$E$7),"131",""))</f>
        <v/>
      </c>
      <c r="O783" s="818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52"/>
      <c r="AD783" s="209"/>
      <c r="AE783" s="209"/>
      <c r="AF783" s="209"/>
    </row>
    <row r="784" spans="1:32" s="552" customFormat="1" ht="15.75" customHeight="1">
      <c r="A784" s="202" t="str">
        <f>IF(B784&lt;&gt;"",IF(AND(B784&gt;=_TM1,B784&lt;=_TM2,OR(TH!L784="1111",TH!M784="1111")),TH!D784,""),"")</f>
        <v/>
      </c>
      <c r="B784" s="36">
        <f t="shared" si="38"/>
        <v>5</v>
      </c>
      <c r="C784" s="182">
        <f t="shared" si="39"/>
        <v>42494</v>
      </c>
      <c r="D784" s="189" t="s">
        <v>1107</v>
      </c>
      <c r="E784" s="189">
        <v>42494</v>
      </c>
      <c r="F784" s="190" t="s">
        <v>1438</v>
      </c>
      <c r="G784" s="451" t="s">
        <v>538</v>
      </c>
      <c r="H784" s="7" t="s">
        <v>643</v>
      </c>
      <c r="I784" s="251">
        <v>500</v>
      </c>
      <c r="J784" s="251">
        <v>10200</v>
      </c>
      <c r="K784" s="38">
        <f>ROUND(I784*J784,0)</f>
        <v>5100000</v>
      </c>
      <c r="L784" s="192" t="s">
        <v>258</v>
      </c>
      <c r="M784" s="192" t="s">
        <v>173</v>
      </c>
      <c r="N784" s="52" t="str">
        <f>IF(AND('331-CT'!$E$7=TH!H784,OR(L784="331",M784="331")),"331",IF(AND(OR(L784="131",M784="131"),H784='131-CT'!$E$7),"131",""))</f>
        <v/>
      </c>
      <c r="O784" s="818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52"/>
      <c r="AD784" s="209"/>
      <c r="AE784" s="209"/>
      <c r="AF784" s="209"/>
    </row>
    <row r="785" spans="1:32" s="552" customFormat="1" ht="15.75" customHeight="1">
      <c r="A785" s="202" t="str">
        <f>IF(B785&lt;&gt;"",IF(AND(B785&gt;=_TM1,B785&lt;=_TM2,OR(TH!L785="1111",TH!M785="1111")),TH!D785,""),"")</f>
        <v/>
      </c>
      <c r="B785" s="36">
        <f t="shared" si="38"/>
        <v>5</v>
      </c>
      <c r="C785" s="182">
        <f t="shared" si="39"/>
        <v>42494</v>
      </c>
      <c r="D785" s="189" t="s">
        <v>1107</v>
      </c>
      <c r="E785" s="189">
        <v>42494</v>
      </c>
      <c r="F785" s="187" t="s">
        <v>1432</v>
      </c>
      <c r="G785" s="451" t="s">
        <v>538</v>
      </c>
      <c r="H785" s="7" t="s">
        <v>643</v>
      </c>
      <c r="I785" s="251">
        <v>750</v>
      </c>
      <c r="J785" s="251">
        <v>2500</v>
      </c>
      <c r="K785" s="38">
        <f>ROUND(I785*J785,0)</f>
        <v>1875000</v>
      </c>
      <c r="L785" s="192" t="s">
        <v>258</v>
      </c>
      <c r="M785" s="192" t="s">
        <v>173</v>
      </c>
      <c r="N785" s="52" t="str">
        <f>IF(AND('331-CT'!$E$7=TH!H785,OR(L785="331",M785="331")),"331",IF(AND(OR(L785="131",M785="131"),H785='131-CT'!$E$7),"131",""))</f>
        <v/>
      </c>
      <c r="O785" s="818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52"/>
      <c r="AD785" s="209"/>
      <c r="AE785" s="209"/>
      <c r="AF785" s="209"/>
    </row>
    <row r="786" spans="1:32" s="552" customFormat="1" ht="15.75" customHeight="1">
      <c r="A786" s="202" t="str">
        <f>IF(B786&lt;&gt;"",IF(AND(B786&gt;=_TM1,B786&lt;=_TM2,OR(TH!L786="1111",TH!M786="1111")),TH!D786,""),"")</f>
        <v/>
      </c>
      <c r="B786" s="36">
        <f t="shared" si="38"/>
        <v>5</v>
      </c>
      <c r="C786" s="182">
        <f t="shared" si="39"/>
        <v>42494</v>
      </c>
      <c r="D786" s="189" t="s">
        <v>1107</v>
      </c>
      <c r="E786" s="189">
        <v>42494</v>
      </c>
      <c r="F786" s="190" t="s">
        <v>1433</v>
      </c>
      <c r="G786" s="451" t="s">
        <v>538</v>
      </c>
      <c r="H786" s="7" t="s">
        <v>643</v>
      </c>
      <c r="I786" s="251">
        <v>300</v>
      </c>
      <c r="J786" s="251">
        <v>3200</v>
      </c>
      <c r="K786" s="38">
        <f>ROUND(I786*J786,0)</f>
        <v>960000</v>
      </c>
      <c r="L786" s="192" t="s">
        <v>258</v>
      </c>
      <c r="M786" s="192" t="s">
        <v>173</v>
      </c>
      <c r="N786" s="52" t="str">
        <f>IF(AND('331-CT'!$E$7=TH!H786,OR(L786="331",M786="331")),"331",IF(AND(OR(L786="131",M786="131"),H786='131-CT'!$E$7),"131",""))</f>
        <v/>
      </c>
      <c r="O786" s="818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52"/>
      <c r="AD786" s="209"/>
      <c r="AE786" s="209"/>
      <c r="AF786" s="209"/>
    </row>
    <row r="787" spans="1:32" s="552" customFormat="1" ht="15.75" customHeight="1">
      <c r="A787" s="202" t="str">
        <f>IF(B787&lt;&gt;"",IF(AND(B787&gt;=_TM1,B787&lt;=_TM2,OR(TH!L787="1111",TH!M787="1111")),TH!D787,""),"")</f>
        <v/>
      </c>
      <c r="B787" s="36">
        <f t="shared" si="38"/>
        <v>5</v>
      </c>
      <c r="C787" s="182">
        <f t="shared" si="39"/>
        <v>42494</v>
      </c>
      <c r="D787" s="189" t="s">
        <v>1107</v>
      </c>
      <c r="E787" s="189">
        <v>42494</v>
      </c>
      <c r="F787" s="190" t="s">
        <v>393</v>
      </c>
      <c r="G787" s="451" t="s">
        <v>538</v>
      </c>
      <c r="H787" s="7" t="s">
        <v>643</v>
      </c>
      <c r="I787" s="251"/>
      <c r="J787" s="251"/>
      <c r="K787" s="560">
        <v>793500</v>
      </c>
      <c r="L787" s="192" t="s">
        <v>258</v>
      </c>
      <c r="M787" s="192" t="s">
        <v>367</v>
      </c>
      <c r="N787" s="52" t="str">
        <f>IF(AND('331-CT'!$E$7=TH!H787,OR(L787="331",M787="331")),"331",IF(AND(OR(L787="131",M787="131"),H787='131-CT'!$E$7),"131",""))</f>
        <v/>
      </c>
      <c r="O787" s="818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52"/>
      <c r="AD787" s="209"/>
      <c r="AE787" s="209"/>
      <c r="AF787" s="209"/>
    </row>
    <row r="788" spans="1:32" s="552" customFormat="1" ht="15.75" customHeight="1">
      <c r="A788" s="202" t="str">
        <f>IF(B788&lt;&gt;"",IF(AND(B788&gt;=_TM1,B788&lt;=_TM2,OR(TH!L788="1111",TH!M788="1111")),TH!D788,""),"")</f>
        <v/>
      </c>
      <c r="B788" s="36">
        <f t="shared" ref="B788:B851" si="40">IF(C788&lt;&gt;"",MONTH(C788),"")</f>
        <v>5</v>
      </c>
      <c r="C788" s="182">
        <f t="shared" ref="C788:C851" si="41">E788</f>
        <v>42495</v>
      </c>
      <c r="D788" s="182" t="s">
        <v>1639</v>
      </c>
      <c r="E788" s="704">
        <v>42495</v>
      </c>
      <c r="F788" s="190" t="s">
        <v>668</v>
      </c>
      <c r="G788" s="190" t="s">
        <v>330</v>
      </c>
      <c r="H788" s="7" t="s">
        <v>675</v>
      </c>
      <c r="I788" s="251"/>
      <c r="J788" s="251"/>
      <c r="K788" s="38">
        <v>19000000</v>
      </c>
      <c r="L788" s="192" t="s">
        <v>24</v>
      </c>
      <c r="M788" s="192" t="s">
        <v>47</v>
      </c>
      <c r="N788" s="52" t="str">
        <f>IF(AND('331-CT'!$E$7=TH!H788,OR(L788="331",M788="331")),"331",IF(AND(OR(L788="131",M788="131"),H788='131-CT'!$E$7),"131",""))</f>
        <v/>
      </c>
      <c r="O788" s="818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53"/>
      <c r="AD788" s="209"/>
      <c r="AE788" s="209"/>
      <c r="AF788" s="209"/>
    </row>
    <row r="789" spans="1:32" s="552" customFormat="1" ht="15.75" customHeight="1">
      <c r="A789" s="202" t="str">
        <f>IF(B789&lt;&gt;"",IF(AND(B789&gt;=_TM1,B789&lt;=_TM2,OR(TH!L789="1111",TH!M789="1111")),TH!D789,""),"")</f>
        <v/>
      </c>
      <c r="B789" s="36">
        <f t="shared" si="40"/>
        <v>5</v>
      </c>
      <c r="C789" s="182">
        <f t="shared" si="41"/>
        <v>42495</v>
      </c>
      <c r="D789" s="182" t="s">
        <v>669</v>
      </c>
      <c r="E789" s="189">
        <v>42495</v>
      </c>
      <c r="F789" s="190" t="s">
        <v>799</v>
      </c>
      <c r="G789" s="190" t="s">
        <v>330</v>
      </c>
      <c r="H789" s="191"/>
      <c r="I789" s="251"/>
      <c r="J789" s="251"/>
      <c r="K789" s="560">
        <v>1000000</v>
      </c>
      <c r="L789" s="192" t="s">
        <v>63</v>
      </c>
      <c r="M789" s="192" t="s">
        <v>24</v>
      </c>
      <c r="N789" s="52" t="str">
        <f>IF(AND('331-CT'!$E$7=TH!H789,OR(L789="331",M789="331")),"331",IF(AND(OR(L789="131",M789="131"),H789='131-CT'!$E$7),"131",""))</f>
        <v/>
      </c>
      <c r="O789" s="818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53"/>
      <c r="AD789" s="209"/>
      <c r="AE789" s="209"/>
      <c r="AF789" s="209"/>
    </row>
    <row r="790" spans="1:32" s="552" customFormat="1" ht="15.75" customHeight="1">
      <c r="A790" s="202" t="str">
        <f>IF(B790&lt;&gt;"",IF(AND(B790&gt;=_TM1,B790&lt;=_TM2,OR(TH!L790="1111",TH!M790="1111")),TH!D790,""),"")</f>
        <v/>
      </c>
      <c r="B790" s="36">
        <f t="shared" si="40"/>
        <v>5</v>
      </c>
      <c r="C790" s="182">
        <f t="shared" si="41"/>
        <v>42495</v>
      </c>
      <c r="D790" s="189" t="s">
        <v>669</v>
      </c>
      <c r="E790" s="189">
        <v>42495</v>
      </c>
      <c r="F790" s="190" t="s">
        <v>800</v>
      </c>
      <c r="G790" s="190" t="s">
        <v>330</v>
      </c>
      <c r="H790" s="191"/>
      <c r="I790" s="251"/>
      <c r="J790" s="251"/>
      <c r="K790" s="560">
        <v>1000000</v>
      </c>
      <c r="L790" s="192" t="s">
        <v>83</v>
      </c>
      <c r="M790" s="192" t="s">
        <v>63</v>
      </c>
      <c r="N790" s="52" t="str">
        <f>IF(AND('331-CT'!$E$7=TH!H790,OR(L790="331",M790="331")),"331",IF(AND(OR(L790="131",M790="131"),H790='131-CT'!$E$7),"131",""))</f>
        <v/>
      </c>
      <c r="O790" s="818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>x</v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53"/>
      <c r="AD790" s="209"/>
      <c r="AE790" s="209"/>
      <c r="AF790" s="209"/>
    </row>
    <row r="791" spans="1:32" s="787" customFormat="1" ht="15.75" customHeight="1">
      <c r="A791" s="202" t="str">
        <f>IF(B791&lt;&gt;"",IF(AND(B791&gt;=_TM1,B791&lt;=_TM2,OR(TH!L791="1111",TH!M791="1111")),TH!D791,""),"")</f>
        <v/>
      </c>
      <c r="B791" s="36">
        <f t="shared" si="40"/>
        <v>5</v>
      </c>
      <c r="C791" s="182">
        <f t="shared" si="41"/>
        <v>42495</v>
      </c>
      <c r="D791" s="182" t="s">
        <v>669</v>
      </c>
      <c r="E791" s="189">
        <v>42495</v>
      </c>
      <c r="F791" s="190" t="s">
        <v>672</v>
      </c>
      <c r="G791" s="190" t="s">
        <v>330</v>
      </c>
      <c r="H791" s="191"/>
      <c r="I791" s="251"/>
      <c r="J791" s="251"/>
      <c r="K791" s="560">
        <v>9091</v>
      </c>
      <c r="L791" s="192" t="s">
        <v>83</v>
      </c>
      <c r="M791" s="192" t="s">
        <v>24</v>
      </c>
      <c r="N791" s="52" t="str">
        <f>IF(AND('331-CT'!$E$7=TH!H791,OR(L791="331",M791="331")),"331",IF(AND(OR(L791="131",M791="131"),H791='131-CT'!$E$7),"131",""))</f>
        <v/>
      </c>
      <c r="O791" s="818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>x</v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52">
        <v>2</v>
      </c>
      <c r="AB791" s="552"/>
      <c r="AC791" s="552"/>
      <c r="AD791" s="209"/>
      <c r="AE791" s="209"/>
      <c r="AF791" s="209"/>
    </row>
    <row r="792" spans="1:32" s="552" customFormat="1" ht="15.75" customHeight="1">
      <c r="A792" s="202" t="str">
        <f>IF(B792&lt;&gt;"",IF(AND(B792&gt;=_TM1,B792&lt;=_TM2,OR(TH!L792="1111",TH!M792="1111")),TH!D792,""),"")</f>
        <v/>
      </c>
      <c r="B792" s="36">
        <f t="shared" si="40"/>
        <v>5</v>
      </c>
      <c r="C792" s="182">
        <f t="shared" si="41"/>
        <v>42495</v>
      </c>
      <c r="D792" s="182" t="s">
        <v>669</v>
      </c>
      <c r="E792" s="189">
        <v>42495</v>
      </c>
      <c r="F792" s="190" t="s">
        <v>762</v>
      </c>
      <c r="G792" s="190" t="s">
        <v>330</v>
      </c>
      <c r="H792" s="191"/>
      <c r="I792" s="251"/>
      <c r="J792" s="251"/>
      <c r="K792" s="560">
        <v>909</v>
      </c>
      <c r="L792" s="192" t="s">
        <v>9</v>
      </c>
      <c r="M792" s="192" t="s">
        <v>24</v>
      </c>
      <c r="N792" s="52" t="str">
        <f>IF(AND('331-CT'!$E$7=TH!H792,OR(L792="331",M792="331")),"331",IF(AND(OR(L792="131",M792="131"),H792='131-CT'!$E$7),"131",""))</f>
        <v/>
      </c>
      <c r="O792" s="818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52">
        <v>2</v>
      </c>
      <c r="AD792" s="209"/>
      <c r="AE792" s="209"/>
      <c r="AF792" s="209"/>
    </row>
    <row r="793" spans="1:32" s="552" customFormat="1" ht="15.75" customHeight="1">
      <c r="A793" s="202" t="str">
        <f>IF(B793&lt;&gt;"",IF(AND(B793&gt;=_TM1,B793&lt;=_TM2,OR(TH!L793="1111",TH!M793="1111")),TH!D793,""),"")</f>
        <v/>
      </c>
      <c r="B793" s="36">
        <f t="shared" si="40"/>
        <v>5</v>
      </c>
      <c r="C793" s="182">
        <f t="shared" si="41"/>
        <v>42495</v>
      </c>
      <c r="D793" s="182" t="s">
        <v>669</v>
      </c>
      <c r="E793" s="189">
        <v>42495</v>
      </c>
      <c r="F793" s="190" t="s">
        <v>791</v>
      </c>
      <c r="G793" s="190" t="s">
        <v>330</v>
      </c>
      <c r="H793" s="7" t="s">
        <v>792</v>
      </c>
      <c r="I793" s="251"/>
      <c r="J793" s="251"/>
      <c r="K793" s="560">
        <v>40700000</v>
      </c>
      <c r="L793" s="192" t="s">
        <v>8</v>
      </c>
      <c r="M793" s="192" t="s">
        <v>24</v>
      </c>
      <c r="N793" s="52" t="str">
        <f>IF(AND('331-CT'!$E$7=TH!H793,OR(L793="331",M793="331")),"331",IF(AND(OR(L793="131",M793="131"),H793='131-CT'!$E$7),"131",""))</f>
        <v/>
      </c>
      <c r="O793" s="818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53"/>
      <c r="AE793" s="209"/>
      <c r="AF793" s="209"/>
    </row>
    <row r="794" spans="1:32" s="552" customFormat="1" ht="15.75" customHeight="1">
      <c r="A794" s="202" t="str">
        <f>IF(B794&lt;&gt;"",IF(AND(B794&gt;=_TM1,B794&lt;=_TM2,OR(TH!L794="1111",TH!M794="1111")),TH!D794,""),"")</f>
        <v/>
      </c>
      <c r="B794" s="36">
        <f t="shared" si="40"/>
        <v>5</v>
      </c>
      <c r="C794" s="182">
        <f t="shared" si="41"/>
        <v>42495</v>
      </c>
      <c r="D794" s="182" t="s">
        <v>669</v>
      </c>
      <c r="E794" s="189">
        <v>42495</v>
      </c>
      <c r="F794" s="190" t="s">
        <v>672</v>
      </c>
      <c r="G794" s="190" t="s">
        <v>330</v>
      </c>
      <c r="H794" s="191"/>
      <c r="I794" s="251"/>
      <c r="J794" s="251"/>
      <c r="K794" s="560">
        <v>13636</v>
      </c>
      <c r="L794" s="192" t="s">
        <v>83</v>
      </c>
      <c r="M794" s="192" t="s">
        <v>24</v>
      </c>
      <c r="N794" s="52" t="str">
        <f>IF(AND('331-CT'!$E$7=TH!H794,OR(L794="331",M794="331")),"331",IF(AND(OR(L794="131",M794="131"),H794='131-CT'!$E$7),"131",""))</f>
        <v/>
      </c>
      <c r="O794" s="818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>x</v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52">
        <v>2</v>
      </c>
      <c r="AE794" s="209"/>
      <c r="AF794" s="209"/>
    </row>
    <row r="795" spans="1:32" s="552" customFormat="1" ht="15.75" customHeight="1">
      <c r="A795" s="202" t="str">
        <f>IF(B795&lt;&gt;"",IF(AND(B795&gt;=_TM1,B795&lt;=_TM2,OR(TH!L795="1111",TH!M795="1111")),TH!D795,""),"")</f>
        <v/>
      </c>
      <c r="B795" s="36">
        <f t="shared" si="40"/>
        <v>5</v>
      </c>
      <c r="C795" s="182">
        <f t="shared" si="41"/>
        <v>42495</v>
      </c>
      <c r="D795" s="182" t="s">
        <v>669</v>
      </c>
      <c r="E795" s="189">
        <v>42495</v>
      </c>
      <c r="F795" s="190" t="s">
        <v>762</v>
      </c>
      <c r="G795" s="190" t="s">
        <v>330</v>
      </c>
      <c r="H795" s="191"/>
      <c r="I795" s="251"/>
      <c r="J795" s="251"/>
      <c r="K795" s="560">
        <v>1364</v>
      </c>
      <c r="L795" s="192" t="s">
        <v>9</v>
      </c>
      <c r="M795" s="192" t="s">
        <v>24</v>
      </c>
      <c r="N795" s="52" t="str">
        <f>IF(AND('331-CT'!$E$7=TH!H795,OR(L795="331",M795="331")),"331",IF(AND(OR(L795="131",M795="131"),H795='131-CT'!$E$7),"131",""))</f>
        <v/>
      </c>
      <c r="O795" s="818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52">
        <v>2</v>
      </c>
      <c r="AE795" s="209"/>
      <c r="AF795" s="209"/>
    </row>
    <row r="796" spans="1:32" s="552" customFormat="1" ht="15.75" customHeight="1">
      <c r="A796" s="202" t="str">
        <f>IF(B796&lt;&gt;"",IF(AND(B796&gt;=_TM1,B796&lt;=_TM2,OR(TH!L796="1111",TH!M796="1111")),TH!D796,""),"")</f>
        <v/>
      </c>
      <c r="B796" s="36">
        <f t="shared" si="40"/>
        <v>5</v>
      </c>
      <c r="C796" s="182">
        <f t="shared" si="41"/>
        <v>42495</v>
      </c>
      <c r="D796" s="182" t="s">
        <v>669</v>
      </c>
      <c r="E796" s="189">
        <v>42495</v>
      </c>
      <c r="F796" s="190" t="s">
        <v>801</v>
      </c>
      <c r="G796" s="190" t="s">
        <v>330</v>
      </c>
      <c r="H796" s="7" t="s">
        <v>792</v>
      </c>
      <c r="I796" s="251"/>
      <c r="J796" s="251"/>
      <c r="K796" s="560">
        <v>8870400</v>
      </c>
      <c r="L796" s="192" t="s">
        <v>8</v>
      </c>
      <c r="M796" s="192" t="s">
        <v>24</v>
      </c>
      <c r="N796" s="52" t="str">
        <f>IF(AND('331-CT'!$E$7=TH!H796,OR(L796="331",M796="331")),"331",IF(AND(OR(L796="131",M796="131"),H796='131-CT'!$E$7),"131",""))</f>
        <v/>
      </c>
      <c r="O796" s="818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53"/>
      <c r="AE796" s="209"/>
      <c r="AF796" s="209"/>
    </row>
    <row r="797" spans="1:32" s="552" customFormat="1" ht="15.75" customHeight="1">
      <c r="A797" s="202" t="str">
        <f>IF(B797&lt;&gt;"",IF(AND(B797&gt;=_TM1,B797&lt;=_TM2,OR(TH!L797="1111",TH!M797="1111")),TH!D797,""),"")</f>
        <v/>
      </c>
      <c r="B797" s="36">
        <f t="shared" si="40"/>
        <v>5</v>
      </c>
      <c r="C797" s="182">
        <f t="shared" si="41"/>
        <v>42495</v>
      </c>
      <c r="D797" s="182" t="s">
        <v>669</v>
      </c>
      <c r="E797" s="189">
        <v>42495</v>
      </c>
      <c r="F797" s="190" t="s">
        <v>672</v>
      </c>
      <c r="G797" s="190" t="s">
        <v>330</v>
      </c>
      <c r="H797" s="191"/>
      <c r="I797" s="251"/>
      <c r="J797" s="251"/>
      <c r="K797" s="560">
        <v>13636</v>
      </c>
      <c r="L797" s="192" t="s">
        <v>83</v>
      </c>
      <c r="M797" s="192" t="s">
        <v>24</v>
      </c>
      <c r="N797" s="52" t="str">
        <f>IF(AND('331-CT'!$E$7=TH!H797,OR(L797="331",M797="331")),"331",IF(AND(OR(L797="131",M797="131"),H797='131-CT'!$E$7),"131",""))</f>
        <v/>
      </c>
      <c r="O797" s="818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>x</v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52">
        <v>2</v>
      </c>
      <c r="AE797" s="209"/>
      <c r="AF797" s="209"/>
    </row>
    <row r="798" spans="1:32" s="552" customFormat="1" ht="15.75" customHeight="1">
      <c r="A798" s="202" t="str">
        <f>IF(B798&lt;&gt;"",IF(AND(B798&gt;=_TM1,B798&lt;=_TM2,OR(TH!L798="1111",TH!M798="1111")),TH!D798,""),"")</f>
        <v/>
      </c>
      <c r="B798" s="36">
        <f t="shared" si="40"/>
        <v>5</v>
      </c>
      <c r="C798" s="182">
        <f t="shared" si="41"/>
        <v>42495</v>
      </c>
      <c r="D798" s="182" t="s">
        <v>669</v>
      </c>
      <c r="E798" s="189">
        <v>42495</v>
      </c>
      <c r="F798" s="190" t="s">
        <v>762</v>
      </c>
      <c r="G798" s="190" t="s">
        <v>330</v>
      </c>
      <c r="H798" s="191"/>
      <c r="I798" s="251"/>
      <c r="J798" s="251"/>
      <c r="K798" s="560">
        <v>1364</v>
      </c>
      <c r="L798" s="192" t="s">
        <v>9</v>
      </c>
      <c r="M798" s="192" t="s">
        <v>24</v>
      </c>
      <c r="N798" s="52" t="str">
        <f>IF(AND('331-CT'!$E$7=TH!H798,OR(L798="331",M798="331")),"331",IF(AND(OR(L798="131",M798="131"),H798='131-CT'!$E$7),"131",""))</f>
        <v/>
      </c>
      <c r="O798" s="818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52">
        <v>2</v>
      </c>
      <c r="AE798" s="209"/>
      <c r="AF798" s="209"/>
    </row>
    <row r="799" spans="1:32" s="552" customFormat="1" ht="15.75" customHeight="1">
      <c r="A799" s="202" t="str">
        <f>IF(B799&lt;&gt;"",IF(AND(B799&gt;=_TM1,B799&lt;=_TM2,OR(TH!L799="1111",TH!M799="1111")),TH!D799,""),"")</f>
        <v/>
      </c>
      <c r="B799" s="36">
        <f t="shared" si="40"/>
        <v>5</v>
      </c>
      <c r="C799" s="182">
        <f t="shared" si="41"/>
        <v>42495</v>
      </c>
      <c r="D799" s="182" t="s">
        <v>669</v>
      </c>
      <c r="E799" s="189">
        <v>42495</v>
      </c>
      <c r="F799" s="187" t="s">
        <v>674</v>
      </c>
      <c r="G799" s="190" t="s">
        <v>330</v>
      </c>
      <c r="H799" s="7"/>
      <c r="I799" s="251"/>
      <c r="J799" s="251"/>
      <c r="K799" s="560">
        <v>13636</v>
      </c>
      <c r="L799" s="192" t="s">
        <v>83</v>
      </c>
      <c r="M799" s="192" t="s">
        <v>24</v>
      </c>
      <c r="N799" s="52" t="str">
        <f>IF(AND('331-CT'!$E$7=TH!H799,OR(L799="331",M799="331")),"331",IF(AND(OR(L799="131",M799="131"),H799='131-CT'!$E$7),"131",""))</f>
        <v/>
      </c>
      <c r="O799" s="818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>x</v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52">
        <v>2</v>
      </c>
      <c r="AE799" s="209"/>
      <c r="AF799" s="209"/>
    </row>
    <row r="800" spans="1:32" s="552" customFormat="1" ht="15.75" customHeight="1">
      <c r="A800" s="202" t="str">
        <f>IF(B800&lt;&gt;"",IF(AND(B800&gt;=_TM1,B800&lt;=_TM2,OR(TH!L800="1111",TH!M800="1111")),TH!D800,""),"")</f>
        <v/>
      </c>
      <c r="B800" s="36">
        <f t="shared" si="40"/>
        <v>5</v>
      </c>
      <c r="C800" s="182">
        <f t="shared" si="41"/>
        <v>42495</v>
      </c>
      <c r="D800" s="182" t="s">
        <v>669</v>
      </c>
      <c r="E800" s="189">
        <v>42495</v>
      </c>
      <c r="F800" s="187" t="s">
        <v>794</v>
      </c>
      <c r="G800" s="190" t="s">
        <v>330</v>
      </c>
      <c r="H800" s="7"/>
      <c r="I800" s="251"/>
      <c r="J800" s="251"/>
      <c r="K800" s="560">
        <v>1364</v>
      </c>
      <c r="L800" s="192" t="s">
        <v>9</v>
      </c>
      <c r="M800" s="192" t="s">
        <v>24</v>
      </c>
      <c r="N800" s="52" t="str">
        <f>IF(AND('331-CT'!$E$7=TH!H800,OR(L800="331",M800="331")),"331",IF(AND(OR(L800="131",M800="131"),H800='131-CT'!$E$7),"131",""))</f>
        <v/>
      </c>
      <c r="O800" s="818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52">
        <v>2</v>
      </c>
      <c r="AE800" s="209"/>
      <c r="AF800" s="209"/>
    </row>
    <row r="801" spans="1:32" s="552" customFormat="1" ht="15.75" customHeight="1">
      <c r="A801" s="202" t="str">
        <f>IF(B801&lt;&gt;"",IF(AND(B801&gt;=_TM1,B801&lt;=_TM2,OR(TH!L801="1111",TH!M801="1111")),TH!D801,""),"")</f>
        <v/>
      </c>
      <c r="B801" s="36">
        <f t="shared" si="40"/>
        <v>5</v>
      </c>
      <c r="C801" s="182">
        <f t="shared" si="41"/>
        <v>42495</v>
      </c>
      <c r="D801" s="189" t="s">
        <v>1192</v>
      </c>
      <c r="E801" s="182">
        <v>42495</v>
      </c>
      <c r="F801" s="190" t="s">
        <v>676</v>
      </c>
      <c r="G801" s="451" t="s">
        <v>641</v>
      </c>
      <c r="H801" s="7" t="s">
        <v>844</v>
      </c>
      <c r="I801" s="251">
        <v>6595</v>
      </c>
      <c r="J801" s="251">
        <v>7600</v>
      </c>
      <c r="K801" s="38">
        <f>ROUND(I801*J801,0)</f>
        <v>50122000</v>
      </c>
      <c r="L801" s="192" t="s">
        <v>158</v>
      </c>
      <c r="M801" s="192" t="s">
        <v>8</v>
      </c>
      <c r="N801" s="52" t="str">
        <f>IF(AND('331-CT'!$E$7=TH!H801,OR(L801="331",M801="331")),"331",IF(AND(OR(L801="131",M801="131"),H801='131-CT'!$E$7),"131",""))</f>
        <v/>
      </c>
      <c r="O801" s="818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52">
        <v>2</v>
      </c>
      <c r="AC801" s="209" t="str">
        <f>IF(VLOOKUP(H801,DSKH,1,0)=H801,"","x")</f>
        <v/>
      </c>
      <c r="AD801" s="209"/>
    </row>
    <row r="802" spans="1:32" s="552" customFormat="1" ht="15.75" customHeight="1">
      <c r="A802" s="202" t="str">
        <f>IF(B802&lt;&gt;"",IF(AND(B802&gt;=_TM1,B802&lt;=_TM2,OR(TH!L802="1111",TH!M802="1111")),TH!D802,""),"")</f>
        <v/>
      </c>
      <c r="B802" s="36">
        <f t="shared" si="40"/>
        <v>5</v>
      </c>
      <c r="C802" s="182">
        <f t="shared" si="41"/>
        <v>42495</v>
      </c>
      <c r="D802" s="189" t="s">
        <v>1192</v>
      </c>
      <c r="E802" s="182">
        <v>42495</v>
      </c>
      <c r="F802" s="190" t="s">
        <v>684</v>
      </c>
      <c r="G802" s="451" t="s">
        <v>641</v>
      </c>
      <c r="H802" s="7" t="s">
        <v>844</v>
      </c>
      <c r="I802" s="251"/>
      <c r="J802" s="251"/>
      <c r="K802" s="560">
        <v>5012200</v>
      </c>
      <c r="L802" s="192" t="s">
        <v>9</v>
      </c>
      <c r="M802" s="192" t="s">
        <v>8</v>
      </c>
      <c r="N802" s="52" t="str">
        <f>IF(AND('331-CT'!$E$7=TH!H802,OR(L802="331",M802="331")),"331",IF(AND(OR(L802="131",M802="131"),H802='131-CT'!$E$7),"131",""))</f>
        <v/>
      </c>
      <c r="O802" s="818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52">
        <v>2</v>
      </c>
      <c r="AC802" s="209" t="str">
        <f>IF(VLOOKUP(H802,DSKH,1,0)=H802,"","x")</f>
        <v/>
      </c>
      <c r="AD802" s="209"/>
    </row>
    <row r="803" spans="1:32" s="552" customFormat="1" ht="15.75" customHeight="1">
      <c r="A803" s="202" t="str">
        <f>IF(B803&lt;&gt;"",IF(AND(B803&gt;=_TM1,B803&lt;=_TM2,OR(TH!L803="1111",TH!M803="1111")),TH!D803,""),"")</f>
        <v/>
      </c>
      <c r="B803" s="36">
        <f t="shared" si="40"/>
        <v>5</v>
      </c>
      <c r="C803" s="182">
        <f t="shared" si="41"/>
        <v>42495</v>
      </c>
      <c r="D803" s="189" t="s">
        <v>1108</v>
      </c>
      <c r="E803" s="189">
        <v>42495</v>
      </c>
      <c r="F803" s="187" t="s">
        <v>1306</v>
      </c>
      <c r="G803" s="451" t="s">
        <v>539</v>
      </c>
      <c r="H803" s="191" t="s">
        <v>615</v>
      </c>
      <c r="I803" s="251">
        <v>500</v>
      </c>
      <c r="J803" s="251">
        <v>12400</v>
      </c>
      <c r="K803" s="38">
        <f>ROUND(I803*J803,0)</f>
        <v>6200000</v>
      </c>
      <c r="L803" s="192" t="s">
        <v>258</v>
      </c>
      <c r="M803" s="192" t="s">
        <v>173</v>
      </c>
      <c r="N803" s="52" t="str">
        <f>IF(AND('331-CT'!$E$7=TH!H803,OR(L803="331",M803="331")),"331",IF(AND(OR(L803="131",M803="131"),H803='131-CT'!$E$7),"131",""))</f>
        <v/>
      </c>
      <c r="O803" s="818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52"/>
      <c r="AD803" s="209"/>
      <c r="AE803" s="209"/>
      <c r="AF803" s="209"/>
    </row>
    <row r="804" spans="1:32" s="552" customFormat="1" ht="15.75" customHeight="1">
      <c r="A804" s="202" t="str">
        <f>IF(B804&lt;&gt;"",IF(AND(B804&gt;=_TM1,B804&lt;=_TM2,OR(TH!L804="1111",TH!M804="1111")),TH!D804,""),"")</f>
        <v/>
      </c>
      <c r="B804" s="36">
        <f t="shared" si="40"/>
        <v>5</v>
      </c>
      <c r="C804" s="182">
        <f t="shared" si="41"/>
        <v>42495</v>
      </c>
      <c r="D804" s="189" t="s">
        <v>1108</v>
      </c>
      <c r="E804" s="189">
        <v>42495</v>
      </c>
      <c r="F804" s="190" t="s">
        <v>393</v>
      </c>
      <c r="G804" s="451" t="s">
        <v>539</v>
      </c>
      <c r="H804" s="191" t="s">
        <v>615</v>
      </c>
      <c r="I804" s="251"/>
      <c r="J804" s="251"/>
      <c r="K804" s="560">
        <v>620000</v>
      </c>
      <c r="L804" s="192" t="s">
        <v>258</v>
      </c>
      <c r="M804" s="192" t="s">
        <v>367</v>
      </c>
      <c r="N804" s="52" t="str">
        <f>IF(AND('331-CT'!$E$7=TH!H804,OR(L804="331",M804="331")),"331",IF(AND(OR(L804="131",M804="131"),H804='131-CT'!$E$7),"131",""))</f>
        <v/>
      </c>
      <c r="O804" s="818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52"/>
      <c r="AD804" s="209"/>
      <c r="AE804" s="209"/>
      <c r="AF804" s="209"/>
    </row>
    <row r="805" spans="1:32" s="552" customFormat="1" ht="15.75" customHeight="1">
      <c r="A805" s="202" t="str">
        <f>IF(B805&lt;&gt;"",IF(AND(B805&gt;=_TM1,B805&lt;=_TM2,OR(TH!L805="1111",TH!M805="1111")),TH!D805,""),"")</f>
        <v/>
      </c>
      <c r="B805" s="36">
        <f t="shared" si="40"/>
        <v>5</v>
      </c>
      <c r="C805" s="182">
        <f t="shared" si="41"/>
        <v>42495</v>
      </c>
      <c r="D805" s="189" t="s">
        <v>1109</v>
      </c>
      <c r="E805" s="189">
        <v>42495</v>
      </c>
      <c r="F805" s="190" t="s">
        <v>989</v>
      </c>
      <c r="G805" s="451" t="s">
        <v>541</v>
      </c>
      <c r="H805" s="191" t="s">
        <v>527</v>
      </c>
      <c r="I805" s="251">
        <v>22</v>
      </c>
      <c r="J805" s="251">
        <v>35000</v>
      </c>
      <c r="K805" s="38">
        <f>ROUND(I805*J805,0)</f>
        <v>770000</v>
      </c>
      <c r="L805" s="192" t="s">
        <v>258</v>
      </c>
      <c r="M805" s="192" t="s">
        <v>173</v>
      </c>
      <c r="N805" s="52" t="str">
        <f>IF(AND('331-CT'!$E$7=TH!H805,OR(L805="331",M805="331")),"331",IF(AND(OR(L805="131",M805="131"),H805='131-CT'!$E$7),"131",""))</f>
        <v/>
      </c>
      <c r="O805" s="818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52"/>
      <c r="AC805" s="209"/>
      <c r="AD805" s="209"/>
      <c r="AE805" s="209"/>
      <c r="AF805" s="209"/>
    </row>
    <row r="806" spans="1:32" s="552" customFormat="1" ht="15.75" customHeight="1">
      <c r="A806" s="202" t="str">
        <f>IF(B806&lt;&gt;"",IF(AND(B806&gt;=_TM1,B806&lt;=_TM2,OR(TH!L806="1111",TH!M806="1111")),TH!D806,""),"")</f>
        <v/>
      </c>
      <c r="B806" s="36">
        <f t="shared" si="40"/>
        <v>5</v>
      </c>
      <c r="C806" s="182">
        <f t="shared" si="41"/>
        <v>42495</v>
      </c>
      <c r="D806" s="189" t="s">
        <v>1109</v>
      </c>
      <c r="E806" s="189">
        <v>42495</v>
      </c>
      <c r="F806" s="190" t="s">
        <v>418</v>
      </c>
      <c r="G806" s="451" t="s">
        <v>541</v>
      </c>
      <c r="H806" s="191" t="s">
        <v>527</v>
      </c>
      <c r="I806" s="251">
        <v>120</v>
      </c>
      <c r="J806" s="251">
        <v>47449</v>
      </c>
      <c r="K806" s="38">
        <f>ROUND(I806*J806,0)</f>
        <v>5693880</v>
      </c>
      <c r="L806" s="192" t="s">
        <v>258</v>
      </c>
      <c r="M806" s="192" t="s">
        <v>173</v>
      </c>
      <c r="N806" s="52" t="str">
        <f>IF(AND('331-CT'!$E$7=TH!H806,OR(L806="331",M806="331")),"331",IF(AND(OR(L806="131",M806="131"),H806='131-CT'!$E$7),"131",""))</f>
        <v/>
      </c>
      <c r="O806" s="818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52"/>
      <c r="AD806" s="209"/>
      <c r="AE806" s="209"/>
      <c r="AF806" s="209"/>
    </row>
    <row r="807" spans="1:32" s="552" customFormat="1" ht="15.75" customHeight="1">
      <c r="A807" s="202" t="str">
        <f>IF(B807&lt;&gt;"",IF(AND(B807&gt;=_TM1,B807&lt;=_TM2,OR(TH!L807="1111",TH!M807="1111")),TH!D807,""),"")</f>
        <v/>
      </c>
      <c r="B807" s="36">
        <f t="shared" si="40"/>
        <v>5</v>
      </c>
      <c r="C807" s="182">
        <f t="shared" si="41"/>
        <v>42495</v>
      </c>
      <c r="D807" s="189" t="s">
        <v>1109</v>
      </c>
      <c r="E807" s="189">
        <v>42495</v>
      </c>
      <c r="F807" s="190" t="s">
        <v>393</v>
      </c>
      <c r="G807" s="451" t="s">
        <v>541</v>
      </c>
      <c r="H807" s="191" t="s">
        <v>527</v>
      </c>
      <c r="I807" s="251"/>
      <c r="J807" s="251"/>
      <c r="K807" s="560">
        <v>646388</v>
      </c>
      <c r="L807" s="192" t="s">
        <v>258</v>
      </c>
      <c r="M807" s="192" t="s">
        <v>367</v>
      </c>
      <c r="N807" s="52" t="str">
        <f>IF(AND('331-CT'!$E$7=TH!H807,OR(L807="331",M807="331")),"331",IF(AND(OR(L807="131",M807="131"),H807='131-CT'!$E$7),"131",""))</f>
        <v/>
      </c>
      <c r="O807" s="818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52"/>
      <c r="AD807" s="209"/>
      <c r="AE807" s="209"/>
      <c r="AF807" s="209"/>
    </row>
    <row r="808" spans="1:32" s="552" customFormat="1" ht="15.75" customHeight="1">
      <c r="A808" s="202" t="str">
        <f>IF(B808&lt;&gt;"",IF(AND(B808&gt;=_TM1,B808&lt;=_TM2,OR(TH!L808="1111",TH!M808="1111")),TH!D808,""),"")</f>
        <v/>
      </c>
      <c r="B808" s="36">
        <f t="shared" si="40"/>
        <v>5</v>
      </c>
      <c r="C808" s="182">
        <f t="shared" si="41"/>
        <v>42495</v>
      </c>
      <c r="D808" s="182" t="s">
        <v>1630</v>
      </c>
      <c r="E808" s="189">
        <v>42495</v>
      </c>
      <c r="F808" s="40" t="s">
        <v>666</v>
      </c>
      <c r="G808" s="451" t="s">
        <v>1574</v>
      </c>
      <c r="H808" s="7" t="s">
        <v>612</v>
      </c>
      <c r="I808" s="252"/>
      <c r="J808" s="252"/>
      <c r="K808" s="560">
        <v>7857850</v>
      </c>
      <c r="L808" s="561" t="s">
        <v>47</v>
      </c>
      <c r="M808" s="561" t="s">
        <v>258</v>
      </c>
      <c r="N808" s="52" t="str">
        <f>IF(AND('331-CT'!$E$7=TH!H808,OR(L808="331",M808="331")),"331",IF(AND(OR(L808="131",M808="131"),H808='131-CT'!$E$7),"131",""))</f>
        <v/>
      </c>
      <c r="O808" s="818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52"/>
      <c r="AD808" s="209"/>
      <c r="AE808" s="209"/>
      <c r="AF808" s="209"/>
    </row>
    <row r="809" spans="1:32" s="552" customFormat="1" ht="15.75" customHeight="1">
      <c r="A809" s="202" t="str">
        <f>IF(B809&lt;&gt;"",IF(AND(B809&gt;=_TM1,B809&lt;=_TM2,OR(TH!L809="1111",TH!M809="1111")),TH!D809,""),"")</f>
        <v/>
      </c>
      <c r="B809" s="36">
        <f t="shared" si="40"/>
        <v>5</v>
      </c>
      <c r="C809" s="182">
        <f t="shared" si="41"/>
        <v>42495</v>
      </c>
      <c r="D809" s="182" t="s">
        <v>1631</v>
      </c>
      <c r="E809" s="189">
        <v>42495</v>
      </c>
      <c r="F809" s="40" t="s">
        <v>666</v>
      </c>
      <c r="G809" s="451" t="s">
        <v>1602</v>
      </c>
      <c r="H809" s="7" t="s">
        <v>1204</v>
      </c>
      <c r="I809" s="252"/>
      <c r="J809" s="252"/>
      <c r="K809" s="560">
        <v>31341928</v>
      </c>
      <c r="L809" s="561" t="s">
        <v>47</v>
      </c>
      <c r="M809" s="561" t="s">
        <v>258</v>
      </c>
      <c r="N809" s="52" t="str">
        <f>IF(AND('331-CT'!$E$7=TH!H809,OR(L809="331",M809="331")),"331",IF(AND(OR(L809="131",M809="131"),H809='131-CT'!$E$7),"131",""))</f>
        <v/>
      </c>
      <c r="O809" s="818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52"/>
      <c r="AD809" s="209"/>
      <c r="AE809" s="209"/>
      <c r="AF809" s="209"/>
    </row>
    <row r="810" spans="1:32" s="552" customFormat="1" ht="15.75" customHeight="1">
      <c r="A810" s="202" t="str">
        <f>IF(B810&lt;&gt;"",IF(AND(B810&gt;=_TM1,B810&lt;=_TM2,OR(TH!L810="1111",TH!M810="1111")),TH!D810,""),"")</f>
        <v/>
      </c>
      <c r="B810" s="36">
        <f t="shared" si="40"/>
        <v>5</v>
      </c>
      <c r="C810" s="182">
        <f t="shared" si="41"/>
        <v>42496</v>
      </c>
      <c r="D810" s="182" t="s">
        <v>665</v>
      </c>
      <c r="E810" s="189">
        <v>42496</v>
      </c>
      <c r="F810" s="190" t="s">
        <v>666</v>
      </c>
      <c r="G810" s="190" t="s">
        <v>330</v>
      </c>
      <c r="H810" s="208" t="s">
        <v>501</v>
      </c>
      <c r="I810" s="251"/>
      <c r="J810" s="251"/>
      <c r="K810" s="560">
        <v>20005440</v>
      </c>
      <c r="L810" s="192" t="s">
        <v>24</v>
      </c>
      <c r="M810" s="192" t="s">
        <v>258</v>
      </c>
      <c r="N810" s="52" t="str">
        <f>IF(AND('331-CT'!$E$7=TH!H810,OR(L810="331",M810="331")),"331",IF(AND(OR(L810="131",M810="131"),H810='131-CT'!$E$7),"131",""))</f>
        <v/>
      </c>
      <c r="O810" s="818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53"/>
      <c r="AD810" s="209"/>
      <c r="AE810" s="209"/>
      <c r="AF810" s="209"/>
    </row>
    <row r="811" spans="1:32" s="552" customFormat="1" ht="15.75" customHeight="1">
      <c r="A811" s="202" t="str">
        <f>IF(B811&lt;&gt;"",IF(AND(B811&gt;=_TM1,B811&lt;=_TM2,OR(TH!L811="1111",TH!M811="1111")),TH!D811,""),"")</f>
        <v/>
      </c>
      <c r="B811" s="36">
        <f t="shared" si="40"/>
        <v>5</v>
      </c>
      <c r="C811" s="182">
        <f t="shared" si="41"/>
        <v>42496</v>
      </c>
      <c r="D811" s="189" t="s">
        <v>1193</v>
      </c>
      <c r="E811" s="182">
        <v>42496</v>
      </c>
      <c r="F811" s="190" t="s">
        <v>676</v>
      </c>
      <c r="G811" s="451" t="s">
        <v>642</v>
      </c>
      <c r="H811" s="7" t="s">
        <v>844</v>
      </c>
      <c r="I811" s="251">
        <v>11273</v>
      </c>
      <c r="J811" s="251">
        <v>7600</v>
      </c>
      <c r="K811" s="38">
        <f>ROUND(I811*J811,0)</f>
        <v>85674800</v>
      </c>
      <c r="L811" s="192" t="s">
        <v>158</v>
      </c>
      <c r="M811" s="192" t="s">
        <v>8</v>
      </c>
      <c r="N811" s="52" t="str">
        <f>IF(AND('331-CT'!$E$7=TH!H811,OR(L811="331",M811="331")),"331",IF(AND(OR(L811="131",M811="131"),H811='131-CT'!$E$7),"131",""))</f>
        <v/>
      </c>
      <c r="O811" s="818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52">
        <v>2</v>
      </c>
      <c r="AC811" s="209" t="str">
        <f>IF(VLOOKUP(H811,DSKH,1,0)=H811,"","x")</f>
        <v/>
      </c>
      <c r="AD811" s="209"/>
    </row>
    <row r="812" spans="1:32" s="552" customFormat="1" ht="15.75" customHeight="1">
      <c r="A812" s="202" t="str">
        <f>IF(B812&lt;&gt;"",IF(AND(B812&gt;=_TM1,B812&lt;=_TM2,OR(TH!L812="1111",TH!M812="1111")),TH!D812,""),"")</f>
        <v/>
      </c>
      <c r="B812" s="36">
        <f t="shared" si="40"/>
        <v>5</v>
      </c>
      <c r="C812" s="182">
        <f t="shared" si="41"/>
        <v>42496</v>
      </c>
      <c r="D812" s="189" t="s">
        <v>1193</v>
      </c>
      <c r="E812" s="182">
        <v>42496</v>
      </c>
      <c r="F812" s="190" t="s">
        <v>684</v>
      </c>
      <c r="G812" s="451" t="s">
        <v>642</v>
      </c>
      <c r="H812" s="7" t="s">
        <v>844</v>
      </c>
      <c r="I812" s="251"/>
      <c r="J812" s="251"/>
      <c r="K812" s="560">
        <v>8567480</v>
      </c>
      <c r="L812" s="192" t="s">
        <v>9</v>
      </c>
      <c r="M812" s="192" t="s">
        <v>8</v>
      </c>
      <c r="N812" s="52" t="str">
        <f>IF(AND('331-CT'!$E$7=TH!H812,OR(L812="331",M812="331")),"331",IF(AND(OR(L812="131",M812="131"),H812='131-CT'!$E$7),"131",""))</f>
        <v/>
      </c>
      <c r="O812" s="818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52">
        <v>2</v>
      </c>
      <c r="AC812" s="209" t="str">
        <f>IF(VLOOKUP(H812,DSKH,1,0)=H812,"","x")</f>
        <v/>
      </c>
      <c r="AD812" s="209"/>
    </row>
    <row r="813" spans="1:32" s="209" customFormat="1" ht="15.75" customHeight="1">
      <c r="A813" s="202" t="str">
        <f>IF(B813&lt;&gt;"",IF(AND(B813&gt;=_TM1,B813&lt;=_TM2,OR(TH!L813="1111",TH!M813="1111")),TH!D813,""),"")</f>
        <v/>
      </c>
      <c r="B813" s="36">
        <f t="shared" si="40"/>
        <v>5</v>
      </c>
      <c r="C813" s="182">
        <f t="shared" si="41"/>
        <v>42496</v>
      </c>
      <c r="D813" s="189" t="s">
        <v>1194</v>
      </c>
      <c r="E813" s="182">
        <v>42496</v>
      </c>
      <c r="F813" s="187" t="s">
        <v>690</v>
      </c>
      <c r="G813" s="451" t="s">
        <v>445</v>
      </c>
      <c r="H813" s="7" t="s">
        <v>829</v>
      </c>
      <c r="I813" s="251">
        <v>7166</v>
      </c>
      <c r="J813" s="251">
        <v>8600</v>
      </c>
      <c r="K813" s="38">
        <f>ROUND(I813*J813,0)</f>
        <v>61627600</v>
      </c>
      <c r="L813" s="192" t="s">
        <v>158</v>
      </c>
      <c r="M813" s="192" t="s">
        <v>8</v>
      </c>
      <c r="N813" s="52" t="str">
        <f>IF(AND('331-CT'!$E$7=TH!H813,OR(L813="331",M813="331")),"331",IF(AND(OR(L813="131",M813="131"),H813='131-CT'!$E$7),"131",""))</f>
        <v/>
      </c>
      <c r="O813" s="818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52">
        <v>2</v>
      </c>
      <c r="AB813" s="552"/>
      <c r="AC813" s="209" t="str">
        <f>IF(VLOOKUP(H813,DSKH,1,0)=H813,"","x")</f>
        <v/>
      </c>
      <c r="AE813" s="552"/>
      <c r="AF813" s="552"/>
    </row>
    <row r="814" spans="1:32" s="209" customFormat="1" ht="15.75" customHeight="1">
      <c r="A814" s="202" t="str">
        <f>IF(B814&lt;&gt;"",IF(AND(B814&gt;=_TM1,B814&lt;=_TM2,OR(TH!L814="1111",TH!M814="1111")),TH!D814,""),"")</f>
        <v/>
      </c>
      <c r="B814" s="36">
        <f t="shared" si="40"/>
        <v>5</v>
      </c>
      <c r="C814" s="182">
        <f t="shared" si="41"/>
        <v>42496</v>
      </c>
      <c r="D814" s="189" t="s">
        <v>1194</v>
      </c>
      <c r="E814" s="182">
        <v>42496</v>
      </c>
      <c r="F814" s="187" t="s">
        <v>691</v>
      </c>
      <c r="G814" s="451" t="s">
        <v>445</v>
      </c>
      <c r="H814" s="7" t="s">
        <v>829</v>
      </c>
      <c r="I814" s="251"/>
      <c r="J814" s="251"/>
      <c r="K814" s="560">
        <v>6162760</v>
      </c>
      <c r="L814" s="192" t="s">
        <v>9</v>
      </c>
      <c r="M814" s="192" t="s">
        <v>8</v>
      </c>
      <c r="N814" s="52" t="str">
        <f>IF(AND('331-CT'!$E$7=TH!H814,OR(L814="331",M814="331")),"331",IF(AND(OR(L814="131",M814="131"),H814='131-CT'!$E$7),"131",""))</f>
        <v/>
      </c>
      <c r="O814" s="818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52">
        <v>2</v>
      </c>
      <c r="AB814" s="552"/>
      <c r="AC814" s="209" t="str">
        <f>IF(VLOOKUP(H814,DSKH,1,0)=H814,"","x")</f>
        <v/>
      </c>
      <c r="AE814" s="552"/>
      <c r="AF814" s="552"/>
    </row>
    <row r="815" spans="1:32" s="552" customFormat="1" ht="15.75" customHeight="1">
      <c r="A815" s="202" t="str">
        <f>IF(B815&lt;&gt;"",IF(AND(B815&gt;=_TM1,B815&lt;=_TM2,OR(TH!L815="1111",TH!M815="1111")),TH!D815,""),"")</f>
        <v/>
      </c>
      <c r="B815" s="36">
        <f t="shared" si="40"/>
        <v>5</v>
      </c>
      <c r="C815" s="182">
        <f t="shared" si="41"/>
        <v>42496</v>
      </c>
      <c r="D815" s="189" t="s">
        <v>1110</v>
      </c>
      <c r="E815" s="189">
        <v>42496</v>
      </c>
      <c r="F815" s="190" t="s">
        <v>480</v>
      </c>
      <c r="G815" s="451" t="s">
        <v>679</v>
      </c>
      <c r="H815" s="191" t="s">
        <v>609</v>
      </c>
      <c r="I815" s="251">
        <v>469</v>
      </c>
      <c r="J815" s="251">
        <v>9200</v>
      </c>
      <c r="K815" s="38">
        <f>ROUND(I815*J815,0)</f>
        <v>4314800</v>
      </c>
      <c r="L815" s="192" t="s">
        <v>258</v>
      </c>
      <c r="M815" s="192" t="s">
        <v>173</v>
      </c>
      <c r="N815" s="52" t="str">
        <f>IF(AND('331-CT'!$E$7=TH!H815,OR(L815="331",M815="331")),"331",IF(AND(OR(L815="131",M815="131"),H815='131-CT'!$E$7),"131",""))</f>
        <v/>
      </c>
      <c r="O815" s="818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52"/>
      <c r="AD815" s="209"/>
      <c r="AE815" s="209"/>
      <c r="AF815" s="209"/>
    </row>
    <row r="816" spans="1:32" s="552" customFormat="1" ht="15.75" customHeight="1">
      <c r="A816" s="202" t="str">
        <f>IF(B816&lt;&gt;"",IF(AND(B816&gt;=_TM1,B816&lt;=_TM2,OR(TH!L816="1111",TH!M816="1111")),TH!D816,""),"")</f>
        <v/>
      </c>
      <c r="B816" s="36">
        <f t="shared" si="40"/>
        <v>5</v>
      </c>
      <c r="C816" s="182">
        <f t="shared" si="41"/>
        <v>42496</v>
      </c>
      <c r="D816" s="189" t="s">
        <v>1110</v>
      </c>
      <c r="E816" s="189">
        <v>42496</v>
      </c>
      <c r="F816" s="190" t="s">
        <v>393</v>
      </c>
      <c r="G816" s="451" t="s">
        <v>679</v>
      </c>
      <c r="H816" s="191" t="s">
        <v>609</v>
      </c>
      <c r="I816" s="251"/>
      <c r="J816" s="251"/>
      <c r="K816" s="560">
        <v>431480</v>
      </c>
      <c r="L816" s="192" t="s">
        <v>258</v>
      </c>
      <c r="M816" s="192" t="s">
        <v>367</v>
      </c>
      <c r="N816" s="52" t="str">
        <f>IF(AND('331-CT'!$E$7=TH!H816,OR(L816="331",M816="331")),"331",IF(AND(OR(L816="131",M816="131"),H816='131-CT'!$E$7),"131",""))</f>
        <v/>
      </c>
      <c r="O816" s="818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52"/>
      <c r="AC816" s="209"/>
      <c r="AD816" s="209"/>
      <c r="AE816" s="209"/>
      <c r="AF816" s="209"/>
    </row>
    <row r="817" spans="1:32" s="552" customFormat="1" ht="15.75" customHeight="1">
      <c r="A817" s="202" t="str">
        <f>IF(B817&lt;&gt;"",IF(AND(B817&gt;=_TM1,B817&lt;=_TM2,OR(TH!L817="1111",TH!M817="1111")),TH!D817,""),"")</f>
        <v/>
      </c>
      <c r="B817" s="36">
        <f t="shared" si="40"/>
        <v>5</v>
      </c>
      <c r="C817" s="182">
        <f t="shared" si="41"/>
        <v>42496</v>
      </c>
      <c r="D817" s="189" t="s">
        <v>1111</v>
      </c>
      <c r="E817" s="839">
        <v>42496</v>
      </c>
      <c r="F817" s="40" t="s">
        <v>680</v>
      </c>
      <c r="G817" s="841" t="s">
        <v>542</v>
      </c>
      <c r="H817" s="711" t="s">
        <v>777</v>
      </c>
      <c r="I817" s="842">
        <v>200</v>
      </c>
      <c r="J817" s="842">
        <v>9300</v>
      </c>
      <c r="K817" s="843">
        <f t="shared" ref="K817:K825" si="42">ROUND(I817*J817,0)</f>
        <v>1860000</v>
      </c>
      <c r="L817" s="844" t="s">
        <v>258</v>
      </c>
      <c r="M817" s="192" t="s">
        <v>173</v>
      </c>
      <c r="N817" s="52" t="str">
        <f>IF(AND('331-CT'!$E$7=TH!H817,OR(L817="331",M817="331")),"331",IF(AND(OR(L817="131",M817="131"),H817='131-CT'!$E$7),"131",""))</f>
        <v>131</v>
      </c>
      <c r="O817" s="818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52"/>
      <c r="AD817" s="209"/>
      <c r="AE817" s="209"/>
      <c r="AF817" s="209"/>
    </row>
    <row r="818" spans="1:32" s="552" customFormat="1" ht="15.75" customHeight="1">
      <c r="A818" s="202" t="str">
        <f>IF(B818&lt;&gt;"",IF(AND(B818&gt;=_TM1,B818&lt;=_TM2,OR(TH!L818="1111",TH!M818="1111")),TH!D818,""),"")</f>
        <v/>
      </c>
      <c r="B818" s="36">
        <f t="shared" si="40"/>
        <v>5</v>
      </c>
      <c r="C818" s="182">
        <f t="shared" si="41"/>
        <v>42496</v>
      </c>
      <c r="D818" s="189" t="s">
        <v>1111</v>
      </c>
      <c r="E818" s="839">
        <v>42496</v>
      </c>
      <c r="F818" s="846" t="s">
        <v>990</v>
      </c>
      <c r="G818" s="841" t="s">
        <v>542</v>
      </c>
      <c r="H818" s="711" t="s">
        <v>777</v>
      </c>
      <c r="I818" s="842">
        <v>46</v>
      </c>
      <c r="J818" s="842">
        <v>7600</v>
      </c>
      <c r="K818" s="843">
        <f t="shared" si="42"/>
        <v>349600</v>
      </c>
      <c r="L818" s="844" t="s">
        <v>258</v>
      </c>
      <c r="M818" s="192" t="s">
        <v>173</v>
      </c>
      <c r="N818" s="52" t="str">
        <f>IF(AND('331-CT'!$E$7=TH!H818,OR(L818="331",M818="331")),"331",IF(AND(OR(L818="131",M818="131"),H818='131-CT'!$E$7),"131",""))</f>
        <v>131</v>
      </c>
      <c r="O818" s="818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52"/>
      <c r="AD818" s="209"/>
      <c r="AE818" s="209"/>
      <c r="AF818" s="209"/>
    </row>
    <row r="819" spans="1:32" s="552" customFormat="1" ht="15.75" customHeight="1">
      <c r="A819" s="202" t="str">
        <f>IF(B819&lt;&gt;"",IF(AND(B819&gt;=_TM1,B819&lt;=_TM2,OR(TH!L819="1111",TH!M819="1111")),TH!D819,""),"")</f>
        <v/>
      </c>
      <c r="B819" s="36">
        <f t="shared" si="40"/>
        <v>5</v>
      </c>
      <c r="C819" s="182">
        <f t="shared" si="41"/>
        <v>42496</v>
      </c>
      <c r="D819" s="189" t="s">
        <v>1111</v>
      </c>
      <c r="E819" s="839">
        <v>42496</v>
      </c>
      <c r="F819" s="846" t="s">
        <v>991</v>
      </c>
      <c r="G819" s="841" t="s">
        <v>542</v>
      </c>
      <c r="H819" s="711" t="s">
        <v>777</v>
      </c>
      <c r="I819" s="842">
        <v>53</v>
      </c>
      <c r="J819" s="842">
        <v>31300</v>
      </c>
      <c r="K819" s="843">
        <f t="shared" si="42"/>
        <v>1658900</v>
      </c>
      <c r="L819" s="844" t="s">
        <v>258</v>
      </c>
      <c r="M819" s="192" t="s">
        <v>173</v>
      </c>
      <c r="N819" s="52" t="str">
        <f>IF(AND('331-CT'!$E$7=TH!H819,OR(L819="331",M819="331")),"331",IF(AND(OR(L819="131",M819="131"),H819='131-CT'!$E$7),"131",""))</f>
        <v>131</v>
      </c>
      <c r="O819" s="818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52"/>
      <c r="AC819" s="209"/>
      <c r="AD819" s="209"/>
      <c r="AE819" s="209"/>
      <c r="AF819" s="209"/>
    </row>
    <row r="820" spans="1:32" s="552" customFormat="1" ht="15.75" customHeight="1">
      <c r="A820" s="202" t="str">
        <f>IF(B820&lt;&gt;"",IF(AND(B820&gt;=_TM1,B820&lt;=_TM2,OR(TH!L820="1111",TH!M820="1111")),TH!D820,""),"")</f>
        <v/>
      </c>
      <c r="B820" s="36">
        <f t="shared" si="40"/>
        <v>5</v>
      </c>
      <c r="C820" s="182">
        <f t="shared" si="41"/>
        <v>42496</v>
      </c>
      <c r="D820" s="189" t="s">
        <v>1111</v>
      </c>
      <c r="E820" s="839">
        <v>42496</v>
      </c>
      <c r="F820" s="846" t="s">
        <v>992</v>
      </c>
      <c r="G820" s="841" t="s">
        <v>542</v>
      </c>
      <c r="H820" s="711" t="s">
        <v>777</v>
      </c>
      <c r="I820" s="842">
        <v>53</v>
      </c>
      <c r="J820" s="842">
        <v>27000</v>
      </c>
      <c r="K820" s="843">
        <f t="shared" si="42"/>
        <v>1431000</v>
      </c>
      <c r="L820" s="844" t="s">
        <v>258</v>
      </c>
      <c r="M820" s="192" t="s">
        <v>173</v>
      </c>
      <c r="N820" s="52" t="str">
        <f>IF(AND('331-CT'!$E$7=TH!H820,OR(L820="331",M820="331")),"331",IF(AND(OR(L820="131",M820="131"),H820='131-CT'!$E$7),"131",""))</f>
        <v>131</v>
      </c>
      <c r="O820" s="818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52"/>
      <c r="AD820" s="209"/>
      <c r="AE820" s="209"/>
      <c r="AF820" s="209"/>
    </row>
    <row r="821" spans="1:32" s="552" customFormat="1" ht="15.75" customHeight="1">
      <c r="A821" s="202" t="str">
        <f>IF(B821&lt;&gt;"",IF(AND(B821&gt;=_TM1,B821&lt;=_TM2,OR(TH!L821="1111",TH!M821="1111")),TH!D821,""),"")</f>
        <v/>
      </c>
      <c r="B821" s="36">
        <f t="shared" si="40"/>
        <v>5</v>
      </c>
      <c r="C821" s="182">
        <f t="shared" si="41"/>
        <v>42496</v>
      </c>
      <c r="D821" s="189" t="s">
        <v>1111</v>
      </c>
      <c r="E821" s="839">
        <v>42496</v>
      </c>
      <c r="F821" s="846" t="s">
        <v>992</v>
      </c>
      <c r="G821" s="841" t="s">
        <v>542</v>
      </c>
      <c r="H821" s="711" t="s">
        <v>777</v>
      </c>
      <c r="I821" s="842">
        <v>54</v>
      </c>
      <c r="J821" s="842">
        <v>22200</v>
      </c>
      <c r="K821" s="843">
        <f t="shared" si="42"/>
        <v>1198800</v>
      </c>
      <c r="L821" s="844" t="s">
        <v>258</v>
      </c>
      <c r="M821" s="192" t="s">
        <v>173</v>
      </c>
      <c r="N821" s="52" t="str">
        <f>IF(AND('331-CT'!$E$7=TH!H821,OR(L821="331",M821="331")),"331",IF(AND(OR(L821="131",M821="131"),H821='131-CT'!$E$7),"131",""))</f>
        <v>131</v>
      </c>
      <c r="O821" s="818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52"/>
      <c r="AC821" s="209"/>
      <c r="AD821" s="209"/>
      <c r="AE821" s="209"/>
      <c r="AF821" s="209"/>
    </row>
    <row r="822" spans="1:32" s="552" customFormat="1" ht="15.75" customHeight="1">
      <c r="A822" s="202" t="str">
        <f>IF(B822&lt;&gt;"",IF(AND(B822&gt;=_TM1,B822&lt;=_TM2,OR(TH!L822="1111",TH!M822="1111")),TH!D822,""),"")</f>
        <v/>
      </c>
      <c r="B822" s="36">
        <f t="shared" si="40"/>
        <v>5</v>
      </c>
      <c r="C822" s="182">
        <f t="shared" si="41"/>
        <v>42496</v>
      </c>
      <c r="D822" s="189" t="s">
        <v>1111</v>
      </c>
      <c r="E822" s="839">
        <v>42496</v>
      </c>
      <c r="F822" s="846" t="s">
        <v>993</v>
      </c>
      <c r="G822" s="841" t="s">
        <v>542</v>
      </c>
      <c r="H822" s="711" t="s">
        <v>777</v>
      </c>
      <c r="I822" s="848">
        <v>51</v>
      </c>
      <c r="J822" s="848">
        <v>40300</v>
      </c>
      <c r="K822" s="843">
        <f t="shared" si="42"/>
        <v>2055300</v>
      </c>
      <c r="L822" s="844" t="s">
        <v>258</v>
      </c>
      <c r="M822" s="192" t="s">
        <v>173</v>
      </c>
      <c r="N822" s="52" t="str">
        <f>IF(AND('331-CT'!$E$7=TH!H822,OR(L822="331",M822="331")),"331",IF(AND(OR(L822="131",M822="131"),H822='131-CT'!$E$7),"131",""))</f>
        <v>131</v>
      </c>
      <c r="O822" s="818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52"/>
      <c r="AD822" s="209"/>
      <c r="AE822" s="209"/>
      <c r="AF822" s="209"/>
    </row>
    <row r="823" spans="1:32" s="552" customFormat="1" ht="15.75" customHeight="1">
      <c r="A823" s="202" t="str">
        <f>IF(B823&lt;&gt;"",IF(AND(B823&gt;=_TM1,B823&lt;=_TM2,OR(TH!L823="1111",TH!M823="1111")),TH!D823,""),"")</f>
        <v/>
      </c>
      <c r="B823" s="36">
        <f t="shared" si="40"/>
        <v>5</v>
      </c>
      <c r="C823" s="182">
        <f t="shared" si="41"/>
        <v>42496</v>
      </c>
      <c r="D823" s="189" t="s">
        <v>1111</v>
      </c>
      <c r="E823" s="839">
        <v>42496</v>
      </c>
      <c r="F823" s="846" t="s">
        <v>994</v>
      </c>
      <c r="G823" s="841" t="s">
        <v>542</v>
      </c>
      <c r="H823" s="711" t="s">
        <v>777</v>
      </c>
      <c r="I823" s="842">
        <v>108</v>
      </c>
      <c r="J823" s="842">
        <v>13100</v>
      </c>
      <c r="K823" s="843">
        <f t="shared" si="42"/>
        <v>1414800</v>
      </c>
      <c r="L823" s="844" t="s">
        <v>258</v>
      </c>
      <c r="M823" s="192" t="s">
        <v>173</v>
      </c>
      <c r="N823" s="52" t="str">
        <f>IF(AND('331-CT'!$E$7=TH!H823,OR(L823="331",M823="331")),"331",IF(AND(OR(L823="131",M823="131"),H823='131-CT'!$E$7),"131",""))</f>
        <v>131</v>
      </c>
      <c r="O823" s="818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52"/>
      <c r="AC823" s="209"/>
      <c r="AD823" s="209"/>
      <c r="AE823" s="209"/>
      <c r="AF823" s="209"/>
    </row>
    <row r="824" spans="1:32" s="552" customFormat="1" ht="15.75" customHeight="1">
      <c r="A824" s="202" t="str">
        <f>IF(B824&lt;&gt;"",IF(AND(B824&gt;=_TM1,B824&lt;=_TM2,OR(TH!L824="1111",TH!M824="1111")),TH!D824,""),"")</f>
        <v/>
      </c>
      <c r="B824" s="36">
        <f t="shared" si="40"/>
        <v>5</v>
      </c>
      <c r="C824" s="182">
        <f t="shared" si="41"/>
        <v>42496</v>
      </c>
      <c r="D824" s="189" t="s">
        <v>1111</v>
      </c>
      <c r="E824" s="839">
        <v>42496</v>
      </c>
      <c r="F824" s="846" t="s">
        <v>995</v>
      </c>
      <c r="G824" s="841" t="s">
        <v>542</v>
      </c>
      <c r="H824" s="711" t="s">
        <v>777</v>
      </c>
      <c r="I824" s="848">
        <v>37</v>
      </c>
      <c r="J824" s="848">
        <v>9000</v>
      </c>
      <c r="K824" s="843">
        <f t="shared" si="42"/>
        <v>333000</v>
      </c>
      <c r="L824" s="844" t="s">
        <v>258</v>
      </c>
      <c r="M824" s="192" t="s">
        <v>173</v>
      </c>
      <c r="N824" s="52" t="str">
        <f>IF(AND('331-CT'!$E$7=TH!H824,OR(L824="331",M824="331")),"331",IF(AND(OR(L824="131",M824="131"),H824='131-CT'!$E$7),"131",""))</f>
        <v>131</v>
      </c>
      <c r="O824" s="818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52"/>
      <c r="AD824" s="209"/>
      <c r="AE824" s="209"/>
      <c r="AF824" s="209"/>
    </row>
    <row r="825" spans="1:32" s="552" customFormat="1" ht="15.75" customHeight="1">
      <c r="A825" s="202" t="str">
        <f>IF(B825&lt;&gt;"",IF(AND(B825&gt;=_TM1,B825&lt;=_TM2,OR(TH!L825="1111",TH!M825="1111")),TH!D825,""),"")</f>
        <v/>
      </c>
      <c r="B825" s="36">
        <f t="shared" si="40"/>
        <v>5</v>
      </c>
      <c r="C825" s="182">
        <f t="shared" si="41"/>
        <v>42496</v>
      </c>
      <c r="D825" s="189" t="s">
        <v>1111</v>
      </c>
      <c r="E825" s="839">
        <v>42496</v>
      </c>
      <c r="F825" s="846" t="s">
        <v>996</v>
      </c>
      <c r="G825" s="841" t="s">
        <v>542</v>
      </c>
      <c r="H825" s="711" t="s">
        <v>777</v>
      </c>
      <c r="I825" s="842">
        <v>50</v>
      </c>
      <c r="J825" s="842">
        <v>20000</v>
      </c>
      <c r="K825" s="843">
        <f t="shared" si="42"/>
        <v>1000000</v>
      </c>
      <c r="L825" s="844" t="s">
        <v>258</v>
      </c>
      <c r="M825" s="192" t="s">
        <v>173</v>
      </c>
      <c r="N825" s="52" t="str">
        <f>IF(AND('331-CT'!$E$7=TH!H825,OR(L825="331",M825="331")),"331",IF(AND(OR(L825="131",M825="131"),H825='131-CT'!$E$7),"131",""))</f>
        <v>131</v>
      </c>
      <c r="O825" s="818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52"/>
      <c r="AC825" s="209"/>
      <c r="AD825" s="209"/>
      <c r="AE825" s="209"/>
      <c r="AF825" s="209"/>
    </row>
    <row r="826" spans="1:32" s="552" customFormat="1" ht="15.75" customHeight="1">
      <c r="A826" s="202" t="str">
        <f>IF(B826&lt;&gt;"",IF(AND(B826&gt;=_TM1,B826&lt;=_TM2,OR(TH!L826="1111",TH!M826="1111")),TH!D826,""),"")</f>
        <v/>
      </c>
      <c r="B826" s="36">
        <f t="shared" si="40"/>
        <v>5</v>
      </c>
      <c r="C826" s="182">
        <f t="shared" si="41"/>
        <v>42496</v>
      </c>
      <c r="D826" s="189" t="s">
        <v>1111</v>
      </c>
      <c r="E826" s="839">
        <v>42496</v>
      </c>
      <c r="F826" s="846" t="s">
        <v>393</v>
      </c>
      <c r="G826" s="841" t="s">
        <v>542</v>
      </c>
      <c r="H826" s="711" t="s">
        <v>777</v>
      </c>
      <c r="I826" s="842"/>
      <c r="J826" s="842"/>
      <c r="K826" s="849">
        <v>1130140</v>
      </c>
      <c r="L826" s="844" t="s">
        <v>258</v>
      </c>
      <c r="M826" s="192" t="s">
        <v>367</v>
      </c>
      <c r="N826" s="52" t="str">
        <f>IF(AND('331-CT'!$E$7=TH!H826,OR(L826="331",M826="331")),"331",IF(AND(OR(L826="131",M826="131"),H826='131-CT'!$E$7),"131",""))</f>
        <v>131</v>
      </c>
      <c r="O826" s="818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52"/>
      <c r="AD826" s="209"/>
      <c r="AE826" s="209"/>
      <c r="AF826" s="209"/>
    </row>
    <row r="827" spans="1:32" s="552" customFormat="1" ht="15.75" customHeight="1">
      <c r="A827" s="202" t="str">
        <f>IF(B827&lt;&gt;"",IF(AND(B827&gt;=_TM1,B827&lt;=_TM2,OR(TH!L827="1111",TH!M827="1111")),TH!D827,""),"")</f>
        <v/>
      </c>
      <c r="B827" s="36">
        <f t="shared" si="40"/>
        <v>5</v>
      </c>
      <c r="C827" s="182">
        <f t="shared" si="41"/>
        <v>42496</v>
      </c>
      <c r="D827" s="189" t="s">
        <v>1112</v>
      </c>
      <c r="E827" s="189">
        <v>42496</v>
      </c>
      <c r="F827" s="190" t="s">
        <v>997</v>
      </c>
      <c r="G827" s="451" t="s">
        <v>543</v>
      </c>
      <c r="H827" s="711" t="s">
        <v>777</v>
      </c>
      <c r="I827" s="251">
        <v>30</v>
      </c>
      <c r="J827" s="251">
        <v>8800</v>
      </c>
      <c r="K827" s="38">
        <f t="shared" ref="K827:K835" si="43">ROUND(I827*J827,0)</f>
        <v>264000</v>
      </c>
      <c r="L827" s="192" t="s">
        <v>258</v>
      </c>
      <c r="M827" s="192" t="s">
        <v>173</v>
      </c>
      <c r="N827" s="52" t="str">
        <f>IF(AND('331-CT'!$E$7=TH!H827,OR(L827="331",M827="331")),"331",IF(AND(OR(L827="131",M827="131"),H827='131-CT'!$E$7),"131",""))</f>
        <v>131</v>
      </c>
      <c r="O827" s="818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52"/>
      <c r="AD827" s="209"/>
      <c r="AE827" s="209"/>
      <c r="AF827" s="209"/>
    </row>
    <row r="828" spans="1:32" s="552" customFormat="1" ht="15.75" customHeight="1">
      <c r="A828" s="202" t="str">
        <f>IF(B828&lt;&gt;"",IF(AND(B828&gt;=_TM1,B828&lt;=_TM2,OR(TH!L828="1111",TH!M828="1111")),TH!D828,""),"")</f>
        <v/>
      </c>
      <c r="B828" s="36">
        <f t="shared" si="40"/>
        <v>5</v>
      </c>
      <c r="C828" s="182">
        <f t="shared" si="41"/>
        <v>42496</v>
      </c>
      <c r="D828" s="189" t="s">
        <v>1112</v>
      </c>
      <c r="E828" s="189">
        <v>42496</v>
      </c>
      <c r="F828" s="190" t="s">
        <v>998</v>
      </c>
      <c r="G828" s="451" t="s">
        <v>543</v>
      </c>
      <c r="H828" s="711" t="s">
        <v>777</v>
      </c>
      <c r="I828" s="251">
        <v>60</v>
      </c>
      <c r="J828" s="251">
        <v>11000</v>
      </c>
      <c r="K828" s="38">
        <f t="shared" si="43"/>
        <v>660000</v>
      </c>
      <c r="L828" s="192" t="s">
        <v>258</v>
      </c>
      <c r="M828" s="192" t="s">
        <v>173</v>
      </c>
      <c r="N828" s="52" t="str">
        <f>IF(AND('331-CT'!$E$7=TH!H828,OR(L828="331",M828="331")),"331",IF(AND(OR(L828="131",M828="131"),H828='131-CT'!$E$7),"131",""))</f>
        <v>131</v>
      </c>
      <c r="O828" s="818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52"/>
      <c r="AC828" s="209"/>
      <c r="AD828" s="209"/>
      <c r="AE828" s="209"/>
      <c r="AF828" s="209"/>
    </row>
    <row r="829" spans="1:32" s="552" customFormat="1" ht="15.75" customHeight="1">
      <c r="A829" s="202" t="str">
        <f>IF(B829&lt;&gt;"",IF(AND(B829&gt;=_TM1,B829&lt;=_TM2,OR(TH!L829="1111",TH!M829="1111")),TH!D829,""),"")</f>
        <v/>
      </c>
      <c r="B829" s="36">
        <f t="shared" si="40"/>
        <v>5</v>
      </c>
      <c r="C829" s="182">
        <f t="shared" si="41"/>
        <v>42496</v>
      </c>
      <c r="D829" s="189" t="s">
        <v>1112</v>
      </c>
      <c r="E829" s="704">
        <v>42496</v>
      </c>
      <c r="F829" s="187" t="s">
        <v>999</v>
      </c>
      <c r="G829" s="451" t="s">
        <v>543</v>
      </c>
      <c r="H829" s="711" t="s">
        <v>777</v>
      </c>
      <c r="I829" s="254">
        <v>60</v>
      </c>
      <c r="J829" s="254">
        <v>10000</v>
      </c>
      <c r="K829" s="38">
        <f t="shared" si="43"/>
        <v>600000</v>
      </c>
      <c r="L829" s="192" t="s">
        <v>258</v>
      </c>
      <c r="M829" s="192" t="s">
        <v>173</v>
      </c>
      <c r="N829" s="52" t="str">
        <f>IF(AND('331-CT'!$E$7=TH!H829,OR(L829="331",M829="331")),"331",IF(AND(OR(L829="131",M829="131"),H829='131-CT'!$E$7),"131",""))</f>
        <v>131</v>
      </c>
      <c r="O829" s="818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52"/>
      <c r="AD829" s="209"/>
      <c r="AE829" s="209"/>
      <c r="AF829" s="209"/>
    </row>
    <row r="830" spans="1:32" s="552" customFormat="1" ht="15.75" customHeight="1">
      <c r="A830" s="202" t="str">
        <f>IF(B830&lt;&gt;"",IF(AND(B830&gt;=_TM1,B830&lt;=_TM2,OR(TH!L830="1111",TH!M830="1111")),TH!D830,""),"")</f>
        <v/>
      </c>
      <c r="B830" s="36">
        <f t="shared" si="40"/>
        <v>5</v>
      </c>
      <c r="C830" s="182">
        <f t="shared" si="41"/>
        <v>42496</v>
      </c>
      <c r="D830" s="189" t="s">
        <v>1112</v>
      </c>
      <c r="E830" s="704">
        <v>42496</v>
      </c>
      <c r="F830" s="187" t="s">
        <v>1000</v>
      </c>
      <c r="G830" s="451" t="s">
        <v>543</v>
      </c>
      <c r="H830" s="711" t="s">
        <v>777</v>
      </c>
      <c r="I830" s="251">
        <v>36</v>
      </c>
      <c r="J830" s="251">
        <v>8000</v>
      </c>
      <c r="K830" s="38">
        <f t="shared" si="43"/>
        <v>288000</v>
      </c>
      <c r="L830" s="192" t="s">
        <v>258</v>
      </c>
      <c r="M830" s="192" t="s">
        <v>173</v>
      </c>
      <c r="N830" s="52" t="str">
        <f>IF(AND('331-CT'!$E$7=TH!H830,OR(L830="331",M830="331")),"331",IF(AND(OR(L830="131",M830="131"),H830='131-CT'!$E$7),"131",""))</f>
        <v>131</v>
      </c>
      <c r="O830" s="818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52"/>
      <c r="AD830" s="209"/>
      <c r="AE830" s="209"/>
      <c r="AF830" s="209"/>
    </row>
    <row r="831" spans="1:32" s="552" customFormat="1" ht="15.75" customHeight="1">
      <c r="A831" s="202" t="str">
        <f>IF(B831&lt;&gt;"",IF(AND(B831&gt;=_TM1,B831&lt;=_TM2,OR(TH!L831="1111",TH!M831="1111")),TH!D831,""),"")</f>
        <v/>
      </c>
      <c r="B831" s="36">
        <f t="shared" si="40"/>
        <v>5</v>
      </c>
      <c r="C831" s="182">
        <f t="shared" si="41"/>
        <v>42496</v>
      </c>
      <c r="D831" s="189" t="s">
        <v>1112</v>
      </c>
      <c r="E831" s="704">
        <v>42496</v>
      </c>
      <c r="F831" s="187" t="s">
        <v>1001</v>
      </c>
      <c r="G831" s="451" t="s">
        <v>543</v>
      </c>
      <c r="H831" s="711" t="s">
        <v>777</v>
      </c>
      <c r="I831" s="251">
        <v>24</v>
      </c>
      <c r="J831" s="251">
        <v>26000</v>
      </c>
      <c r="K831" s="38">
        <f t="shared" si="43"/>
        <v>624000</v>
      </c>
      <c r="L831" s="192" t="s">
        <v>258</v>
      </c>
      <c r="M831" s="192" t="s">
        <v>173</v>
      </c>
      <c r="N831" s="52" t="str">
        <f>IF(AND('331-CT'!$E$7=TH!H831,OR(L831="331",M831="331")),"331",IF(AND(OR(L831="131",M831="131"),H831='131-CT'!$E$7),"131",""))</f>
        <v>131</v>
      </c>
      <c r="O831" s="818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52"/>
      <c r="AD831" s="209"/>
      <c r="AE831" s="209"/>
      <c r="AF831" s="209"/>
    </row>
    <row r="832" spans="1:32" s="552" customFormat="1" ht="15.75" customHeight="1">
      <c r="A832" s="202" t="str">
        <f>IF(B832&lt;&gt;"",IF(AND(B832&gt;=_TM1,B832&lt;=_TM2,OR(TH!L832="1111",TH!M832="1111")),TH!D832,""),"")</f>
        <v/>
      </c>
      <c r="B832" s="36">
        <f t="shared" si="40"/>
        <v>5</v>
      </c>
      <c r="C832" s="182">
        <f t="shared" si="41"/>
        <v>42496</v>
      </c>
      <c r="D832" s="189" t="s">
        <v>1112</v>
      </c>
      <c r="E832" s="182">
        <v>42496</v>
      </c>
      <c r="F832" s="190" t="s">
        <v>1002</v>
      </c>
      <c r="G832" s="451" t="s">
        <v>543</v>
      </c>
      <c r="H832" s="711" t="s">
        <v>777</v>
      </c>
      <c r="I832" s="251">
        <v>20</v>
      </c>
      <c r="J832" s="251">
        <v>24000</v>
      </c>
      <c r="K832" s="38">
        <f t="shared" si="43"/>
        <v>480000</v>
      </c>
      <c r="L832" s="192" t="s">
        <v>258</v>
      </c>
      <c r="M832" s="192" t="s">
        <v>173</v>
      </c>
      <c r="N832" s="52" t="str">
        <f>IF(AND('331-CT'!$E$7=TH!H832,OR(L832="331",M832="331")),"331",IF(AND(OR(L832="131",M832="131"),H832='131-CT'!$E$7),"131",""))</f>
        <v>131</v>
      </c>
      <c r="O832" s="818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52"/>
      <c r="AC832" s="209"/>
      <c r="AD832" s="209"/>
      <c r="AE832" s="209"/>
      <c r="AF832" s="209"/>
    </row>
    <row r="833" spans="1:32" s="552" customFormat="1" ht="15.75" customHeight="1">
      <c r="A833" s="202" t="str">
        <f>IF(B833&lt;&gt;"",IF(AND(B833&gt;=_TM1,B833&lt;=_TM2,OR(TH!L833="1111",TH!M833="1111")),TH!D833,""),"")</f>
        <v/>
      </c>
      <c r="B833" s="36">
        <f t="shared" si="40"/>
        <v>5</v>
      </c>
      <c r="C833" s="182">
        <f t="shared" si="41"/>
        <v>42496</v>
      </c>
      <c r="D833" s="189" t="s">
        <v>1112</v>
      </c>
      <c r="E833" s="182">
        <v>42496</v>
      </c>
      <c r="F833" s="187" t="s">
        <v>1003</v>
      </c>
      <c r="G833" s="451" t="s">
        <v>543</v>
      </c>
      <c r="H833" s="711" t="s">
        <v>777</v>
      </c>
      <c r="I833" s="251">
        <v>22</v>
      </c>
      <c r="J833" s="251">
        <v>27800</v>
      </c>
      <c r="K833" s="38">
        <f t="shared" si="43"/>
        <v>611600</v>
      </c>
      <c r="L833" s="192" t="s">
        <v>258</v>
      </c>
      <c r="M833" s="192" t="s">
        <v>173</v>
      </c>
      <c r="N833" s="52" t="str">
        <f>IF(AND('331-CT'!$E$7=TH!H833,OR(L833="331",M833="331")),"331",IF(AND(OR(L833="131",M833="131"),H833='131-CT'!$E$7),"131",""))</f>
        <v>131</v>
      </c>
      <c r="O833" s="818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52"/>
      <c r="AD833" s="209"/>
      <c r="AE833" s="209"/>
      <c r="AF833" s="209"/>
    </row>
    <row r="834" spans="1:32" s="552" customFormat="1" ht="15.75" customHeight="1">
      <c r="A834" s="202" t="str">
        <f>IF(B834&lt;&gt;"",IF(AND(B834&gt;=_TM1,B834&lt;=_TM2,OR(TH!L834="1111",TH!M834="1111")),TH!D834,""),"")</f>
        <v/>
      </c>
      <c r="B834" s="36">
        <f t="shared" si="40"/>
        <v>5</v>
      </c>
      <c r="C834" s="182">
        <f t="shared" si="41"/>
        <v>42496</v>
      </c>
      <c r="D834" s="189" t="s">
        <v>1112</v>
      </c>
      <c r="E834" s="182">
        <v>42496</v>
      </c>
      <c r="F834" s="187" t="s">
        <v>1004</v>
      </c>
      <c r="G834" s="451" t="s">
        <v>543</v>
      </c>
      <c r="H834" s="711" t="s">
        <v>777</v>
      </c>
      <c r="I834" s="251">
        <v>20</v>
      </c>
      <c r="J834" s="251">
        <v>31000</v>
      </c>
      <c r="K834" s="38">
        <f t="shared" si="43"/>
        <v>620000</v>
      </c>
      <c r="L834" s="192" t="s">
        <v>258</v>
      </c>
      <c r="M834" s="192" t="s">
        <v>173</v>
      </c>
      <c r="N834" s="52" t="str">
        <f>IF(AND('331-CT'!$E$7=TH!H834,OR(L834="331",M834="331")),"331",IF(AND(OR(L834="131",M834="131"),H834='131-CT'!$E$7),"131",""))</f>
        <v>131</v>
      </c>
      <c r="O834" s="818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52"/>
      <c r="AC834" s="209"/>
      <c r="AD834" s="209"/>
      <c r="AE834" s="209"/>
      <c r="AF834" s="209"/>
    </row>
    <row r="835" spans="1:32" s="552" customFormat="1" ht="15.75" customHeight="1">
      <c r="A835" s="202" t="str">
        <f>IF(B835&lt;&gt;"",IF(AND(B835&gt;=_TM1,B835&lt;=_TM2,OR(TH!L835="1111",TH!M835="1111")),TH!D835,""),"")</f>
        <v/>
      </c>
      <c r="B835" s="36">
        <f t="shared" si="40"/>
        <v>5</v>
      </c>
      <c r="C835" s="182">
        <f t="shared" si="41"/>
        <v>42496</v>
      </c>
      <c r="D835" s="189" t="s">
        <v>1112</v>
      </c>
      <c r="E835" s="182">
        <v>42496</v>
      </c>
      <c r="F835" s="187" t="s">
        <v>1005</v>
      </c>
      <c r="G835" s="451" t="s">
        <v>543</v>
      </c>
      <c r="H835" s="711" t="s">
        <v>777</v>
      </c>
      <c r="I835" s="251">
        <v>20</v>
      </c>
      <c r="J835" s="251">
        <v>33000</v>
      </c>
      <c r="K835" s="38">
        <f t="shared" si="43"/>
        <v>660000</v>
      </c>
      <c r="L835" s="192" t="s">
        <v>258</v>
      </c>
      <c r="M835" s="192" t="s">
        <v>173</v>
      </c>
      <c r="N835" s="52" t="str">
        <f>IF(AND('331-CT'!$E$7=TH!H835,OR(L835="331",M835="331")),"331",IF(AND(OR(L835="131",M835="131"),H835='131-CT'!$E$7),"131",""))</f>
        <v>131</v>
      </c>
      <c r="O835" s="818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52"/>
      <c r="AD835" s="209"/>
      <c r="AE835" s="209"/>
      <c r="AF835" s="209"/>
    </row>
    <row r="836" spans="1:32" s="552" customFormat="1" ht="15.75" customHeight="1">
      <c r="A836" s="202" t="str">
        <f>IF(B836&lt;&gt;"",IF(AND(B836&gt;=_TM1,B836&lt;=_TM2,OR(TH!L836="1111",TH!M836="1111")),TH!D836,""),"")</f>
        <v/>
      </c>
      <c r="B836" s="36">
        <f t="shared" si="40"/>
        <v>5</v>
      </c>
      <c r="C836" s="182">
        <f t="shared" si="41"/>
        <v>42496</v>
      </c>
      <c r="D836" s="189" t="s">
        <v>1112</v>
      </c>
      <c r="E836" s="182">
        <v>42496</v>
      </c>
      <c r="F836" s="187" t="s">
        <v>393</v>
      </c>
      <c r="G836" s="451" t="s">
        <v>543</v>
      </c>
      <c r="H836" s="711" t="s">
        <v>777</v>
      </c>
      <c r="I836" s="251"/>
      <c r="J836" s="251"/>
      <c r="K836" s="560">
        <v>480760</v>
      </c>
      <c r="L836" s="192" t="s">
        <v>258</v>
      </c>
      <c r="M836" s="192" t="s">
        <v>367</v>
      </c>
      <c r="N836" s="52" t="str">
        <f>IF(AND('331-CT'!$E$7=TH!H836,OR(L836="331",M836="331")),"331",IF(AND(OR(L836="131",M836="131"),H836='131-CT'!$E$7),"131",""))</f>
        <v>131</v>
      </c>
      <c r="O836" s="818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52"/>
      <c r="AC836" s="209"/>
      <c r="AD836" s="209"/>
      <c r="AE836" s="209"/>
      <c r="AF836" s="209"/>
    </row>
    <row r="837" spans="1:32" s="552" customFormat="1" ht="15.75" customHeight="1">
      <c r="A837" s="202" t="str">
        <f>IF(B837&lt;&gt;"",IF(AND(B837&gt;=_TM1,B837&lt;=_TM2,OR(TH!L837="1111",TH!M837="1111")),TH!D837,""),"")</f>
        <v/>
      </c>
      <c r="B837" s="36">
        <f t="shared" si="40"/>
        <v>5</v>
      </c>
      <c r="C837" s="182">
        <f t="shared" si="41"/>
        <v>42497</v>
      </c>
      <c r="D837" s="182" t="s">
        <v>1632</v>
      </c>
      <c r="E837" s="189">
        <v>42497</v>
      </c>
      <c r="F837" s="190" t="s">
        <v>670</v>
      </c>
      <c r="G837" s="190" t="s">
        <v>330</v>
      </c>
      <c r="H837" s="7" t="s">
        <v>782</v>
      </c>
      <c r="I837" s="251"/>
      <c r="J837" s="251"/>
      <c r="K837" s="560">
        <v>20500000</v>
      </c>
      <c r="L837" s="192" t="s">
        <v>47</v>
      </c>
      <c r="M837" s="192" t="s">
        <v>24</v>
      </c>
      <c r="N837" s="52" t="str">
        <f>IF(AND('331-CT'!$E$7=TH!H837,OR(L837="331",M837="331")),"331",IF(AND(OR(L837="131",M837="131"),H837='131-CT'!$E$7),"131",""))</f>
        <v/>
      </c>
      <c r="O837" s="818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53"/>
      <c r="AE837" s="209"/>
      <c r="AF837" s="209"/>
    </row>
    <row r="838" spans="1:32" s="552" customFormat="1" ht="15.75" customHeight="1">
      <c r="A838" s="202" t="str">
        <f>IF(B838&lt;&gt;"",IF(AND(B838&gt;=_TM1,B838&lt;=_TM2,OR(TH!L838="1111",TH!M838="1111")),TH!D838,""),"")</f>
        <v/>
      </c>
      <c r="B838" s="36">
        <f t="shared" si="40"/>
        <v>5</v>
      </c>
      <c r="C838" s="182">
        <f t="shared" si="41"/>
        <v>42497</v>
      </c>
      <c r="D838" s="189" t="s">
        <v>1113</v>
      </c>
      <c r="E838" s="838">
        <v>42497</v>
      </c>
      <c r="F838" s="845" t="s">
        <v>1006</v>
      </c>
      <c r="G838" s="841" t="s">
        <v>545</v>
      </c>
      <c r="H838" s="711" t="s">
        <v>777</v>
      </c>
      <c r="I838" s="842">
        <v>20</v>
      </c>
      <c r="J838" s="842">
        <v>13200</v>
      </c>
      <c r="K838" s="843">
        <f t="shared" ref="K838:K846" si="44">ROUND(I838*J838,0)</f>
        <v>264000</v>
      </c>
      <c r="L838" s="844" t="s">
        <v>258</v>
      </c>
      <c r="M838" s="192" t="s">
        <v>173</v>
      </c>
      <c r="N838" s="52" t="str">
        <f>IF(AND('331-CT'!$E$7=TH!H838,OR(L838="331",M838="331")),"331",IF(AND(OR(L838="131",M838="131"),H838='131-CT'!$E$7),"131",""))</f>
        <v>131</v>
      </c>
      <c r="O838" s="818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52"/>
      <c r="AD838" s="209"/>
      <c r="AE838" s="209"/>
      <c r="AF838" s="209"/>
    </row>
    <row r="839" spans="1:32" s="552" customFormat="1" ht="15.75" customHeight="1">
      <c r="A839" s="202" t="str">
        <f>IF(B839&lt;&gt;"",IF(AND(B839&gt;=_TM1,B839&lt;=_TM2,OR(TH!L839="1111",TH!M839="1111")),TH!D839,""),"")</f>
        <v/>
      </c>
      <c r="B839" s="36">
        <f t="shared" si="40"/>
        <v>5</v>
      </c>
      <c r="C839" s="182">
        <f t="shared" si="41"/>
        <v>42497</v>
      </c>
      <c r="D839" s="189" t="s">
        <v>1113</v>
      </c>
      <c r="E839" s="838">
        <v>42497</v>
      </c>
      <c r="F839" s="845" t="s">
        <v>1007</v>
      </c>
      <c r="G839" s="841" t="s">
        <v>545</v>
      </c>
      <c r="H839" s="711" t="s">
        <v>777</v>
      </c>
      <c r="I839" s="842">
        <v>20</v>
      </c>
      <c r="J839" s="842">
        <v>17000</v>
      </c>
      <c r="K839" s="843">
        <f t="shared" si="44"/>
        <v>340000</v>
      </c>
      <c r="L839" s="844" t="s">
        <v>258</v>
      </c>
      <c r="M839" s="192" t="s">
        <v>173</v>
      </c>
      <c r="N839" s="52" t="str">
        <f>IF(AND('331-CT'!$E$7=TH!H839,OR(L839="331",M839="331")),"331",IF(AND(OR(L839="131",M839="131"),H839='131-CT'!$E$7),"131",""))</f>
        <v>131</v>
      </c>
      <c r="O839" s="818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52"/>
      <c r="AD839" s="209"/>
      <c r="AE839" s="209"/>
      <c r="AF839" s="209"/>
    </row>
    <row r="840" spans="1:32" s="552" customFormat="1" ht="15.75" customHeight="1">
      <c r="A840" s="202" t="str">
        <f>IF(B840&lt;&gt;"",IF(AND(B840&gt;=_TM1,B840&lt;=_TM2,OR(TH!L840="1111",TH!M840="1111")),TH!D840,""),"")</f>
        <v/>
      </c>
      <c r="B840" s="36">
        <f t="shared" si="40"/>
        <v>5</v>
      </c>
      <c r="C840" s="182">
        <f t="shared" si="41"/>
        <v>42497</v>
      </c>
      <c r="D840" s="189" t="s">
        <v>1113</v>
      </c>
      <c r="E840" s="838">
        <v>42497</v>
      </c>
      <c r="F840" s="845" t="s">
        <v>955</v>
      </c>
      <c r="G840" s="841" t="s">
        <v>545</v>
      </c>
      <c r="H840" s="711" t="s">
        <v>777</v>
      </c>
      <c r="I840" s="842">
        <v>107</v>
      </c>
      <c r="J840" s="842">
        <v>15400</v>
      </c>
      <c r="K840" s="843">
        <f t="shared" si="44"/>
        <v>1647800</v>
      </c>
      <c r="L840" s="844" t="s">
        <v>258</v>
      </c>
      <c r="M840" s="192" t="s">
        <v>173</v>
      </c>
      <c r="N840" s="52" t="str">
        <f>IF(AND('331-CT'!$E$7=TH!H840,OR(L840="331",M840="331")),"331",IF(AND(OR(L840="131",M840="131"),H840='131-CT'!$E$7),"131",""))</f>
        <v>131</v>
      </c>
      <c r="O840" s="818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52"/>
      <c r="AC840" s="209"/>
      <c r="AD840" s="209"/>
      <c r="AE840" s="209"/>
      <c r="AF840" s="209"/>
    </row>
    <row r="841" spans="1:32" s="552" customFormat="1" ht="15.75" customHeight="1">
      <c r="A841" s="202" t="str">
        <f>IF(B841&lt;&gt;"",IF(AND(B841&gt;=_TM1,B841&lt;=_TM2,OR(TH!L841="1111",TH!M841="1111")),TH!D841,""),"")</f>
        <v/>
      </c>
      <c r="B841" s="36">
        <f t="shared" si="40"/>
        <v>5</v>
      </c>
      <c r="C841" s="182">
        <f t="shared" si="41"/>
        <v>42497</v>
      </c>
      <c r="D841" s="189" t="s">
        <v>1113</v>
      </c>
      <c r="E841" s="838">
        <v>42497</v>
      </c>
      <c r="F841" s="845" t="s">
        <v>1008</v>
      </c>
      <c r="G841" s="841" t="s">
        <v>545</v>
      </c>
      <c r="H841" s="711" t="s">
        <v>777</v>
      </c>
      <c r="I841" s="842">
        <v>26</v>
      </c>
      <c r="J841" s="842">
        <v>15000</v>
      </c>
      <c r="K841" s="843">
        <f t="shared" si="44"/>
        <v>390000</v>
      </c>
      <c r="L841" s="844" t="s">
        <v>258</v>
      </c>
      <c r="M841" s="192" t="s">
        <v>173</v>
      </c>
      <c r="N841" s="52" t="str">
        <f>IF(AND('331-CT'!$E$7=TH!H841,OR(L841="331",M841="331")),"331",IF(AND(OR(L841="131",M841="131"),H841='131-CT'!$E$7),"131",""))</f>
        <v>131</v>
      </c>
      <c r="O841" s="818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52"/>
      <c r="AD841" s="209"/>
      <c r="AE841" s="209"/>
      <c r="AF841" s="209"/>
    </row>
    <row r="842" spans="1:32" s="552" customFormat="1" ht="15.75" customHeight="1">
      <c r="A842" s="202" t="str">
        <f>IF(B842&lt;&gt;"",IF(AND(B842&gt;=_TM1,B842&lt;=_TM2,OR(TH!L842="1111",TH!M842="1111")),TH!D842,""),"")</f>
        <v/>
      </c>
      <c r="B842" s="36">
        <f t="shared" si="40"/>
        <v>5</v>
      </c>
      <c r="C842" s="182">
        <f t="shared" si="41"/>
        <v>42497</v>
      </c>
      <c r="D842" s="189" t="s">
        <v>1113</v>
      </c>
      <c r="E842" s="838">
        <v>42497</v>
      </c>
      <c r="F842" s="846" t="s">
        <v>1009</v>
      </c>
      <c r="G842" s="841" t="s">
        <v>545</v>
      </c>
      <c r="H842" s="711" t="s">
        <v>777</v>
      </c>
      <c r="I842" s="842">
        <v>52</v>
      </c>
      <c r="J842" s="842">
        <v>16700</v>
      </c>
      <c r="K842" s="843">
        <f t="shared" si="44"/>
        <v>868400</v>
      </c>
      <c r="L842" s="844" t="s">
        <v>258</v>
      </c>
      <c r="M842" s="192" t="s">
        <v>173</v>
      </c>
      <c r="N842" s="52" t="str">
        <f>IF(AND('331-CT'!$E$7=TH!H842,OR(L842="331",M842="331")),"331",IF(AND(OR(L842="131",M842="131"),H842='131-CT'!$E$7),"131",""))</f>
        <v>131</v>
      </c>
      <c r="O842" s="818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52"/>
      <c r="AD842" s="209"/>
      <c r="AE842" s="209"/>
      <c r="AF842" s="209"/>
    </row>
    <row r="843" spans="1:32" s="552" customFormat="1" ht="15.75" customHeight="1">
      <c r="A843" s="202" t="str">
        <f>IF(B843&lt;&gt;"",IF(AND(B843&gt;=_TM1,B843&lt;=_TM2,OR(TH!L843="1111",TH!M843="1111")),TH!D843,""),"")</f>
        <v/>
      </c>
      <c r="B843" s="36">
        <f t="shared" si="40"/>
        <v>5</v>
      </c>
      <c r="C843" s="182">
        <f t="shared" si="41"/>
        <v>42497</v>
      </c>
      <c r="D843" s="189" t="s">
        <v>1113</v>
      </c>
      <c r="E843" s="838">
        <v>42497</v>
      </c>
      <c r="F843" s="845" t="s">
        <v>1010</v>
      </c>
      <c r="G843" s="841" t="s">
        <v>545</v>
      </c>
      <c r="H843" s="711" t="s">
        <v>777</v>
      </c>
      <c r="I843" s="842">
        <v>52</v>
      </c>
      <c r="J843" s="842">
        <v>58000</v>
      </c>
      <c r="K843" s="843">
        <f t="shared" si="44"/>
        <v>3016000</v>
      </c>
      <c r="L843" s="844" t="s">
        <v>258</v>
      </c>
      <c r="M843" s="192" t="s">
        <v>173</v>
      </c>
      <c r="N843" s="52" t="str">
        <f>IF(AND('331-CT'!$E$7=TH!H843,OR(L843="331",M843="331")),"331",IF(AND(OR(L843="131",M843="131"),H843='131-CT'!$E$7),"131",""))</f>
        <v>131</v>
      </c>
      <c r="O843" s="818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52"/>
      <c r="AC843" s="209"/>
      <c r="AD843" s="209"/>
      <c r="AE843" s="209"/>
      <c r="AF843" s="209"/>
    </row>
    <row r="844" spans="1:32" s="552" customFormat="1" ht="15.75" customHeight="1">
      <c r="A844" s="202" t="str">
        <f>IF(B844&lt;&gt;"",IF(AND(B844&gt;=_TM1,B844&lt;=_TM2,OR(TH!L844="1111",TH!M844="1111")),TH!D844,""),"")</f>
        <v/>
      </c>
      <c r="B844" s="36">
        <f t="shared" si="40"/>
        <v>5</v>
      </c>
      <c r="C844" s="182">
        <f t="shared" si="41"/>
        <v>42497</v>
      </c>
      <c r="D844" s="189" t="s">
        <v>1113</v>
      </c>
      <c r="E844" s="838">
        <v>42497</v>
      </c>
      <c r="F844" s="845" t="s">
        <v>1011</v>
      </c>
      <c r="G844" s="841" t="s">
        <v>545</v>
      </c>
      <c r="H844" s="711" t="s">
        <v>777</v>
      </c>
      <c r="I844" s="842">
        <v>51</v>
      </c>
      <c r="J844" s="842">
        <v>49950</v>
      </c>
      <c r="K844" s="843">
        <f t="shared" si="44"/>
        <v>2547450</v>
      </c>
      <c r="L844" s="844" t="s">
        <v>258</v>
      </c>
      <c r="M844" s="192" t="s">
        <v>173</v>
      </c>
      <c r="N844" s="52" t="str">
        <f>IF(AND('331-CT'!$E$7=TH!H844,OR(L844="331",M844="331")),"331",IF(AND(OR(L844="131",M844="131"),H844='131-CT'!$E$7),"131",""))</f>
        <v>131</v>
      </c>
      <c r="O844" s="818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52"/>
      <c r="AD844" s="209"/>
      <c r="AE844" s="209"/>
      <c r="AF844" s="209"/>
    </row>
    <row r="845" spans="1:32" s="552" customFormat="1" ht="15.75" customHeight="1">
      <c r="A845" s="202" t="str">
        <f>IF(B845&lt;&gt;"",IF(AND(B845&gt;=_TM1,B845&lt;=_TM2,OR(TH!L845="1111",TH!M845="1111")),TH!D845,""),"")</f>
        <v/>
      </c>
      <c r="B845" s="36">
        <f t="shared" si="40"/>
        <v>5</v>
      </c>
      <c r="C845" s="182">
        <f t="shared" si="41"/>
        <v>42497</v>
      </c>
      <c r="D845" s="189" t="s">
        <v>1113</v>
      </c>
      <c r="E845" s="838">
        <v>42497</v>
      </c>
      <c r="F845" s="845" t="s">
        <v>1012</v>
      </c>
      <c r="G845" s="841" t="s">
        <v>545</v>
      </c>
      <c r="H845" s="711" t="s">
        <v>777</v>
      </c>
      <c r="I845" s="842">
        <v>56</v>
      </c>
      <c r="J845" s="842">
        <v>26000</v>
      </c>
      <c r="K845" s="843">
        <f t="shared" si="44"/>
        <v>1456000</v>
      </c>
      <c r="L845" s="844" t="s">
        <v>258</v>
      </c>
      <c r="M845" s="192" t="s">
        <v>173</v>
      </c>
      <c r="N845" s="52" t="str">
        <f>IF(AND('331-CT'!$E$7=TH!H845,OR(L845="331",M845="331")),"331",IF(AND(OR(L845="131",M845="131"),H845='131-CT'!$E$7),"131",""))</f>
        <v>131</v>
      </c>
      <c r="O845" s="818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52"/>
      <c r="AD845" s="209"/>
      <c r="AE845" s="209"/>
      <c r="AF845" s="209"/>
    </row>
    <row r="846" spans="1:32" s="552" customFormat="1" ht="15.75" customHeight="1">
      <c r="A846" s="202" t="str">
        <f>IF(B846&lt;&gt;"",IF(AND(B846&gt;=_TM1,B846&lt;=_TM2,OR(TH!L846="1111",TH!M846="1111")),TH!D846,""),"")</f>
        <v/>
      </c>
      <c r="B846" s="36">
        <f t="shared" si="40"/>
        <v>5</v>
      </c>
      <c r="C846" s="182">
        <f t="shared" si="41"/>
        <v>42497</v>
      </c>
      <c r="D846" s="189" t="s">
        <v>1113</v>
      </c>
      <c r="E846" s="838">
        <v>42497</v>
      </c>
      <c r="F846" s="845" t="s">
        <v>1013</v>
      </c>
      <c r="G846" s="841" t="s">
        <v>545</v>
      </c>
      <c r="H846" s="711" t="s">
        <v>777</v>
      </c>
      <c r="I846" s="842">
        <v>50</v>
      </c>
      <c r="J846" s="842">
        <v>31900</v>
      </c>
      <c r="K846" s="843">
        <f t="shared" si="44"/>
        <v>1595000</v>
      </c>
      <c r="L846" s="844" t="s">
        <v>258</v>
      </c>
      <c r="M846" s="192" t="s">
        <v>173</v>
      </c>
      <c r="N846" s="52" t="str">
        <f>IF(AND('331-CT'!$E$7=TH!H846,OR(L846="331",M846="331")),"331",IF(AND(OR(L846="131",M846="131"),H846='131-CT'!$E$7),"131",""))</f>
        <v>131</v>
      </c>
      <c r="O846" s="818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52"/>
      <c r="AD846" s="209"/>
      <c r="AE846" s="209"/>
      <c r="AF846" s="209"/>
    </row>
    <row r="847" spans="1:32" s="552" customFormat="1" ht="15.75" customHeight="1">
      <c r="A847" s="202" t="str">
        <f>IF(B847&lt;&gt;"",IF(AND(B847&gt;=_TM1,B847&lt;=_TM2,OR(TH!L847="1111",TH!M847="1111")),TH!D847,""),"")</f>
        <v/>
      </c>
      <c r="B847" s="36">
        <f t="shared" si="40"/>
        <v>5</v>
      </c>
      <c r="C847" s="182">
        <f t="shared" si="41"/>
        <v>42497</v>
      </c>
      <c r="D847" s="189" t="s">
        <v>1113</v>
      </c>
      <c r="E847" s="838">
        <v>42497</v>
      </c>
      <c r="F847" s="845" t="s">
        <v>393</v>
      </c>
      <c r="G847" s="841" t="s">
        <v>545</v>
      </c>
      <c r="H847" s="711" t="s">
        <v>777</v>
      </c>
      <c r="I847" s="842"/>
      <c r="J847" s="842"/>
      <c r="K847" s="849">
        <v>1192065</v>
      </c>
      <c r="L847" s="844" t="s">
        <v>258</v>
      </c>
      <c r="M847" s="192" t="s">
        <v>367</v>
      </c>
      <c r="N847" s="52" t="str">
        <f>IF(AND('331-CT'!$E$7=TH!H847,OR(L847="331",M847="331")),"331",IF(AND(OR(L847="131",M847="131"),H847='131-CT'!$E$7),"131",""))</f>
        <v>131</v>
      </c>
      <c r="O847" s="818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52"/>
      <c r="AC847" s="209"/>
      <c r="AD847" s="209"/>
      <c r="AE847" s="209"/>
      <c r="AF847" s="209"/>
    </row>
    <row r="848" spans="1:32" s="552" customFormat="1" ht="15.75" customHeight="1">
      <c r="A848" s="202" t="str">
        <f>IF(B848&lt;&gt;"",IF(AND(B848&gt;=_TM1,B848&lt;=_TM2,OR(TH!L848="1111",TH!M848="1111")),TH!D848,""),"")</f>
        <v/>
      </c>
      <c r="B848" s="36">
        <f t="shared" si="40"/>
        <v>5</v>
      </c>
      <c r="C848" s="182">
        <f t="shared" si="41"/>
        <v>42499</v>
      </c>
      <c r="D848" s="189" t="s">
        <v>1114</v>
      </c>
      <c r="E848" s="182">
        <v>42499</v>
      </c>
      <c r="F848" s="190" t="s">
        <v>436</v>
      </c>
      <c r="G848" s="451" t="s">
        <v>546</v>
      </c>
      <c r="H848" s="828" t="s">
        <v>565</v>
      </c>
      <c r="I848" s="251">
        <v>281</v>
      </c>
      <c r="J848" s="251">
        <v>7300</v>
      </c>
      <c r="K848" s="38">
        <f>ROUND(I848*J848,0)</f>
        <v>2051300</v>
      </c>
      <c r="L848" s="192" t="s">
        <v>258</v>
      </c>
      <c r="M848" s="192" t="s">
        <v>173</v>
      </c>
      <c r="N848" s="52" t="str">
        <f>IF(AND('331-CT'!$E$7=TH!H848,OR(L848="331",M848="331")),"331",IF(AND(OR(L848="131",M848="131"),H848='131-CT'!$E$7),"131",""))</f>
        <v/>
      </c>
      <c r="O848" s="818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52"/>
      <c r="AD848" s="209"/>
      <c r="AE848" s="209"/>
      <c r="AF848" s="209"/>
    </row>
    <row r="849" spans="1:32" s="209" customFormat="1" ht="15.75" customHeight="1">
      <c r="A849" s="202" t="str">
        <f>IF(B849&lt;&gt;"",IF(AND(B849&gt;=_TM1,B849&lt;=_TM2,OR(TH!L849="1111",TH!M849="1111")),TH!D849,""),"")</f>
        <v/>
      </c>
      <c r="B849" s="36">
        <f t="shared" si="40"/>
        <v>5</v>
      </c>
      <c r="C849" s="182">
        <f t="shared" si="41"/>
        <v>42499</v>
      </c>
      <c r="D849" s="189" t="s">
        <v>1114</v>
      </c>
      <c r="E849" s="182">
        <v>42499</v>
      </c>
      <c r="F849" s="190" t="s">
        <v>436</v>
      </c>
      <c r="G849" s="451" t="s">
        <v>546</v>
      </c>
      <c r="H849" s="828" t="s">
        <v>565</v>
      </c>
      <c r="I849" s="251">
        <v>495</v>
      </c>
      <c r="J849" s="251">
        <v>5900</v>
      </c>
      <c r="K849" s="38">
        <f>ROUND(I849*J849,0)</f>
        <v>2920500</v>
      </c>
      <c r="L849" s="192" t="s">
        <v>258</v>
      </c>
      <c r="M849" s="192" t="s">
        <v>173</v>
      </c>
      <c r="N849" s="52" t="str">
        <f>IF(AND('331-CT'!$E$7=TH!H849,OR(L849="331",M849="331")),"331",IF(AND(OR(L849="131",M849="131"),H849='131-CT'!$E$7),"131",""))</f>
        <v/>
      </c>
      <c r="O849" s="818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52"/>
      <c r="AB849" s="552"/>
      <c r="AC849" s="552"/>
    </row>
    <row r="850" spans="1:32" s="209" customFormat="1" ht="15.75" customHeight="1">
      <c r="A850" s="202" t="str">
        <f>IF(B850&lt;&gt;"",IF(AND(B850&gt;=_TM1,B850&lt;=_TM2,OR(TH!L850="1111",TH!M850="1111")),TH!D850,""),"")</f>
        <v/>
      </c>
      <c r="B850" s="36">
        <f t="shared" si="40"/>
        <v>5</v>
      </c>
      <c r="C850" s="182">
        <f t="shared" si="41"/>
        <v>42499</v>
      </c>
      <c r="D850" s="189" t="s">
        <v>1114</v>
      </c>
      <c r="E850" s="182">
        <v>42499</v>
      </c>
      <c r="F850" s="187" t="s">
        <v>393</v>
      </c>
      <c r="G850" s="451" t="s">
        <v>546</v>
      </c>
      <c r="H850" s="828" t="s">
        <v>565</v>
      </c>
      <c r="I850" s="251"/>
      <c r="J850" s="251"/>
      <c r="K850" s="560">
        <v>497180</v>
      </c>
      <c r="L850" s="192" t="s">
        <v>258</v>
      </c>
      <c r="M850" s="192" t="s">
        <v>367</v>
      </c>
      <c r="N850" s="52" t="str">
        <f>IF(AND('331-CT'!$E$7=TH!H850,OR(L850="331",M850="331")),"331",IF(AND(OR(L850="131",M850="131"),H850='131-CT'!$E$7),"131",""))</f>
        <v/>
      </c>
      <c r="O850" s="818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52"/>
      <c r="AB850" s="552"/>
    </row>
    <row r="851" spans="1:32" s="552" customFormat="1" ht="15.75" customHeight="1">
      <c r="A851" s="202" t="str">
        <f>IF(B851&lt;&gt;"",IF(AND(B851&gt;=_TM1,B851&lt;=_TM2,OR(TH!L851="1111",TH!M851="1111")),TH!D851,""),"")</f>
        <v/>
      </c>
      <c r="B851" s="36">
        <f t="shared" si="40"/>
        <v>5</v>
      </c>
      <c r="C851" s="182">
        <f t="shared" si="41"/>
        <v>42499</v>
      </c>
      <c r="D851" s="189" t="s">
        <v>1115</v>
      </c>
      <c r="E851" s="182">
        <v>42499</v>
      </c>
      <c r="F851" s="190" t="s">
        <v>474</v>
      </c>
      <c r="G851" s="451" t="s">
        <v>547</v>
      </c>
      <c r="H851" s="191" t="s">
        <v>609</v>
      </c>
      <c r="I851" s="251">
        <v>65</v>
      </c>
      <c r="J851" s="251">
        <v>9250</v>
      </c>
      <c r="K851" s="38">
        <f>ROUND(I851*J851,0)</f>
        <v>601250</v>
      </c>
      <c r="L851" s="192" t="s">
        <v>258</v>
      </c>
      <c r="M851" s="192" t="s">
        <v>173</v>
      </c>
      <c r="N851" s="52" t="str">
        <f>IF(AND('331-CT'!$E$7=TH!H851,OR(L851="331",M851="331")),"331",IF(AND(OR(L851="131",M851="131"),H851='131-CT'!$E$7),"131",""))</f>
        <v/>
      </c>
      <c r="O851" s="818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52"/>
      <c r="AD851" s="209"/>
      <c r="AE851" s="209"/>
      <c r="AF851" s="209"/>
    </row>
    <row r="852" spans="1:32" s="552" customFormat="1" ht="15.75" customHeight="1">
      <c r="A852" s="202" t="str">
        <f>IF(B852&lt;&gt;"",IF(AND(B852&gt;=_TM1,B852&lt;=_TM2,OR(TH!L852="1111",TH!M852="1111")),TH!D852,""),"")</f>
        <v/>
      </c>
      <c r="B852" s="36">
        <f t="shared" ref="B852:B915" si="45">IF(C852&lt;&gt;"",MONTH(C852),"")</f>
        <v>5</v>
      </c>
      <c r="C852" s="182">
        <f t="shared" ref="C852:C915" si="46">E852</f>
        <v>42499</v>
      </c>
      <c r="D852" s="189" t="s">
        <v>1115</v>
      </c>
      <c r="E852" s="182">
        <v>42499</v>
      </c>
      <c r="F852" s="187" t="s">
        <v>1014</v>
      </c>
      <c r="G852" s="451" t="s">
        <v>547</v>
      </c>
      <c r="H852" s="191" t="s">
        <v>609</v>
      </c>
      <c r="I852" s="251">
        <v>105</v>
      </c>
      <c r="J852" s="251">
        <v>8500</v>
      </c>
      <c r="K852" s="38">
        <f>ROUND(I852*J852,0)</f>
        <v>892500</v>
      </c>
      <c r="L852" s="192" t="s">
        <v>258</v>
      </c>
      <c r="M852" s="192" t="s">
        <v>173</v>
      </c>
      <c r="N852" s="52" t="str">
        <f>IF(AND('331-CT'!$E$7=TH!H852,OR(L852="331",M852="331")),"331",IF(AND(OR(L852="131",M852="131"),H852='131-CT'!$E$7),"131",""))</f>
        <v/>
      </c>
      <c r="O852" s="818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52"/>
      <c r="AD852" s="209"/>
      <c r="AE852" s="209"/>
      <c r="AF852" s="209"/>
    </row>
    <row r="853" spans="1:32" s="552" customFormat="1" ht="15.75" customHeight="1">
      <c r="A853" s="202" t="str">
        <f>IF(B853&lt;&gt;"",IF(AND(B853&gt;=_TM1,B853&lt;=_TM2,OR(TH!L853="1111",TH!M853="1111")),TH!D853,""),"")</f>
        <v/>
      </c>
      <c r="B853" s="36">
        <f t="shared" si="45"/>
        <v>5</v>
      </c>
      <c r="C853" s="182">
        <f t="shared" si="46"/>
        <v>42499</v>
      </c>
      <c r="D853" s="189" t="s">
        <v>1115</v>
      </c>
      <c r="E853" s="182">
        <v>42499</v>
      </c>
      <c r="F853" s="187" t="s">
        <v>1015</v>
      </c>
      <c r="G853" s="451" t="s">
        <v>547</v>
      </c>
      <c r="H853" s="191" t="s">
        <v>609</v>
      </c>
      <c r="I853" s="251">
        <v>130</v>
      </c>
      <c r="J853" s="251">
        <v>8950</v>
      </c>
      <c r="K853" s="38">
        <f>ROUND(I853*J853,0)</f>
        <v>1163500</v>
      </c>
      <c r="L853" s="192" t="s">
        <v>258</v>
      </c>
      <c r="M853" s="192" t="s">
        <v>173</v>
      </c>
      <c r="N853" s="52" t="str">
        <f>IF(AND('331-CT'!$E$7=TH!H853,OR(L853="331",M853="331")),"331",IF(AND(OR(L853="131",M853="131"),H853='131-CT'!$E$7),"131",""))</f>
        <v/>
      </c>
      <c r="O853" s="818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52"/>
      <c r="AC853" s="209"/>
      <c r="AD853" s="209"/>
      <c r="AE853" s="209"/>
      <c r="AF853" s="209"/>
    </row>
    <row r="854" spans="1:32" s="552" customFormat="1" ht="15.75" customHeight="1">
      <c r="A854" s="202" t="str">
        <f>IF(B854&lt;&gt;"",IF(AND(B854&gt;=_TM1,B854&lt;=_TM2,OR(TH!L854="1111",TH!M854="1111")),TH!D854,""),"")</f>
        <v/>
      </c>
      <c r="B854" s="36">
        <f t="shared" si="45"/>
        <v>5</v>
      </c>
      <c r="C854" s="182">
        <f t="shared" si="46"/>
        <v>42499</v>
      </c>
      <c r="D854" s="189" t="s">
        <v>1115</v>
      </c>
      <c r="E854" s="182">
        <v>42499</v>
      </c>
      <c r="F854" s="187" t="s">
        <v>480</v>
      </c>
      <c r="G854" s="451" t="s">
        <v>547</v>
      </c>
      <c r="H854" s="191" t="s">
        <v>609</v>
      </c>
      <c r="I854" s="251">
        <v>356</v>
      </c>
      <c r="J854" s="251">
        <v>9200</v>
      </c>
      <c r="K854" s="38">
        <f>ROUND(I854*J854,0)</f>
        <v>3275200</v>
      </c>
      <c r="L854" s="192" t="s">
        <v>258</v>
      </c>
      <c r="M854" s="192" t="s">
        <v>173</v>
      </c>
      <c r="N854" s="52" t="str">
        <f>IF(AND('331-CT'!$E$7=TH!H854,OR(L854="331",M854="331")),"331",IF(AND(OR(L854="131",M854="131"),H854='131-CT'!$E$7),"131",""))</f>
        <v/>
      </c>
      <c r="O854" s="818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52"/>
      <c r="AD854" s="209"/>
      <c r="AE854" s="209"/>
      <c r="AF854" s="209"/>
    </row>
    <row r="855" spans="1:32" s="552" customFormat="1" ht="15.75" customHeight="1">
      <c r="A855" s="202" t="str">
        <f>IF(B855&lt;&gt;"",IF(AND(B855&gt;=_TM1,B855&lt;=_TM2,OR(TH!L855="1111",TH!M855="1111")),TH!D855,""),"")</f>
        <v/>
      </c>
      <c r="B855" s="36">
        <f t="shared" si="45"/>
        <v>5</v>
      </c>
      <c r="C855" s="182">
        <f t="shared" si="46"/>
        <v>42499</v>
      </c>
      <c r="D855" s="189" t="s">
        <v>1115</v>
      </c>
      <c r="E855" s="182">
        <v>42499</v>
      </c>
      <c r="F855" s="190" t="s">
        <v>393</v>
      </c>
      <c r="G855" s="451" t="s">
        <v>547</v>
      </c>
      <c r="H855" s="191" t="s">
        <v>609</v>
      </c>
      <c r="I855" s="251"/>
      <c r="J855" s="251"/>
      <c r="K855" s="560">
        <v>593245</v>
      </c>
      <c r="L855" s="192" t="s">
        <v>258</v>
      </c>
      <c r="M855" s="192" t="s">
        <v>367</v>
      </c>
      <c r="N855" s="52" t="str">
        <f>IF(AND('331-CT'!$E$7=TH!H855,OR(L855="331",M855="331")),"331",IF(AND(OR(L855="131",M855="131"),H855='131-CT'!$E$7),"131",""))</f>
        <v/>
      </c>
      <c r="O855" s="818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52"/>
      <c r="AD855" s="209"/>
      <c r="AE855" s="209"/>
      <c r="AF855" s="209"/>
    </row>
    <row r="856" spans="1:32" s="209" customFormat="1" ht="15.75" customHeight="1">
      <c r="A856" s="202" t="str">
        <f>IF(B856&lt;&gt;"",IF(AND(B856&gt;=_TM1,B856&lt;=_TM2,OR(TH!L856="1111",TH!M856="1111")),TH!D856,""),"")</f>
        <v/>
      </c>
      <c r="B856" s="36">
        <f t="shared" si="45"/>
        <v>5</v>
      </c>
      <c r="C856" s="182">
        <f t="shared" si="46"/>
        <v>42500</v>
      </c>
      <c r="D856" s="182" t="s">
        <v>665</v>
      </c>
      <c r="E856" s="189">
        <v>42500</v>
      </c>
      <c r="F856" s="190" t="s">
        <v>666</v>
      </c>
      <c r="G856" s="190" t="s">
        <v>330</v>
      </c>
      <c r="H856" s="191" t="s">
        <v>615</v>
      </c>
      <c r="I856" s="251"/>
      <c r="J856" s="251"/>
      <c r="K856" s="560">
        <v>23100000</v>
      </c>
      <c r="L856" s="192" t="s">
        <v>24</v>
      </c>
      <c r="M856" s="192" t="s">
        <v>258</v>
      </c>
      <c r="N856" s="52" t="str">
        <f>IF(AND('331-CT'!$E$7=TH!H856,OR(L856="331",M856="331")),"331",IF(AND(OR(L856="131",M856="131"),H856='131-CT'!$E$7),"131",""))</f>
        <v/>
      </c>
      <c r="O856" s="818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53"/>
      <c r="AB856" s="552"/>
      <c r="AC856" s="552"/>
    </row>
    <row r="857" spans="1:32" s="209" customFormat="1" ht="15.75" customHeight="1">
      <c r="A857" s="202" t="str">
        <f>IF(B857&lt;&gt;"",IF(AND(B857&gt;=_TM1,B857&lt;=_TM2,OR(TH!L857="1111",TH!M857="1111")),TH!D857,""),"")</f>
        <v/>
      </c>
      <c r="B857" s="36">
        <f t="shared" si="45"/>
        <v>5</v>
      </c>
      <c r="C857" s="182">
        <f t="shared" si="46"/>
        <v>42500</v>
      </c>
      <c r="D857" s="189" t="s">
        <v>1195</v>
      </c>
      <c r="E857" s="182">
        <v>42500</v>
      </c>
      <c r="F857" s="190" t="s">
        <v>676</v>
      </c>
      <c r="G857" s="451" t="s">
        <v>644</v>
      </c>
      <c r="H857" s="7" t="s">
        <v>844</v>
      </c>
      <c r="I857" s="251">
        <v>1696</v>
      </c>
      <c r="J857" s="251">
        <v>7600</v>
      </c>
      <c r="K857" s="38">
        <f>ROUND(I857*J857,0)</f>
        <v>12889600</v>
      </c>
      <c r="L857" s="192" t="s">
        <v>158</v>
      </c>
      <c r="M857" s="192" t="s">
        <v>8</v>
      </c>
      <c r="N857" s="52" t="str">
        <f>IF(AND('331-CT'!$E$7=TH!H857,OR(L857="331",M857="331")),"331",IF(AND(OR(L857="131",M857="131"),H857='131-CT'!$E$7),"131",""))</f>
        <v/>
      </c>
      <c r="O857" s="818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52">
        <v>2</v>
      </c>
      <c r="AB857" s="552"/>
      <c r="AC857" s="209" t="str">
        <f>IF(VLOOKUP(H857,DSKH,1,0)=H857,"","x")</f>
        <v/>
      </c>
      <c r="AE857" s="552"/>
      <c r="AF857" s="552"/>
    </row>
    <row r="858" spans="1:32" s="209" customFormat="1" ht="15.75" customHeight="1">
      <c r="A858" s="202" t="str">
        <f>IF(B858&lt;&gt;"",IF(AND(B858&gt;=_TM1,B858&lt;=_TM2,OR(TH!L858="1111",TH!M858="1111")),TH!D858,""),"")</f>
        <v/>
      </c>
      <c r="B858" s="36">
        <f t="shared" si="45"/>
        <v>5</v>
      </c>
      <c r="C858" s="182">
        <f t="shared" si="46"/>
        <v>42500</v>
      </c>
      <c r="D858" s="189" t="s">
        <v>1195</v>
      </c>
      <c r="E858" s="182">
        <v>42500</v>
      </c>
      <c r="F858" s="187" t="s">
        <v>684</v>
      </c>
      <c r="G858" s="451" t="s">
        <v>644</v>
      </c>
      <c r="H858" s="7" t="s">
        <v>844</v>
      </c>
      <c r="I858" s="251"/>
      <c r="J858" s="251"/>
      <c r="K858" s="560">
        <v>1288960</v>
      </c>
      <c r="L858" s="192" t="s">
        <v>9</v>
      </c>
      <c r="M858" s="192" t="s">
        <v>8</v>
      </c>
      <c r="N858" s="52" t="str">
        <f>IF(AND('331-CT'!$E$7=TH!H858,OR(L858="331",M858="331")),"331",IF(AND(OR(L858="131",M858="131"),H858='131-CT'!$E$7),"131",""))</f>
        <v/>
      </c>
      <c r="O858" s="818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52">
        <v>2</v>
      </c>
      <c r="AB858" s="552"/>
      <c r="AC858" s="209" t="str">
        <f>IF(VLOOKUP(H858,DSKH,1,0)=H858,"","x")</f>
        <v/>
      </c>
      <c r="AE858" s="552"/>
      <c r="AF858" s="552"/>
    </row>
    <row r="859" spans="1:32" s="209" customFormat="1" ht="15.75" customHeight="1">
      <c r="A859" s="202" t="str">
        <f>IF(B859&lt;&gt;"",IF(AND(B859&gt;=_TM1,B859&lt;=_TM2,OR(TH!L859="1111",TH!M859="1111")),TH!D859,""),"")</f>
        <v/>
      </c>
      <c r="B859" s="36">
        <f t="shared" si="45"/>
        <v>5</v>
      </c>
      <c r="C859" s="182">
        <f t="shared" si="46"/>
        <v>42500</v>
      </c>
      <c r="D859" s="189" t="s">
        <v>1640</v>
      </c>
      <c r="E859" s="182">
        <v>42500</v>
      </c>
      <c r="F859" s="187" t="s">
        <v>671</v>
      </c>
      <c r="G859" s="451" t="s">
        <v>644</v>
      </c>
      <c r="H859" s="7" t="s">
        <v>844</v>
      </c>
      <c r="I859" s="251"/>
      <c r="J859" s="251"/>
      <c r="K859" s="560">
        <v>14178560</v>
      </c>
      <c r="L859" s="192" t="s">
        <v>8</v>
      </c>
      <c r="M859" s="192" t="s">
        <v>47</v>
      </c>
      <c r="N859" s="52" t="str">
        <f>IF(AND('331-CT'!$E$7=TH!H859,OR(L859="331",M859="331")),"331",IF(AND(OR(L859="131",M859="131"),H859='131-CT'!$E$7),"131",""))</f>
        <v/>
      </c>
      <c r="O859" s="818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52"/>
      <c r="AB859" s="552"/>
      <c r="AC859" s="209" t="str">
        <f>IF(VLOOKUP(H859,DSKH,1,0)=H859,"","x")</f>
        <v/>
      </c>
      <c r="AE859" s="552"/>
      <c r="AF859" s="552"/>
    </row>
    <row r="860" spans="1:32" s="552" customFormat="1" ht="15.75" customHeight="1">
      <c r="A860" s="202" t="str">
        <f>IF(B860&lt;&gt;"",IF(AND(B860&gt;=_TM1,B860&lt;=_TM2,OR(TH!L860="1111",TH!M860="1111")),TH!D860,""),"")</f>
        <v/>
      </c>
      <c r="B860" s="36">
        <f t="shared" si="45"/>
        <v>5</v>
      </c>
      <c r="C860" s="182">
        <f t="shared" si="46"/>
        <v>42500</v>
      </c>
      <c r="D860" s="189" t="s">
        <v>1116</v>
      </c>
      <c r="E860" s="182">
        <v>42500</v>
      </c>
      <c r="F860" s="187" t="s">
        <v>480</v>
      </c>
      <c r="G860" s="451" t="s">
        <v>548</v>
      </c>
      <c r="H860" s="191" t="s">
        <v>609</v>
      </c>
      <c r="I860" s="251">
        <v>102</v>
      </c>
      <c r="J860" s="251">
        <v>9200</v>
      </c>
      <c r="K860" s="38">
        <f>ROUND(I860*J860,0)</f>
        <v>938400</v>
      </c>
      <c r="L860" s="192" t="s">
        <v>258</v>
      </c>
      <c r="M860" s="192" t="s">
        <v>173</v>
      </c>
      <c r="N860" s="52" t="str">
        <f>IF(AND('331-CT'!$E$7=TH!H860,OR(L860="331",M860="331")),"331",IF(AND(OR(L860="131",M860="131"),H860='131-CT'!$E$7),"131",""))</f>
        <v/>
      </c>
      <c r="O860" s="818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52"/>
      <c r="AD860" s="209"/>
      <c r="AE860" s="209"/>
      <c r="AF860" s="209"/>
    </row>
    <row r="861" spans="1:32" s="552" customFormat="1" ht="15.75" customHeight="1">
      <c r="A861" s="202" t="str">
        <f>IF(B861&lt;&gt;"",IF(AND(B861&gt;=_TM1,B861&lt;=_TM2,OR(TH!L861="1111",TH!M861="1111")),TH!D861,""),"")</f>
        <v/>
      </c>
      <c r="B861" s="36">
        <f t="shared" si="45"/>
        <v>5</v>
      </c>
      <c r="C861" s="182">
        <f t="shared" si="46"/>
        <v>42500</v>
      </c>
      <c r="D861" s="189" t="s">
        <v>1116</v>
      </c>
      <c r="E861" s="182">
        <v>42500</v>
      </c>
      <c r="F861" s="187" t="s">
        <v>1016</v>
      </c>
      <c r="G861" s="451" t="s">
        <v>548</v>
      </c>
      <c r="H861" s="191" t="s">
        <v>609</v>
      </c>
      <c r="I861" s="251">
        <v>198</v>
      </c>
      <c r="J861" s="251">
        <v>13000</v>
      </c>
      <c r="K861" s="38">
        <f>ROUND(I861*J861,0)</f>
        <v>2574000</v>
      </c>
      <c r="L861" s="192" t="s">
        <v>258</v>
      </c>
      <c r="M861" s="192" t="s">
        <v>173</v>
      </c>
      <c r="N861" s="52" t="str">
        <f>IF(AND('331-CT'!$E$7=TH!H861,OR(L861="331",M861="331")),"331",IF(AND(OR(L861="131",M861="131"),H861='131-CT'!$E$7),"131",""))</f>
        <v/>
      </c>
      <c r="O861" s="818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52"/>
      <c r="AD861" s="209"/>
      <c r="AE861" s="209"/>
      <c r="AF861" s="209"/>
    </row>
    <row r="862" spans="1:32" s="552" customFormat="1" ht="15.75" customHeight="1">
      <c r="A862" s="202" t="str">
        <f>IF(B862&lt;&gt;"",IF(AND(B862&gt;=_TM1,B862&lt;=_TM2,OR(TH!L862="1111",TH!M862="1111")),TH!D862,""),"")</f>
        <v/>
      </c>
      <c r="B862" s="36">
        <f t="shared" si="45"/>
        <v>5</v>
      </c>
      <c r="C862" s="182">
        <f t="shared" si="46"/>
        <v>42500</v>
      </c>
      <c r="D862" s="189" t="s">
        <v>1116</v>
      </c>
      <c r="E862" s="182">
        <v>42500</v>
      </c>
      <c r="F862" s="187" t="s">
        <v>1015</v>
      </c>
      <c r="G862" s="451" t="s">
        <v>548</v>
      </c>
      <c r="H862" s="191" t="s">
        <v>609</v>
      </c>
      <c r="I862" s="251">
        <v>260</v>
      </c>
      <c r="J862" s="251">
        <v>8950</v>
      </c>
      <c r="K862" s="38">
        <f>ROUND(I862*J862,0)</f>
        <v>2327000</v>
      </c>
      <c r="L862" s="192" t="s">
        <v>258</v>
      </c>
      <c r="M862" s="192" t="s">
        <v>173</v>
      </c>
      <c r="N862" s="52" t="str">
        <f>IF(AND('331-CT'!$E$7=TH!H862,OR(L862="331",M862="331")),"331",IF(AND(OR(L862="131",M862="131"),H862='131-CT'!$E$7),"131",""))</f>
        <v/>
      </c>
      <c r="O862" s="818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52"/>
      <c r="AC862" s="209"/>
      <c r="AD862" s="209"/>
      <c r="AE862" s="209"/>
      <c r="AF862" s="209"/>
    </row>
    <row r="863" spans="1:32" s="552" customFormat="1" ht="15.75" customHeight="1">
      <c r="A863" s="202" t="str">
        <f>IF(B863&lt;&gt;"",IF(AND(B863&gt;=_TM1,B863&lt;=_TM2,OR(TH!L863="1111",TH!M863="1111")),TH!D863,""),"")</f>
        <v/>
      </c>
      <c r="B863" s="36">
        <f t="shared" si="45"/>
        <v>5</v>
      </c>
      <c r="C863" s="182">
        <f t="shared" si="46"/>
        <v>42500</v>
      </c>
      <c r="D863" s="189" t="s">
        <v>1116</v>
      </c>
      <c r="E863" s="182">
        <v>42500</v>
      </c>
      <c r="F863" s="187" t="s">
        <v>1202</v>
      </c>
      <c r="G863" s="451" t="s">
        <v>548</v>
      </c>
      <c r="H863" s="191" t="s">
        <v>609</v>
      </c>
      <c r="I863" s="251">
        <v>400</v>
      </c>
      <c r="J863" s="251">
        <v>1300</v>
      </c>
      <c r="K863" s="38">
        <f>ROUND(I863*J863,0)</f>
        <v>520000</v>
      </c>
      <c r="L863" s="192" t="s">
        <v>258</v>
      </c>
      <c r="M863" s="192" t="s">
        <v>173</v>
      </c>
      <c r="N863" s="52" t="str">
        <f>IF(AND('331-CT'!$E$7=TH!H863,OR(L863="331",M863="331")),"331",IF(AND(OR(L863="131",M863="131"),H863='131-CT'!$E$7),"131",""))</f>
        <v/>
      </c>
      <c r="O863" s="818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52"/>
      <c r="AD863" s="209"/>
      <c r="AE863" s="209"/>
      <c r="AF863" s="209"/>
    </row>
    <row r="864" spans="1:32" s="552" customFormat="1" ht="15.75" customHeight="1">
      <c r="A864" s="202" t="str">
        <f>IF(B864&lt;&gt;"",IF(AND(B864&gt;=_TM1,B864&lt;=_TM2,OR(TH!L864="1111",TH!M864="1111")),TH!D864,""),"")</f>
        <v/>
      </c>
      <c r="B864" s="36">
        <f t="shared" si="45"/>
        <v>5</v>
      </c>
      <c r="C864" s="182">
        <f t="shared" si="46"/>
        <v>42500</v>
      </c>
      <c r="D864" s="189" t="s">
        <v>1116</v>
      </c>
      <c r="E864" s="182">
        <v>42500</v>
      </c>
      <c r="F864" s="190" t="s">
        <v>1203</v>
      </c>
      <c r="G864" s="451" t="s">
        <v>548</v>
      </c>
      <c r="H864" s="191" t="s">
        <v>609</v>
      </c>
      <c r="I864" s="251">
        <v>780</v>
      </c>
      <c r="J864" s="251">
        <v>1200</v>
      </c>
      <c r="K864" s="38">
        <f>ROUND(I864*J864,0)</f>
        <v>936000</v>
      </c>
      <c r="L864" s="192" t="s">
        <v>258</v>
      </c>
      <c r="M864" s="192" t="s">
        <v>173</v>
      </c>
      <c r="N864" s="52" t="str">
        <f>IF(AND('331-CT'!$E$7=TH!H864,OR(L864="331",M864="331")),"331",IF(AND(OR(L864="131",M864="131"),H864='131-CT'!$E$7),"131",""))</f>
        <v/>
      </c>
      <c r="O864" s="818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52"/>
      <c r="AD864" s="209"/>
      <c r="AE864" s="209"/>
      <c r="AF864" s="209"/>
    </row>
    <row r="865" spans="1:32" s="552" customFormat="1" ht="15.75" customHeight="1">
      <c r="A865" s="202" t="str">
        <f>IF(B865&lt;&gt;"",IF(AND(B865&gt;=_TM1,B865&lt;=_TM2,OR(TH!L865="1111",TH!M865="1111")),TH!D865,""),"")</f>
        <v/>
      </c>
      <c r="B865" s="36">
        <f t="shared" si="45"/>
        <v>5</v>
      </c>
      <c r="C865" s="182">
        <f t="shared" si="46"/>
        <v>42500</v>
      </c>
      <c r="D865" s="189" t="s">
        <v>1116</v>
      </c>
      <c r="E865" s="182">
        <v>42500</v>
      </c>
      <c r="F865" s="187" t="s">
        <v>393</v>
      </c>
      <c r="G865" s="451" t="s">
        <v>548</v>
      </c>
      <c r="H865" s="191" t="s">
        <v>609</v>
      </c>
      <c r="I865" s="251"/>
      <c r="J865" s="251"/>
      <c r="K865" s="560">
        <v>729540</v>
      </c>
      <c r="L865" s="192" t="s">
        <v>258</v>
      </c>
      <c r="M865" s="192" t="s">
        <v>367</v>
      </c>
      <c r="N865" s="52" t="str">
        <f>IF(AND('331-CT'!$E$7=TH!H865,OR(L865="331",M865="331")),"331",IF(AND(OR(L865="131",M865="131"),H865='131-CT'!$E$7),"131",""))</f>
        <v/>
      </c>
      <c r="O865" s="818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52"/>
      <c r="AC865" s="209"/>
      <c r="AD865" s="209"/>
      <c r="AE865" s="209"/>
      <c r="AF865" s="209"/>
    </row>
    <row r="866" spans="1:32" s="552" customFormat="1" ht="15.75" customHeight="1">
      <c r="A866" s="202" t="str">
        <f>IF(B866&lt;&gt;"",IF(AND(B866&gt;=_TM1,B866&lt;=_TM2,OR(TH!L866="1111",TH!M866="1111")),TH!D866,""),"")</f>
        <v/>
      </c>
      <c r="B866" s="36">
        <f t="shared" si="45"/>
        <v>5</v>
      </c>
      <c r="C866" s="182">
        <f t="shared" si="46"/>
        <v>42500</v>
      </c>
      <c r="D866" s="189" t="s">
        <v>1117</v>
      </c>
      <c r="E866" s="182">
        <v>42500</v>
      </c>
      <c r="F866" s="187" t="s">
        <v>1017</v>
      </c>
      <c r="G866" s="451" t="s">
        <v>550</v>
      </c>
      <c r="H866" s="711" t="s">
        <v>777</v>
      </c>
      <c r="I866" s="251">
        <v>48</v>
      </c>
      <c r="J866" s="251">
        <v>38150</v>
      </c>
      <c r="K866" s="38">
        <f t="shared" ref="K866:K873" si="47">ROUND(I866*J866,0)</f>
        <v>1831200</v>
      </c>
      <c r="L866" s="192" t="s">
        <v>258</v>
      </c>
      <c r="M866" s="192" t="s">
        <v>173</v>
      </c>
      <c r="N866" s="52" t="str">
        <f>IF(AND('331-CT'!$E$7=TH!H866,OR(L866="331",M866="331")),"331",IF(AND(OR(L866="131",M866="131"),H866='131-CT'!$E$7),"131",""))</f>
        <v>131</v>
      </c>
      <c r="O866" s="818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52"/>
      <c r="AD866" s="209"/>
      <c r="AE866" s="209"/>
      <c r="AF866" s="209"/>
    </row>
    <row r="867" spans="1:32" s="552" customFormat="1" ht="15.75" customHeight="1">
      <c r="A867" s="202" t="str">
        <f>IF(B867&lt;&gt;"",IF(AND(B867&gt;=_TM1,B867&lt;=_TM2,OR(TH!L867="1111",TH!M867="1111")),TH!D867,""),"")</f>
        <v/>
      </c>
      <c r="B867" s="36">
        <f t="shared" si="45"/>
        <v>5</v>
      </c>
      <c r="C867" s="182">
        <f t="shared" si="46"/>
        <v>42500</v>
      </c>
      <c r="D867" s="189" t="s">
        <v>1117</v>
      </c>
      <c r="E867" s="182">
        <v>42500</v>
      </c>
      <c r="F867" s="187" t="s">
        <v>994</v>
      </c>
      <c r="G867" s="451" t="s">
        <v>550</v>
      </c>
      <c r="H867" s="711" t="s">
        <v>777</v>
      </c>
      <c r="I867" s="251">
        <v>500</v>
      </c>
      <c r="J867" s="251">
        <v>12700</v>
      </c>
      <c r="K867" s="38">
        <f t="shared" si="47"/>
        <v>6350000</v>
      </c>
      <c r="L867" s="192" t="s">
        <v>258</v>
      </c>
      <c r="M867" s="192" t="s">
        <v>173</v>
      </c>
      <c r="N867" s="52" t="str">
        <f>IF(AND('331-CT'!$E$7=TH!H867,OR(L867="331",M867="331")),"331",IF(AND(OR(L867="131",M867="131"),H867='131-CT'!$E$7),"131",""))</f>
        <v>131</v>
      </c>
      <c r="O867" s="818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52"/>
      <c r="AC867" s="209"/>
      <c r="AD867" s="209"/>
      <c r="AE867" s="209"/>
      <c r="AF867" s="209"/>
    </row>
    <row r="868" spans="1:32" s="552" customFormat="1" ht="15.75" customHeight="1">
      <c r="A868" s="202" t="str">
        <f>IF(B868&lt;&gt;"",IF(AND(B868&gt;=_TM1,B868&lt;=_TM2,OR(TH!L868="1111",TH!M868="1111")),TH!D868,""),"")</f>
        <v/>
      </c>
      <c r="B868" s="36">
        <f t="shared" si="45"/>
        <v>5</v>
      </c>
      <c r="C868" s="182">
        <f t="shared" si="46"/>
        <v>42500</v>
      </c>
      <c r="D868" s="189" t="s">
        <v>1117</v>
      </c>
      <c r="E868" s="182">
        <v>42500</v>
      </c>
      <c r="F868" s="190" t="s">
        <v>1018</v>
      </c>
      <c r="G868" s="451" t="s">
        <v>550</v>
      </c>
      <c r="H868" s="711" t="s">
        <v>777</v>
      </c>
      <c r="I868" s="251">
        <v>50</v>
      </c>
      <c r="J868" s="251">
        <v>43400</v>
      </c>
      <c r="K868" s="38">
        <f t="shared" si="47"/>
        <v>2170000</v>
      </c>
      <c r="L868" s="192" t="s">
        <v>258</v>
      </c>
      <c r="M868" s="192" t="s">
        <v>173</v>
      </c>
      <c r="N868" s="52" t="str">
        <f>IF(AND('331-CT'!$E$7=TH!H868,OR(L868="331",M868="331")),"331",IF(AND(OR(L868="131",M868="131"),H868='131-CT'!$E$7),"131",""))</f>
        <v>131</v>
      </c>
      <c r="O868" s="818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52"/>
      <c r="AD868" s="209"/>
      <c r="AE868" s="209"/>
      <c r="AF868" s="209"/>
    </row>
    <row r="869" spans="1:32" s="552" customFormat="1" ht="15.75" customHeight="1">
      <c r="A869" s="202" t="str">
        <f>IF(B869&lt;&gt;"",IF(AND(B869&gt;=_TM1,B869&lt;=_TM2,OR(TH!L869="1111",TH!M869="1111")),TH!D869,""),"")</f>
        <v/>
      </c>
      <c r="B869" s="36">
        <f t="shared" si="45"/>
        <v>5</v>
      </c>
      <c r="C869" s="182">
        <f t="shared" si="46"/>
        <v>42500</v>
      </c>
      <c r="D869" s="189" t="s">
        <v>1117</v>
      </c>
      <c r="E869" s="182">
        <v>42500</v>
      </c>
      <c r="F869" s="187" t="s">
        <v>1019</v>
      </c>
      <c r="G869" s="451" t="s">
        <v>550</v>
      </c>
      <c r="H869" s="711" t="s">
        <v>777</v>
      </c>
      <c r="I869" s="251">
        <v>23</v>
      </c>
      <c r="J869" s="251">
        <v>51500</v>
      </c>
      <c r="K869" s="38">
        <f t="shared" si="47"/>
        <v>1184500</v>
      </c>
      <c r="L869" s="192" t="s">
        <v>258</v>
      </c>
      <c r="M869" s="192" t="s">
        <v>173</v>
      </c>
      <c r="N869" s="52" t="str">
        <f>IF(AND('331-CT'!$E$7=TH!H869,OR(L869="331",M869="331")),"331",IF(AND(OR(L869="131",M869="131"),H869='131-CT'!$E$7),"131",""))</f>
        <v>131</v>
      </c>
      <c r="O869" s="818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52"/>
      <c r="AE869" s="209"/>
      <c r="AF869" s="209"/>
    </row>
    <row r="870" spans="1:32" s="552" customFormat="1" ht="15.75" customHeight="1">
      <c r="A870" s="202" t="str">
        <f>IF(B870&lt;&gt;"",IF(AND(B870&gt;=_TM1,B870&lt;=_TM2,OR(TH!L870="1111",TH!M870="1111")),TH!D870,""),"")</f>
        <v/>
      </c>
      <c r="B870" s="36">
        <f t="shared" si="45"/>
        <v>5</v>
      </c>
      <c r="C870" s="182">
        <f t="shared" si="46"/>
        <v>42500</v>
      </c>
      <c r="D870" s="189" t="s">
        <v>1117</v>
      </c>
      <c r="E870" s="182">
        <v>42500</v>
      </c>
      <c r="F870" s="187" t="s">
        <v>1020</v>
      </c>
      <c r="G870" s="451" t="s">
        <v>550</v>
      </c>
      <c r="H870" s="711" t="s">
        <v>777</v>
      </c>
      <c r="I870" s="251">
        <v>5</v>
      </c>
      <c r="J870" s="251">
        <v>43400</v>
      </c>
      <c r="K870" s="38">
        <f t="shared" si="47"/>
        <v>217000</v>
      </c>
      <c r="L870" s="192" t="s">
        <v>258</v>
      </c>
      <c r="M870" s="192" t="s">
        <v>173</v>
      </c>
      <c r="N870" s="52" t="str">
        <f>IF(AND('331-CT'!$E$7=TH!H870,OR(L870="331",M870="331")),"331",IF(AND(OR(L870="131",M870="131"),H870='131-CT'!$E$7),"131",""))</f>
        <v>131</v>
      </c>
      <c r="O870" s="818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52"/>
      <c r="AE870" s="209"/>
      <c r="AF870" s="209"/>
    </row>
    <row r="871" spans="1:32" s="552" customFormat="1" ht="15.75" customHeight="1">
      <c r="A871" s="202" t="str">
        <f>IF(B871&lt;&gt;"",IF(AND(B871&gt;=_TM1,B871&lt;=_TM2,OR(TH!L871="1111",TH!M871="1111")),TH!D871,""),"")</f>
        <v/>
      </c>
      <c r="B871" s="36">
        <f t="shared" si="45"/>
        <v>5</v>
      </c>
      <c r="C871" s="182">
        <f t="shared" si="46"/>
        <v>42500</v>
      </c>
      <c r="D871" s="189" t="s">
        <v>1117</v>
      </c>
      <c r="E871" s="182">
        <v>42500</v>
      </c>
      <c r="F871" s="187" t="s">
        <v>1021</v>
      </c>
      <c r="G871" s="451" t="s">
        <v>550</v>
      </c>
      <c r="H871" s="711" t="s">
        <v>777</v>
      </c>
      <c r="I871" s="251">
        <v>50</v>
      </c>
      <c r="J871" s="251">
        <v>38600</v>
      </c>
      <c r="K871" s="38">
        <f t="shared" si="47"/>
        <v>1930000</v>
      </c>
      <c r="L871" s="192" t="s">
        <v>258</v>
      </c>
      <c r="M871" s="192" t="s">
        <v>173</v>
      </c>
      <c r="N871" s="52" t="str">
        <f>IF(AND('331-CT'!$E$7=TH!H871,OR(L871="331",M871="331")),"331",IF(AND(OR(L871="131",M871="131"),H871='131-CT'!$E$7),"131",""))</f>
        <v>131</v>
      </c>
      <c r="O871" s="818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52"/>
      <c r="AE871" s="209"/>
      <c r="AF871" s="209"/>
    </row>
    <row r="872" spans="1:32" s="552" customFormat="1" ht="15.75" customHeight="1">
      <c r="A872" s="202" t="str">
        <f>IF(B872&lt;&gt;"",IF(AND(B872&gt;=_TM1,B872&lt;=_TM2,OR(TH!L872="1111",TH!M872="1111")),TH!D872,""),"")</f>
        <v/>
      </c>
      <c r="B872" s="36">
        <f t="shared" si="45"/>
        <v>5</v>
      </c>
      <c r="C872" s="182">
        <f t="shared" si="46"/>
        <v>42500</v>
      </c>
      <c r="D872" s="189" t="s">
        <v>1117</v>
      </c>
      <c r="E872" s="182">
        <v>42500</v>
      </c>
      <c r="F872" s="187" t="s">
        <v>1022</v>
      </c>
      <c r="G872" s="451" t="s">
        <v>550</v>
      </c>
      <c r="H872" s="711" t="s">
        <v>777</v>
      </c>
      <c r="I872" s="251">
        <v>50</v>
      </c>
      <c r="J872" s="251">
        <v>64650</v>
      </c>
      <c r="K872" s="38">
        <f t="shared" si="47"/>
        <v>3232500</v>
      </c>
      <c r="L872" s="192" t="s">
        <v>258</v>
      </c>
      <c r="M872" s="192" t="s">
        <v>173</v>
      </c>
      <c r="N872" s="52" t="str">
        <f>IF(AND('331-CT'!$E$7=TH!H872,OR(L872="331",M872="331")),"331",IF(AND(OR(L872="131",M872="131"),H872='131-CT'!$E$7),"131",""))</f>
        <v>131</v>
      </c>
      <c r="O872" s="818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52"/>
      <c r="AE872" s="209"/>
      <c r="AF872" s="209"/>
    </row>
    <row r="873" spans="1:32" s="552" customFormat="1" ht="15.75" customHeight="1">
      <c r="A873" s="202" t="str">
        <f>IF(B873&lt;&gt;"",IF(AND(B873&gt;=_TM1,B873&lt;=_TM2,OR(TH!L873="1111",TH!M873="1111")),TH!D873,""),"")</f>
        <v/>
      </c>
      <c r="B873" s="36">
        <f t="shared" si="45"/>
        <v>5</v>
      </c>
      <c r="C873" s="182">
        <f t="shared" si="46"/>
        <v>42500</v>
      </c>
      <c r="D873" s="189" t="s">
        <v>1117</v>
      </c>
      <c r="E873" s="182">
        <v>42500</v>
      </c>
      <c r="F873" s="190" t="s">
        <v>1023</v>
      </c>
      <c r="G873" s="451" t="s">
        <v>550</v>
      </c>
      <c r="H873" s="711" t="s">
        <v>777</v>
      </c>
      <c r="I873" s="251">
        <v>49</v>
      </c>
      <c r="J873" s="251">
        <v>48600</v>
      </c>
      <c r="K873" s="38">
        <f t="shared" si="47"/>
        <v>2381400</v>
      </c>
      <c r="L873" s="192" t="s">
        <v>258</v>
      </c>
      <c r="M873" s="192" t="s">
        <v>173</v>
      </c>
      <c r="N873" s="52" t="str">
        <f>IF(AND('331-CT'!$E$7=TH!H873,OR(L873="331",M873="331")),"331",IF(AND(OR(L873="131",M873="131"),H873='131-CT'!$E$7),"131",""))</f>
        <v>131</v>
      </c>
      <c r="O873" s="818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52"/>
      <c r="AE873" s="209"/>
      <c r="AF873" s="209"/>
    </row>
    <row r="874" spans="1:32" s="552" customFormat="1" ht="15.75" customHeight="1">
      <c r="A874" s="202" t="str">
        <f>IF(B874&lt;&gt;"",IF(AND(B874&gt;=_TM1,B874&lt;=_TM2,OR(TH!L874="1111",TH!M874="1111")),TH!D874,""),"")</f>
        <v/>
      </c>
      <c r="B874" s="36">
        <f t="shared" si="45"/>
        <v>5</v>
      </c>
      <c r="C874" s="182">
        <f t="shared" si="46"/>
        <v>42500</v>
      </c>
      <c r="D874" s="189" t="s">
        <v>1117</v>
      </c>
      <c r="E874" s="182">
        <v>42500</v>
      </c>
      <c r="F874" s="187" t="s">
        <v>393</v>
      </c>
      <c r="G874" s="451" t="s">
        <v>550</v>
      </c>
      <c r="H874" s="711" t="s">
        <v>777</v>
      </c>
      <c r="I874" s="251"/>
      <c r="J874" s="251"/>
      <c r="K874" s="560">
        <v>1929660</v>
      </c>
      <c r="L874" s="192" t="s">
        <v>258</v>
      </c>
      <c r="M874" s="192" t="s">
        <v>367</v>
      </c>
      <c r="N874" s="52" t="str">
        <f>IF(AND('331-CT'!$E$7=TH!H874,OR(L874="331",M874="331")),"331",IF(AND(OR(L874="131",M874="131"),H874='131-CT'!$E$7),"131",""))</f>
        <v>131</v>
      </c>
      <c r="O874" s="818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52"/>
      <c r="AE874" s="209"/>
      <c r="AF874" s="209"/>
    </row>
    <row r="875" spans="1:32" s="552" customFormat="1" ht="15.75" customHeight="1">
      <c r="A875" s="202" t="str">
        <f>IF(B875&lt;&gt;"",IF(AND(B875&gt;=_TM1,B875&lt;=_TM2,OR(TH!L875="1111",TH!M875="1111")),TH!D875,""),"")</f>
        <v/>
      </c>
      <c r="B875" s="36">
        <f t="shared" si="45"/>
        <v>5</v>
      </c>
      <c r="C875" s="182">
        <f t="shared" si="46"/>
        <v>42501</v>
      </c>
      <c r="D875" s="182" t="s">
        <v>665</v>
      </c>
      <c r="E875" s="189">
        <v>42501</v>
      </c>
      <c r="F875" s="190" t="s">
        <v>666</v>
      </c>
      <c r="G875" s="190" t="s">
        <v>330</v>
      </c>
      <c r="H875" s="7" t="s">
        <v>798</v>
      </c>
      <c r="I875" s="251"/>
      <c r="J875" s="251"/>
      <c r="K875" s="560">
        <v>15754200</v>
      </c>
      <c r="L875" s="192" t="s">
        <v>24</v>
      </c>
      <c r="M875" s="192" t="s">
        <v>258</v>
      </c>
      <c r="N875" s="52" t="str">
        <f>IF(AND('331-CT'!$E$7=TH!H875,OR(L875="331",M875="331")),"331",IF(AND(OR(L875="131",M875="131"),H875='131-CT'!$E$7),"131",""))</f>
        <v/>
      </c>
      <c r="O875" s="818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53"/>
      <c r="AD875" s="209"/>
      <c r="AE875" s="209"/>
      <c r="AF875" s="209"/>
    </row>
    <row r="876" spans="1:32" s="552" customFormat="1" ht="15.75" customHeight="1">
      <c r="A876" s="202" t="str">
        <f>IF(B876&lt;&gt;"",IF(AND(B876&gt;=_TM1,B876&lt;=_TM2,OR(TH!L876="1111",TH!M876="1111")),TH!D876,""),"")</f>
        <v/>
      </c>
      <c r="B876" s="36">
        <f t="shared" si="45"/>
        <v>5</v>
      </c>
      <c r="C876" s="182">
        <f t="shared" si="46"/>
        <v>42502</v>
      </c>
      <c r="D876" s="182" t="s">
        <v>1641</v>
      </c>
      <c r="E876" s="189">
        <v>42502</v>
      </c>
      <c r="F876" s="190" t="s">
        <v>668</v>
      </c>
      <c r="G876" s="190" t="s">
        <v>330</v>
      </c>
      <c r="H876" s="7" t="s">
        <v>675</v>
      </c>
      <c r="I876" s="251"/>
      <c r="J876" s="251"/>
      <c r="K876" s="560">
        <v>35000000</v>
      </c>
      <c r="L876" s="192" t="s">
        <v>24</v>
      </c>
      <c r="M876" s="192" t="s">
        <v>47</v>
      </c>
      <c r="N876" s="52" t="str">
        <f>IF(AND('331-CT'!$E$7=TH!H876,OR(L876="331",M876="331")),"331",IF(AND(OR(L876="131",M876="131"),H876='131-CT'!$E$7),"131",""))</f>
        <v/>
      </c>
      <c r="O876" s="818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53"/>
      <c r="AD876" s="209"/>
      <c r="AE876" s="209"/>
      <c r="AF876" s="209"/>
    </row>
    <row r="877" spans="1:32" s="552" customFormat="1" ht="15.75" customHeight="1">
      <c r="A877" s="202" t="str">
        <f>IF(B877&lt;&gt;"",IF(AND(B877&gt;=_TM1,B877&lt;=_TM2,OR(TH!L877="1111",TH!M877="1111")),TH!D877,""),"")</f>
        <v/>
      </c>
      <c r="B877" s="36">
        <f t="shared" si="45"/>
        <v>5</v>
      </c>
      <c r="C877" s="182">
        <f t="shared" si="46"/>
        <v>42502</v>
      </c>
      <c r="D877" s="182" t="s">
        <v>669</v>
      </c>
      <c r="E877" s="189">
        <v>42502</v>
      </c>
      <c r="F877" s="190" t="s">
        <v>671</v>
      </c>
      <c r="G877" s="190" t="s">
        <v>330</v>
      </c>
      <c r="H877" s="7" t="s">
        <v>1554</v>
      </c>
      <c r="I877" s="251"/>
      <c r="J877" s="251"/>
      <c r="K877" s="560">
        <v>35000000</v>
      </c>
      <c r="L877" s="192" t="s">
        <v>8</v>
      </c>
      <c r="M877" s="192" t="s">
        <v>24</v>
      </c>
      <c r="N877" s="52" t="str">
        <f>IF(AND('331-CT'!$E$7=TH!H877,OR(L877="331",M877="331")),"331",IF(AND(OR(L877="131",M877="131"),H877='131-CT'!$E$7),"131",""))</f>
        <v/>
      </c>
      <c r="O877" s="818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53"/>
      <c r="AE877" s="209"/>
      <c r="AF877" s="209"/>
    </row>
    <row r="878" spans="1:32" s="552" customFormat="1" ht="15.75" customHeight="1">
      <c r="A878" s="202" t="str">
        <f>IF(B878&lt;&gt;"",IF(AND(B878&gt;=_TM1,B878&lt;=_TM2,OR(TH!L878="1111",TH!M878="1111")),TH!D878,""),"")</f>
        <v/>
      </c>
      <c r="B878" s="36">
        <f t="shared" si="45"/>
        <v>5</v>
      </c>
      <c r="C878" s="182">
        <f t="shared" si="46"/>
        <v>42502</v>
      </c>
      <c r="D878" s="182" t="s">
        <v>669</v>
      </c>
      <c r="E878" s="189">
        <v>42502</v>
      </c>
      <c r="F878" s="190" t="s">
        <v>672</v>
      </c>
      <c r="G878" s="190" t="s">
        <v>330</v>
      </c>
      <c r="H878" s="7"/>
      <c r="I878" s="251"/>
      <c r="J878" s="251"/>
      <c r="K878" s="560">
        <v>13636</v>
      </c>
      <c r="L878" s="192" t="s">
        <v>83</v>
      </c>
      <c r="M878" s="192" t="s">
        <v>24</v>
      </c>
      <c r="N878" s="52" t="str">
        <f>IF(AND('331-CT'!$E$7=TH!H878,OR(L878="331",M878="331")),"331",IF(AND(OR(L878="131",M878="131"),H878='131-CT'!$E$7),"131",""))</f>
        <v/>
      </c>
      <c r="O878" s="818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>x</v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52">
        <v>2</v>
      </c>
      <c r="AE878" s="209"/>
      <c r="AF878" s="209"/>
    </row>
    <row r="879" spans="1:32" s="552" customFormat="1" ht="15.75" customHeight="1">
      <c r="A879" s="202" t="str">
        <f>IF(B879&lt;&gt;"",IF(AND(B879&gt;=_TM1,B879&lt;=_TM2,OR(TH!L879="1111",TH!M879="1111")),TH!D879,""),"")</f>
        <v/>
      </c>
      <c r="B879" s="36">
        <f t="shared" si="45"/>
        <v>5</v>
      </c>
      <c r="C879" s="182">
        <f t="shared" si="46"/>
        <v>42502</v>
      </c>
      <c r="D879" s="182" t="s">
        <v>669</v>
      </c>
      <c r="E879" s="189">
        <v>42502</v>
      </c>
      <c r="F879" s="190" t="s">
        <v>762</v>
      </c>
      <c r="G879" s="190" t="s">
        <v>330</v>
      </c>
      <c r="H879" s="7"/>
      <c r="I879" s="251"/>
      <c r="J879" s="251"/>
      <c r="K879" s="560">
        <v>1364</v>
      </c>
      <c r="L879" s="192" t="s">
        <v>9</v>
      </c>
      <c r="M879" s="192" t="s">
        <v>24</v>
      </c>
      <c r="N879" s="52" t="str">
        <f>IF(AND('331-CT'!$E$7=TH!H879,OR(L879="331",M879="331")),"331",IF(AND(OR(L879="131",M879="131"),H879='131-CT'!$E$7),"131",""))</f>
        <v/>
      </c>
      <c r="O879" s="818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52">
        <v>2</v>
      </c>
      <c r="AE879" s="209"/>
      <c r="AF879" s="209"/>
    </row>
    <row r="880" spans="1:32" s="552" customFormat="1" ht="15.75" customHeight="1">
      <c r="A880" s="202" t="str">
        <f>IF(B880&lt;&gt;"",IF(AND(B880&gt;=_TM1,B880&lt;=_TM2,OR(TH!L880="1111",TH!M880="1111")),TH!D880,""),"")</f>
        <v/>
      </c>
      <c r="B880" s="36">
        <f t="shared" si="45"/>
        <v>5</v>
      </c>
      <c r="C880" s="182">
        <f t="shared" si="46"/>
        <v>42502</v>
      </c>
      <c r="D880" s="182" t="s">
        <v>669</v>
      </c>
      <c r="E880" s="189">
        <v>42502</v>
      </c>
      <c r="F880" s="190" t="s">
        <v>671</v>
      </c>
      <c r="G880" s="190" t="s">
        <v>330</v>
      </c>
      <c r="H880" s="7" t="s">
        <v>829</v>
      </c>
      <c r="I880" s="251"/>
      <c r="J880" s="251"/>
      <c r="K880" s="560">
        <v>38000000</v>
      </c>
      <c r="L880" s="192" t="s">
        <v>8</v>
      </c>
      <c r="M880" s="192" t="s">
        <v>24</v>
      </c>
      <c r="N880" s="52" t="str">
        <f>IF(AND('331-CT'!$E$7=TH!H880,OR(L880="331",M880="331")),"331",IF(AND(OR(L880="131",M880="131"),H880='131-CT'!$E$7),"131",""))</f>
        <v/>
      </c>
      <c r="O880" s="818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53"/>
      <c r="AE880" s="209"/>
      <c r="AF880" s="209"/>
    </row>
    <row r="881" spans="1:32" s="552" customFormat="1" ht="15.75" customHeight="1">
      <c r="A881" s="202" t="str">
        <f>IF(B881&lt;&gt;"",IF(AND(B881&gt;=_TM1,B881&lt;=_TM2,OR(TH!L881="1111",TH!M881="1111")),TH!D881,""),"")</f>
        <v/>
      </c>
      <c r="B881" s="36">
        <f t="shared" si="45"/>
        <v>5</v>
      </c>
      <c r="C881" s="182">
        <f t="shared" si="46"/>
        <v>42502</v>
      </c>
      <c r="D881" s="182" t="s">
        <v>669</v>
      </c>
      <c r="E881" s="189">
        <v>42502</v>
      </c>
      <c r="F881" s="187" t="s">
        <v>674</v>
      </c>
      <c r="G881" s="190" t="s">
        <v>330</v>
      </c>
      <c r="H881" s="7"/>
      <c r="I881" s="251"/>
      <c r="J881" s="251"/>
      <c r="K881" s="560">
        <v>13636</v>
      </c>
      <c r="L881" s="192" t="s">
        <v>83</v>
      </c>
      <c r="M881" s="192" t="s">
        <v>24</v>
      </c>
      <c r="N881" s="52" t="str">
        <f>IF(AND('331-CT'!$E$7=TH!H881,OR(L881="331",M881="331")),"331",IF(AND(OR(L881="131",M881="131"),H881='131-CT'!$E$7),"131",""))</f>
        <v/>
      </c>
      <c r="O881" s="818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>x</v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52">
        <v>2</v>
      </c>
      <c r="AE881" s="209"/>
      <c r="AF881" s="209"/>
    </row>
    <row r="882" spans="1:32" s="552" customFormat="1" ht="15.75" customHeight="1">
      <c r="A882" s="202" t="str">
        <f>IF(B882&lt;&gt;"",IF(AND(B882&gt;=_TM1,B882&lt;=_TM2,OR(TH!L882="1111",TH!M882="1111")),TH!D882,""),"")</f>
        <v/>
      </c>
      <c r="B882" s="36">
        <f t="shared" si="45"/>
        <v>5</v>
      </c>
      <c r="C882" s="182">
        <f t="shared" si="46"/>
        <v>42502</v>
      </c>
      <c r="D882" s="182" t="s">
        <v>669</v>
      </c>
      <c r="E882" s="189">
        <v>42502</v>
      </c>
      <c r="F882" s="187" t="s">
        <v>794</v>
      </c>
      <c r="G882" s="190" t="s">
        <v>330</v>
      </c>
      <c r="H882" s="7"/>
      <c r="I882" s="251"/>
      <c r="J882" s="251"/>
      <c r="K882" s="560">
        <v>1364</v>
      </c>
      <c r="L882" s="192" t="s">
        <v>9</v>
      </c>
      <c r="M882" s="192" t="s">
        <v>24</v>
      </c>
      <c r="N882" s="52" t="str">
        <f>IF(AND('331-CT'!$E$7=TH!H882,OR(L882="331",M882="331")),"331",IF(AND(OR(L882="131",M882="131"),H882='131-CT'!$E$7),"131",""))</f>
        <v/>
      </c>
      <c r="O882" s="818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52">
        <v>2</v>
      </c>
      <c r="AC882" s="209"/>
      <c r="AD882" s="209"/>
      <c r="AE882" s="209"/>
      <c r="AF882" s="209"/>
    </row>
    <row r="883" spans="1:32" s="552" customFormat="1" ht="15.75" customHeight="1">
      <c r="A883" s="202" t="str">
        <f>IF(B883&lt;&gt;"",IF(AND(B883&gt;=_TM1,B883&lt;=_TM2,OR(TH!L883="1111",TH!M883="1111")),TH!D883,""),"")</f>
        <v/>
      </c>
      <c r="B883" s="36">
        <f t="shared" si="45"/>
        <v>5</v>
      </c>
      <c r="C883" s="182">
        <f t="shared" si="46"/>
        <v>42502</v>
      </c>
      <c r="D883" s="182" t="s">
        <v>669</v>
      </c>
      <c r="E883" s="189">
        <v>42502</v>
      </c>
      <c r="F883" s="190" t="s">
        <v>672</v>
      </c>
      <c r="G883" s="190" t="s">
        <v>330</v>
      </c>
      <c r="H883" s="7"/>
      <c r="I883" s="251"/>
      <c r="J883" s="251"/>
      <c r="K883" s="560">
        <v>13636</v>
      </c>
      <c r="L883" s="192" t="s">
        <v>83</v>
      </c>
      <c r="M883" s="192" t="s">
        <v>24</v>
      </c>
      <c r="N883" s="52" t="str">
        <f>IF(AND('331-CT'!$E$7=TH!H883,OR(L883="331",M883="331")),"331",IF(AND(OR(L883="131",M883="131"),H883='131-CT'!$E$7),"131",""))</f>
        <v/>
      </c>
      <c r="O883" s="818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>x</v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52">
        <v>2</v>
      </c>
      <c r="AE883" s="209"/>
      <c r="AF883" s="209"/>
    </row>
    <row r="884" spans="1:32" s="552" customFormat="1" ht="15.75" customHeight="1">
      <c r="A884" s="202" t="str">
        <f>IF(B884&lt;&gt;"",IF(AND(B884&gt;=_TM1,B884&lt;=_TM2,OR(TH!L884="1111",TH!M884="1111")),TH!D884,""),"")</f>
        <v/>
      </c>
      <c r="B884" s="36">
        <f t="shared" si="45"/>
        <v>5</v>
      </c>
      <c r="C884" s="182">
        <f t="shared" si="46"/>
        <v>42502</v>
      </c>
      <c r="D884" s="182" t="s">
        <v>669</v>
      </c>
      <c r="E884" s="189">
        <v>42502</v>
      </c>
      <c r="F884" s="190" t="s">
        <v>762</v>
      </c>
      <c r="G884" s="190" t="s">
        <v>330</v>
      </c>
      <c r="H884" s="7"/>
      <c r="I884" s="251"/>
      <c r="J884" s="251"/>
      <c r="K884" s="560">
        <v>1364</v>
      </c>
      <c r="L884" s="192" t="s">
        <v>9</v>
      </c>
      <c r="M884" s="192" t="s">
        <v>24</v>
      </c>
      <c r="N884" s="52" t="str">
        <f>IF(AND('331-CT'!$E$7=TH!H884,OR(L884="331",M884="331")),"331",IF(AND(OR(L884="131",M884="131"),H884='131-CT'!$E$7),"131",""))</f>
        <v/>
      </c>
      <c r="O884" s="818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52">
        <v>2</v>
      </c>
      <c r="AE884" s="209"/>
      <c r="AF884" s="209"/>
    </row>
    <row r="885" spans="1:32" s="552" customFormat="1" ht="15.75" customHeight="1">
      <c r="A885" s="202" t="str">
        <f>IF(B885&lt;&gt;"",IF(AND(B885&gt;=_TM1,B885&lt;=_TM2,OR(TH!L885="1111",TH!M885="1111")),TH!D885,""),"")</f>
        <v/>
      </c>
      <c r="B885" s="36">
        <f t="shared" si="45"/>
        <v>5</v>
      </c>
      <c r="C885" s="182">
        <f t="shared" si="46"/>
        <v>42502</v>
      </c>
      <c r="D885" s="189" t="s">
        <v>1118</v>
      </c>
      <c r="E885" s="182">
        <v>42502</v>
      </c>
      <c r="F885" s="187" t="s">
        <v>645</v>
      </c>
      <c r="G885" s="451" t="s">
        <v>552</v>
      </c>
      <c r="H885" s="7" t="s">
        <v>428</v>
      </c>
      <c r="I885" s="251">
        <v>50</v>
      </c>
      <c r="J885" s="251">
        <v>13400</v>
      </c>
      <c r="K885" s="38">
        <f>ROUND(I885*J885,0)</f>
        <v>670000</v>
      </c>
      <c r="L885" s="192" t="s">
        <v>258</v>
      </c>
      <c r="M885" s="192" t="s">
        <v>173</v>
      </c>
      <c r="N885" s="52" t="str">
        <f>IF(AND('331-CT'!$E$7=TH!H885,OR(L885="331",M885="331")),"331",IF(AND(OR(L885="131",M885="131"),H885='131-CT'!$E$7),"131",""))</f>
        <v/>
      </c>
      <c r="O885" s="818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52"/>
      <c r="AE885" s="209"/>
      <c r="AF885" s="209"/>
    </row>
    <row r="886" spans="1:32" s="552" customFormat="1" ht="15.75" customHeight="1">
      <c r="A886" s="202" t="str">
        <f>IF(B886&lt;&gt;"",IF(AND(B886&gt;=_TM1,B886&lt;=_TM2,OR(TH!L886="1111",TH!M886="1111")),TH!D886,""),"")</f>
        <v/>
      </c>
      <c r="B886" s="36">
        <f t="shared" si="45"/>
        <v>5</v>
      </c>
      <c r="C886" s="182">
        <f t="shared" si="46"/>
        <v>42502</v>
      </c>
      <c r="D886" s="189" t="s">
        <v>1118</v>
      </c>
      <c r="E886" s="182">
        <v>42502</v>
      </c>
      <c r="F886" s="187" t="s">
        <v>645</v>
      </c>
      <c r="G886" s="451" t="s">
        <v>552</v>
      </c>
      <c r="H886" s="7" t="s">
        <v>428</v>
      </c>
      <c r="I886" s="251">
        <v>1019</v>
      </c>
      <c r="J886" s="251">
        <v>13800</v>
      </c>
      <c r="K886" s="38">
        <f>ROUND(I886*J886,0)</f>
        <v>14062200</v>
      </c>
      <c r="L886" s="192" t="s">
        <v>258</v>
      </c>
      <c r="M886" s="192" t="s">
        <v>173</v>
      </c>
      <c r="N886" s="52" t="str">
        <f>IF(AND('331-CT'!$E$7=TH!H886,OR(L886="331",M886="331")),"331",IF(AND(OR(L886="131",M886="131"),H886='131-CT'!$E$7),"131",""))</f>
        <v/>
      </c>
      <c r="O886" s="818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52"/>
      <c r="AD886" s="209"/>
      <c r="AE886" s="209"/>
      <c r="AF886" s="209"/>
    </row>
    <row r="887" spans="1:32" s="552" customFormat="1" ht="15.75" customHeight="1">
      <c r="A887" s="202" t="str">
        <f>IF(B887&lt;&gt;"",IF(AND(B887&gt;=_TM1,B887&lt;=_TM2,OR(TH!L887="1111",TH!M887="1111")),TH!D887,""),"")</f>
        <v/>
      </c>
      <c r="B887" s="36">
        <f t="shared" si="45"/>
        <v>5</v>
      </c>
      <c r="C887" s="182">
        <f t="shared" si="46"/>
        <v>42502</v>
      </c>
      <c r="D887" s="189" t="s">
        <v>1118</v>
      </c>
      <c r="E887" s="182">
        <v>42502</v>
      </c>
      <c r="F887" s="187" t="s">
        <v>693</v>
      </c>
      <c r="G887" s="451" t="s">
        <v>552</v>
      </c>
      <c r="H887" s="7" t="s">
        <v>428</v>
      </c>
      <c r="I887" s="251">
        <v>2138</v>
      </c>
      <c r="J887" s="251">
        <v>1300</v>
      </c>
      <c r="K887" s="38">
        <f>ROUND(I887*J887,0)</f>
        <v>2779400</v>
      </c>
      <c r="L887" s="192" t="s">
        <v>258</v>
      </c>
      <c r="M887" s="192" t="s">
        <v>173</v>
      </c>
      <c r="N887" s="52" t="str">
        <f>IF(AND('331-CT'!$E$7=TH!H887,OR(L887="331",M887="331")),"331",IF(AND(OR(L887="131",M887="131"),H887='131-CT'!$E$7),"131",""))</f>
        <v/>
      </c>
      <c r="O887" s="818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52"/>
      <c r="AD887" s="209"/>
      <c r="AE887" s="209"/>
      <c r="AF887" s="209"/>
    </row>
    <row r="888" spans="1:32" s="552" customFormat="1" ht="15.75" customHeight="1">
      <c r="A888" s="202" t="str">
        <f>IF(B888&lt;&gt;"",IF(AND(B888&gt;=_TM1,B888&lt;=_TM2,OR(TH!L888="1111",TH!M888="1111")),TH!D888,""),"")</f>
        <v/>
      </c>
      <c r="B888" s="36">
        <f t="shared" si="45"/>
        <v>5</v>
      </c>
      <c r="C888" s="182">
        <f t="shared" si="46"/>
        <v>42502</v>
      </c>
      <c r="D888" s="189" t="s">
        <v>1118</v>
      </c>
      <c r="E888" s="182">
        <v>42502</v>
      </c>
      <c r="F888" s="187" t="s">
        <v>393</v>
      </c>
      <c r="G888" s="451" t="s">
        <v>552</v>
      </c>
      <c r="H888" s="7" t="s">
        <v>428</v>
      </c>
      <c r="I888" s="251"/>
      <c r="J888" s="251"/>
      <c r="K888" s="560">
        <v>1751160</v>
      </c>
      <c r="L888" s="192" t="s">
        <v>258</v>
      </c>
      <c r="M888" s="192" t="s">
        <v>367</v>
      </c>
      <c r="N888" s="52" t="str">
        <f>IF(AND('331-CT'!$E$7=TH!H888,OR(L888="331",M888="331")),"331",IF(AND(OR(L888="131",M888="131"),H888='131-CT'!$E$7),"131",""))</f>
        <v/>
      </c>
      <c r="O888" s="818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52"/>
      <c r="AD888" s="209"/>
      <c r="AE888" s="209"/>
      <c r="AF888" s="209"/>
    </row>
    <row r="889" spans="1:32" s="552" customFormat="1" ht="15.75" customHeight="1">
      <c r="A889" s="202" t="str">
        <f>IF(B889&lt;&gt;"",IF(AND(B889&gt;=_TM1,B889&lt;=_TM2,OR(TH!L889="1111",TH!M889="1111")),TH!D889,""),"")</f>
        <v/>
      </c>
      <c r="B889" s="36">
        <f t="shared" si="45"/>
        <v>5</v>
      </c>
      <c r="C889" s="182">
        <f t="shared" si="46"/>
        <v>42502</v>
      </c>
      <c r="D889" s="189" t="s">
        <v>1119</v>
      </c>
      <c r="E889" s="182">
        <v>42502</v>
      </c>
      <c r="F889" s="187" t="s">
        <v>389</v>
      </c>
      <c r="G889" s="451" t="s">
        <v>553</v>
      </c>
      <c r="H889" s="7" t="s">
        <v>391</v>
      </c>
      <c r="I889" s="251">
        <v>1236</v>
      </c>
      <c r="J889" s="251">
        <v>5000</v>
      </c>
      <c r="K889" s="38">
        <f>ROUND(I889*J889,0)</f>
        <v>6180000</v>
      </c>
      <c r="L889" s="192" t="s">
        <v>258</v>
      </c>
      <c r="M889" s="192" t="s">
        <v>173</v>
      </c>
      <c r="N889" s="52" t="str">
        <f>IF(AND('331-CT'!$E$7=TH!H889,OR(L889="331",M889="331")),"331",IF(AND(OR(L889="131",M889="131"),H889='131-CT'!$E$7),"131",""))</f>
        <v/>
      </c>
      <c r="O889" s="818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52"/>
      <c r="AD889" s="209"/>
      <c r="AE889" s="209"/>
      <c r="AF889" s="209"/>
    </row>
    <row r="890" spans="1:32" s="552" customFormat="1" ht="15.75" customHeight="1">
      <c r="A890" s="202" t="str">
        <f>IF(B890&lt;&gt;"",IF(AND(B890&gt;=_TM1,B890&lt;=_TM2,OR(TH!L890="1111",TH!M890="1111")),TH!D890,""),"")</f>
        <v/>
      </c>
      <c r="B890" s="36">
        <f t="shared" si="45"/>
        <v>5</v>
      </c>
      <c r="C890" s="182">
        <f t="shared" si="46"/>
        <v>42502</v>
      </c>
      <c r="D890" s="189" t="s">
        <v>1119</v>
      </c>
      <c r="E890" s="182">
        <v>42502</v>
      </c>
      <c r="F890" s="187" t="s">
        <v>414</v>
      </c>
      <c r="G890" s="451" t="s">
        <v>553</v>
      </c>
      <c r="H890" s="7" t="s">
        <v>391</v>
      </c>
      <c r="I890" s="251">
        <v>300</v>
      </c>
      <c r="J890" s="251">
        <v>5550</v>
      </c>
      <c r="K890" s="38">
        <f>ROUND(I890*J890,0)</f>
        <v>1665000</v>
      </c>
      <c r="L890" s="192" t="s">
        <v>258</v>
      </c>
      <c r="M890" s="192" t="s">
        <v>173</v>
      </c>
      <c r="N890" s="52" t="str">
        <f>IF(AND('331-CT'!$E$7=TH!H890,OR(L890="331",M890="331")),"331",IF(AND(OR(L890="131",M890="131"),H890='131-CT'!$E$7),"131",""))</f>
        <v/>
      </c>
      <c r="O890" s="818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52"/>
      <c r="AD890" s="209"/>
      <c r="AE890" s="209"/>
      <c r="AF890" s="209"/>
    </row>
    <row r="891" spans="1:32" s="552" customFormat="1" ht="15.75" customHeight="1">
      <c r="A891" s="202" t="str">
        <f>IF(B891&lt;&gt;"",IF(AND(B891&gt;=_TM1,B891&lt;=_TM2,OR(TH!L891="1111",TH!M891="1111")),TH!D891,""),"")</f>
        <v/>
      </c>
      <c r="B891" s="36">
        <f t="shared" si="45"/>
        <v>5</v>
      </c>
      <c r="C891" s="182">
        <f t="shared" si="46"/>
        <v>42502</v>
      </c>
      <c r="D891" s="189" t="s">
        <v>1119</v>
      </c>
      <c r="E891" s="182">
        <v>42502</v>
      </c>
      <c r="F891" s="187" t="s">
        <v>454</v>
      </c>
      <c r="G891" s="451" t="s">
        <v>553</v>
      </c>
      <c r="H891" s="7" t="s">
        <v>391</v>
      </c>
      <c r="I891" s="251">
        <v>310</v>
      </c>
      <c r="J891" s="251">
        <v>10670</v>
      </c>
      <c r="K891" s="38">
        <f>ROUND(I891*J891,0)</f>
        <v>3307700</v>
      </c>
      <c r="L891" s="192" t="s">
        <v>258</v>
      </c>
      <c r="M891" s="192" t="s">
        <v>173</v>
      </c>
      <c r="N891" s="52" t="str">
        <f>IF(AND('331-CT'!$E$7=TH!H891,OR(L891="331",M891="331")),"331",IF(AND(OR(L891="131",M891="131"),H891='131-CT'!$E$7),"131",""))</f>
        <v/>
      </c>
      <c r="O891" s="818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52"/>
      <c r="AD891" s="209"/>
      <c r="AE891" s="209"/>
      <c r="AF891" s="209"/>
    </row>
    <row r="892" spans="1:32" s="552" customFormat="1" ht="15.75" customHeight="1">
      <c r="A892" s="202" t="str">
        <f>IF(B892&lt;&gt;"",IF(AND(B892&gt;=_TM1,B892&lt;=_TM2,OR(TH!L892="1111",TH!M892="1111")),TH!D892,""),"")</f>
        <v/>
      </c>
      <c r="B892" s="36">
        <f t="shared" si="45"/>
        <v>5</v>
      </c>
      <c r="C892" s="182">
        <f t="shared" si="46"/>
        <v>42502</v>
      </c>
      <c r="D892" s="189" t="s">
        <v>1119</v>
      </c>
      <c r="E892" s="182">
        <v>42502</v>
      </c>
      <c r="F892" s="187" t="s">
        <v>393</v>
      </c>
      <c r="G892" s="451" t="s">
        <v>553</v>
      </c>
      <c r="H892" s="7" t="s">
        <v>391</v>
      </c>
      <c r="I892" s="251"/>
      <c r="J892" s="251"/>
      <c r="K892" s="38">
        <v>1115270</v>
      </c>
      <c r="L892" s="192" t="s">
        <v>258</v>
      </c>
      <c r="M892" s="192" t="s">
        <v>367</v>
      </c>
      <c r="N892" s="52" t="str">
        <f>IF(AND('331-CT'!$E$7=TH!H892,OR(L892="331",M892="331")),"331",IF(AND(OR(L892="131",M892="131"),H892='131-CT'!$E$7),"131",""))</f>
        <v/>
      </c>
      <c r="O892" s="818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52"/>
      <c r="AD892" s="209"/>
      <c r="AE892" s="209"/>
      <c r="AF892" s="209"/>
    </row>
    <row r="893" spans="1:32" s="209" customFormat="1" ht="15.75" customHeight="1">
      <c r="A893" s="202" t="str">
        <f>IF(B893&lt;&gt;"",IF(AND(B893&gt;=_TM1,B893&lt;=_TM2,OR(TH!L893="1111",TH!M893="1111")),TH!D893,""),"")</f>
        <v/>
      </c>
      <c r="B893" s="36">
        <f t="shared" si="45"/>
        <v>5</v>
      </c>
      <c r="C893" s="182">
        <f t="shared" si="46"/>
        <v>42503</v>
      </c>
      <c r="D893" s="189" t="s">
        <v>1120</v>
      </c>
      <c r="E893" s="182">
        <v>42503</v>
      </c>
      <c r="F893" s="187" t="s">
        <v>638</v>
      </c>
      <c r="G893" s="451" t="s">
        <v>554</v>
      </c>
      <c r="H893" s="7" t="s">
        <v>788</v>
      </c>
      <c r="I893" s="251">
        <v>307</v>
      </c>
      <c r="J893" s="251">
        <v>6000</v>
      </c>
      <c r="K893" s="38">
        <f>ROUND(I893*J893,0)</f>
        <v>1842000</v>
      </c>
      <c r="L893" s="192" t="s">
        <v>258</v>
      </c>
      <c r="M893" s="192" t="s">
        <v>173</v>
      </c>
      <c r="N893" s="52" t="str">
        <f>IF(AND('331-CT'!$E$7=TH!H893,OR(L893="331",M893="331")),"331",IF(AND(OR(L893="131",M893="131"),H893='131-CT'!$E$7),"131",""))</f>
        <v/>
      </c>
      <c r="O893" s="818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52"/>
      <c r="AB893" s="552"/>
    </row>
    <row r="894" spans="1:32" s="209" customFormat="1" ht="15.75" customHeight="1">
      <c r="A894" s="202" t="str">
        <f>IF(B894&lt;&gt;"",IF(AND(B894&gt;=_TM1,B894&lt;=_TM2,OR(TH!L894="1111",TH!M894="1111")),TH!D894,""),"")</f>
        <v/>
      </c>
      <c r="B894" s="36">
        <f t="shared" si="45"/>
        <v>5</v>
      </c>
      <c r="C894" s="182">
        <f t="shared" si="46"/>
        <v>42503</v>
      </c>
      <c r="D894" s="189" t="s">
        <v>1120</v>
      </c>
      <c r="E894" s="182">
        <v>42503</v>
      </c>
      <c r="F894" s="187" t="s">
        <v>639</v>
      </c>
      <c r="G894" s="451" t="s">
        <v>554</v>
      </c>
      <c r="H894" s="7" t="s">
        <v>788</v>
      </c>
      <c r="I894" s="251">
        <v>302</v>
      </c>
      <c r="J894" s="251">
        <v>6600</v>
      </c>
      <c r="K894" s="38">
        <f>ROUND(I894*J894,0)</f>
        <v>1993200</v>
      </c>
      <c r="L894" s="192" t="s">
        <v>258</v>
      </c>
      <c r="M894" s="192" t="s">
        <v>173</v>
      </c>
      <c r="N894" s="52" t="str">
        <f>IF(AND('331-CT'!$E$7=TH!H894,OR(L894="331",M894="331")),"331",IF(AND(OR(L894="131",M894="131"),H894='131-CT'!$E$7),"131",""))</f>
        <v/>
      </c>
      <c r="O894" s="818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52"/>
      <c r="AB894" s="552"/>
      <c r="AC894" s="552"/>
    </row>
    <row r="895" spans="1:32" s="209" customFormat="1" ht="15.75" customHeight="1">
      <c r="A895" s="202" t="str">
        <f>IF(B895&lt;&gt;"",IF(AND(B895&gt;=_TM1,B895&lt;=_TM2,OR(TH!L895="1111",TH!M895="1111")),TH!D895,""),"")</f>
        <v/>
      </c>
      <c r="B895" s="36">
        <f t="shared" si="45"/>
        <v>5</v>
      </c>
      <c r="C895" s="182">
        <f t="shared" si="46"/>
        <v>42503</v>
      </c>
      <c r="D895" s="189" t="s">
        <v>1120</v>
      </c>
      <c r="E895" s="182">
        <v>42503</v>
      </c>
      <c r="F895" s="187" t="s">
        <v>640</v>
      </c>
      <c r="G895" s="451" t="s">
        <v>554</v>
      </c>
      <c r="H895" s="7" t="s">
        <v>788</v>
      </c>
      <c r="I895" s="251">
        <v>396</v>
      </c>
      <c r="J895" s="251">
        <v>11700</v>
      </c>
      <c r="K895" s="38">
        <f>ROUND(I895*J895,0)</f>
        <v>4633200</v>
      </c>
      <c r="L895" s="192" t="s">
        <v>258</v>
      </c>
      <c r="M895" s="192" t="s">
        <v>173</v>
      </c>
      <c r="N895" s="52" t="str">
        <f>IF(AND('331-CT'!$E$7=TH!H895,OR(L895="331",M895="331")),"331",IF(AND(OR(L895="131",M895="131"),H895='131-CT'!$E$7),"131",""))</f>
        <v/>
      </c>
      <c r="O895" s="818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52"/>
      <c r="AB895" s="552"/>
      <c r="AC895" s="552"/>
    </row>
    <row r="896" spans="1:32" s="209" customFormat="1" ht="15.75" customHeight="1">
      <c r="A896" s="202" t="str">
        <f>IF(B896&lt;&gt;"",IF(AND(B896&gt;=_TM1,B896&lt;=_TM2,OR(TH!L896="1111",TH!M896="1111")),TH!D896,""),"")</f>
        <v/>
      </c>
      <c r="B896" s="36">
        <f t="shared" si="45"/>
        <v>5</v>
      </c>
      <c r="C896" s="182">
        <f t="shared" si="46"/>
        <v>42503</v>
      </c>
      <c r="D896" s="189" t="s">
        <v>1120</v>
      </c>
      <c r="E896" s="182">
        <v>42503</v>
      </c>
      <c r="F896" s="187" t="s">
        <v>393</v>
      </c>
      <c r="G896" s="451" t="s">
        <v>554</v>
      </c>
      <c r="H896" s="7" t="s">
        <v>788</v>
      </c>
      <c r="I896" s="251"/>
      <c r="J896" s="251"/>
      <c r="K896" s="38">
        <v>846840</v>
      </c>
      <c r="L896" s="192" t="s">
        <v>258</v>
      </c>
      <c r="M896" s="192" t="s">
        <v>367</v>
      </c>
      <c r="N896" s="52" t="str">
        <f>IF(AND('331-CT'!$E$7=TH!H896,OR(L896="331",M896="331")),"331",IF(AND(OR(L896="131",M896="131"),H896='131-CT'!$E$7),"131",""))</f>
        <v/>
      </c>
      <c r="O896" s="818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52"/>
      <c r="AB896" s="552"/>
      <c r="AC896" s="552"/>
    </row>
    <row r="897" spans="1:32" s="209" customFormat="1" ht="15.75" customHeight="1">
      <c r="A897" s="202" t="str">
        <f>IF(B897&lt;&gt;"",IF(AND(B897&gt;=_TM1,B897&lt;=_TM2,OR(TH!L897="1111",TH!M897="1111")),TH!D897,""),"")</f>
        <v/>
      </c>
      <c r="B897" s="36">
        <f t="shared" si="45"/>
        <v>5</v>
      </c>
      <c r="C897" s="182">
        <f t="shared" si="46"/>
        <v>42503</v>
      </c>
      <c r="D897" s="189" t="s">
        <v>1121</v>
      </c>
      <c r="E897" s="182">
        <v>42503</v>
      </c>
      <c r="F897" s="187" t="s">
        <v>1024</v>
      </c>
      <c r="G897" s="451" t="s">
        <v>555</v>
      </c>
      <c r="H897" s="7" t="s">
        <v>797</v>
      </c>
      <c r="I897" s="251">
        <v>592</v>
      </c>
      <c r="J897" s="251">
        <v>7000</v>
      </c>
      <c r="K897" s="38">
        <f>ROUND(I897*J897,0)</f>
        <v>4144000</v>
      </c>
      <c r="L897" s="192" t="s">
        <v>258</v>
      </c>
      <c r="M897" s="192" t="s">
        <v>173</v>
      </c>
      <c r="N897" s="52" t="str">
        <f>IF(AND('331-CT'!$E$7=TH!H897,OR(L897="331",M897="331")),"331",IF(AND(OR(L897="131",M897="131"),H897='131-CT'!$E$7),"131",""))</f>
        <v/>
      </c>
      <c r="O897" s="818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52"/>
      <c r="AB897" s="552"/>
      <c r="AC897" s="552"/>
    </row>
    <row r="898" spans="1:32" s="209" customFormat="1" ht="15.75" customHeight="1">
      <c r="A898" s="202" t="str">
        <f>IF(B898&lt;&gt;"",IF(AND(B898&gt;=_TM1,B898&lt;=_TM2,OR(TH!L898="1111",TH!M898="1111")),TH!D898,""),"")</f>
        <v/>
      </c>
      <c r="B898" s="36">
        <f t="shared" si="45"/>
        <v>5</v>
      </c>
      <c r="C898" s="182">
        <f t="shared" si="46"/>
        <v>42503</v>
      </c>
      <c r="D898" s="189" t="s">
        <v>1121</v>
      </c>
      <c r="E898" s="182">
        <v>42503</v>
      </c>
      <c r="F898" s="187" t="s">
        <v>393</v>
      </c>
      <c r="G898" s="451" t="s">
        <v>555</v>
      </c>
      <c r="H898" s="7" t="s">
        <v>797</v>
      </c>
      <c r="I898" s="251"/>
      <c r="J898" s="251"/>
      <c r="K898" s="38">
        <v>414400</v>
      </c>
      <c r="L898" s="192" t="s">
        <v>258</v>
      </c>
      <c r="M898" s="192" t="s">
        <v>367</v>
      </c>
      <c r="N898" s="52" t="str">
        <f>IF(AND('331-CT'!$E$7=TH!H898,OR(L898="331",M898="331")),"331",IF(AND(OR(L898="131",M898="131"),H898='131-CT'!$E$7),"131",""))</f>
        <v/>
      </c>
      <c r="O898" s="818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52"/>
      <c r="AB898" s="552"/>
      <c r="AC898" s="552"/>
    </row>
    <row r="899" spans="1:32" s="209" customFormat="1" ht="15.75" customHeight="1">
      <c r="A899" s="202" t="str">
        <f>IF(B899&lt;&gt;"",IF(AND(B899&gt;=_TM1,B899&lt;=_TM2,OR(TH!L899="1111",TH!M899="1111")),TH!D899,""),"")</f>
        <v/>
      </c>
      <c r="B899" s="36">
        <f t="shared" si="45"/>
        <v>5</v>
      </c>
      <c r="C899" s="182">
        <f t="shared" si="46"/>
        <v>42503</v>
      </c>
      <c r="D899" s="189" t="s">
        <v>1122</v>
      </c>
      <c r="E899" s="182">
        <v>42503</v>
      </c>
      <c r="F899" s="40" t="s">
        <v>680</v>
      </c>
      <c r="G899" s="451" t="s">
        <v>1025</v>
      </c>
      <c r="H899" s="7" t="s">
        <v>798</v>
      </c>
      <c r="I899" s="251">
        <v>1566</v>
      </c>
      <c r="J899" s="251">
        <v>9300</v>
      </c>
      <c r="K899" s="38">
        <f>ROUND(I899*J899,0)</f>
        <v>14563800</v>
      </c>
      <c r="L899" s="192" t="s">
        <v>258</v>
      </c>
      <c r="M899" s="192" t="s">
        <v>173</v>
      </c>
      <c r="N899" s="52" t="str">
        <f>IF(AND('331-CT'!$E$7=TH!H899,OR(L899="331",M899="331")),"331",IF(AND(OR(L899="131",M899="131"),H899='131-CT'!$E$7),"131",""))</f>
        <v/>
      </c>
      <c r="O899" s="818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52"/>
      <c r="AB899" s="552"/>
      <c r="AC899" s="552"/>
    </row>
    <row r="900" spans="1:32" s="209" customFormat="1" ht="15.75" customHeight="1">
      <c r="A900" s="202" t="str">
        <f>IF(B900&lt;&gt;"",IF(AND(B900&gt;=_TM1,B900&lt;=_TM2,OR(TH!L900="1111",TH!M900="1111")),TH!D900,""),"")</f>
        <v/>
      </c>
      <c r="B900" s="36">
        <f t="shared" si="45"/>
        <v>5</v>
      </c>
      <c r="C900" s="182">
        <f t="shared" si="46"/>
        <v>42503</v>
      </c>
      <c r="D900" s="189" t="s">
        <v>1122</v>
      </c>
      <c r="E900" s="182">
        <v>42503</v>
      </c>
      <c r="F900" s="187" t="s">
        <v>1026</v>
      </c>
      <c r="G900" s="451" t="s">
        <v>1025</v>
      </c>
      <c r="H900" s="7" t="s">
        <v>798</v>
      </c>
      <c r="I900" s="251"/>
      <c r="J900" s="251"/>
      <c r="K900" s="38">
        <v>1456380</v>
      </c>
      <c r="L900" s="192" t="s">
        <v>258</v>
      </c>
      <c r="M900" s="192" t="s">
        <v>367</v>
      </c>
      <c r="N900" s="52" t="str">
        <f>IF(AND('331-CT'!$E$7=TH!H900,OR(L900="331",M900="331")),"331",IF(AND(OR(L900="131",M900="131"),H900='131-CT'!$E$7),"131",""))</f>
        <v/>
      </c>
      <c r="O900" s="818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52"/>
      <c r="AB900" s="552"/>
    </row>
    <row r="901" spans="1:32" s="209" customFormat="1" ht="15.75" customHeight="1">
      <c r="A901" s="202" t="str">
        <f>IF(B901&lt;&gt;"",IF(AND(B901&gt;=_TM1,B901&lt;=_TM2,OR(TH!L901="1111",TH!M901="1111")),TH!D901,""),"")</f>
        <v/>
      </c>
      <c r="B901" s="36">
        <f t="shared" si="45"/>
        <v>5</v>
      </c>
      <c r="C901" s="182">
        <f t="shared" si="46"/>
        <v>42503</v>
      </c>
      <c r="D901" s="182" t="s">
        <v>1633</v>
      </c>
      <c r="E901" s="189">
        <v>42503</v>
      </c>
      <c r="F901" s="40" t="s">
        <v>666</v>
      </c>
      <c r="G901" s="451" t="s">
        <v>1608</v>
      </c>
      <c r="H901" s="7" t="s">
        <v>643</v>
      </c>
      <c r="I901" s="252"/>
      <c r="J901" s="252"/>
      <c r="K901" s="560">
        <v>18810000</v>
      </c>
      <c r="L901" s="561" t="s">
        <v>47</v>
      </c>
      <c r="M901" s="561" t="s">
        <v>258</v>
      </c>
      <c r="N901" s="52" t="str">
        <f>IF(AND('331-CT'!$E$7=TH!H901,OR(L901="331",M901="331")),"331",IF(AND(OR(L901="131",M901="131"),H901='131-CT'!$E$7),"131",""))</f>
        <v/>
      </c>
      <c r="O901" s="818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52"/>
      <c r="AB901" s="552"/>
      <c r="AC901" s="552"/>
    </row>
    <row r="902" spans="1:32" s="209" customFormat="1" ht="15.75" customHeight="1">
      <c r="A902" s="202" t="str">
        <f>IF(B902&lt;&gt;"",IF(AND(B902&gt;=_TM1,B902&lt;=_TM2,OR(TH!L902="1111",TH!M902="1111")),TH!D902,""),"")</f>
        <v/>
      </c>
      <c r="B902" s="36">
        <f t="shared" si="45"/>
        <v>5</v>
      </c>
      <c r="C902" s="182">
        <f t="shared" si="46"/>
        <v>42504</v>
      </c>
      <c r="D902" s="182" t="s">
        <v>665</v>
      </c>
      <c r="E902" s="189">
        <v>42504</v>
      </c>
      <c r="F902" s="190" t="s">
        <v>666</v>
      </c>
      <c r="G902" s="190" t="s">
        <v>330</v>
      </c>
      <c r="H902" s="7" t="s">
        <v>785</v>
      </c>
      <c r="I902" s="251"/>
      <c r="J902" s="251"/>
      <c r="K902" s="560">
        <v>3431000</v>
      </c>
      <c r="L902" s="192" t="s">
        <v>24</v>
      </c>
      <c r="M902" s="192" t="s">
        <v>258</v>
      </c>
      <c r="N902" s="52" t="str">
        <f>IF(AND('331-CT'!$E$7=TH!H902,OR(L902="331",M902="331")),"331",IF(AND(OR(L902="131",M902="131"),H902='131-CT'!$E$7),"131",""))</f>
        <v/>
      </c>
      <c r="O902" s="818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53"/>
      <c r="AB902" s="552"/>
      <c r="AC902" s="552"/>
    </row>
    <row r="903" spans="1:32" s="209" customFormat="1" ht="15.75" customHeight="1">
      <c r="A903" s="202" t="str">
        <f>IF(B903&lt;&gt;"",IF(AND(B903&gt;=_TM1,B903&lt;=_TM2,OR(TH!L903="1111",TH!M903="1111")),TH!D903,""),"")</f>
        <v/>
      </c>
      <c r="B903" s="36">
        <f t="shared" si="45"/>
        <v>5</v>
      </c>
      <c r="C903" s="182">
        <f t="shared" si="46"/>
        <v>42504</v>
      </c>
      <c r="D903" s="189" t="s">
        <v>1196</v>
      </c>
      <c r="E903" s="182">
        <v>42504</v>
      </c>
      <c r="F903" s="190" t="s">
        <v>680</v>
      </c>
      <c r="G903" s="451" t="s">
        <v>848</v>
      </c>
      <c r="H903" s="7" t="s">
        <v>1554</v>
      </c>
      <c r="I903" s="251">
        <v>8288</v>
      </c>
      <c r="J903" s="251">
        <v>9000</v>
      </c>
      <c r="K903" s="38">
        <f>ROUND(I903*J903,0)</f>
        <v>74592000</v>
      </c>
      <c r="L903" s="192" t="s">
        <v>158</v>
      </c>
      <c r="M903" s="192" t="s">
        <v>8</v>
      </c>
      <c r="N903" s="52" t="str">
        <f>IF(AND('331-CT'!$E$7=TH!H903,OR(L903="331",M903="331")),"331",IF(AND(OR(L903="131",M903="131"),H903='131-CT'!$E$7),"131",""))</f>
        <v/>
      </c>
      <c r="O903" s="818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52">
        <v>2</v>
      </c>
      <c r="AB903" s="552"/>
      <c r="AC903" s="209" t="str">
        <f>IF(VLOOKUP(H903,DSKH,1,0)=H903,"","x")</f>
        <v/>
      </c>
      <c r="AE903" s="552"/>
      <c r="AF903" s="552"/>
    </row>
    <row r="904" spans="1:32" s="209" customFormat="1" ht="15.75" customHeight="1">
      <c r="A904" s="202" t="str">
        <f>IF(B904&lt;&gt;"",IF(AND(B904&gt;=_TM1,B904&lt;=_TM2,OR(TH!L904="1111",TH!M904="1111")),TH!D904,""),"")</f>
        <v/>
      </c>
      <c r="B904" s="36">
        <f t="shared" si="45"/>
        <v>5</v>
      </c>
      <c r="C904" s="182">
        <f t="shared" si="46"/>
        <v>42504</v>
      </c>
      <c r="D904" s="189" t="s">
        <v>1196</v>
      </c>
      <c r="E904" s="182">
        <v>42504</v>
      </c>
      <c r="F904" s="187" t="s">
        <v>681</v>
      </c>
      <c r="G904" s="451" t="s">
        <v>848</v>
      </c>
      <c r="H904" s="7" t="s">
        <v>1554</v>
      </c>
      <c r="I904" s="251"/>
      <c r="J904" s="251"/>
      <c r="K904" s="560">
        <v>7459200</v>
      </c>
      <c r="L904" s="192" t="s">
        <v>9</v>
      </c>
      <c r="M904" s="192" t="s">
        <v>8</v>
      </c>
      <c r="N904" s="52" t="str">
        <f>IF(AND('331-CT'!$E$7=TH!H904,OR(L904="331",M904="331")),"331",IF(AND(OR(L904="131",M904="131"),H904='131-CT'!$E$7),"131",""))</f>
        <v/>
      </c>
      <c r="O904" s="818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52">
        <v>2</v>
      </c>
      <c r="AB904" s="552"/>
      <c r="AC904" s="209" t="str">
        <f>IF(VLOOKUP(H904,DSKH,1,0)=H904,"","x")</f>
        <v/>
      </c>
      <c r="AE904" s="552"/>
      <c r="AF904" s="552"/>
    </row>
    <row r="905" spans="1:32" s="209" customFormat="1" ht="15.75" customHeight="1">
      <c r="A905" s="202" t="str">
        <f>IF(B905&lt;&gt;"",IF(AND(B905&gt;=_TM1,B905&lt;=_TM2,OR(TH!L905="1111",TH!M905="1111")),TH!D905,""),"")</f>
        <v/>
      </c>
      <c r="B905" s="36">
        <f t="shared" si="45"/>
        <v>5</v>
      </c>
      <c r="C905" s="182">
        <f t="shared" si="46"/>
        <v>42505</v>
      </c>
      <c r="D905" s="182" t="s">
        <v>669</v>
      </c>
      <c r="E905" s="182">
        <v>42505</v>
      </c>
      <c r="F905" s="187" t="s">
        <v>770</v>
      </c>
      <c r="G905" s="448" t="s">
        <v>756</v>
      </c>
      <c r="H905" s="191" t="s">
        <v>768</v>
      </c>
      <c r="I905" s="251"/>
      <c r="J905" s="251"/>
      <c r="K905" s="560">
        <v>1325000</v>
      </c>
      <c r="L905" s="561" t="s">
        <v>81</v>
      </c>
      <c r="M905" s="561" t="s">
        <v>24</v>
      </c>
      <c r="N905" s="52" t="str">
        <f>IF(AND('331-CT'!$E$7=TH!H905,OR(L905="331",M905="331")),"331",IF(AND(OR(L905="131",M905="131"),H905='131-CT'!$E$7),"131",""))</f>
        <v/>
      </c>
      <c r="O905" s="818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52"/>
      <c r="AB905" s="552"/>
      <c r="AC905" s="552"/>
      <c r="AD905" s="552"/>
      <c r="AE905" s="552"/>
      <c r="AF905" s="552"/>
    </row>
    <row r="906" spans="1:32" s="209" customFormat="1" ht="15.75" customHeight="1">
      <c r="A906" s="202" t="str">
        <f>IF(B906&lt;&gt;"",IF(AND(B906&gt;=_TM1,B906&lt;=_TM2,OR(TH!L906="1111",TH!M906="1111")),TH!D906,""),"")</f>
        <v/>
      </c>
      <c r="B906" s="36">
        <f t="shared" si="45"/>
        <v>5</v>
      </c>
      <c r="C906" s="182">
        <f t="shared" si="46"/>
        <v>42505</v>
      </c>
      <c r="D906" s="182" t="s">
        <v>1634</v>
      </c>
      <c r="E906" s="189">
        <v>42505</v>
      </c>
      <c r="F906" s="40" t="s">
        <v>666</v>
      </c>
      <c r="G906" s="451" t="s">
        <v>1610</v>
      </c>
      <c r="H906" s="7" t="s">
        <v>399</v>
      </c>
      <c r="I906" s="252"/>
      <c r="J906" s="252"/>
      <c r="K906" s="560">
        <v>22517770</v>
      </c>
      <c r="L906" s="561" t="s">
        <v>47</v>
      </c>
      <c r="M906" s="561" t="s">
        <v>258</v>
      </c>
      <c r="N906" s="52" t="str">
        <f>IF(AND('331-CT'!$E$7=TH!H906,OR(L906="331",M906="331")),"331",IF(AND(OR(L906="131",M906="131"),H906='131-CT'!$E$7),"131",""))</f>
        <v/>
      </c>
      <c r="O906" s="818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52"/>
      <c r="AB906" s="552"/>
      <c r="AC906" s="552"/>
    </row>
    <row r="907" spans="1:32" s="209" customFormat="1" ht="15.75" customHeight="1">
      <c r="A907" s="202" t="str">
        <f>IF(B907&lt;&gt;"",IF(AND(B907&gt;=_TM1,B907&lt;=_TM2,OR(TH!L907="1111",TH!M907="1111")),TH!D907,""),"")</f>
        <v/>
      </c>
      <c r="B907" s="36">
        <f t="shared" si="45"/>
        <v>5</v>
      </c>
      <c r="C907" s="182">
        <f t="shared" si="46"/>
        <v>42506</v>
      </c>
      <c r="D907" s="182" t="s">
        <v>665</v>
      </c>
      <c r="E907" s="189">
        <v>42506</v>
      </c>
      <c r="F907" s="190" t="s">
        <v>666</v>
      </c>
      <c r="G907" s="190" t="s">
        <v>330</v>
      </c>
      <c r="H907" s="7" t="s">
        <v>788</v>
      </c>
      <c r="I907" s="251"/>
      <c r="J907" s="251"/>
      <c r="K907" s="560">
        <v>9293240</v>
      </c>
      <c r="L907" s="192" t="s">
        <v>24</v>
      </c>
      <c r="M907" s="192" t="s">
        <v>258</v>
      </c>
      <c r="N907" s="52" t="str">
        <f>IF(AND('331-CT'!$E$7=TH!H907,OR(L907="331",M907="331")),"331",IF(AND(OR(L907="131",M907="131"),H907='131-CT'!$E$7),"131",""))</f>
        <v/>
      </c>
      <c r="O907" s="818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53"/>
      <c r="AB907" s="552"/>
      <c r="AC907" s="552"/>
    </row>
    <row r="908" spans="1:32" s="209" customFormat="1" ht="15.75" customHeight="1">
      <c r="A908" s="202" t="str">
        <f>IF(B908&lt;&gt;"",IF(AND(B908&gt;=_TM1,B908&lt;=_TM2,OR(TH!L908="1111",TH!M908="1111")),TH!D908,""),"")</f>
        <v/>
      </c>
      <c r="B908" s="36">
        <f t="shared" si="45"/>
        <v>5</v>
      </c>
      <c r="C908" s="182">
        <f t="shared" si="46"/>
        <v>42506</v>
      </c>
      <c r="D908" s="182" t="s">
        <v>1635</v>
      </c>
      <c r="E908" s="189">
        <v>42506</v>
      </c>
      <c r="F908" s="190" t="s">
        <v>670</v>
      </c>
      <c r="G908" s="190" t="s">
        <v>330</v>
      </c>
      <c r="H908" s="7" t="s">
        <v>675</v>
      </c>
      <c r="I908" s="251"/>
      <c r="J908" s="251"/>
      <c r="K908" s="560">
        <v>4000000</v>
      </c>
      <c r="L908" s="192" t="s">
        <v>47</v>
      </c>
      <c r="M908" s="192" t="s">
        <v>24</v>
      </c>
      <c r="N908" s="52" t="str">
        <f>IF(AND('331-CT'!$E$7=TH!H908,OR(L908="331",M908="331")),"331",IF(AND(OR(L908="131",M908="131"),H908='131-CT'!$E$7),"131",""))</f>
        <v/>
      </c>
      <c r="O908" s="818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53"/>
      <c r="AB908" s="552"/>
      <c r="AC908" s="552"/>
      <c r="AD908" s="552"/>
    </row>
    <row r="909" spans="1:32" s="209" customFormat="1" ht="15.75" customHeight="1">
      <c r="A909" s="202" t="str">
        <f>IF(B909&lt;&gt;"",IF(AND(B909&gt;=_TM1,B909&lt;=_TM2,OR(TH!L909="1111",TH!M909="1111")),TH!D909,""),"")</f>
        <v/>
      </c>
      <c r="B909" s="36">
        <f t="shared" si="45"/>
        <v>5</v>
      </c>
      <c r="C909" s="182">
        <f t="shared" si="46"/>
        <v>42506</v>
      </c>
      <c r="D909" s="182" t="s">
        <v>669</v>
      </c>
      <c r="E909" s="189">
        <v>42506</v>
      </c>
      <c r="F909" s="187" t="s">
        <v>674</v>
      </c>
      <c r="G909" s="190" t="s">
        <v>330</v>
      </c>
      <c r="H909" s="7"/>
      <c r="I909" s="251"/>
      <c r="J909" s="251"/>
      <c r="K909" s="560">
        <v>13636</v>
      </c>
      <c r="L909" s="192" t="s">
        <v>83</v>
      </c>
      <c r="M909" s="192" t="s">
        <v>24</v>
      </c>
      <c r="N909" s="52" t="str">
        <f>IF(AND('331-CT'!$E$7=TH!H909,OR(L909="331",M909="331")),"331",IF(AND(OR(L909="131",M909="131"),H909='131-CT'!$E$7),"131",""))</f>
        <v/>
      </c>
      <c r="O909" s="818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>x</v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52">
        <v>2</v>
      </c>
      <c r="AB909" s="552"/>
      <c r="AC909" s="552"/>
      <c r="AD909" s="552"/>
    </row>
    <row r="910" spans="1:32" s="209" customFormat="1" ht="15.75" customHeight="1">
      <c r="A910" s="202" t="str">
        <f>IF(B910&lt;&gt;"",IF(AND(B910&gt;=_TM1,B910&lt;=_TM2,OR(TH!L910="1111",TH!M910="1111")),TH!D910,""),"")</f>
        <v/>
      </c>
      <c r="B910" s="36">
        <f t="shared" si="45"/>
        <v>5</v>
      </c>
      <c r="C910" s="182">
        <f t="shared" si="46"/>
        <v>42506</v>
      </c>
      <c r="D910" s="182" t="s">
        <v>669</v>
      </c>
      <c r="E910" s="189">
        <v>42506</v>
      </c>
      <c r="F910" s="187" t="s">
        <v>794</v>
      </c>
      <c r="G910" s="190" t="s">
        <v>330</v>
      </c>
      <c r="H910" s="7"/>
      <c r="I910" s="251"/>
      <c r="J910" s="251"/>
      <c r="K910" s="560">
        <v>1364</v>
      </c>
      <c r="L910" s="192" t="s">
        <v>9</v>
      </c>
      <c r="M910" s="192" t="s">
        <v>24</v>
      </c>
      <c r="N910" s="52" t="str">
        <f>IF(AND('331-CT'!$E$7=TH!H910,OR(L910="331",M910="331")),"331",IF(AND(OR(L910="131",M910="131"),H910='131-CT'!$E$7),"131",""))</f>
        <v/>
      </c>
      <c r="O910" s="818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52">
        <v>2</v>
      </c>
      <c r="AB910" s="552"/>
      <c r="AC910" s="552"/>
      <c r="AD910" s="552"/>
    </row>
    <row r="911" spans="1:32" s="209" customFormat="1" ht="15.75" customHeight="1">
      <c r="A911" s="202" t="str">
        <f>IF(B911&lt;&gt;"",IF(AND(B911&gt;=_TM1,B911&lt;=_TM2,OR(TH!L911="1111",TH!M911="1111")),TH!D911,""),"")</f>
        <v/>
      </c>
      <c r="B911" s="36">
        <f t="shared" si="45"/>
        <v>5</v>
      </c>
      <c r="C911" s="182">
        <f t="shared" si="46"/>
        <v>42506</v>
      </c>
      <c r="D911" s="189" t="s">
        <v>1197</v>
      </c>
      <c r="E911" s="182">
        <v>42506</v>
      </c>
      <c r="F911" s="187" t="s">
        <v>680</v>
      </c>
      <c r="G911" s="451" t="s">
        <v>849</v>
      </c>
      <c r="H911" s="7" t="s">
        <v>1554</v>
      </c>
      <c r="I911" s="251">
        <v>8778</v>
      </c>
      <c r="J911" s="251">
        <v>9000</v>
      </c>
      <c r="K911" s="38">
        <f>ROUND(I911*J911,0)</f>
        <v>79002000</v>
      </c>
      <c r="L911" s="192" t="s">
        <v>158</v>
      </c>
      <c r="M911" s="192" t="s">
        <v>8</v>
      </c>
      <c r="N911" s="52" t="str">
        <f>IF(AND('331-CT'!$E$7=TH!H911,OR(L911="331",M911="331")),"331",IF(AND(OR(L911="131",M911="131"),H911='131-CT'!$E$7),"131",""))</f>
        <v/>
      </c>
      <c r="O911" s="818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52">
        <v>2</v>
      </c>
      <c r="AB911" s="552"/>
      <c r="AC911" s="209" t="str">
        <f>IF(VLOOKUP(H911,DSKH,1,0)=H911,"","x")</f>
        <v/>
      </c>
    </row>
    <row r="912" spans="1:32" s="209" customFormat="1" ht="15.75" customHeight="1">
      <c r="A912" s="202" t="str">
        <f>IF(B912&lt;&gt;"",IF(AND(B912&gt;=_TM1,B912&lt;=_TM2,OR(TH!L912="1111",TH!M912="1111")),TH!D912,""),"")</f>
        <v/>
      </c>
      <c r="B912" s="36">
        <f t="shared" si="45"/>
        <v>5</v>
      </c>
      <c r="C912" s="182">
        <f t="shared" si="46"/>
        <v>42506</v>
      </c>
      <c r="D912" s="189" t="s">
        <v>1197</v>
      </c>
      <c r="E912" s="182">
        <v>42506</v>
      </c>
      <c r="F912" s="187" t="s">
        <v>681</v>
      </c>
      <c r="G912" s="451" t="s">
        <v>849</v>
      </c>
      <c r="H912" s="7" t="s">
        <v>1554</v>
      </c>
      <c r="I912" s="251"/>
      <c r="J912" s="251"/>
      <c r="K912" s="560">
        <v>7900200</v>
      </c>
      <c r="L912" s="192" t="s">
        <v>9</v>
      </c>
      <c r="M912" s="192" t="s">
        <v>8</v>
      </c>
      <c r="N912" s="52" t="str">
        <f>IF(AND('331-CT'!$E$7=TH!H912,OR(L912="331",M912="331")),"331",IF(AND(OR(L912="131",M912="131"),H912='131-CT'!$E$7),"131",""))</f>
        <v/>
      </c>
      <c r="O912" s="818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52">
        <v>2</v>
      </c>
      <c r="AB912" s="552"/>
      <c r="AC912" s="209" t="str">
        <f>IF(VLOOKUP(H912,DSKH,1,0)=H912,"","x")</f>
        <v/>
      </c>
    </row>
    <row r="913" spans="1:30" s="209" customFormat="1" ht="15.75" customHeight="1">
      <c r="A913" s="202" t="str">
        <f>IF(B913&lt;&gt;"",IF(AND(B913&gt;=_TM1,B913&lt;=_TM2,OR(TH!L913="1111",TH!M913="1111")),TH!D913,""),"")</f>
        <v/>
      </c>
      <c r="B913" s="36">
        <f t="shared" si="45"/>
        <v>5</v>
      </c>
      <c r="C913" s="182">
        <f t="shared" si="46"/>
        <v>42506</v>
      </c>
      <c r="D913" s="182" t="s">
        <v>1636</v>
      </c>
      <c r="E913" s="189">
        <v>42506</v>
      </c>
      <c r="F913" s="40" t="s">
        <v>666</v>
      </c>
      <c r="G913" s="451" t="s">
        <v>1581</v>
      </c>
      <c r="H913" s="947" t="s">
        <v>788</v>
      </c>
      <c r="I913" s="252"/>
      <c r="J913" s="252"/>
      <c r="K913" s="560">
        <v>17456780</v>
      </c>
      <c r="L913" s="561" t="s">
        <v>47</v>
      </c>
      <c r="M913" s="561" t="s">
        <v>258</v>
      </c>
      <c r="N913" s="52" t="str">
        <f>IF(AND('331-CT'!$E$7=TH!H913,OR(L913="331",M913="331")),"331",IF(AND(OR(L913="131",M913="131"),H913='131-CT'!$E$7),"131",""))</f>
        <v/>
      </c>
      <c r="O913" s="818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52"/>
      <c r="AB913" s="552"/>
      <c r="AC913" s="552"/>
    </row>
    <row r="914" spans="1:30" s="209" customFormat="1" ht="15.75" customHeight="1">
      <c r="A914" s="202" t="str">
        <f>IF(B914&lt;&gt;"",IF(AND(B914&gt;=_TM1,B914&lt;=_TM2,OR(TH!L914="1111",TH!M914="1111")),TH!D914,""),"")</f>
        <v/>
      </c>
      <c r="B914" s="36">
        <f t="shared" si="45"/>
        <v>5</v>
      </c>
      <c r="C914" s="182">
        <f t="shared" si="46"/>
        <v>42507</v>
      </c>
      <c r="D914" s="182" t="s">
        <v>665</v>
      </c>
      <c r="E914" s="189">
        <v>42507</v>
      </c>
      <c r="F914" s="190" t="s">
        <v>666</v>
      </c>
      <c r="G914" s="190" t="s">
        <v>330</v>
      </c>
      <c r="H914" s="191" t="s">
        <v>391</v>
      </c>
      <c r="I914" s="251"/>
      <c r="J914" s="251"/>
      <c r="K914" s="560">
        <v>12267970</v>
      </c>
      <c r="L914" s="192" t="s">
        <v>24</v>
      </c>
      <c r="M914" s="192" t="s">
        <v>258</v>
      </c>
      <c r="N914" s="52" t="str">
        <f>IF(AND('331-CT'!$E$7=TH!H914,OR(L914="331",M914="331")),"331",IF(AND(OR(L914="131",M914="131"),H914='131-CT'!$E$7),"131",""))</f>
        <v/>
      </c>
      <c r="O914" s="818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53"/>
      <c r="AB914" s="552"/>
      <c r="AC914" s="552"/>
    </row>
    <row r="915" spans="1:30" s="209" customFormat="1" ht="15.75" customHeight="1">
      <c r="A915" s="202" t="str">
        <f>IF(B915&lt;&gt;"",IF(AND(B915&gt;=_TM1,B915&lt;=_TM2,OR(TH!L915="1111",TH!M915="1111")),TH!D915,""),"")</f>
        <v/>
      </c>
      <c r="B915" s="36">
        <f t="shared" si="45"/>
        <v>5</v>
      </c>
      <c r="C915" s="182">
        <f t="shared" si="46"/>
        <v>42507</v>
      </c>
      <c r="D915" s="182" t="s">
        <v>665</v>
      </c>
      <c r="E915" s="189">
        <v>42507</v>
      </c>
      <c r="F915" s="190" t="s">
        <v>666</v>
      </c>
      <c r="G915" s="190" t="s">
        <v>330</v>
      </c>
      <c r="H915" s="191" t="s">
        <v>609</v>
      </c>
      <c r="I915" s="251"/>
      <c r="J915" s="251"/>
      <c r="K915" s="560">
        <v>13415050</v>
      </c>
      <c r="L915" s="192" t="s">
        <v>24</v>
      </c>
      <c r="M915" s="192" t="s">
        <v>258</v>
      </c>
      <c r="N915" s="52" t="str">
        <f>IF(AND('331-CT'!$E$7=TH!H915,OR(L915="331",M915="331")),"331",IF(AND(OR(L915="131",M915="131"),H915='131-CT'!$E$7),"131",""))</f>
        <v/>
      </c>
      <c r="O915" s="818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53"/>
      <c r="AB915" s="552"/>
    </row>
    <row r="916" spans="1:30" s="209" customFormat="1" ht="15.75" customHeight="1">
      <c r="A916" s="202" t="str">
        <f>IF(B916&lt;&gt;"",IF(AND(B916&gt;=_TM1,B916&lt;=_TM2,OR(TH!L916="1111",TH!M916="1111")),TH!D916,""),"")</f>
        <v/>
      </c>
      <c r="B916" s="36">
        <f t="shared" ref="B916:B979" si="48">IF(C916&lt;&gt;"",MONTH(C916),"")</f>
        <v>5</v>
      </c>
      <c r="C916" s="182">
        <f t="shared" ref="C916:C979" si="49">E916</f>
        <v>42507</v>
      </c>
      <c r="D916" s="182" t="s">
        <v>1637</v>
      </c>
      <c r="E916" s="189">
        <v>42507</v>
      </c>
      <c r="F916" s="190" t="s">
        <v>670</v>
      </c>
      <c r="G916" s="190" t="s">
        <v>330</v>
      </c>
      <c r="H916" s="7" t="s">
        <v>675</v>
      </c>
      <c r="I916" s="251"/>
      <c r="J916" s="251"/>
      <c r="K916" s="560">
        <v>10000000</v>
      </c>
      <c r="L916" s="192" t="s">
        <v>47</v>
      </c>
      <c r="M916" s="192" t="s">
        <v>24</v>
      </c>
      <c r="N916" s="52" t="str">
        <f>IF(AND('331-CT'!$E$7=TH!H916,OR(L916="331",M916="331")),"331",IF(AND(OR(L916="131",M916="131"),H916='131-CT'!$E$7),"131",""))</f>
        <v/>
      </c>
      <c r="O916" s="818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53"/>
      <c r="AB916" s="552"/>
      <c r="AC916" s="552"/>
      <c r="AD916" s="552"/>
    </row>
    <row r="917" spans="1:30" s="209" customFormat="1" ht="15.75" customHeight="1">
      <c r="A917" s="202" t="str">
        <f>IF(B917&lt;&gt;"",IF(AND(B917&gt;=_TM1,B917&lt;=_TM2,OR(TH!L917="1111",TH!M917="1111")),TH!D917,""),"")</f>
        <v/>
      </c>
      <c r="B917" s="36">
        <f t="shared" si="48"/>
        <v>5</v>
      </c>
      <c r="C917" s="182">
        <f t="shared" si="49"/>
        <v>42507</v>
      </c>
      <c r="D917" s="189" t="s">
        <v>1123</v>
      </c>
      <c r="E917" s="182">
        <v>42507</v>
      </c>
      <c r="F917" s="187" t="s">
        <v>480</v>
      </c>
      <c r="G917" s="451" t="s">
        <v>559</v>
      </c>
      <c r="H917" s="191" t="s">
        <v>609</v>
      </c>
      <c r="I917" s="251">
        <v>360</v>
      </c>
      <c r="J917" s="251">
        <v>9200</v>
      </c>
      <c r="K917" s="38">
        <f>ROUND(I917*J917,0)</f>
        <v>3312000</v>
      </c>
      <c r="L917" s="192" t="s">
        <v>258</v>
      </c>
      <c r="M917" s="192" t="s">
        <v>173</v>
      </c>
      <c r="N917" s="52" t="str">
        <f>IF(AND('331-CT'!$E$7=TH!H917,OR(L917="331",M917="331")),"331",IF(AND(OR(L917="131",M917="131"),H917='131-CT'!$E$7),"131",""))</f>
        <v/>
      </c>
      <c r="O917" s="818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52"/>
      <c r="AB917" s="552"/>
      <c r="AC917" s="552"/>
    </row>
    <row r="918" spans="1:30" s="209" customFormat="1" ht="15.75" customHeight="1">
      <c r="A918" s="202" t="str">
        <f>IF(B918&lt;&gt;"",IF(AND(B918&gt;=_TM1,B918&lt;=_TM2,OR(TH!L918="1111",TH!M918="1111")),TH!D918,""),"")</f>
        <v/>
      </c>
      <c r="B918" s="36">
        <f t="shared" si="48"/>
        <v>5</v>
      </c>
      <c r="C918" s="182">
        <f t="shared" si="49"/>
        <v>42507</v>
      </c>
      <c r="D918" s="189" t="s">
        <v>1123</v>
      </c>
      <c r="E918" s="182">
        <v>42507</v>
      </c>
      <c r="F918" s="187" t="s">
        <v>662</v>
      </c>
      <c r="G918" s="451" t="s">
        <v>559</v>
      </c>
      <c r="H918" s="191" t="s">
        <v>609</v>
      </c>
      <c r="I918" s="251">
        <v>1000</v>
      </c>
      <c r="J918" s="251">
        <v>8600</v>
      </c>
      <c r="K918" s="38">
        <f>ROUND(I918*J918,0)</f>
        <v>8600000</v>
      </c>
      <c r="L918" s="192" t="s">
        <v>258</v>
      </c>
      <c r="M918" s="192" t="s">
        <v>173</v>
      </c>
      <c r="N918" s="52" t="str">
        <f>IF(AND('331-CT'!$E$7=TH!H918,OR(L918="331",M918="331")),"331",IF(AND(OR(L918="131",M918="131"),H918='131-CT'!$E$7),"131",""))</f>
        <v/>
      </c>
      <c r="O918" s="818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52"/>
      <c r="AB918" s="552"/>
      <c r="AC918" s="552"/>
    </row>
    <row r="919" spans="1:30" s="209" customFormat="1" ht="15.75" customHeight="1">
      <c r="A919" s="202" t="str">
        <f>IF(B919&lt;&gt;"",IF(AND(B919&gt;=_TM1,B919&lt;=_TM2,OR(TH!L919="1111",TH!M919="1111")),TH!D919,""),"")</f>
        <v/>
      </c>
      <c r="B919" s="36">
        <f t="shared" si="48"/>
        <v>5</v>
      </c>
      <c r="C919" s="182">
        <f t="shared" si="49"/>
        <v>42507</v>
      </c>
      <c r="D919" s="189" t="s">
        <v>1123</v>
      </c>
      <c r="E919" s="182">
        <v>42507</v>
      </c>
      <c r="F919" s="190" t="s">
        <v>1048</v>
      </c>
      <c r="G919" s="451" t="s">
        <v>559</v>
      </c>
      <c r="H919" s="191" t="s">
        <v>609</v>
      </c>
      <c r="I919" s="251">
        <v>55</v>
      </c>
      <c r="J919" s="251">
        <v>12000</v>
      </c>
      <c r="K919" s="38">
        <f>ROUND(I919*J919,0)</f>
        <v>660000</v>
      </c>
      <c r="L919" s="192" t="s">
        <v>258</v>
      </c>
      <c r="M919" s="192" t="s">
        <v>173</v>
      </c>
      <c r="N919" s="52" t="str">
        <f>IF(AND('331-CT'!$E$7=TH!H919,OR(L919="331",M919="331")),"331",IF(AND(OR(L919="131",M919="131"),H919='131-CT'!$E$7),"131",""))</f>
        <v/>
      </c>
      <c r="O919" s="818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52"/>
      <c r="AB919" s="552"/>
    </row>
    <row r="920" spans="1:30" s="209" customFormat="1" ht="15.75" customHeight="1">
      <c r="A920" s="202" t="str">
        <f>IF(B920&lt;&gt;"",IF(AND(B920&gt;=_TM1,B920&lt;=_TM2,OR(TH!L920="1111",TH!M920="1111")),TH!D920,""),"")</f>
        <v/>
      </c>
      <c r="B920" s="36">
        <f t="shared" si="48"/>
        <v>5</v>
      </c>
      <c r="C920" s="182">
        <f t="shared" si="49"/>
        <v>42507</v>
      </c>
      <c r="D920" s="189" t="s">
        <v>1123</v>
      </c>
      <c r="E920" s="182">
        <v>42507</v>
      </c>
      <c r="F920" s="190" t="s">
        <v>916</v>
      </c>
      <c r="G920" s="451" t="s">
        <v>559</v>
      </c>
      <c r="H920" s="191" t="s">
        <v>609</v>
      </c>
      <c r="I920" s="251">
        <v>110</v>
      </c>
      <c r="J920" s="251">
        <v>9600</v>
      </c>
      <c r="K920" s="38">
        <f>ROUND(I920*J920,0)</f>
        <v>1056000</v>
      </c>
      <c r="L920" s="192" t="s">
        <v>258</v>
      </c>
      <c r="M920" s="192" t="s">
        <v>173</v>
      </c>
      <c r="N920" s="52" t="str">
        <f>IF(AND('331-CT'!$E$7=TH!H920,OR(L920="331",M920="331")),"331",IF(AND(OR(L920="131",M920="131"),H920='131-CT'!$E$7),"131",""))</f>
        <v/>
      </c>
      <c r="O920" s="818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52"/>
      <c r="AB920" s="552"/>
      <c r="AC920" s="552"/>
    </row>
    <row r="921" spans="1:30" s="209" customFormat="1" ht="15.75" customHeight="1">
      <c r="A921" s="202" t="str">
        <f>IF(B921&lt;&gt;"",IF(AND(B921&gt;=_TM1,B921&lt;=_TM2,OR(TH!L921="1111",TH!M921="1111")),TH!D921,""),"")</f>
        <v/>
      </c>
      <c r="B921" s="36">
        <f t="shared" si="48"/>
        <v>5</v>
      </c>
      <c r="C921" s="182">
        <f t="shared" si="49"/>
        <v>42507</v>
      </c>
      <c r="D921" s="189" t="s">
        <v>1123</v>
      </c>
      <c r="E921" s="182">
        <v>42507</v>
      </c>
      <c r="F921" s="187" t="s">
        <v>1027</v>
      </c>
      <c r="G921" s="451" t="s">
        <v>559</v>
      </c>
      <c r="H921" s="191" t="s">
        <v>609</v>
      </c>
      <c r="I921" s="251"/>
      <c r="J921" s="251"/>
      <c r="K921" s="560">
        <v>1362800</v>
      </c>
      <c r="L921" s="192" t="s">
        <v>258</v>
      </c>
      <c r="M921" s="192" t="s">
        <v>367</v>
      </c>
      <c r="N921" s="52" t="str">
        <f>IF(AND('331-CT'!$E$7=TH!H921,OR(L921="331",M921="331")),"331",IF(AND(OR(L921="131",M921="131"),H921='131-CT'!$E$7),"131",""))</f>
        <v/>
      </c>
      <c r="O921" s="818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52"/>
      <c r="AB921" s="552"/>
      <c r="AC921" s="552"/>
    </row>
    <row r="922" spans="1:30" s="209" customFormat="1" ht="15.75" customHeight="1">
      <c r="A922" s="202" t="str">
        <f>IF(B922&lt;&gt;"",IF(AND(B922&gt;=_TM1,B922&lt;=_TM2,OR(TH!L922="1111",TH!M922="1111")),TH!D922,""),"")</f>
        <v/>
      </c>
      <c r="B922" s="36">
        <f t="shared" si="48"/>
        <v>5</v>
      </c>
      <c r="C922" s="182">
        <f t="shared" si="49"/>
        <v>42507</v>
      </c>
      <c r="D922" s="189" t="s">
        <v>1124</v>
      </c>
      <c r="E922" s="182">
        <v>42507</v>
      </c>
      <c r="F922" s="187" t="s">
        <v>480</v>
      </c>
      <c r="G922" s="451" t="s">
        <v>560</v>
      </c>
      <c r="H922" s="191" t="s">
        <v>609</v>
      </c>
      <c r="I922" s="251">
        <v>237</v>
      </c>
      <c r="J922" s="251">
        <v>9200</v>
      </c>
      <c r="K922" s="38">
        <f>ROUND(I922*J922,0)</f>
        <v>2180400</v>
      </c>
      <c r="L922" s="192" t="s">
        <v>258</v>
      </c>
      <c r="M922" s="192" t="s">
        <v>173</v>
      </c>
      <c r="N922" s="52" t="str">
        <f>IF(AND('331-CT'!$E$7=TH!H922,OR(L922="331",M922="331")),"331",IF(AND(OR(L922="131",M922="131"),H922='131-CT'!$E$7),"131",""))</f>
        <v/>
      </c>
      <c r="O922" s="818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52"/>
      <c r="AB922" s="552"/>
      <c r="AC922" s="552"/>
    </row>
    <row r="923" spans="1:30" s="209" customFormat="1" ht="15.75" customHeight="1">
      <c r="A923" s="202" t="str">
        <f>IF(B923&lt;&gt;"",IF(AND(B923&gt;=_TM1,B923&lt;=_TM2,OR(TH!L923="1111",TH!M923="1111")),TH!D923,""),"")</f>
        <v/>
      </c>
      <c r="B923" s="36">
        <f t="shared" si="48"/>
        <v>5</v>
      </c>
      <c r="C923" s="182">
        <f t="shared" si="49"/>
        <v>42507</v>
      </c>
      <c r="D923" s="189" t="s">
        <v>1124</v>
      </c>
      <c r="E923" s="182">
        <v>42507</v>
      </c>
      <c r="F923" s="187" t="s">
        <v>645</v>
      </c>
      <c r="G923" s="451" t="s">
        <v>560</v>
      </c>
      <c r="H923" s="191" t="s">
        <v>609</v>
      </c>
      <c r="I923" s="251">
        <v>55</v>
      </c>
      <c r="J923" s="251">
        <v>13800</v>
      </c>
      <c r="K923" s="38">
        <f>ROUND(I923*J923,0)</f>
        <v>759000</v>
      </c>
      <c r="L923" s="192" t="s">
        <v>258</v>
      </c>
      <c r="M923" s="192" t="s">
        <v>173</v>
      </c>
      <c r="N923" s="52" t="str">
        <f>IF(AND('331-CT'!$E$7=TH!H923,OR(L923="331",M923="331")),"331",IF(AND(OR(L923="131",M923="131"),H923='131-CT'!$E$7),"131",""))</f>
        <v/>
      </c>
      <c r="O923" s="818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52"/>
      <c r="AB923" s="552"/>
      <c r="AC923" s="552"/>
    </row>
    <row r="924" spans="1:30" s="209" customFormat="1" ht="15.75" customHeight="1">
      <c r="A924" s="202" t="str">
        <f>IF(B924&lt;&gt;"",IF(AND(B924&gt;=_TM1,B924&lt;=_TM2,OR(TH!L924="1111",TH!M924="1111")),TH!D924,""),"")</f>
        <v/>
      </c>
      <c r="B924" s="36">
        <f t="shared" si="48"/>
        <v>5</v>
      </c>
      <c r="C924" s="182">
        <f t="shared" si="49"/>
        <v>42507</v>
      </c>
      <c r="D924" s="189" t="s">
        <v>1124</v>
      </c>
      <c r="E924" s="182">
        <v>42507</v>
      </c>
      <c r="F924" s="190" t="s">
        <v>474</v>
      </c>
      <c r="G924" s="451" t="s">
        <v>560</v>
      </c>
      <c r="H924" s="191" t="s">
        <v>609</v>
      </c>
      <c r="I924" s="251">
        <v>44</v>
      </c>
      <c r="J924" s="251">
        <v>9300</v>
      </c>
      <c r="K924" s="38">
        <f>ROUND(I924*J924,0)</f>
        <v>409200</v>
      </c>
      <c r="L924" s="192" t="s">
        <v>258</v>
      </c>
      <c r="M924" s="192" t="s">
        <v>173</v>
      </c>
      <c r="N924" s="52" t="str">
        <f>IF(AND('331-CT'!$E$7=TH!H924,OR(L924="331",M924="331")),"331",IF(AND(OR(L924="131",M924="131"),H924='131-CT'!$E$7),"131",""))</f>
        <v/>
      </c>
      <c r="O924" s="818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52"/>
      <c r="AB924" s="552"/>
    </row>
    <row r="925" spans="1:30" s="209" customFormat="1" ht="15.75" customHeight="1">
      <c r="A925" s="202" t="str">
        <f>IF(B925&lt;&gt;"",IF(AND(B925&gt;=_TM1,B925&lt;=_TM2,OR(TH!L925="1111",TH!M925="1111")),TH!D925,""),"")</f>
        <v/>
      </c>
      <c r="B925" s="36">
        <f t="shared" si="48"/>
        <v>5</v>
      </c>
      <c r="C925" s="182">
        <f t="shared" si="49"/>
        <v>42507</v>
      </c>
      <c r="D925" s="189" t="s">
        <v>1124</v>
      </c>
      <c r="E925" s="182">
        <v>42507</v>
      </c>
      <c r="F925" s="190" t="s">
        <v>897</v>
      </c>
      <c r="G925" s="451" t="s">
        <v>560</v>
      </c>
      <c r="H925" s="191" t="s">
        <v>609</v>
      </c>
      <c r="I925" s="251">
        <v>135</v>
      </c>
      <c r="J925" s="251">
        <v>14600</v>
      </c>
      <c r="K925" s="38">
        <f>ROUND(I925*J925,0)</f>
        <v>1971000</v>
      </c>
      <c r="L925" s="192" t="s">
        <v>258</v>
      </c>
      <c r="M925" s="192" t="s">
        <v>173</v>
      </c>
      <c r="N925" s="52" t="str">
        <f>IF(AND('331-CT'!$E$7=TH!H925,OR(L925="331",M925="331")),"331",IF(AND(OR(L925="131",M925="131"),H925='131-CT'!$E$7),"131",""))</f>
        <v/>
      </c>
      <c r="O925" s="818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52"/>
      <c r="AB925" s="552"/>
      <c r="AC925" s="552"/>
    </row>
    <row r="926" spans="1:30" s="209" customFormat="1" ht="15.75" customHeight="1">
      <c r="A926" s="202" t="str">
        <f>IF(B926&lt;&gt;"",IF(AND(B926&gt;=_TM1,B926&lt;=_TM2,OR(TH!L926="1111",TH!M926="1111")),TH!D926,""),"")</f>
        <v/>
      </c>
      <c r="B926" s="36">
        <f t="shared" si="48"/>
        <v>5</v>
      </c>
      <c r="C926" s="182">
        <f t="shared" si="49"/>
        <v>42507</v>
      </c>
      <c r="D926" s="189" t="s">
        <v>1124</v>
      </c>
      <c r="E926" s="182">
        <v>42507</v>
      </c>
      <c r="F926" s="187" t="s">
        <v>1027</v>
      </c>
      <c r="G926" s="451" t="s">
        <v>560</v>
      </c>
      <c r="H926" s="191" t="s">
        <v>609</v>
      </c>
      <c r="I926" s="251"/>
      <c r="J926" s="251"/>
      <c r="K926" s="560">
        <v>531960</v>
      </c>
      <c r="L926" s="192" t="s">
        <v>258</v>
      </c>
      <c r="M926" s="192" t="s">
        <v>367</v>
      </c>
      <c r="N926" s="52" t="str">
        <f>IF(AND('331-CT'!$E$7=TH!H926,OR(L926="331",M926="331")),"331",IF(AND(OR(L926="131",M926="131"),H926='131-CT'!$E$7),"131",""))</f>
        <v/>
      </c>
      <c r="O926" s="818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52"/>
      <c r="AB926" s="552"/>
    </row>
    <row r="927" spans="1:30" s="209" customFormat="1" ht="15.75" customHeight="1">
      <c r="A927" s="202" t="str">
        <f>IF(B927&lt;&gt;"",IF(AND(B927&gt;=_TM1,B927&lt;=_TM2,OR(TH!L927="1111",TH!M927="1111")),TH!D927,""),"")</f>
        <v/>
      </c>
      <c r="B927" s="36">
        <f t="shared" si="48"/>
        <v>5</v>
      </c>
      <c r="C927" s="182">
        <f t="shared" si="49"/>
        <v>42507</v>
      </c>
      <c r="D927" s="189" t="s">
        <v>1125</v>
      </c>
      <c r="E927" s="182">
        <v>42507</v>
      </c>
      <c r="F927" s="190" t="s">
        <v>418</v>
      </c>
      <c r="G927" s="451" t="s">
        <v>561</v>
      </c>
      <c r="H927" s="7" t="s">
        <v>527</v>
      </c>
      <c r="I927" s="251">
        <v>103</v>
      </c>
      <c r="J927" s="251">
        <v>47449</v>
      </c>
      <c r="K927" s="38">
        <f>ROUND(I927*J927,0)</f>
        <v>4887247</v>
      </c>
      <c r="L927" s="192" t="s">
        <v>258</v>
      </c>
      <c r="M927" s="192" t="s">
        <v>173</v>
      </c>
      <c r="N927" s="52" t="str">
        <f>IF(AND('331-CT'!$E$7=TH!H927,OR(L927="331",M927="331")),"331",IF(AND(OR(L927="131",M927="131"),H927='131-CT'!$E$7),"131",""))</f>
        <v/>
      </c>
      <c r="O927" s="818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52"/>
      <c r="AB927" s="552"/>
      <c r="AC927" s="552"/>
    </row>
    <row r="928" spans="1:30" s="209" customFormat="1" ht="15.75" customHeight="1">
      <c r="A928" s="202" t="str">
        <f>IF(B928&lt;&gt;"",IF(AND(B928&gt;=_TM1,B928&lt;=_TM2,OR(TH!L928="1111",TH!M928="1111")),TH!D928,""),"")</f>
        <v/>
      </c>
      <c r="B928" s="36">
        <f t="shared" si="48"/>
        <v>5</v>
      </c>
      <c r="C928" s="182">
        <f t="shared" si="49"/>
        <v>42507</v>
      </c>
      <c r="D928" s="189" t="s">
        <v>1125</v>
      </c>
      <c r="E928" s="182">
        <v>42507</v>
      </c>
      <c r="F928" s="190" t="s">
        <v>912</v>
      </c>
      <c r="G928" s="451" t="s">
        <v>561</v>
      </c>
      <c r="H928" s="7" t="s">
        <v>527</v>
      </c>
      <c r="I928" s="251">
        <v>60</v>
      </c>
      <c r="J928" s="251">
        <v>73100</v>
      </c>
      <c r="K928" s="38">
        <f>ROUND(I928*J928,0)</f>
        <v>4386000</v>
      </c>
      <c r="L928" s="192" t="s">
        <v>258</v>
      </c>
      <c r="M928" s="192" t="s">
        <v>173</v>
      </c>
      <c r="N928" s="52" t="str">
        <f>IF(AND('331-CT'!$E$7=TH!H928,OR(L928="331",M928="331")),"331",IF(AND(OR(L928="131",M928="131"),H928='131-CT'!$E$7),"131",""))</f>
        <v/>
      </c>
      <c r="O928" s="818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52"/>
      <c r="AB928" s="552"/>
      <c r="AC928" s="552"/>
    </row>
    <row r="929" spans="1:30" s="209" customFormat="1" ht="15.75" customHeight="1">
      <c r="A929" s="202" t="str">
        <f>IF(B929&lt;&gt;"",IF(AND(B929&gt;=_TM1,B929&lt;=_TM2,OR(TH!L929="1111",TH!M929="1111")),TH!D929,""),"")</f>
        <v/>
      </c>
      <c r="B929" s="36">
        <f t="shared" si="48"/>
        <v>5</v>
      </c>
      <c r="C929" s="182">
        <f t="shared" si="49"/>
        <v>42507</v>
      </c>
      <c r="D929" s="189" t="s">
        <v>1125</v>
      </c>
      <c r="E929" s="182">
        <v>42507</v>
      </c>
      <c r="F929" s="187" t="s">
        <v>1028</v>
      </c>
      <c r="G929" s="451" t="s">
        <v>561</v>
      </c>
      <c r="H929" s="7" t="s">
        <v>527</v>
      </c>
      <c r="I929" s="251"/>
      <c r="J929" s="251"/>
      <c r="K929" s="560">
        <v>927325</v>
      </c>
      <c r="L929" s="192" t="s">
        <v>258</v>
      </c>
      <c r="M929" s="192" t="s">
        <v>367</v>
      </c>
      <c r="N929" s="52" t="str">
        <f>IF(AND('331-CT'!$E$7=TH!H929,OR(L929="331",M929="331")),"331",IF(AND(OR(L929="131",M929="131"),H929='131-CT'!$E$7),"131",""))</f>
        <v/>
      </c>
      <c r="O929" s="818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52"/>
      <c r="AB929" s="552"/>
    </row>
    <row r="930" spans="1:30" s="209" customFormat="1" ht="15.75" customHeight="1">
      <c r="A930" s="202" t="str">
        <f>IF(B930&lt;&gt;"",IF(AND(B930&gt;=_TM1,B930&lt;=_TM2,OR(TH!L930="1111",TH!M930="1111")),TH!D930,""),"")</f>
        <v/>
      </c>
      <c r="B930" s="36">
        <f t="shared" si="48"/>
        <v>5</v>
      </c>
      <c r="C930" s="182">
        <f t="shared" si="49"/>
        <v>42507</v>
      </c>
      <c r="D930" s="189" t="s">
        <v>1126</v>
      </c>
      <c r="E930" s="182">
        <v>42507</v>
      </c>
      <c r="F930" s="187" t="s">
        <v>661</v>
      </c>
      <c r="G930" s="451" t="s">
        <v>556</v>
      </c>
      <c r="H930" s="7" t="s">
        <v>780</v>
      </c>
      <c r="I930" s="251">
        <v>511</v>
      </c>
      <c r="J930" s="251">
        <v>7500</v>
      </c>
      <c r="K930" s="38">
        <f>ROUND(I930*J930,0)</f>
        <v>3832500</v>
      </c>
      <c r="L930" s="192" t="s">
        <v>258</v>
      </c>
      <c r="M930" s="192" t="s">
        <v>173</v>
      </c>
      <c r="N930" s="52" t="str">
        <f>IF(AND('331-CT'!$E$7=TH!H930,OR(L930="331",M930="331")),"331",IF(AND(OR(L930="131",M930="131"),H930='131-CT'!$E$7),"131",""))</f>
        <v/>
      </c>
      <c r="O930" s="818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52"/>
      <c r="AB930" s="552"/>
      <c r="AC930" s="552"/>
    </row>
    <row r="931" spans="1:30" s="209" customFormat="1" ht="15.75" customHeight="1">
      <c r="A931" s="202" t="str">
        <f>IF(B931&lt;&gt;"",IF(AND(B931&gt;=_TM1,B931&lt;=_TM2,OR(TH!L931="1111",TH!M931="1111")),TH!D931,""),"")</f>
        <v/>
      </c>
      <c r="B931" s="36">
        <f t="shared" si="48"/>
        <v>5</v>
      </c>
      <c r="C931" s="182">
        <f t="shared" si="49"/>
        <v>42507</v>
      </c>
      <c r="D931" s="189" t="s">
        <v>1126</v>
      </c>
      <c r="E931" s="182">
        <v>42507</v>
      </c>
      <c r="F931" s="187" t="s">
        <v>662</v>
      </c>
      <c r="G931" s="451" t="s">
        <v>556</v>
      </c>
      <c r="H931" s="7" t="s">
        <v>780</v>
      </c>
      <c r="I931" s="251">
        <v>503</v>
      </c>
      <c r="J931" s="251">
        <v>8600</v>
      </c>
      <c r="K931" s="38">
        <f>ROUND(I931*J931,0)</f>
        <v>4325800</v>
      </c>
      <c r="L931" s="192" t="s">
        <v>258</v>
      </c>
      <c r="M931" s="192" t="s">
        <v>173</v>
      </c>
      <c r="N931" s="52" t="str">
        <f>IF(AND('331-CT'!$E$7=TH!H931,OR(L931="331",M931="331")),"331",IF(AND(OR(L931="131",M931="131"),H931='131-CT'!$E$7),"131",""))</f>
        <v/>
      </c>
      <c r="O931" s="818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52"/>
      <c r="AB931" s="552"/>
    </row>
    <row r="932" spans="1:30" s="209" customFormat="1" ht="15.75" customHeight="1">
      <c r="A932" s="202" t="str">
        <f>IF(B932&lt;&gt;"",IF(AND(B932&gt;=_TM1,B932&lt;=_TM2,OR(TH!L932="1111",TH!M932="1111")),TH!D932,""),"")</f>
        <v/>
      </c>
      <c r="B932" s="36">
        <f t="shared" si="48"/>
        <v>5</v>
      </c>
      <c r="C932" s="182">
        <f t="shared" si="49"/>
        <v>42507</v>
      </c>
      <c r="D932" s="189" t="s">
        <v>1126</v>
      </c>
      <c r="E932" s="182">
        <v>42507</v>
      </c>
      <c r="F932" s="187" t="s">
        <v>1029</v>
      </c>
      <c r="G932" s="451" t="s">
        <v>556</v>
      </c>
      <c r="H932" s="7" t="s">
        <v>780</v>
      </c>
      <c r="I932" s="251">
        <v>960</v>
      </c>
      <c r="J932" s="251">
        <v>6700</v>
      </c>
      <c r="K932" s="38">
        <f>ROUND(I932*J932,0)</f>
        <v>6432000</v>
      </c>
      <c r="L932" s="192" t="s">
        <v>258</v>
      </c>
      <c r="M932" s="192" t="s">
        <v>173</v>
      </c>
      <c r="N932" s="52" t="str">
        <f>IF(AND('331-CT'!$E$7=TH!H932,OR(L932="331",M932="331")),"331",IF(AND(OR(L932="131",M932="131"),H932='131-CT'!$E$7),"131",""))</f>
        <v/>
      </c>
      <c r="O932" s="818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52"/>
      <c r="AB932" s="552"/>
      <c r="AC932" s="552"/>
    </row>
    <row r="933" spans="1:30" s="209" customFormat="1" ht="15.75" customHeight="1">
      <c r="A933" s="202" t="str">
        <f>IF(B933&lt;&gt;"",IF(AND(B933&gt;=_TM1,B933&lt;=_TM2,OR(TH!L933="1111",TH!M933="1111")),TH!D933,""),"")</f>
        <v/>
      </c>
      <c r="B933" s="36">
        <f t="shared" si="48"/>
        <v>5</v>
      </c>
      <c r="C933" s="182">
        <f t="shared" si="49"/>
        <v>42507</v>
      </c>
      <c r="D933" s="189" t="s">
        <v>1126</v>
      </c>
      <c r="E933" s="182">
        <v>42507</v>
      </c>
      <c r="F933" s="187" t="s">
        <v>393</v>
      </c>
      <c r="G933" s="451" t="s">
        <v>556</v>
      </c>
      <c r="H933" s="7" t="s">
        <v>780</v>
      </c>
      <c r="I933" s="251"/>
      <c r="J933" s="251"/>
      <c r="K933" s="38">
        <v>1459030</v>
      </c>
      <c r="L933" s="192" t="s">
        <v>258</v>
      </c>
      <c r="M933" s="192" t="s">
        <v>367</v>
      </c>
      <c r="N933" s="52" t="str">
        <f>IF(AND('331-CT'!$E$7=TH!H933,OR(L933="331",M933="331")),"331",IF(AND(OR(L933="131",M933="131"),H933='131-CT'!$E$7),"131",""))</f>
        <v/>
      </c>
      <c r="O933" s="818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52"/>
      <c r="AB933" s="552"/>
      <c r="AC933" s="552"/>
    </row>
    <row r="934" spans="1:30" s="209" customFormat="1" ht="15.75" customHeight="1">
      <c r="A934" s="202" t="str">
        <f>IF(B934&lt;&gt;"",IF(AND(B934&gt;=_TM1,B934&lt;=_TM2,OR(TH!L934="1111",TH!M934="1111")),TH!D934,""),"")</f>
        <v/>
      </c>
      <c r="B934" s="36">
        <f t="shared" si="48"/>
        <v>5</v>
      </c>
      <c r="C934" s="182">
        <f t="shared" si="49"/>
        <v>42507</v>
      </c>
      <c r="D934" s="189" t="s">
        <v>1127</v>
      </c>
      <c r="E934" s="182">
        <v>42507</v>
      </c>
      <c r="F934" s="187" t="s">
        <v>967</v>
      </c>
      <c r="G934" s="451" t="s">
        <v>558</v>
      </c>
      <c r="H934" s="7" t="s">
        <v>778</v>
      </c>
      <c r="I934" s="251">
        <v>530</v>
      </c>
      <c r="J934" s="251">
        <v>11000</v>
      </c>
      <c r="K934" s="38">
        <f>ROUND(I934*J934,0)</f>
        <v>5830000</v>
      </c>
      <c r="L934" s="192" t="s">
        <v>258</v>
      </c>
      <c r="M934" s="192" t="s">
        <v>173</v>
      </c>
      <c r="N934" s="52" t="str">
        <f>IF(AND('331-CT'!$E$7=TH!H934,OR(L934="331",M934="331")),"331",IF(AND(OR(L934="131",M934="131"),H934='131-CT'!$E$7),"131",""))</f>
        <v/>
      </c>
      <c r="O934" s="818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52"/>
      <c r="AB934" s="552"/>
      <c r="AC934" s="552"/>
    </row>
    <row r="935" spans="1:30" s="209" customFormat="1" ht="15.75" customHeight="1">
      <c r="A935" s="202" t="str">
        <f>IF(B935&lt;&gt;"",IF(AND(B935&gt;=_TM1,B935&lt;=_TM2,OR(TH!L935="1111",TH!M935="1111")),TH!D935,""),"")</f>
        <v/>
      </c>
      <c r="B935" s="36">
        <f t="shared" si="48"/>
        <v>5</v>
      </c>
      <c r="C935" s="182">
        <f t="shared" si="49"/>
        <v>42507</v>
      </c>
      <c r="D935" s="189" t="s">
        <v>1127</v>
      </c>
      <c r="E935" s="182">
        <v>42507</v>
      </c>
      <c r="F935" s="187" t="s">
        <v>393</v>
      </c>
      <c r="G935" s="451" t="s">
        <v>558</v>
      </c>
      <c r="H935" s="7" t="s">
        <v>778</v>
      </c>
      <c r="I935" s="251"/>
      <c r="J935" s="251"/>
      <c r="K935" s="38">
        <v>583000</v>
      </c>
      <c r="L935" s="192" t="s">
        <v>258</v>
      </c>
      <c r="M935" s="192" t="s">
        <v>367</v>
      </c>
      <c r="N935" s="52" t="str">
        <f>IF(AND('331-CT'!$E$7=TH!H935,OR(L935="331",M935="331")),"331",IF(AND(OR(L935="131",M935="131"),H935='131-CT'!$E$7),"131",""))</f>
        <v/>
      </c>
      <c r="O935" s="818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52"/>
      <c r="AB935" s="552"/>
      <c r="AC935" s="552"/>
    </row>
    <row r="936" spans="1:30" s="209" customFormat="1" ht="15.75" customHeight="1">
      <c r="A936" s="202" t="str">
        <f>IF(B936&lt;&gt;"",IF(AND(B936&gt;=_TM1,B936&lt;=_TM2,OR(TH!L936="1111",TH!M936="1111")),TH!D936,""),"")</f>
        <v/>
      </c>
      <c r="B936" s="36">
        <f t="shared" si="48"/>
        <v>5</v>
      </c>
      <c r="C936" s="182">
        <f t="shared" si="49"/>
        <v>42508</v>
      </c>
      <c r="D936" s="189" t="s">
        <v>1128</v>
      </c>
      <c r="E936" s="182">
        <v>42508</v>
      </c>
      <c r="F936" s="190" t="s">
        <v>436</v>
      </c>
      <c r="G936" s="451" t="s">
        <v>562</v>
      </c>
      <c r="H936" s="828" t="s">
        <v>565</v>
      </c>
      <c r="I936" s="251">
        <v>517</v>
      </c>
      <c r="J936" s="251">
        <v>5900</v>
      </c>
      <c r="K936" s="38">
        <f>ROUND(I936*J936,0)</f>
        <v>3050300</v>
      </c>
      <c r="L936" s="192" t="s">
        <v>258</v>
      </c>
      <c r="M936" s="192" t="s">
        <v>173</v>
      </c>
      <c r="N936" s="52" t="str">
        <f>IF(AND('331-CT'!$E$7=TH!H936,OR(L936="331",M936="331")),"331",IF(AND(OR(L936="131",M936="131"),H936='131-CT'!$E$7),"131",""))</f>
        <v/>
      </c>
      <c r="O936" s="818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52"/>
      <c r="AB936" s="552"/>
    </row>
    <row r="937" spans="1:30" s="209" customFormat="1" ht="15.75" customHeight="1">
      <c r="A937" s="202" t="str">
        <f>IF(B937&lt;&gt;"",IF(AND(B937&gt;=_TM1,B937&lt;=_TM2,OR(TH!L937="1111",TH!M937="1111")),TH!D937,""),"")</f>
        <v/>
      </c>
      <c r="B937" s="36">
        <f t="shared" si="48"/>
        <v>5</v>
      </c>
      <c r="C937" s="182">
        <f t="shared" si="49"/>
        <v>42508</v>
      </c>
      <c r="D937" s="189" t="s">
        <v>1128</v>
      </c>
      <c r="E937" s="182">
        <v>42508</v>
      </c>
      <c r="F937" s="187" t="s">
        <v>1028</v>
      </c>
      <c r="G937" s="451" t="s">
        <v>562</v>
      </c>
      <c r="H937" s="828" t="s">
        <v>565</v>
      </c>
      <c r="I937" s="251"/>
      <c r="J937" s="251"/>
      <c r="K937" s="560">
        <v>305030</v>
      </c>
      <c r="L937" s="192" t="s">
        <v>258</v>
      </c>
      <c r="M937" s="192" t="s">
        <v>367</v>
      </c>
      <c r="N937" s="52" t="str">
        <f>IF(AND('331-CT'!$E$7=TH!H937,OR(L937="331",M937="331")),"331",IF(AND(OR(L937="131",M937="131"),H937='131-CT'!$E$7),"131",""))</f>
        <v/>
      </c>
      <c r="O937" s="818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52"/>
      <c r="AB937" s="552"/>
      <c r="AC937" s="552"/>
    </row>
    <row r="938" spans="1:30" s="209" customFormat="1" ht="15.75" customHeight="1">
      <c r="A938" s="202" t="str">
        <f>IF(B938&lt;&gt;"",IF(AND(B938&gt;=_TM1,B938&lt;=_TM2,OR(TH!L938="1111",TH!M938="1111")),TH!D938,""),"")</f>
        <v/>
      </c>
      <c r="B938" s="36">
        <f t="shared" si="48"/>
        <v>5</v>
      </c>
      <c r="C938" s="182">
        <f t="shared" si="49"/>
        <v>42508</v>
      </c>
      <c r="D938" s="189" t="s">
        <v>1129</v>
      </c>
      <c r="E938" s="182">
        <v>42508</v>
      </c>
      <c r="F938" s="187" t="s">
        <v>408</v>
      </c>
      <c r="G938" s="451" t="s">
        <v>563</v>
      </c>
      <c r="H938" s="191" t="s">
        <v>609</v>
      </c>
      <c r="I938" s="251">
        <v>65</v>
      </c>
      <c r="J938" s="251">
        <v>9500</v>
      </c>
      <c r="K938" s="38">
        <f>ROUND(I938*J938,0)</f>
        <v>617500</v>
      </c>
      <c r="L938" s="192" t="s">
        <v>258</v>
      </c>
      <c r="M938" s="192" t="s">
        <v>173</v>
      </c>
      <c r="N938" s="52" t="str">
        <f>IF(AND('331-CT'!$E$7=TH!H938,OR(L938="331",M938="331")),"331",IF(AND(OR(L938="131",M938="131"),H938='131-CT'!$E$7),"131",""))</f>
        <v/>
      </c>
      <c r="O938" s="818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52"/>
      <c r="AB938" s="552"/>
    </row>
    <row r="939" spans="1:30" s="209" customFormat="1" ht="15.75" customHeight="1">
      <c r="A939" s="202" t="str">
        <f>IF(B939&lt;&gt;"",IF(AND(B939&gt;=_TM1,B939&lt;=_TM2,OR(TH!L939="1111",TH!M939="1111")),TH!D939,""),"")</f>
        <v/>
      </c>
      <c r="B939" s="36">
        <f t="shared" si="48"/>
        <v>5</v>
      </c>
      <c r="C939" s="182">
        <f t="shared" si="49"/>
        <v>42508</v>
      </c>
      <c r="D939" s="189" t="s">
        <v>1129</v>
      </c>
      <c r="E939" s="182">
        <v>42508</v>
      </c>
      <c r="F939" s="187" t="s">
        <v>473</v>
      </c>
      <c r="G939" s="451" t="s">
        <v>563</v>
      </c>
      <c r="H939" s="191" t="s">
        <v>609</v>
      </c>
      <c r="I939" s="251">
        <v>88</v>
      </c>
      <c r="J939" s="251">
        <v>7370</v>
      </c>
      <c r="K939" s="38">
        <f>ROUND(I939*J939,0)</f>
        <v>648560</v>
      </c>
      <c r="L939" s="192" t="s">
        <v>258</v>
      </c>
      <c r="M939" s="192" t="s">
        <v>173</v>
      </c>
      <c r="N939" s="52" t="str">
        <f>IF(AND('331-CT'!$E$7=TH!H939,OR(L939="331",M939="331")),"331",IF(AND(OR(L939="131",M939="131"),H939='131-CT'!$E$7),"131",""))</f>
        <v/>
      </c>
      <c r="O939" s="818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52"/>
      <c r="AB939" s="552"/>
      <c r="AC939" s="552"/>
    </row>
    <row r="940" spans="1:30" s="209" customFormat="1" ht="15.75" customHeight="1">
      <c r="A940" s="202" t="str">
        <f>IF(B940&lt;&gt;"",IF(AND(B940&gt;=_TM1,B940&lt;=_TM2,OR(TH!L940="1111",TH!M940="1111")),TH!D940,""),"")</f>
        <v/>
      </c>
      <c r="B940" s="36">
        <f t="shared" si="48"/>
        <v>5</v>
      </c>
      <c r="C940" s="182">
        <f t="shared" si="49"/>
        <v>42508</v>
      </c>
      <c r="D940" s="189" t="s">
        <v>1129</v>
      </c>
      <c r="E940" s="182">
        <v>42508</v>
      </c>
      <c r="F940" s="187" t="s">
        <v>480</v>
      </c>
      <c r="G940" s="451" t="s">
        <v>563</v>
      </c>
      <c r="H940" s="191" t="s">
        <v>609</v>
      </c>
      <c r="I940" s="251">
        <v>340</v>
      </c>
      <c r="J940" s="251">
        <v>9200</v>
      </c>
      <c r="K940" s="38">
        <f>ROUND(I940*J940,0)</f>
        <v>3128000</v>
      </c>
      <c r="L940" s="192" t="s">
        <v>258</v>
      </c>
      <c r="M940" s="192" t="s">
        <v>173</v>
      </c>
      <c r="N940" s="52" t="str">
        <f>IF(AND('331-CT'!$E$7=TH!H940,OR(L940="331",M940="331")),"331",IF(AND(OR(L940="131",M940="131"),H940='131-CT'!$E$7),"131",""))</f>
        <v/>
      </c>
      <c r="O940" s="818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52"/>
      <c r="AB940" s="552"/>
      <c r="AC940" s="552"/>
    </row>
    <row r="941" spans="1:30" s="209" customFormat="1" ht="15.75" customHeight="1">
      <c r="A941" s="202" t="str">
        <f>IF(B941&lt;&gt;"",IF(AND(B941&gt;=_TM1,B941&lt;=_TM2,OR(TH!L941="1111",TH!M941="1111")),TH!D941,""),"")</f>
        <v/>
      </c>
      <c r="B941" s="36">
        <f t="shared" si="48"/>
        <v>5</v>
      </c>
      <c r="C941" s="182">
        <f t="shared" si="49"/>
        <v>42508</v>
      </c>
      <c r="D941" s="189" t="s">
        <v>1129</v>
      </c>
      <c r="E941" s="182">
        <v>42508</v>
      </c>
      <c r="F941" s="187" t="s">
        <v>940</v>
      </c>
      <c r="G941" s="451" t="s">
        <v>563</v>
      </c>
      <c r="H941" s="191" t="s">
        <v>609</v>
      </c>
      <c r="I941" s="251">
        <v>220</v>
      </c>
      <c r="J941" s="251">
        <v>7900</v>
      </c>
      <c r="K941" s="38">
        <f>ROUND(I941*J941,0)</f>
        <v>1738000</v>
      </c>
      <c r="L941" s="192" t="s">
        <v>258</v>
      </c>
      <c r="M941" s="192" t="s">
        <v>173</v>
      </c>
      <c r="N941" s="52" t="str">
        <f>IF(AND('331-CT'!$E$7=TH!H941,OR(L941="331",M941="331")),"331",IF(AND(OR(L941="131",M941="131"),H941='131-CT'!$E$7),"131",""))</f>
        <v/>
      </c>
      <c r="O941" s="818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52"/>
      <c r="AB941" s="552"/>
    </row>
    <row r="942" spans="1:30" s="209" customFormat="1" ht="15.75" customHeight="1">
      <c r="A942" s="202" t="str">
        <f>IF(B942&lt;&gt;"",IF(AND(B942&gt;=_TM1,B942&lt;=_TM2,OR(TH!L942="1111",TH!M942="1111")),TH!D942,""),"")</f>
        <v/>
      </c>
      <c r="B942" s="36">
        <f t="shared" si="48"/>
        <v>5</v>
      </c>
      <c r="C942" s="182">
        <f t="shared" si="49"/>
        <v>42508</v>
      </c>
      <c r="D942" s="189" t="s">
        <v>1129</v>
      </c>
      <c r="E942" s="182">
        <v>42508</v>
      </c>
      <c r="F942" s="187" t="s">
        <v>480</v>
      </c>
      <c r="G942" s="451" t="s">
        <v>563</v>
      </c>
      <c r="H942" s="191" t="s">
        <v>609</v>
      </c>
      <c r="I942" s="251">
        <v>212</v>
      </c>
      <c r="J942" s="251">
        <v>9200</v>
      </c>
      <c r="K942" s="38">
        <f>ROUND(I942*J942,0)</f>
        <v>1950400</v>
      </c>
      <c r="L942" s="192" t="s">
        <v>258</v>
      </c>
      <c r="M942" s="192" t="s">
        <v>173</v>
      </c>
      <c r="N942" s="52" t="str">
        <f>IF(AND('331-CT'!$E$7=TH!H942,OR(L942="331",M942="331")),"331",IF(AND(OR(L942="131",M942="131"),H942='131-CT'!$E$7),"131",""))</f>
        <v/>
      </c>
      <c r="O942" s="818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52"/>
      <c r="AB942" s="552"/>
      <c r="AC942" s="552"/>
    </row>
    <row r="943" spans="1:30" s="209" customFormat="1" ht="15.75" customHeight="1">
      <c r="A943" s="202" t="str">
        <f>IF(B943&lt;&gt;"",IF(AND(B943&gt;=_TM1,B943&lt;=_TM2,OR(TH!L943="1111",TH!M943="1111")),TH!D943,""),"")</f>
        <v/>
      </c>
      <c r="B943" s="36">
        <f t="shared" si="48"/>
        <v>5</v>
      </c>
      <c r="C943" s="182">
        <f t="shared" si="49"/>
        <v>42508</v>
      </c>
      <c r="D943" s="189" t="s">
        <v>1129</v>
      </c>
      <c r="E943" s="182">
        <v>42508</v>
      </c>
      <c r="F943" s="187" t="s">
        <v>1028</v>
      </c>
      <c r="G943" s="451" t="s">
        <v>563</v>
      </c>
      <c r="H943" s="191" t="s">
        <v>609</v>
      </c>
      <c r="I943" s="251"/>
      <c r="J943" s="251"/>
      <c r="K943" s="560">
        <v>808246</v>
      </c>
      <c r="L943" s="192" t="s">
        <v>258</v>
      </c>
      <c r="M943" s="192" t="s">
        <v>367</v>
      </c>
      <c r="N943" s="52" t="str">
        <f>IF(AND('331-CT'!$E$7=TH!H943,OR(L943="331",M943="331")),"331",IF(AND(OR(L943="131",M943="131"),H943='131-CT'!$E$7),"131",""))</f>
        <v/>
      </c>
      <c r="O943" s="818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52"/>
      <c r="AB943" s="552"/>
    </row>
    <row r="944" spans="1:30" s="209" customFormat="1" ht="15.75" customHeight="1">
      <c r="A944" s="202" t="str">
        <f>IF(B944&lt;&gt;"",IF(AND(B944&gt;=_TM1,B944&lt;=_TM2,OR(TH!L944="1111",TH!M944="1111")),TH!D944,""),"")</f>
        <v/>
      </c>
      <c r="B944" s="36">
        <f t="shared" si="48"/>
        <v>5</v>
      </c>
      <c r="C944" s="182">
        <f t="shared" si="49"/>
        <v>42510</v>
      </c>
      <c r="D944" s="182" t="s">
        <v>665</v>
      </c>
      <c r="E944" s="189">
        <v>42510</v>
      </c>
      <c r="F944" s="190" t="s">
        <v>795</v>
      </c>
      <c r="G944" s="190" t="s">
        <v>764</v>
      </c>
      <c r="H944" s="7" t="s">
        <v>796</v>
      </c>
      <c r="I944" s="251"/>
      <c r="J944" s="251"/>
      <c r="K944" s="560">
        <v>14000000</v>
      </c>
      <c r="L944" s="192" t="s">
        <v>24</v>
      </c>
      <c r="M944" s="192" t="s">
        <v>24</v>
      </c>
      <c r="N944" s="52" t="str">
        <f>IF(AND('331-CT'!$E$7=TH!H944,OR(L944="331",M944="331")),"331",IF(AND(OR(L944="131",M944="131"),H944='131-CT'!$E$7),"131",""))</f>
        <v/>
      </c>
      <c r="O944" s="818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53"/>
      <c r="AB944" s="552"/>
      <c r="AC944" s="552"/>
      <c r="AD944" s="552"/>
    </row>
    <row r="945" spans="1:32" s="209" customFormat="1" ht="15.75" customHeight="1">
      <c r="A945" s="202" t="str">
        <f>IF(B945&lt;&gt;"",IF(AND(B945&gt;=_TM1,B945&lt;=_TM2,OR(TH!L945="1111",TH!M945="1111")),TH!D945,""),"")</f>
        <v/>
      </c>
      <c r="B945" s="36">
        <f t="shared" si="48"/>
        <v>5</v>
      </c>
      <c r="C945" s="182">
        <f t="shared" si="49"/>
        <v>42510</v>
      </c>
      <c r="D945" s="182" t="s">
        <v>669</v>
      </c>
      <c r="E945" s="182">
        <v>42510</v>
      </c>
      <c r="F945" s="187" t="s">
        <v>770</v>
      </c>
      <c r="G945" s="448" t="s">
        <v>756</v>
      </c>
      <c r="H945" s="191" t="s">
        <v>767</v>
      </c>
      <c r="I945" s="251"/>
      <c r="J945" s="251"/>
      <c r="K945" s="560">
        <v>1335555</v>
      </c>
      <c r="L945" s="561" t="s">
        <v>81</v>
      </c>
      <c r="M945" s="561" t="s">
        <v>24</v>
      </c>
      <c r="N945" s="52" t="str">
        <f>IF(AND('331-CT'!$E$7=TH!H945,OR(L945="331",M945="331")),"331",IF(AND(OR(L945="131",M945="131"),H945='131-CT'!$E$7),"131",""))</f>
        <v/>
      </c>
      <c r="O945" s="818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52"/>
      <c r="AB945" s="552"/>
      <c r="AC945" s="552"/>
      <c r="AD945" s="552"/>
      <c r="AE945" s="552"/>
      <c r="AF945" s="552"/>
    </row>
    <row r="946" spans="1:32" s="209" customFormat="1" ht="15.75" customHeight="1">
      <c r="A946" s="202" t="str">
        <f>IF(B946&lt;&gt;"",IF(AND(B946&gt;=_TM1,B946&lt;=_TM2,OR(TH!L946="1111",TH!M946="1111")),TH!D946,""),"")</f>
        <v/>
      </c>
      <c r="B946" s="36">
        <f t="shared" si="48"/>
        <v>5</v>
      </c>
      <c r="C946" s="182">
        <f t="shared" si="49"/>
        <v>42510</v>
      </c>
      <c r="D946" s="182" t="s">
        <v>669</v>
      </c>
      <c r="E946" s="182">
        <v>42510</v>
      </c>
      <c r="F946" s="187" t="s">
        <v>770</v>
      </c>
      <c r="G946" s="448" t="s">
        <v>756</v>
      </c>
      <c r="H946" s="191" t="s">
        <v>757</v>
      </c>
      <c r="I946" s="251"/>
      <c r="J946" s="251"/>
      <c r="K946" s="560">
        <v>10651469</v>
      </c>
      <c r="L946" s="561" t="s">
        <v>81</v>
      </c>
      <c r="M946" s="561" t="s">
        <v>24</v>
      </c>
      <c r="N946" s="52" t="str">
        <f>IF(AND('331-CT'!$E$7=TH!H946,OR(L946="331",M946="331")),"331",IF(AND(OR(L946="131",M946="131"),H946='131-CT'!$E$7),"131",""))</f>
        <v/>
      </c>
      <c r="O946" s="818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52"/>
      <c r="AB946" s="552"/>
      <c r="AC946" s="552"/>
      <c r="AD946" s="552"/>
      <c r="AE946" s="552"/>
      <c r="AF946" s="552"/>
    </row>
    <row r="947" spans="1:32" s="209" customFormat="1" ht="15.75" customHeight="1">
      <c r="A947" s="202" t="str">
        <f>IF(B947&lt;&gt;"",IF(AND(B947&gt;=_TM1,B947&lt;=_TM2,OR(TH!L947="1111",TH!M947="1111")),TH!D947,""),"")</f>
        <v/>
      </c>
      <c r="B947" s="36">
        <f t="shared" si="48"/>
        <v>5</v>
      </c>
      <c r="C947" s="182">
        <f t="shared" si="49"/>
        <v>42510</v>
      </c>
      <c r="D947" s="182" t="s">
        <v>669</v>
      </c>
      <c r="E947" s="182">
        <v>42510</v>
      </c>
      <c r="F947" s="187" t="s">
        <v>770</v>
      </c>
      <c r="G947" s="448" t="s">
        <v>756</v>
      </c>
      <c r="H947" s="191" t="s">
        <v>763</v>
      </c>
      <c r="I947" s="251"/>
      <c r="J947" s="251"/>
      <c r="K947" s="560">
        <v>2128358</v>
      </c>
      <c r="L947" s="561" t="s">
        <v>81</v>
      </c>
      <c r="M947" s="561" t="s">
        <v>24</v>
      </c>
      <c r="N947" s="52" t="str">
        <f>IF(AND('331-CT'!$E$7=TH!H947,OR(L947="331",M947="331")),"331",IF(AND(OR(L947="131",M947="131"),H947='131-CT'!$E$7),"131",""))</f>
        <v/>
      </c>
      <c r="O947" s="818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52"/>
      <c r="AB947" s="552"/>
      <c r="AC947" s="552"/>
      <c r="AD947" s="552"/>
      <c r="AE947" s="552"/>
      <c r="AF947" s="552"/>
    </row>
    <row r="948" spans="1:32" s="209" customFormat="1" ht="15.75" customHeight="1">
      <c r="A948" s="202" t="str">
        <f>IF(B948&lt;&gt;"",IF(AND(B948&gt;=_TM1,B948&lt;=_TM2,OR(TH!L948="1111",TH!M948="1111")),TH!D948,""),"")</f>
        <v/>
      </c>
      <c r="B948" s="36">
        <f t="shared" si="48"/>
        <v>5</v>
      </c>
      <c r="C948" s="182">
        <f t="shared" si="49"/>
        <v>42510</v>
      </c>
      <c r="D948" s="182" t="s">
        <v>1642</v>
      </c>
      <c r="E948" s="189">
        <v>42510</v>
      </c>
      <c r="F948" s="190" t="s">
        <v>668</v>
      </c>
      <c r="G948" s="190" t="s">
        <v>330</v>
      </c>
      <c r="H948" s="7" t="s">
        <v>675</v>
      </c>
      <c r="I948" s="251"/>
      <c r="J948" s="251"/>
      <c r="K948" s="560">
        <v>8600000</v>
      </c>
      <c r="L948" s="192" t="s">
        <v>24</v>
      </c>
      <c r="M948" s="192" t="s">
        <v>47</v>
      </c>
      <c r="N948" s="52" t="str">
        <f>IF(AND('331-CT'!$E$7=TH!H948,OR(L948="331",M948="331")),"331",IF(AND(OR(L948="131",M948="131"),H948='131-CT'!$E$7),"131",""))</f>
        <v/>
      </c>
      <c r="O948" s="818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53"/>
      <c r="AB948" s="552"/>
      <c r="AC948" s="552"/>
    </row>
    <row r="949" spans="1:32" s="209" customFormat="1" ht="15.75" customHeight="1">
      <c r="A949" s="202" t="str">
        <f>IF(B949&lt;&gt;"",IF(AND(B949&gt;=_TM1,B949&lt;=_TM2,OR(TH!L949="1111",TH!M949="1111")),TH!D949,""),"")</f>
        <v/>
      </c>
      <c r="B949" s="36">
        <f t="shared" si="48"/>
        <v>5</v>
      </c>
      <c r="C949" s="182">
        <f t="shared" si="49"/>
        <v>42510</v>
      </c>
      <c r="D949" s="182" t="s">
        <v>669</v>
      </c>
      <c r="E949" s="189">
        <v>42510</v>
      </c>
      <c r="F949" s="190" t="s">
        <v>801</v>
      </c>
      <c r="G949" s="190" t="s">
        <v>330</v>
      </c>
      <c r="H949" s="7" t="s">
        <v>792</v>
      </c>
      <c r="I949" s="251"/>
      <c r="J949" s="251"/>
      <c r="K949" s="560">
        <v>8307530</v>
      </c>
      <c r="L949" s="192" t="s">
        <v>8</v>
      </c>
      <c r="M949" s="192" t="s">
        <v>24</v>
      </c>
      <c r="N949" s="52" t="str">
        <f>IF(AND('331-CT'!$E$7=TH!H949,OR(L949="331",M949="331")),"331",IF(AND(OR(L949="131",M949="131"),H949='131-CT'!$E$7),"131",""))</f>
        <v/>
      </c>
      <c r="O949" s="818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53"/>
      <c r="AB949" s="552"/>
      <c r="AC949" s="552"/>
      <c r="AD949" s="552"/>
    </row>
    <row r="950" spans="1:32" s="209" customFormat="1" ht="15.75" customHeight="1">
      <c r="A950" s="202" t="str">
        <f>IF(B950&lt;&gt;"",IF(AND(B950&gt;=_TM1,B950&lt;=_TM2,OR(TH!L950="1111",TH!M950="1111")),TH!D950,""),"")</f>
        <v/>
      </c>
      <c r="B950" s="36">
        <f t="shared" si="48"/>
        <v>5</v>
      </c>
      <c r="C950" s="182">
        <f t="shared" si="49"/>
        <v>42510</v>
      </c>
      <c r="D950" s="182" t="s">
        <v>669</v>
      </c>
      <c r="E950" s="189">
        <v>42510</v>
      </c>
      <c r="F950" s="190" t="s">
        <v>672</v>
      </c>
      <c r="G950" s="190" t="s">
        <v>330</v>
      </c>
      <c r="H950" s="7"/>
      <c r="I950" s="251"/>
      <c r="J950" s="251"/>
      <c r="K950" s="560">
        <v>13636</v>
      </c>
      <c r="L950" s="192" t="s">
        <v>83</v>
      </c>
      <c r="M950" s="192" t="s">
        <v>24</v>
      </c>
      <c r="N950" s="52" t="str">
        <f>IF(AND('331-CT'!$E$7=TH!H950,OR(L950="331",M950="331")),"331",IF(AND(OR(L950="131",M950="131"),H950='131-CT'!$E$7),"131",""))</f>
        <v/>
      </c>
      <c r="O950" s="818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>x</v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52">
        <v>2</v>
      </c>
      <c r="AB950" s="552"/>
      <c r="AC950" s="552"/>
      <c r="AD950" s="552"/>
    </row>
    <row r="951" spans="1:32" s="209" customFormat="1" ht="15.75" customHeight="1">
      <c r="A951" s="202" t="str">
        <f>IF(B951&lt;&gt;"",IF(AND(B951&gt;=_TM1,B951&lt;=_TM2,OR(TH!L951="1111",TH!M951="1111")),TH!D951,""),"")</f>
        <v/>
      </c>
      <c r="B951" s="36">
        <f t="shared" si="48"/>
        <v>5</v>
      </c>
      <c r="C951" s="182">
        <f t="shared" si="49"/>
        <v>42510</v>
      </c>
      <c r="D951" s="182" t="s">
        <v>669</v>
      </c>
      <c r="E951" s="189">
        <v>42510</v>
      </c>
      <c r="F951" s="190" t="s">
        <v>762</v>
      </c>
      <c r="G951" s="190" t="s">
        <v>330</v>
      </c>
      <c r="H951" s="7"/>
      <c r="I951" s="251"/>
      <c r="J951" s="251"/>
      <c r="K951" s="560">
        <v>1364</v>
      </c>
      <c r="L951" s="192" t="s">
        <v>9</v>
      </c>
      <c r="M951" s="192" t="s">
        <v>24</v>
      </c>
      <c r="N951" s="52" t="str">
        <f>IF(AND('331-CT'!$E$7=TH!H951,OR(L951="331",M951="331")),"331",IF(AND(OR(L951="131",M951="131"),H951='131-CT'!$E$7),"131",""))</f>
        <v/>
      </c>
      <c r="O951" s="818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52">
        <v>2</v>
      </c>
      <c r="AB951" s="552"/>
      <c r="AC951" s="552"/>
    </row>
    <row r="952" spans="1:32" s="209" customFormat="1" ht="15.75" customHeight="1">
      <c r="A952" s="202" t="str">
        <f>IF(B952&lt;&gt;"",IF(AND(B952&gt;=_TM1,B952&lt;=_TM2,OR(TH!L952="1111",TH!M952="1111")),TH!D952,""),"")</f>
        <v/>
      </c>
      <c r="B952" s="36">
        <f t="shared" si="48"/>
        <v>5</v>
      </c>
      <c r="C952" s="182">
        <f t="shared" si="49"/>
        <v>42510</v>
      </c>
      <c r="D952" s="182" t="s">
        <v>669</v>
      </c>
      <c r="E952" s="189">
        <v>42510</v>
      </c>
      <c r="F952" s="190" t="s">
        <v>672</v>
      </c>
      <c r="G952" s="190" t="s">
        <v>330</v>
      </c>
      <c r="H952" s="7"/>
      <c r="I952" s="251"/>
      <c r="J952" s="251"/>
      <c r="K952" s="560">
        <v>13636</v>
      </c>
      <c r="L952" s="192" t="s">
        <v>83</v>
      </c>
      <c r="M952" s="192" t="s">
        <v>24</v>
      </c>
      <c r="N952" s="52" t="str">
        <f>IF(AND('331-CT'!$E$7=TH!H952,OR(L952="331",M952="331")),"331",IF(AND(OR(L952="131",M952="131"),H952='131-CT'!$E$7),"131",""))</f>
        <v/>
      </c>
      <c r="O952" s="818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>x</v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52">
        <v>2</v>
      </c>
      <c r="AB952" s="552"/>
      <c r="AC952" s="552"/>
    </row>
    <row r="953" spans="1:32" s="209" customFormat="1" ht="15.75" customHeight="1">
      <c r="A953" s="202" t="str">
        <f>IF(B953&lt;&gt;"",IF(AND(B953&gt;=_TM1,B953&lt;=_TM2,OR(TH!L953="1111",TH!M953="1111")),TH!D953,""),"")</f>
        <v/>
      </c>
      <c r="B953" s="36">
        <f t="shared" si="48"/>
        <v>5</v>
      </c>
      <c r="C953" s="182">
        <f t="shared" si="49"/>
        <v>42510</v>
      </c>
      <c r="D953" s="182" t="s">
        <v>669</v>
      </c>
      <c r="E953" s="189">
        <v>42510</v>
      </c>
      <c r="F953" s="190" t="s">
        <v>762</v>
      </c>
      <c r="G953" s="190" t="s">
        <v>330</v>
      </c>
      <c r="H953" s="7"/>
      <c r="I953" s="251"/>
      <c r="J953" s="251"/>
      <c r="K953" s="560">
        <v>1364</v>
      </c>
      <c r="L953" s="192" t="s">
        <v>9</v>
      </c>
      <c r="M953" s="192" t="s">
        <v>24</v>
      </c>
      <c r="N953" s="52" t="str">
        <f>IF(AND('331-CT'!$E$7=TH!H953,OR(L953="331",M953="331")),"331",IF(AND(OR(L953="131",M953="131"),H953='131-CT'!$E$7),"131",""))</f>
        <v/>
      </c>
      <c r="O953" s="818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52">
        <v>2</v>
      </c>
      <c r="AB953" s="552"/>
    </row>
    <row r="954" spans="1:32" s="209" customFormat="1" ht="15.75" customHeight="1">
      <c r="A954" s="202" t="str">
        <f>IF(B954&lt;&gt;"",IF(AND(B954&gt;=_TM1,B954&lt;=_TM2,OR(TH!L954="1111",TH!M954="1111")),TH!D954,""),"")</f>
        <v/>
      </c>
      <c r="B954" s="36">
        <f t="shared" si="48"/>
        <v>5</v>
      </c>
      <c r="C954" s="182">
        <f t="shared" si="49"/>
        <v>42511</v>
      </c>
      <c r="D954" s="189" t="s">
        <v>1198</v>
      </c>
      <c r="E954" s="182">
        <v>42511</v>
      </c>
      <c r="F954" s="190" t="s">
        <v>676</v>
      </c>
      <c r="G954" s="451" t="s">
        <v>647</v>
      </c>
      <c r="H954" s="7" t="s">
        <v>844</v>
      </c>
      <c r="I954" s="251">
        <v>3306</v>
      </c>
      <c r="J954" s="251">
        <v>7600</v>
      </c>
      <c r="K954" s="38">
        <f>ROUND(I954*J954,0)</f>
        <v>25125600</v>
      </c>
      <c r="L954" s="192" t="s">
        <v>158</v>
      </c>
      <c r="M954" s="192" t="s">
        <v>8</v>
      </c>
      <c r="N954" s="52" t="str">
        <f>IF(AND('331-CT'!$E$7=TH!H954,OR(L954="331",M954="331")),"331",IF(AND(OR(L954="131",M954="131"),H954='131-CT'!$E$7),"131",""))</f>
        <v/>
      </c>
      <c r="O954" s="818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52">
        <v>2</v>
      </c>
      <c r="AB954" s="552"/>
      <c r="AC954" s="209" t="str">
        <f>IF(VLOOKUP(H954,DSKH,1,0)=H954,"","x")</f>
        <v/>
      </c>
      <c r="AE954" s="552"/>
      <c r="AF954" s="552"/>
    </row>
    <row r="955" spans="1:32" s="209" customFormat="1" ht="15.75" customHeight="1">
      <c r="A955" s="202" t="str">
        <f>IF(B955&lt;&gt;"",IF(AND(B955&gt;=_TM1,B955&lt;=_TM2,OR(TH!L955="1111",TH!M955="1111")),TH!D955,""),"")</f>
        <v/>
      </c>
      <c r="B955" s="36">
        <f t="shared" si="48"/>
        <v>5</v>
      </c>
      <c r="C955" s="182">
        <f t="shared" si="49"/>
        <v>42511</v>
      </c>
      <c r="D955" s="189" t="s">
        <v>1198</v>
      </c>
      <c r="E955" s="182">
        <v>42511</v>
      </c>
      <c r="F955" s="187" t="s">
        <v>684</v>
      </c>
      <c r="G955" s="451" t="s">
        <v>647</v>
      </c>
      <c r="H955" s="7" t="s">
        <v>844</v>
      </c>
      <c r="I955" s="251"/>
      <c r="J955" s="251"/>
      <c r="K955" s="560">
        <v>2512560</v>
      </c>
      <c r="L955" s="192" t="s">
        <v>9</v>
      </c>
      <c r="M955" s="192" t="s">
        <v>8</v>
      </c>
      <c r="N955" s="52" t="str">
        <f>IF(AND('331-CT'!$E$7=TH!H955,OR(L955="331",M955="331")),"331",IF(AND(OR(L955="131",M955="131"),H955='131-CT'!$E$7),"131",""))</f>
        <v/>
      </c>
      <c r="O955" s="818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52">
        <v>2</v>
      </c>
      <c r="AB955" s="552"/>
      <c r="AC955" s="209" t="str">
        <f>IF(VLOOKUP(H955,DSKH,1,0)=H955,"","x")</f>
        <v/>
      </c>
      <c r="AE955" s="552"/>
      <c r="AF955" s="552"/>
    </row>
    <row r="956" spans="1:32" s="209" customFormat="1" ht="15.75" customHeight="1">
      <c r="A956" s="202" t="str">
        <f>IF(B956&lt;&gt;"",IF(AND(B956&gt;=_TM1,B956&lt;=_TM2,OR(TH!L956="1111",TH!M956="1111")),TH!D956,""),"")</f>
        <v/>
      </c>
      <c r="B956" s="36">
        <f t="shared" si="48"/>
        <v>5</v>
      </c>
      <c r="C956" s="182">
        <f t="shared" si="49"/>
        <v>42511</v>
      </c>
      <c r="D956" s="182" t="s">
        <v>1638</v>
      </c>
      <c r="E956" s="189">
        <v>42511</v>
      </c>
      <c r="F956" s="40" t="s">
        <v>666</v>
      </c>
      <c r="G956" s="451" t="s">
        <v>642</v>
      </c>
      <c r="H956" s="7" t="s">
        <v>1582</v>
      </c>
      <c r="I956" s="252"/>
      <c r="J956" s="252"/>
      <c r="K956" s="560">
        <v>2508000</v>
      </c>
      <c r="L956" s="561" t="s">
        <v>47</v>
      </c>
      <c r="M956" s="561" t="s">
        <v>258</v>
      </c>
      <c r="N956" s="52" t="str">
        <f>IF(AND('331-CT'!$E$7=TH!H956,OR(L956="331",M956="331")),"331",IF(AND(OR(L956="131",M956="131"),H956='131-CT'!$E$7),"131",""))</f>
        <v/>
      </c>
      <c r="O956" s="818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52"/>
      <c r="AB956" s="552"/>
    </row>
    <row r="957" spans="1:32" s="209" customFormat="1" ht="15.75" customHeight="1">
      <c r="A957" s="202" t="str">
        <f>IF(B957&lt;&gt;"",IF(AND(B957&gt;=_TM1,B957&lt;=_TM2,OR(TH!L957="1111",TH!M957="1111")),TH!D957,""),"")</f>
        <v/>
      </c>
      <c r="B957" s="36">
        <f t="shared" si="48"/>
        <v>5</v>
      </c>
      <c r="C957" s="182">
        <f t="shared" si="49"/>
        <v>42511</v>
      </c>
      <c r="D957" s="182" t="s">
        <v>1645</v>
      </c>
      <c r="E957" s="189">
        <v>42511</v>
      </c>
      <c r="F957" s="40" t="s">
        <v>666</v>
      </c>
      <c r="G957" s="451" t="s">
        <v>1603</v>
      </c>
      <c r="H957" s="7" t="s">
        <v>1204</v>
      </c>
      <c r="I957" s="252"/>
      <c r="J957" s="252"/>
      <c r="K957" s="560">
        <v>34162158</v>
      </c>
      <c r="L957" s="561" t="s">
        <v>47</v>
      </c>
      <c r="M957" s="561" t="s">
        <v>258</v>
      </c>
      <c r="N957" s="52" t="str">
        <f>IF(AND('331-CT'!$E$7=TH!H957,OR(L957="331",M957="331")),"331",IF(AND(OR(L957="131",M957="131"),H957='131-CT'!$E$7),"131",""))</f>
        <v/>
      </c>
      <c r="O957" s="818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52"/>
      <c r="AB957" s="552"/>
      <c r="AC957" s="552"/>
    </row>
    <row r="958" spans="1:32" s="209" customFormat="1" ht="15.75" customHeight="1">
      <c r="A958" s="202" t="str">
        <f>IF(B958&lt;&gt;"",IF(AND(B958&gt;=_TM1,B958&lt;=_TM2,OR(TH!L958="1111",TH!M958="1111")),TH!D958,""),"")</f>
        <v/>
      </c>
      <c r="B958" s="36">
        <f t="shared" si="48"/>
        <v>5</v>
      </c>
      <c r="C958" s="182">
        <f t="shared" si="49"/>
        <v>42511</v>
      </c>
      <c r="D958" s="182" t="s">
        <v>1648</v>
      </c>
      <c r="E958" s="189">
        <v>42511</v>
      </c>
      <c r="F958" s="40" t="s">
        <v>666</v>
      </c>
      <c r="G958" s="451" t="s">
        <v>1607</v>
      </c>
      <c r="H958" s="7" t="s">
        <v>527</v>
      </c>
      <c r="I958" s="252"/>
      <c r="J958" s="252"/>
      <c r="K958" s="560">
        <v>31055371</v>
      </c>
      <c r="L958" s="561" t="s">
        <v>47</v>
      </c>
      <c r="M958" s="561" t="s">
        <v>258</v>
      </c>
      <c r="N958" s="52" t="str">
        <f>IF(AND('331-CT'!$E$7=TH!H958,OR(L958="331",M958="331")),"331",IF(AND(OR(L958="131",M958="131"),H958='131-CT'!$E$7),"131",""))</f>
        <v/>
      </c>
      <c r="O958" s="818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52"/>
      <c r="AB958" s="552"/>
      <c r="AC958" s="552"/>
    </row>
    <row r="959" spans="1:32" s="209" customFormat="1" ht="15.75" customHeight="1">
      <c r="A959" s="202" t="str">
        <f>IF(B959&lt;&gt;"",IF(AND(B959&gt;=_TM1,B959&lt;=_TM2,OR(TH!L959="1111",TH!M959="1111")),TH!D959,""),"")</f>
        <v/>
      </c>
      <c r="B959" s="36">
        <f t="shared" si="48"/>
        <v>5</v>
      </c>
      <c r="C959" s="182">
        <f t="shared" si="49"/>
        <v>42513</v>
      </c>
      <c r="D959" s="182" t="s">
        <v>669</v>
      </c>
      <c r="E959" s="182">
        <v>42513</v>
      </c>
      <c r="F959" s="190" t="s">
        <v>1074</v>
      </c>
      <c r="G959" s="451" t="s">
        <v>756</v>
      </c>
      <c r="H959" s="191"/>
      <c r="I959" s="251"/>
      <c r="J959" s="251"/>
      <c r="K959" s="560">
        <v>100000</v>
      </c>
      <c r="L959" s="561" t="s">
        <v>83</v>
      </c>
      <c r="M959" s="561" t="s">
        <v>24</v>
      </c>
      <c r="N959" s="52" t="str">
        <f>IF(AND('331-CT'!$E$7=TH!H959,OR(L959="331",M959="331")),"331",IF(AND(OR(L959="131",M959="131"),H959='131-CT'!$E$7),"131",""))</f>
        <v/>
      </c>
      <c r="O959" s="818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>x</v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52">
        <v>3</v>
      </c>
      <c r="AB959" s="552"/>
      <c r="AD959" s="552"/>
      <c r="AE959" s="552"/>
      <c r="AF959" s="552"/>
    </row>
    <row r="960" spans="1:32" s="209" customFormat="1" ht="15.75" customHeight="1">
      <c r="A960" s="202" t="str">
        <f>IF(B960&lt;&gt;"",IF(AND(B960&gt;=_TM1,B960&lt;=_TM2,OR(TH!L960="1111",TH!M960="1111")),TH!D960,""),"")</f>
        <v/>
      </c>
      <c r="B960" s="36">
        <f t="shared" si="48"/>
        <v>5</v>
      </c>
      <c r="C960" s="182">
        <f t="shared" si="49"/>
        <v>42513</v>
      </c>
      <c r="D960" s="182" t="s">
        <v>669</v>
      </c>
      <c r="E960" s="182">
        <v>42513</v>
      </c>
      <c r="F960" s="190" t="s">
        <v>1075</v>
      </c>
      <c r="G960" s="451" t="s">
        <v>756</v>
      </c>
      <c r="H960" s="191"/>
      <c r="I960" s="251"/>
      <c r="J960" s="251"/>
      <c r="K960" s="560">
        <v>10000</v>
      </c>
      <c r="L960" s="561" t="s">
        <v>9</v>
      </c>
      <c r="M960" s="561" t="s">
        <v>24</v>
      </c>
      <c r="N960" s="52" t="str">
        <f>IF(AND('331-CT'!$E$7=TH!H960,OR(L960="331",M960="331")),"331",IF(AND(OR(L960="131",M960="131"),H960='131-CT'!$E$7),"131",""))</f>
        <v/>
      </c>
      <c r="O960" s="818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52">
        <v>3</v>
      </c>
      <c r="AB960" s="552"/>
      <c r="AC960" s="552"/>
      <c r="AD960" s="552"/>
      <c r="AE960" s="552"/>
      <c r="AF960" s="552"/>
    </row>
    <row r="961" spans="1:29" s="209" customFormat="1" ht="15.75" customHeight="1">
      <c r="A961" s="202" t="str">
        <f>IF(B961&lt;&gt;"",IF(AND(B961&gt;=_TM1,B961&lt;=_TM2,OR(TH!L961="1111",TH!M961="1111")),TH!D961,""),"")</f>
        <v/>
      </c>
      <c r="B961" s="36">
        <f t="shared" si="48"/>
        <v>5</v>
      </c>
      <c r="C961" s="182">
        <f t="shared" si="49"/>
        <v>42513</v>
      </c>
      <c r="D961" s="182" t="s">
        <v>1643</v>
      </c>
      <c r="E961" s="189">
        <v>42513</v>
      </c>
      <c r="F961" s="190" t="s">
        <v>668</v>
      </c>
      <c r="G961" s="190" t="s">
        <v>330</v>
      </c>
      <c r="H961" s="7" t="s">
        <v>802</v>
      </c>
      <c r="I961" s="251"/>
      <c r="J961" s="251"/>
      <c r="K961" s="560">
        <v>9000000</v>
      </c>
      <c r="L961" s="192" t="s">
        <v>24</v>
      </c>
      <c r="M961" s="192" t="s">
        <v>47</v>
      </c>
      <c r="N961" s="52" t="str">
        <f>IF(AND('331-CT'!$E$7=TH!H961,OR(L961="331",M961="331")),"331",IF(AND(OR(L961="131",M961="131"),H961='131-CT'!$E$7),"131",""))</f>
        <v/>
      </c>
      <c r="O961" s="818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53"/>
      <c r="AB961" s="552"/>
    </row>
    <row r="962" spans="1:29" s="209" customFormat="1" ht="15.75" customHeight="1">
      <c r="A962" s="202" t="str">
        <f>IF(B962&lt;&gt;"",IF(AND(B962&gt;=_TM1,B962&lt;=_TM2,OR(TH!L962="1111",TH!M962="1111")),TH!D962,""),"")</f>
        <v/>
      </c>
      <c r="B962" s="36">
        <f t="shared" si="48"/>
        <v>5</v>
      </c>
      <c r="C962" s="182">
        <f t="shared" si="49"/>
        <v>42513</v>
      </c>
      <c r="D962" s="182" t="s">
        <v>669</v>
      </c>
      <c r="E962" s="189">
        <v>42513</v>
      </c>
      <c r="F962" s="190" t="s">
        <v>671</v>
      </c>
      <c r="G962" s="190" t="s">
        <v>330</v>
      </c>
      <c r="H962" s="7" t="s">
        <v>834</v>
      </c>
      <c r="I962" s="251"/>
      <c r="J962" s="251"/>
      <c r="K962" s="560">
        <v>20000000</v>
      </c>
      <c r="L962" s="192" t="s">
        <v>8</v>
      </c>
      <c r="M962" s="192" t="s">
        <v>24</v>
      </c>
      <c r="N962" s="52" t="str">
        <f>IF(AND('331-CT'!$E$7=TH!H962,OR(L962="331",M962="331")),"331",IF(AND(OR(L962="131",M962="131"),H962='131-CT'!$E$7),"131",""))</f>
        <v/>
      </c>
      <c r="O962" s="818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52"/>
      <c r="AB962" s="552"/>
      <c r="AC962" s="552"/>
    </row>
    <row r="963" spans="1:29" s="209" customFormat="1" ht="15.75" customHeight="1">
      <c r="A963" s="202" t="str">
        <f>IF(B963&lt;&gt;"",IF(AND(B963&gt;=_TM1,B963&lt;=_TM2,OR(TH!L963="1111",TH!M963="1111")),TH!D963,""),"")</f>
        <v/>
      </c>
      <c r="B963" s="36">
        <f t="shared" si="48"/>
        <v>5</v>
      </c>
      <c r="C963" s="182">
        <f t="shared" si="49"/>
        <v>42513</v>
      </c>
      <c r="D963" s="182" t="s">
        <v>669</v>
      </c>
      <c r="E963" s="189">
        <v>42513</v>
      </c>
      <c r="F963" s="187" t="s">
        <v>674</v>
      </c>
      <c r="G963" s="190" t="s">
        <v>330</v>
      </c>
      <c r="H963" s="7"/>
      <c r="I963" s="251"/>
      <c r="J963" s="251"/>
      <c r="K963" s="560">
        <v>13636</v>
      </c>
      <c r="L963" s="192" t="s">
        <v>83</v>
      </c>
      <c r="M963" s="192" t="s">
        <v>24</v>
      </c>
      <c r="N963" s="52" t="str">
        <f>IF(AND('331-CT'!$E$7=TH!H963,OR(L963="331",M963="331")),"331",IF(AND(OR(L963="131",M963="131"),H963='131-CT'!$E$7),"131",""))</f>
        <v/>
      </c>
      <c r="O963" s="818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>x</v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52">
        <v>2</v>
      </c>
      <c r="AB963" s="552"/>
      <c r="AC963" s="552"/>
    </row>
    <row r="964" spans="1:29" s="209" customFormat="1" ht="15.75" customHeight="1">
      <c r="A964" s="202" t="str">
        <f>IF(B964&lt;&gt;"",IF(AND(B964&gt;=_TM1,B964&lt;=_TM2,OR(TH!L964="1111",TH!M964="1111")),TH!D964,""),"")</f>
        <v/>
      </c>
      <c r="B964" s="36">
        <f t="shared" si="48"/>
        <v>5</v>
      </c>
      <c r="C964" s="182">
        <f t="shared" si="49"/>
        <v>42513</v>
      </c>
      <c r="D964" s="182" t="s">
        <v>669</v>
      </c>
      <c r="E964" s="189">
        <v>42513</v>
      </c>
      <c r="F964" s="187" t="s">
        <v>794</v>
      </c>
      <c r="G964" s="190" t="s">
        <v>330</v>
      </c>
      <c r="H964" s="7"/>
      <c r="I964" s="251"/>
      <c r="J964" s="251"/>
      <c r="K964" s="560">
        <v>1364</v>
      </c>
      <c r="L964" s="192" t="s">
        <v>9</v>
      </c>
      <c r="M964" s="192" t="s">
        <v>24</v>
      </c>
      <c r="N964" s="52" t="str">
        <f>IF(AND('331-CT'!$E$7=TH!H964,OR(L964="331",M964="331")),"331",IF(AND(OR(L964="131",M964="131"),H964='131-CT'!$E$7),"131",""))</f>
        <v/>
      </c>
      <c r="O964" s="818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52">
        <v>2</v>
      </c>
      <c r="AB964" s="552"/>
      <c r="AC964" s="552"/>
    </row>
    <row r="965" spans="1:29" s="209" customFormat="1" ht="15.75" customHeight="1">
      <c r="A965" s="202" t="str">
        <f>IF(B965&lt;&gt;"",IF(AND(B965&gt;=_TM1,B965&lt;=_TM2,OR(TH!L965="1111",TH!M965="1111")),TH!D965,""),"")</f>
        <v/>
      </c>
      <c r="B965" s="36">
        <f t="shared" si="48"/>
        <v>5</v>
      </c>
      <c r="C965" s="182">
        <f t="shared" si="49"/>
        <v>42513</v>
      </c>
      <c r="D965" s="189" t="s">
        <v>1130</v>
      </c>
      <c r="E965" s="182">
        <v>42513</v>
      </c>
      <c r="F965" s="187" t="s">
        <v>1030</v>
      </c>
      <c r="G965" s="451" t="s">
        <v>564</v>
      </c>
      <c r="H965" s="711" t="s">
        <v>777</v>
      </c>
      <c r="I965" s="251">
        <v>20</v>
      </c>
      <c r="J965" s="251">
        <v>25000</v>
      </c>
      <c r="K965" s="38">
        <f t="shared" ref="K965:K973" si="50">ROUND(I965*J965,0)</f>
        <v>500000</v>
      </c>
      <c r="L965" s="192" t="s">
        <v>258</v>
      </c>
      <c r="M965" s="192" t="s">
        <v>173</v>
      </c>
      <c r="N965" s="52" t="str">
        <f>IF(AND('331-CT'!$E$7=TH!H965,OR(L965="331",M965="331")),"331",IF(AND(OR(L965="131",M965="131"),H965='131-CT'!$E$7),"131",""))</f>
        <v>131</v>
      </c>
      <c r="O965" s="818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52"/>
      <c r="AB965" s="552"/>
      <c r="AC965" s="552"/>
    </row>
    <row r="966" spans="1:29" s="209" customFormat="1" ht="15.75" customHeight="1">
      <c r="A966" s="202" t="str">
        <f>IF(B966&lt;&gt;"",IF(AND(B966&gt;=_TM1,B966&lt;=_TM2,OR(TH!L966="1111",TH!M966="1111")),TH!D966,""),"")</f>
        <v/>
      </c>
      <c r="B966" s="36">
        <f t="shared" si="48"/>
        <v>5</v>
      </c>
      <c r="C966" s="182">
        <f t="shared" si="49"/>
        <v>42513</v>
      </c>
      <c r="D966" s="189" t="s">
        <v>1130</v>
      </c>
      <c r="E966" s="182">
        <v>42513</v>
      </c>
      <c r="F966" s="187" t="s">
        <v>1031</v>
      </c>
      <c r="G966" s="451" t="s">
        <v>564</v>
      </c>
      <c r="H966" s="711" t="s">
        <v>777</v>
      </c>
      <c r="I966" s="251">
        <v>20</v>
      </c>
      <c r="J966" s="251">
        <v>22500</v>
      </c>
      <c r="K966" s="38">
        <f t="shared" si="50"/>
        <v>450000</v>
      </c>
      <c r="L966" s="192" t="s">
        <v>258</v>
      </c>
      <c r="M966" s="192" t="s">
        <v>173</v>
      </c>
      <c r="N966" s="52" t="str">
        <f>IF(AND('331-CT'!$E$7=TH!H966,OR(L966="331",M966="331")),"331",IF(AND(OR(L966="131",M966="131"),H966='131-CT'!$E$7),"131",""))</f>
        <v>131</v>
      </c>
      <c r="O966" s="818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52"/>
      <c r="AB966" s="552"/>
      <c r="AC966" s="552"/>
    </row>
    <row r="967" spans="1:29" s="209" customFormat="1" ht="15.75" customHeight="1">
      <c r="A967" s="202" t="str">
        <f>IF(B967&lt;&gt;"",IF(AND(B967&gt;=_TM1,B967&lt;=_TM2,OR(TH!L967="1111",TH!M967="1111")),TH!D967,""),"")</f>
        <v/>
      </c>
      <c r="B967" s="36">
        <f t="shared" si="48"/>
        <v>5</v>
      </c>
      <c r="C967" s="182">
        <f t="shared" si="49"/>
        <v>42513</v>
      </c>
      <c r="D967" s="189" t="s">
        <v>1130</v>
      </c>
      <c r="E967" s="182">
        <v>42513</v>
      </c>
      <c r="F967" s="187" t="s">
        <v>1032</v>
      </c>
      <c r="G967" s="451" t="s">
        <v>564</v>
      </c>
      <c r="H967" s="711" t="s">
        <v>777</v>
      </c>
      <c r="I967" s="251">
        <v>60</v>
      </c>
      <c r="J967" s="251">
        <v>20100</v>
      </c>
      <c r="K967" s="38">
        <f t="shared" si="50"/>
        <v>1206000</v>
      </c>
      <c r="L967" s="192" t="s">
        <v>258</v>
      </c>
      <c r="M967" s="192" t="s">
        <v>173</v>
      </c>
      <c r="N967" s="52" t="str">
        <f>IF(AND('331-CT'!$E$7=TH!H967,OR(L967="331",M967="331")),"331",IF(AND(OR(L967="131",M967="131"),H967='131-CT'!$E$7),"131",""))</f>
        <v>131</v>
      </c>
      <c r="O967" s="818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52"/>
      <c r="AB967" s="552"/>
      <c r="AC967" s="552"/>
    </row>
    <row r="968" spans="1:29" s="209" customFormat="1" ht="15.75" customHeight="1">
      <c r="A968" s="202" t="str">
        <f>IF(B968&lt;&gt;"",IF(AND(B968&gt;=_TM1,B968&lt;=_TM2,OR(TH!L968="1111",TH!M968="1111")),TH!D968,""),"")</f>
        <v/>
      </c>
      <c r="B968" s="36">
        <f t="shared" si="48"/>
        <v>5</v>
      </c>
      <c r="C968" s="182">
        <f t="shared" si="49"/>
        <v>42513</v>
      </c>
      <c r="D968" s="189" t="s">
        <v>1130</v>
      </c>
      <c r="E968" s="182">
        <v>42513</v>
      </c>
      <c r="F968" s="187" t="s">
        <v>1033</v>
      </c>
      <c r="G968" s="451" t="s">
        <v>564</v>
      </c>
      <c r="H968" s="711" t="s">
        <v>777</v>
      </c>
      <c r="I968" s="251">
        <v>20</v>
      </c>
      <c r="J968" s="251">
        <v>22000</v>
      </c>
      <c r="K968" s="38">
        <f t="shared" si="50"/>
        <v>440000</v>
      </c>
      <c r="L968" s="192" t="s">
        <v>258</v>
      </c>
      <c r="M968" s="192" t="s">
        <v>173</v>
      </c>
      <c r="N968" s="52" t="str">
        <f>IF(AND('331-CT'!$E$7=TH!H968,OR(L968="331",M968="331")),"331",IF(AND(OR(L968="131",M968="131"),H968='131-CT'!$E$7),"131",""))</f>
        <v>131</v>
      </c>
      <c r="O968" s="818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52"/>
      <c r="AB968" s="552"/>
      <c r="AC968" s="552"/>
    </row>
    <row r="969" spans="1:29" s="209" customFormat="1" ht="15.75" customHeight="1">
      <c r="A969" s="202" t="str">
        <f>IF(B969&lt;&gt;"",IF(AND(B969&gt;=_TM1,B969&lt;=_TM2,OR(TH!L969="1111",TH!M969="1111")),TH!D969,""),"")</f>
        <v/>
      </c>
      <c r="B969" s="36">
        <f t="shared" si="48"/>
        <v>5</v>
      </c>
      <c r="C969" s="182">
        <f t="shared" si="49"/>
        <v>42513</v>
      </c>
      <c r="D969" s="189" t="s">
        <v>1130</v>
      </c>
      <c r="E969" s="182">
        <v>42513</v>
      </c>
      <c r="F969" s="187" t="s">
        <v>1034</v>
      </c>
      <c r="G969" s="451" t="s">
        <v>564</v>
      </c>
      <c r="H969" s="711" t="s">
        <v>777</v>
      </c>
      <c r="I969" s="251">
        <v>20</v>
      </c>
      <c r="J969" s="251">
        <v>21500</v>
      </c>
      <c r="K969" s="38">
        <f t="shared" si="50"/>
        <v>430000</v>
      </c>
      <c r="L969" s="192" t="s">
        <v>258</v>
      </c>
      <c r="M969" s="192" t="s">
        <v>173</v>
      </c>
      <c r="N969" s="52" t="str">
        <f>IF(AND('331-CT'!$E$7=TH!H969,OR(L969="331",M969="331")),"331",IF(AND(OR(L969="131",M969="131"),H969='131-CT'!$E$7),"131",""))</f>
        <v>131</v>
      </c>
      <c r="O969" s="818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52"/>
      <c r="AB969" s="552"/>
      <c r="AC969" s="552"/>
    </row>
    <row r="970" spans="1:29" s="209" customFormat="1" ht="15.75" customHeight="1">
      <c r="A970" s="202" t="str">
        <f>IF(B970&lt;&gt;"",IF(AND(B970&gt;=_TM1,B970&lt;=_TM2,OR(TH!L970="1111",TH!M970="1111")),TH!D970,""),"")</f>
        <v/>
      </c>
      <c r="B970" s="36">
        <f t="shared" si="48"/>
        <v>5</v>
      </c>
      <c r="C970" s="182">
        <f t="shared" si="49"/>
        <v>42513</v>
      </c>
      <c r="D970" s="189" t="s">
        <v>1130</v>
      </c>
      <c r="E970" s="182">
        <v>42513</v>
      </c>
      <c r="F970" s="187" t="s">
        <v>1035</v>
      </c>
      <c r="G970" s="451" t="s">
        <v>564</v>
      </c>
      <c r="H970" s="711" t="s">
        <v>777</v>
      </c>
      <c r="I970" s="251">
        <v>22</v>
      </c>
      <c r="J970" s="251">
        <v>24300</v>
      </c>
      <c r="K970" s="38">
        <f t="shared" si="50"/>
        <v>534600</v>
      </c>
      <c r="L970" s="192" t="s">
        <v>258</v>
      </c>
      <c r="M970" s="192" t="s">
        <v>173</v>
      </c>
      <c r="N970" s="52" t="str">
        <f>IF(AND('331-CT'!$E$7=TH!H970,OR(L970="331",M970="331")),"331",IF(AND(OR(L970="131",M970="131"),H970='131-CT'!$E$7),"131",""))</f>
        <v>131</v>
      </c>
      <c r="O970" s="818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52"/>
      <c r="AB970" s="552"/>
      <c r="AC970" s="552"/>
    </row>
    <row r="971" spans="1:29" s="209" customFormat="1" ht="15.75" customHeight="1">
      <c r="A971" s="202" t="str">
        <f>IF(B971&lt;&gt;"",IF(AND(B971&gt;=_TM1,B971&lt;=_TM2,OR(TH!L971="1111",TH!M971="1111")),TH!D971,""),"")</f>
        <v/>
      </c>
      <c r="B971" s="36">
        <f t="shared" si="48"/>
        <v>5</v>
      </c>
      <c r="C971" s="182">
        <f t="shared" si="49"/>
        <v>42513</v>
      </c>
      <c r="D971" s="189" t="s">
        <v>1130</v>
      </c>
      <c r="E971" s="182">
        <v>42513</v>
      </c>
      <c r="F971" s="187" t="s">
        <v>1036</v>
      </c>
      <c r="G971" s="451" t="s">
        <v>564</v>
      </c>
      <c r="H971" s="711" t="s">
        <v>777</v>
      </c>
      <c r="I971" s="251">
        <v>24</v>
      </c>
      <c r="J971" s="251">
        <v>13000</v>
      </c>
      <c r="K971" s="38">
        <f t="shared" si="50"/>
        <v>312000</v>
      </c>
      <c r="L971" s="192" t="s">
        <v>258</v>
      </c>
      <c r="M971" s="192" t="s">
        <v>173</v>
      </c>
      <c r="N971" s="52" t="str">
        <f>IF(AND('331-CT'!$E$7=TH!H971,OR(L971="331",M971="331")),"331",IF(AND(OR(L971="131",M971="131"),H971='131-CT'!$E$7),"131",""))</f>
        <v>131</v>
      </c>
      <c r="O971" s="818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52"/>
      <c r="AB971" s="552"/>
    </row>
    <row r="972" spans="1:29" s="209" customFormat="1" ht="15.75" customHeight="1">
      <c r="A972" s="202" t="str">
        <f>IF(B972&lt;&gt;"",IF(AND(B972&gt;=_TM1,B972&lt;=_TM2,OR(TH!L972="1111",TH!M972="1111")),TH!D972,""),"")</f>
        <v/>
      </c>
      <c r="B972" s="36">
        <f t="shared" si="48"/>
        <v>5</v>
      </c>
      <c r="C972" s="182">
        <f t="shared" si="49"/>
        <v>42513</v>
      </c>
      <c r="D972" s="189" t="s">
        <v>1130</v>
      </c>
      <c r="E972" s="182">
        <v>42513</v>
      </c>
      <c r="F972" s="187" t="s">
        <v>1037</v>
      </c>
      <c r="G972" s="451" t="s">
        <v>564</v>
      </c>
      <c r="H972" s="711" t="s">
        <v>777</v>
      </c>
      <c r="I972" s="251">
        <v>24</v>
      </c>
      <c r="J972" s="251">
        <v>13000</v>
      </c>
      <c r="K972" s="38">
        <f t="shared" si="50"/>
        <v>312000</v>
      </c>
      <c r="L972" s="192" t="s">
        <v>258</v>
      </c>
      <c r="M972" s="192" t="s">
        <v>173</v>
      </c>
      <c r="N972" s="52" t="str">
        <f>IF(AND('331-CT'!$E$7=TH!H972,OR(L972="331",M972="331")),"331",IF(AND(OR(L972="131",M972="131"),H972='131-CT'!$E$7),"131",""))</f>
        <v>131</v>
      </c>
      <c r="O972" s="818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52"/>
      <c r="AB972" s="552"/>
      <c r="AC972" s="552"/>
    </row>
    <row r="973" spans="1:29" s="209" customFormat="1" ht="15.75" customHeight="1">
      <c r="A973" s="202" t="str">
        <f>IF(B973&lt;&gt;"",IF(AND(B973&gt;=_TM1,B973&lt;=_TM2,OR(TH!L973="1111",TH!M973="1111")),TH!D973,""),"")</f>
        <v/>
      </c>
      <c r="B973" s="36">
        <f t="shared" si="48"/>
        <v>5</v>
      </c>
      <c r="C973" s="182">
        <f t="shared" si="49"/>
        <v>42513</v>
      </c>
      <c r="D973" s="189" t="s">
        <v>1130</v>
      </c>
      <c r="E973" s="182">
        <v>42513</v>
      </c>
      <c r="F973" s="187" t="s">
        <v>1038</v>
      </c>
      <c r="G973" s="451" t="s">
        <v>564</v>
      </c>
      <c r="H973" s="711" t="s">
        <v>777</v>
      </c>
      <c r="I973" s="251">
        <v>26</v>
      </c>
      <c r="J973" s="251">
        <v>15000</v>
      </c>
      <c r="K973" s="38">
        <f t="shared" si="50"/>
        <v>390000</v>
      </c>
      <c r="L973" s="192" t="s">
        <v>258</v>
      </c>
      <c r="M973" s="192" t="s">
        <v>173</v>
      </c>
      <c r="N973" s="52" t="str">
        <f>IF(AND('331-CT'!$E$7=TH!H973,OR(L973="331",M973="331")),"331",IF(AND(OR(L973="131",M973="131"),H973='131-CT'!$E$7),"131",""))</f>
        <v>131</v>
      </c>
      <c r="O973" s="818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52"/>
      <c r="AB973" s="552"/>
      <c r="AC973" s="552"/>
    </row>
    <row r="974" spans="1:29" s="209" customFormat="1" ht="15.75" customHeight="1">
      <c r="A974" s="202" t="str">
        <f>IF(B974&lt;&gt;"",IF(AND(B974&gt;=_TM1,B974&lt;=_TM2,OR(TH!L974="1111",TH!M974="1111")),TH!D974,""),"")</f>
        <v/>
      </c>
      <c r="B974" s="36">
        <f t="shared" si="48"/>
        <v>5</v>
      </c>
      <c r="C974" s="182">
        <f t="shared" si="49"/>
        <v>42513</v>
      </c>
      <c r="D974" s="189" t="s">
        <v>1130</v>
      </c>
      <c r="E974" s="182">
        <v>42513</v>
      </c>
      <c r="F974" s="187" t="s">
        <v>1028</v>
      </c>
      <c r="G974" s="451" t="s">
        <v>564</v>
      </c>
      <c r="H974" s="711" t="s">
        <v>777</v>
      </c>
      <c r="I974" s="251"/>
      <c r="J974" s="251"/>
      <c r="K974" s="560">
        <v>457460</v>
      </c>
      <c r="L974" s="192" t="s">
        <v>258</v>
      </c>
      <c r="M974" s="192" t="s">
        <v>367</v>
      </c>
      <c r="N974" s="52" t="str">
        <f>IF(AND('331-CT'!$E$7=TH!H974,OR(L974="331",M974="331")),"331",IF(AND(OR(L974="131",M974="131"),H974='131-CT'!$E$7),"131",""))</f>
        <v>131</v>
      </c>
      <c r="O974" s="818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52"/>
      <c r="AB974" s="552"/>
      <c r="AC974" s="552"/>
    </row>
    <row r="975" spans="1:29" s="209" customFormat="1" ht="15.75" customHeight="1">
      <c r="A975" s="202" t="str">
        <f>IF(B975&lt;&gt;"",IF(AND(B975&gt;=_TM1,B975&lt;=_TM2,OR(TH!L975="1111",TH!M975="1111")),TH!D975,""),"")</f>
        <v/>
      </c>
      <c r="B975" s="36">
        <f t="shared" si="48"/>
        <v>5</v>
      </c>
      <c r="C975" s="182">
        <f t="shared" si="49"/>
        <v>42513</v>
      </c>
      <c r="D975" s="189" t="s">
        <v>1131</v>
      </c>
      <c r="E975" s="182">
        <v>42513</v>
      </c>
      <c r="F975" s="190" t="s">
        <v>610</v>
      </c>
      <c r="G975" s="451" t="s">
        <v>566</v>
      </c>
      <c r="H975" s="7" t="s">
        <v>612</v>
      </c>
      <c r="I975" s="251">
        <v>158</v>
      </c>
      <c r="J975" s="251">
        <v>22750</v>
      </c>
      <c r="K975" s="38">
        <f>ROUND(I975*J975,0)</f>
        <v>3594500</v>
      </c>
      <c r="L975" s="192" t="s">
        <v>258</v>
      </c>
      <c r="M975" s="192" t="s">
        <v>173</v>
      </c>
      <c r="N975" s="52" t="str">
        <f>IF(AND('331-CT'!$E$7=TH!H975,OR(L975="331",M975="331")),"331",IF(AND(OR(L975="131",M975="131"),H975='131-CT'!$E$7),"131",""))</f>
        <v/>
      </c>
      <c r="O975" s="818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52"/>
      <c r="AB975" s="552"/>
      <c r="AC975" s="552"/>
    </row>
    <row r="976" spans="1:29" s="209" customFormat="1" ht="15.75" customHeight="1">
      <c r="A976" s="202" t="str">
        <f>IF(B976&lt;&gt;"",IF(AND(B976&gt;=_TM1,B976&lt;=_TM2,OR(TH!L976="1111",TH!M976="1111")),TH!D976,""),"")</f>
        <v/>
      </c>
      <c r="B976" s="36">
        <f t="shared" si="48"/>
        <v>5</v>
      </c>
      <c r="C976" s="182">
        <f t="shared" si="49"/>
        <v>42513</v>
      </c>
      <c r="D976" s="189" t="s">
        <v>1131</v>
      </c>
      <c r="E976" s="182">
        <v>42513</v>
      </c>
      <c r="F976" s="187" t="s">
        <v>1028</v>
      </c>
      <c r="G976" s="451" t="s">
        <v>566</v>
      </c>
      <c r="H976" s="7" t="s">
        <v>612</v>
      </c>
      <c r="I976" s="251"/>
      <c r="J976" s="251"/>
      <c r="K976" s="560">
        <v>359450</v>
      </c>
      <c r="L976" s="192" t="s">
        <v>258</v>
      </c>
      <c r="M976" s="192" t="s">
        <v>367</v>
      </c>
      <c r="N976" s="52" t="str">
        <f>IF(AND('331-CT'!$E$7=TH!H976,OR(L976="331",M976="331")),"331",IF(AND(OR(L976="131",M976="131"),H976='131-CT'!$E$7),"131",""))</f>
        <v/>
      </c>
      <c r="O976" s="818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52"/>
      <c r="AB976" s="552"/>
      <c r="AC976" s="552"/>
    </row>
    <row r="977" spans="1:32" s="209" customFormat="1" ht="15.75" customHeight="1">
      <c r="A977" s="202" t="str">
        <f>IF(B977&lt;&gt;"",IF(AND(B977&gt;=_TM1,B977&lt;=_TM2,OR(TH!L977="1111",TH!M977="1111")),TH!D977,""),"")</f>
        <v/>
      </c>
      <c r="B977" s="36">
        <f t="shared" si="48"/>
        <v>5</v>
      </c>
      <c r="C977" s="182">
        <f t="shared" si="49"/>
        <v>42514</v>
      </c>
      <c r="D977" s="182" t="s">
        <v>665</v>
      </c>
      <c r="E977" s="189">
        <v>42514</v>
      </c>
      <c r="F977" s="190" t="s">
        <v>666</v>
      </c>
      <c r="G977" s="190" t="s">
        <v>330</v>
      </c>
      <c r="H977" s="191" t="s">
        <v>428</v>
      </c>
      <c r="I977" s="251"/>
      <c r="J977" s="251"/>
      <c r="K977" s="560">
        <v>19262760</v>
      </c>
      <c r="L977" s="192" t="s">
        <v>24</v>
      </c>
      <c r="M977" s="192" t="s">
        <v>258</v>
      </c>
      <c r="N977" s="52" t="str">
        <f>IF(AND('331-CT'!$E$7=TH!H977,OR(L977="331",M977="331")),"331",IF(AND(OR(L977="131",M977="131"),H977='131-CT'!$E$7),"131",""))</f>
        <v/>
      </c>
      <c r="O977" s="818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53"/>
      <c r="AB977" s="552"/>
      <c r="AC977" s="552"/>
    </row>
    <row r="978" spans="1:32" s="209" customFormat="1" ht="15.75" customHeight="1">
      <c r="A978" s="202" t="str">
        <f>IF(B978&lt;&gt;"",IF(AND(B978&gt;=_TM1,B978&lt;=_TM2,OR(TH!L978="1111",TH!M978="1111")),TH!D978,""),"")</f>
        <v/>
      </c>
      <c r="B978" s="36">
        <f t="shared" si="48"/>
        <v>5</v>
      </c>
      <c r="C978" s="182">
        <f t="shared" si="49"/>
        <v>42514</v>
      </c>
      <c r="D978" s="182" t="s">
        <v>665</v>
      </c>
      <c r="E978" s="189">
        <v>42514</v>
      </c>
      <c r="F978" s="190" t="s">
        <v>666</v>
      </c>
      <c r="G978" s="190" t="s">
        <v>330</v>
      </c>
      <c r="H978" s="7" t="s">
        <v>778</v>
      </c>
      <c r="I978" s="251"/>
      <c r="J978" s="251"/>
      <c r="K978" s="560">
        <v>6213000</v>
      </c>
      <c r="L978" s="192" t="s">
        <v>24</v>
      </c>
      <c r="M978" s="192" t="s">
        <v>258</v>
      </c>
      <c r="N978" s="52" t="str">
        <f>IF(AND('331-CT'!$E$7=TH!H978,OR(L978="331",M978="331")),"331",IF(AND(OR(L978="131",M978="131"),H978='131-CT'!$E$7),"131",""))</f>
        <v/>
      </c>
      <c r="O978" s="818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53"/>
      <c r="AB978" s="552"/>
    </row>
    <row r="979" spans="1:32" s="209" customFormat="1" ht="15.75" customHeight="1">
      <c r="A979" s="202" t="str">
        <f>IF(B979&lt;&gt;"",IF(AND(B979&gt;=_TM1,B979&lt;=_TM2,OR(TH!L979="1111",TH!M979="1111")),TH!D979,""),"")</f>
        <v/>
      </c>
      <c r="B979" s="36">
        <f t="shared" si="48"/>
        <v>5</v>
      </c>
      <c r="C979" s="182">
        <f t="shared" si="49"/>
        <v>42515</v>
      </c>
      <c r="D979" s="182" t="s">
        <v>665</v>
      </c>
      <c r="E979" s="189">
        <v>42515</v>
      </c>
      <c r="F979" s="190" t="s">
        <v>667</v>
      </c>
      <c r="G979" s="190" t="s">
        <v>330</v>
      </c>
      <c r="H979" s="7"/>
      <c r="I979" s="251"/>
      <c r="J979" s="251"/>
      <c r="K979" s="560">
        <v>7297</v>
      </c>
      <c r="L979" s="192" t="s">
        <v>24</v>
      </c>
      <c r="M979" s="192" t="s">
        <v>40</v>
      </c>
      <c r="N979" s="52" t="str">
        <f>IF(AND('331-CT'!$E$7=TH!H979,OR(L979="331",M979="331")),"331",IF(AND(OR(L979="131",M979="131"),H979='131-CT'!$E$7),"131",""))</f>
        <v/>
      </c>
      <c r="O979" s="818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53"/>
      <c r="AB979" s="552"/>
      <c r="AC979" s="552"/>
    </row>
    <row r="980" spans="1:32" s="209" customFormat="1" ht="15.75" customHeight="1">
      <c r="A980" s="202" t="str">
        <f>IF(B980&lt;&gt;"",IF(AND(B980&gt;=_TM1,B980&lt;=_TM2,OR(TH!L980="1111",TH!M980="1111")),TH!D980,""),"")</f>
        <v/>
      </c>
      <c r="B980" s="36">
        <f t="shared" ref="B980:B1043" si="51">IF(C980&lt;&gt;"",MONTH(C980),"")</f>
        <v>5</v>
      </c>
      <c r="C980" s="182">
        <f t="shared" ref="C980:C1043" si="52">E980</f>
        <v>42515</v>
      </c>
      <c r="D980" s="189" t="s">
        <v>1132</v>
      </c>
      <c r="E980" s="182">
        <v>42515</v>
      </c>
      <c r="F980" s="190" t="s">
        <v>1443</v>
      </c>
      <c r="G980" s="451" t="s">
        <v>1039</v>
      </c>
      <c r="H980" s="7" t="s">
        <v>399</v>
      </c>
      <c r="I980" s="251">
        <v>505</v>
      </c>
      <c r="J980" s="251">
        <v>10500</v>
      </c>
      <c r="K980" s="38">
        <f>ROUND(I980*J980,0)</f>
        <v>5302500</v>
      </c>
      <c r="L980" s="192" t="s">
        <v>258</v>
      </c>
      <c r="M980" s="192" t="s">
        <v>173</v>
      </c>
      <c r="N980" s="52" t="str">
        <f>IF(AND('331-CT'!$E$7=TH!H980,OR(L980="331",M980="331")),"331",IF(AND(OR(L980="131",M980="131"),H980='131-CT'!$E$7),"131",""))</f>
        <v/>
      </c>
      <c r="O980" s="818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52"/>
      <c r="AB980" s="552"/>
      <c r="AC980" s="552"/>
    </row>
    <row r="981" spans="1:32" s="209" customFormat="1" ht="15.75" customHeight="1">
      <c r="A981" s="202" t="str">
        <f>IF(B981&lt;&gt;"",IF(AND(B981&gt;=_TM1,B981&lt;=_TM2,OR(TH!L981="1111",TH!M981="1111")),TH!D981,""),"")</f>
        <v/>
      </c>
      <c r="B981" s="36">
        <f t="shared" si="51"/>
        <v>5</v>
      </c>
      <c r="C981" s="182">
        <f t="shared" si="52"/>
        <v>42515</v>
      </c>
      <c r="D981" s="189" t="s">
        <v>1132</v>
      </c>
      <c r="E981" s="182">
        <v>42515</v>
      </c>
      <c r="F981" s="190" t="s">
        <v>1028</v>
      </c>
      <c r="G981" s="451" t="s">
        <v>1039</v>
      </c>
      <c r="H981" s="208" t="s">
        <v>399</v>
      </c>
      <c r="I981" s="251"/>
      <c r="J981" s="251"/>
      <c r="K981" s="560">
        <v>530250</v>
      </c>
      <c r="L981" s="192" t="s">
        <v>258</v>
      </c>
      <c r="M981" s="192" t="s">
        <v>367</v>
      </c>
      <c r="N981" s="52" t="str">
        <f>IF(AND('331-CT'!$E$7=TH!H981,OR(L981="331",M981="331")),"331",IF(AND(OR(L981="131",M981="131"),H981='131-CT'!$E$7),"131",""))</f>
        <v/>
      </c>
      <c r="O981" s="818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52"/>
      <c r="AB981" s="552"/>
      <c r="AC981" s="552"/>
    </row>
    <row r="982" spans="1:32" s="209" customFormat="1" ht="15.75" customHeight="1">
      <c r="A982" s="202" t="str">
        <f>IF(B982&lt;&gt;"",IF(AND(B982&gt;=_TM1,B982&lt;=_TM2,OR(TH!L982="1111",TH!M982="1111")),TH!D982,""),"")</f>
        <v/>
      </c>
      <c r="B982" s="36">
        <f t="shared" si="51"/>
        <v>5</v>
      </c>
      <c r="C982" s="182">
        <f t="shared" si="52"/>
        <v>42516</v>
      </c>
      <c r="D982" s="182" t="s">
        <v>669</v>
      </c>
      <c r="E982" s="182">
        <v>42516</v>
      </c>
      <c r="F982" s="187" t="s">
        <v>771</v>
      </c>
      <c r="G982" s="448" t="s">
        <v>756</v>
      </c>
      <c r="H982" s="191"/>
      <c r="I982" s="251"/>
      <c r="J982" s="251"/>
      <c r="K982" s="560">
        <v>50000</v>
      </c>
      <c r="L982" s="561" t="s">
        <v>83</v>
      </c>
      <c r="M982" s="561" t="s">
        <v>24</v>
      </c>
      <c r="N982" s="52" t="str">
        <f>IF(AND('331-CT'!$E$7=TH!H982,OR(L982="331",M982="331")),"331",IF(AND(OR(L982="131",M982="131"),H982='131-CT'!$E$7),"131",""))</f>
        <v/>
      </c>
      <c r="O982" s="818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>x</v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52">
        <v>3</v>
      </c>
      <c r="AB982" s="552"/>
      <c r="AC982" s="552"/>
      <c r="AD982" s="552"/>
      <c r="AE982" s="552"/>
      <c r="AF982" s="552"/>
    </row>
    <row r="983" spans="1:32" s="209" customFormat="1" ht="15.75" customHeight="1">
      <c r="A983" s="202" t="str">
        <f>IF(B983&lt;&gt;"",IF(AND(B983&gt;=_TM1,B983&lt;=_TM2,OR(TH!L983="1111",TH!M983="1111")),TH!D983,""),"")</f>
        <v/>
      </c>
      <c r="B983" s="36">
        <f t="shared" si="51"/>
        <v>5</v>
      </c>
      <c r="C983" s="182">
        <f t="shared" si="52"/>
        <v>42516</v>
      </c>
      <c r="D983" s="182" t="s">
        <v>669</v>
      </c>
      <c r="E983" s="182">
        <v>42516</v>
      </c>
      <c r="F983" s="187" t="s">
        <v>772</v>
      </c>
      <c r="G983" s="448" t="s">
        <v>756</v>
      </c>
      <c r="H983" s="191"/>
      <c r="I983" s="251"/>
      <c r="J983" s="251"/>
      <c r="K983" s="560">
        <v>5000</v>
      </c>
      <c r="L983" s="561" t="s">
        <v>9</v>
      </c>
      <c r="M983" s="561" t="s">
        <v>24</v>
      </c>
      <c r="N983" s="52" t="str">
        <f>IF(AND('331-CT'!$E$7=TH!H983,OR(L983="331",M983="331")),"331",IF(AND(OR(L983="131",M983="131"),H983='131-CT'!$E$7),"131",""))</f>
        <v/>
      </c>
      <c r="O983" s="818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52">
        <v>3</v>
      </c>
      <c r="AB983" s="552"/>
      <c r="AC983" s="552"/>
      <c r="AD983" s="552"/>
      <c r="AE983" s="552"/>
      <c r="AF983" s="552"/>
    </row>
    <row r="984" spans="1:32" s="209" customFormat="1" ht="15.75" customHeight="1">
      <c r="A984" s="202" t="str">
        <f>IF(B984&lt;&gt;"",IF(AND(B984&gt;=_TM1,B984&lt;=_TM2,OR(TH!L984="1111",TH!M984="1111")),TH!D984,""),"")</f>
        <v/>
      </c>
      <c r="B984" s="36">
        <f t="shared" si="51"/>
        <v>5</v>
      </c>
      <c r="C984" s="182">
        <f t="shared" si="52"/>
        <v>42516</v>
      </c>
      <c r="D984" s="182" t="s">
        <v>665</v>
      </c>
      <c r="E984" s="189">
        <v>42516</v>
      </c>
      <c r="F984" s="190" t="s">
        <v>666</v>
      </c>
      <c r="G984" s="190" t="s">
        <v>330</v>
      </c>
      <c r="H984" s="191" t="s">
        <v>609</v>
      </c>
      <c r="I984" s="251"/>
      <c r="J984" s="251"/>
      <c r="K984" s="560">
        <v>19145225</v>
      </c>
      <c r="L984" s="192" t="s">
        <v>24</v>
      </c>
      <c r="M984" s="192" t="s">
        <v>258</v>
      </c>
      <c r="N984" s="52" t="str">
        <f>IF(AND('331-CT'!$E$7=TH!H984,OR(L984="331",M984="331")),"331",IF(AND(OR(L984="131",M984="131"),H984='131-CT'!$E$7),"131",""))</f>
        <v/>
      </c>
      <c r="O984" s="818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53"/>
      <c r="AB984" s="552"/>
      <c r="AC984" s="552"/>
    </row>
    <row r="985" spans="1:32" s="209" customFormat="1" ht="15.75" customHeight="1">
      <c r="A985" s="202" t="str">
        <f>IF(B985&lt;&gt;"",IF(AND(B985&gt;=_TM1,B985&lt;=_TM2,OR(TH!L985="1111",TH!M985="1111")),TH!D985,""),"")</f>
        <v/>
      </c>
      <c r="B985" s="36">
        <f t="shared" si="51"/>
        <v>5</v>
      </c>
      <c r="C985" s="182">
        <f t="shared" si="52"/>
        <v>42516</v>
      </c>
      <c r="D985" s="182" t="s">
        <v>1650</v>
      </c>
      <c r="E985" s="189">
        <v>42516</v>
      </c>
      <c r="F985" s="190" t="s">
        <v>670</v>
      </c>
      <c r="G985" s="190" t="s">
        <v>330</v>
      </c>
      <c r="H985" s="7" t="s">
        <v>675</v>
      </c>
      <c r="I985" s="251"/>
      <c r="J985" s="251"/>
      <c r="K985" s="560">
        <v>6000000</v>
      </c>
      <c r="L985" s="192" t="s">
        <v>47</v>
      </c>
      <c r="M985" s="192" t="s">
        <v>24</v>
      </c>
      <c r="N985" s="52" t="str">
        <f>IF(AND('331-CT'!$E$7=TH!H985,OR(L985="331",M985="331")),"331",IF(AND(OR(L985="131",M985="131"),H985='131-CT'!$E$7),"131",""))</f>
        <v/>
      </c>
      <c r="O985" s="818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53"/>
      <c r="AB985" s="552"/>
      <c r="AC985" s="552"/>
    </row>
    <row r="986" spans="1:32" s="209" customFormat="1" ht="15.75" customHeight="1">
      <c r="A986" s="202" t="str">
        <f>IF(B986&lt;&gt;"",IF(AND(B986&gt;=_TM1,B986&lt;=_TM2,OR(TH!L986="1111",TH!M986="1111")),TH!D986,""),"")</f>
        <v/>
      </c>
      <c r="B986" s="36">
        <f t="shared" si="51"/>
        <v>5</v>
      </c>
      <c r="C986" s="182">
        <f t="shared" si="52"/>
        <v>42517</v>
      </c>
      <c r="D986" s="182" t="s">
        <v>1652</v>
      </c>
      <c r="E986" s="189">
        <v>42517</v>
      </c>
      <c r="F986" s="190" t="s">
        <v>670</v>
      </c>
      <c r="G986" s="190" t="s">
        <v>330</v>
      </c>
      <c r="H986" s="7" t="s">
        <v>675</v>
      </c>
      <c r="I986" s="251"/>
      <c r="J986" s="251"/>
      <c r="K986" s="560">
        <v>9000000</v>
      </c>
      <c r="L986" s="192" t="s">
        <v>47</v>
      </c>
      <c r="M986" s="192" t="s">
        <v>24</v>
      </c>
      <c r="N986" s="52" t="str">
        <f>IF(AND('331-CT'!$E$7=TH!H986,OR(L986="331",M986="331")),"331",IF(AND(OR(L986="131",M986="131"),H986='131-CT'!$E$7),"131",""))</f>
        <v/>
      </c>
      <c r="O986" s="818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53"/>
      <c r="AB986" s="552"/>
    </row>
    <row r="987" spans="1:32" s="209" customFormat="1" ht="15.75" customHeight="1">
      <c r="A987" s="202" t="str">
        <f>IF(B987&lt;&gt;"",IF(AND(B987&gt;=_TM1,B987&lt;=_TM2,OR(TH!L987="1111",TH!M987="1111")),TH!D987,""),"")</f>
        <v/>
      </c>
      <c r="B987" s="36">
        <f t="shared" si="51"/>
        <v>5</v>
      </c>
      <c r="C987" s="182">
        <f t="shared" si="52"/>
        <v>42517</v>
      </c>
      <c r="D987" s="189" t="s">
        <v>1182</v>
      </c>
      <c r="E987" s="182">
        <v>42517</v>
      </c>
      <c r="F987" s="187" t="s">
        <v>335</v>
      </c>
      <c r="G987" s="451" t="s">
        <v>852</v>
      </c>
      <c r="H987" s="7" t="s">
        <v>811</v>
      </c>
      <c r="I987" s="251">
        <v>24</v>
      </c>
      <c r="J987" s="251">
        <v>42000</v>
      </c>
      <c r="K987" s="38">
        <f>ROUND(I987*J987,0)</f>
        <v>1008000</v>
      </c>
      <c r="L987" s="192" t="s">
        <v>160</v>
      </c>
      <c r="M987" s="192" t="s">
        <v>8</v>
      </c>
      <c r="N987" s="52" t="str">
        <f>IF(AND('331-CT'!$E$7=TH!H987,OR(L987="331",M987="331")),"331",IF(AND(OR(L987="131",M987="131"),H987='131-CT'!$E$7),"131",""))</f>
        <v/>
      </c>
      <c r="O987" s="818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52">
        <v>2</v>
      </c>
      <c r="AB987" s="552"/>
      <c r="AC987" s="209" t="str">
        <f>IF(VLOOKUP(H987,DSKH,1,0)=H987,"","x")</f>
        <v/>
      </c>
      <c r="AE987" s="552"/>
      <c r="AF987" s="552"/>
    </row>
    <row r="988" spans="1:32" s="209" customFormat="1" ht="15.75" customHeight="1">
      <c r="A988" s="202" t="str">
        <f>IF(B988&lt;&gt;"",IF(AND(B988&gt;=_TM1,B988&lt;=_TM2,OR(TH!L988="1111",TH!M988="1111")),TH!D988,""),"")</f>
        <v/>
      </c>
      <c r="B988" s="36">
        <f t="shared" si="51"/>
        <v>5</v>
      </c>
      <c r="C988" s="182">
        <f t="shared" si="52"/>
        <v>42517</v>
      </c>
      <c r="D988" s="189" t="s">
        <v>1182</v>
      </c>
      <c r="E988" s="182">
        <v>42517</v>
      </c>
      <c r="F988" s="190" t="s">
        <v>678</v>
      </c>
      <c r="G988" s="451" t="s">
        <v>852</v>
      </c>
      <c r="H988" s="7" t="s">
        <v>811</v>
      </c>
      <c r="I988" s="251"/>
      <c r="J988" s="251"/>
      <c r="K988" s="560">
        <v>100800</v>
      </c>
      <c r="L988" s="192" t="s">
        <v>9</v>
      </c>
      <c r="M988" s="192" t="s">
        <v>8</v>
      </c>
      <c r="N988" s="52" t="str">
        <f>IF(AND('331-CT'!$E$7=TH!H988,OR(L988="331",M988="331")),"331",IF(AND(OR(L988="131",M988="131"),H988='131-CT'!$E$7),"131",""))</f>
        <v/>
      </c>
      <c r="O988" s="818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52">
        <v>2</v>
      </c>
      <c r="AB988" s="552"/>
      <c r="AC988" s="209" t="str">
        <f>IF(VLOOKUP(H988,DSKH,1,0)=H988,"","x")</f>
        <v/>
      </c>
    </row>
    <row r="989" spans="1:32" s="209" customFormat="1" ht="15.75" customHeight="1">
      <c r="A989" s="202" t="str">
        <f>IF(B989&lt;&gt;"",IF(AND(B989&gt;=_TM1,B989&lt;=_TM2,OR(TH!L989="1111",TH!M989="1111")),TH!D989,""),"")</f>
        <v/>
      </c>
      <c r="B989" s="36">
        <f t="shared" si="51"/>
        <v>5</v>
      </c>
      <c r="C989" s="182">
        <f t="shared" si="52"/>
        <v>42517</v>
      </c>
      <c r="D989" s="189" t="s">
        <v>1644</v>
      </c>
      <c r="E989" s="182">
        <v>42517</v>
      </c>
      <c r="F989" s="190" t="s">
        <v>812</v>
      </c>
      <c r="G989" s="451" t="s">
        <v>852</v>
      </c>
      <c r="H989" s="7" t="s">
        <v>811</v>
      </c>
      <c r="I989" s="251"/>
      <c r="J989" s="251"/>
      <c r="K989" s="560">
        <v>1108800</v>
      </c>
      <c r="L989" s="192" t="s">
        <v>8</v>
      </c>
      <c r="M989" s="192" t="s">
        <v>47</v>
      </c>
      <c r="N989" s="52" t="str">
        <f>IF(AND('331-CT'!$E$7=TH!H989,OR(L989="331",M989="331")),"331",IF(AND(OR(L989="131",M989="131"),H989='131-CT'!$E$7),"131",""))</f>
        <v/>
      </c>
      <c r="O989" s="818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52"/>
      <c r="AB989" s="552"/>
      <c r="AC989" s="552"/>
    </row>
    <row r="990" spans="1:32" s="209" customFormat="1" ht="15.75" customHeight="1">
      <c r="A990" s="202" t="str">
        <f>IF(B990&lt;&gt;"",IF(AND(B990&gt;=_TM1,B990&lt;=_TM2,OR(TH!L990="1111",TH!M990="1111")),TH!D990,""),"")</f>
        <v/>
      </c>
      <c r="B990" s="36">
        <f t="shared" si="51"/>
        <v>5</v>
      </c>
      <c r="C990" s="182">
        <f t="shared" si="52"/>
        <v>42517</v>
      </c>
      <c r="D990" s="189" t="s">
        <v>1133</v>
      </c>
      <c r="E990" s="182">
        <v>42517</v>
      </c>
      <c r="F990" s="190" t="s">
        <v>436</v>
      </c>
      <c r="G990" s="451" t="s">
        <v>567</v>
      </c>
      <c r="H990" s="828" t="s">
        <v>565</v>
      </c>
      <c r="I990" s="251">
        <v>1021</v>
      </c>
      <c r="J990" s="251">
        <v>5900</v>
      </c>
      <c r="K990" s="38">
        <f>ROUND(I990*J990,0)</f>
        <v>6023900</v>
      </c>
      <c r="L990" s="192" t="s">
        <v>258</v>
      </c>
      <c r="M990" s="192" t="s">
        <v>173</v>
      </c>
      <c r="N990" s="52" t="str">
        <f>IF(AND('331-CT'!$E$7=TH!H990,OR(L990="331",M990="331")),"331",IF(AND(OR(L990="131",M990="131"),H990='131-CT'!$E$7),"131",""))</f>
        <v/>
      </c>
      <c r="O990" s="818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52"/>
      <c r="AB990" s="552"/>
      <c r="AC990" s="552"/>
    </row>
    <row r="991" spans="1:32" s="209" customFormat="1" ht="15.75" customHeight="1">
      <c r="A991" s="202" t="str">
        <f>IF(B991&lt;&gt;"",IF(AND(B991&gt;=_TM1,B991&lt;=_TM2,OR(TH!L991="1111",TH!M991="1111")),TH!D991,""),"")</f>
        <v/>
      </c>
      <c r="B991" s="36">
        <f t="shared" si="51"/>
        <v>5</v>
      </c>
      <c r="C991" s="182">
        <f t="shared" si="52"/>
        <v>42517</v>
      </c>
      <c r="D991" s="189" t="s">
        <v>1133</v>
      </c>
      <c r="E991" s="182">
        <v>42517</v>
      </c>
      <c r="F991" s="190" t="s">
        <v>1028</v>
      </c>
      <c r="G991" s="451" t="s">
        <v>567</v>
      </c>
      <c r="H991" s="828" t="s">
        <v>565</v>
      </c>
      <c r="I991" s="251"/>
      <c r="J991" s="251"/>
      <c r="K991" s="560">
        <v>602390</v>
      </c>
      <c r="L991" s="192" t="s">
        <v>258</v>
      </c>
      <c r="M991" s="192" t="s">
        <v>367</v>
      </c>
      <c r="N991" s="52" t="str">
        <f>IF(AND('331-CT'!$E$7=TH!H991,OR(L991="331",M991="331")),"331",IF(AND(OR(L991="131",M991="131"),H991='131-CT'!$E$7),"131",""))</f>
        <v/>
      </c>
      <c r="O991" s="818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52"/>
      <c r="AB991" s="552"/>
      <c r="AC991" s="552"/>
    </row>
    <row r="992" spans="1:32" s="209" customFormat="1" ht="15.75" customHeight="1">
      <c r="A992" s="202" t="str">
        <f>IF(B992&lt;&gt;"",IF(AND(B992&gt;=_TM1,B992&lt;=_TM2,OR(TH!L992="1111",TH!M992="1111")),TH!D992,""),"")</f>
        <v/>
      </c>
      <c r="B992" s="36">
        <f t="shared" si="51"/>
        <v>5</v>
      </c>
      <c r="C992" s="182">
        <f t="shared" si="52"/>
        <v>42517</v>
      </c>
      <c r="D992" s="189" t="s">
        <v>1134</v>
      </c>
      <c r="E992" s="182">
        <v>42517</v>
      </c>
      <c r="F992" s="190" t="s">
        <v>418</v>
      </c>
      <c r="G992" s="451" t="s">
        <v>568</v>
      </c>
      <c r="H992" s="7" t="s">
        <v>527</v>
      </c>
      <c r="I992" s="251">
        <v>246</v>
      </c>
      <c r="J992" s="251">
        <v>47449</v>
      </c>
      <c r="K992" s="38">
        <f>ROUND(I992*J992,0)</f>
        <v>11672454</v>
      </c>
      <c r="L992" s="192" t="s">
        <v>258</v>
      </c>
      <c r="M992" s="192" t="s">
        <v>173</v>
      </c>
      <c r="N992" s="52" t="str">
        <f>IF(AND('331-CT'!$E$7=TH!H992,OR(L992="331",M992="331")),"331",IF(AND(OR(L992="131",M992="131"),H992='131-CT'!$E$7),"131",""))</f>
        <v/>
      </c>
      <c r="O992" s="818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52"/>
      <c r="AB992" s="552"/>
      <c r="AC992" s="552"/>
    </row>
    <row r="993" spans="1:32" s="209" customFormat="1" ht="15.75" customHeight="1">
      <c r="A993" s="202" t="str">
        <f>IF(B993&lt;&gt;"",IF(AND(B993&gt;=_TM1,B993&lt;=_TM2,OR(TH!L993="1111",TH!M993="1111")),TH!D993,""),"")</f>
        <v/>
      </c>
      <c r="B993" s="36">
        <f t="shared" si="51"/>
        <v>5</v>
      </c>
      <c r="C993" s="182">
        <f t="shared" si="52"/>
        <v>42517</v>
      </c>
      <c r="D993" s="189" t="s">
        <v>1134</v>
      </c>
      <c r="E993" s="182">
        <v>42517</v>
      </c>
      <c r="F993" s="190" t="s">
        <v>912</v>
      </c>
      <c r="G993" s="451" t="s">
        <v>568</v>
      </c>
      <c r="H993" s="7" t="s">
        <v>527</v>
      </c>
      <c r="I993" s="251">
        <v>60</v>
      </c>
      <c r="J993" s="251">
        <v>73100</v>
      </c>
      <c r="K993" s="38">
        <f>ROUND(I993*J993,0)</f>
        <v>4386000</v>
      </c>
      <c r="L993" s="192" t="s">
        <v>258</v>
      </c>
      <c r="M993" s="192" t="s">
        <v>173</v>
      </c>
      <c r="N993" s="52" t="str">
        <f>IF(AND('331-CT'!$E$7=TH!H993,OR(L993="331",M993="331")),"331",IF(AND(OR(L993="131",M993="131"),H993='131-CT'!$E$7),"131",""))</f>
        <v/>
      </c>
      <c r="O993" s="818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52"/>
      <c r="AB993" s="552"/>
    </row>
    <row r="994" spans="1:32" s="209" customFormat="1" ht="15.75" customHeight="1">
      <c r="A994" s="202" t="str">
        <f>IF(B994&lt;&gt;"",IF(AND(B994&gt;=_TM1,B994&lt;=_TM2,OR(TH!L994="1111",TH!M994="1111")),TH!D994,""),"")</f>
        <v/>
      </c>
      <c r="B994" s="36">
        <f t="shared" si="51"/>
        <v>5</v>
      </c>
      <c r="C994" s="182">
        <f t="shared" si="52"/>
        <v>42517</v>
      </c>
      <c r="D994" s="189" t="s">
        <v>1134</v>
      </c>
      <c r="E994" s="182">
        <v>42517</v>
      </c>
      <c r="F994" s="190" t="s">
        <v>1028</v>
      </c>
      <c r="G994" s="451" t="s">
        <v>568</v>
      </c>
      <c r="H994" s="7" t="s">
        <v>527</v>
      </c>
      <c r="I994" s="251"/>
      <c r="J994" s="251"/>
      <c r="K994" s="560">
        <v>1605845</v>
      </c>
      <c r="L994" s="192" t="s">
        <v>258</v>
      </c>
      <c r="M994" s="192" t="s">
        <v>367</v>
      </c>
      <c r="N994" s="52" t="str">
        <f>IF(AND('331-CT'!$E$7=TH!H994,OR(L994="331",M994="331")),"331",IF(AND(OR(L994="131",M994="131"),H994='131-CT'!$E$7),"131",""))</f>
        <v/>
      </c>
      <c r="O994" s="818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52"/>
      <c r="AB994" s="552"/>
      <c r="AC994" s="552"/>
    </row>
    <row r="995" spans="1:32" s="209" customFormat="1" ht="15.75" customHeight="1">
      <c r="A995" s="202" t="str">
        <f>IF(B995&lt;&gt;"",IF(AND(B995&gt;=_TM1,B995&lt;=_TM2,OR(TH!L995="1111",TH!M995="1111")),TH!D995,""),"")</f>
        <v/>
      </c>
      <c r="B995" s="36">
        <f t="shared" si="51"/>
        <v>5</v>
      </c>
      <c r="C995" s="182">
        <f t="shared" si="52"/>
        <v>42518</v>
      </c>
      <c r="D995" s="189" t="s">
        <v>1135</v>
      </c>
      <c r="E995" s="189">
        <v>42518</v>
      </c>
      <c r="F995" s="190" t="s">
        <v>477</v>
      </c>
      <c r="G995" s="451" t="s">
        <v>570</v>
      </c>
      <c r="H995" s="191" t="s">
        <v>417</v>
      </c>
      <c r="I995" s="251">
        <v>106</v>
      </c>
      <c r="J995" s="251">
        <v>6400</v>
      </c>
      <c r="K995" s="38">
        <f>ROUND(I995*J995,0)</f>
        <v>678400</v>
      </c>
      <c r="L995" s="192" t="s">
        <v>258</v>
      </c>
      <c r="M995" s="192" t="s">
        <v>173</v>
      </c>
      <c r="N995" s="52" t="str">
        <f>IF(AND('331-CT'!$E$7=TH!H995,OR(L995="331",M995="331")),"331",IF(AND(OR(L995="131",M995="131"),H995='131-CT'!$E$7),"131",""))</f>
        <v/>
      </c>
      <c r="O995" s="818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52"/>
      <c r="AB995" s="552"/>
    </row>
    <row r="996" spans="1:32" s="209" customFormat="1" ht="15.75" customHeight="1">
      <c r="A996" s="202" t="str">
        <f>IF(B996&lt;&gt;"",IF(AND(B996&gt;=_TM1,B996&lt;=_TM2,OR(TH!L996="1111",TH!M996="1111")),TH!D996,""),"")</f>
        <v/>
      </c>
      <c r="B996" s="36">
        <f t="shared" si="51"/>
        <v>5</v>
      </c>
      <c r="C996" s="182">
        <f t="shared" si="52"/>
        <v>42518</v>
      </c>
      <c r="D996" s="189" t="s">
        <v>1135</v>
      </c>
      <c r="E996" s="189">
        <v>42518</v>
      </c>
      <c r="F996" s="190" t="s">
        <v>415</v>
      </c>
      <c r="G996" s="451" t="s">
        <v>570</v>
      </c>
      <c r="H996" s="191" t="s">
        <v>417</v>
      </c>
      <c r="I996" s="251">
        <v>207</v>
      </c>
      <c r="J996" s="251">
        <v>12900</v>
      </c>
      <c r="K996" s="38">
        <f>ROUND(I996*J996,0)</f>
        <v>2670300</v>
      </c>
      <c r="L996" s="192" t="s">
        <v>258</v>
      </c>
      <c r="M996" s="192" t="s">
        <v>173</v>
      </c>
      <c r="N996" s="52" t="str">
        <f>IF(AND('331-CT'!$E$7=TH!H996,OR(L996="331",M996="331")),"331",IF(AND(OR(L996="131",M996="131"),H996='131-CT'!$E$7),"131",""))</f>
        <v/>
      </c>
      <c r="O996" s="818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52"/>
      <c r="AB996" s="552"/>
      <c r="AC996" s="552"/>
    </row>
    <row r="997" spans="1:32" s="209" customFormat="1" ht="15.75" customHeight="1">
      <c r="A997" s="202" t="str">
        <f>IF(B997&lt;&gt;"",IF(AND(B997&gt;=_TM1,B997&lt;=_TM2,OR(TH!L997="1111",TH!M997="1111")),TH!D997,""),"")</f>
        <v/>
      </c>
      <c r="B997" s="36">
        <f t="shared" si="51"/>
        <v>5</v>
      </c>
      <c r="C997" s="182">
        <f t="shared" si="52"/>
        <v>42518</v>
      </c>
      <c r="D997" s="189" t="s">
        <v>1135</v>
      </c>
      <c r="E997" s="189">
        <v>42518</v>
      </c>
      <c r="F997" s="190" t="s">
        <v>1028</v>
      </c>
      <c r="G997" s="451" t="s">
        <v>570</v>
      </c>
      <c r="H997" s="191" t="s">
        <v>417</v>
      </c>
      <c r="I997" s="251"/>
      <c r="J997" s="251"/>
      <c r="K997" s="560">
        <v>334870</v>
      </c>
      <c r="L997" s="192" t="s">
        <v>258</v>
      </c>
      <c r="M997" s="192" t="s">
        <v>367</v>
      </c>
      <c r="N997" s="52" t="str">
        <f>IF(AND('331-CT'!$E$7=TH!H997,OR(L997="331",M997="331")),"331",IF(AND(OR(L997="131",M997="131"),H997='131-CT'!$E$7),"131",""))</f>
        <v/>
      </c>
      <c r="O997" s="818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52"/>
      <c r="AB997" s="552"/>
    </row>
    <row r="998" spans="1:32" s="209" customFormat="1" ht="15.75" customHeight="1">
      <c r="A998" s="202" t="str">
        <f>IF(B998&lt;&gt;"",IF(AND(B998&gt;=_TM1,B998&lt;=_TM2,OR(TH!L998="1111",TH!M998="1111")),TH!D998,""),"")</f>
        <v/>
      </c>
      <c r="B998" s="36">
        <f t="shared" si="51"/>
        <v>5</v>
      </c>
      <c r="C998" s="182">
        <f t="shared" si="52"/>
        <v>42519</v>
      </c>
      <c r="D998" s="189" t="s">
        <v>1136</v>
      </c>
      <c r="E998" s="182">
        <v>42519</v>
      </c>
      <c r="F998" s="190" t="s">
        <v>418</v>
      </c>
      <c r="G998" s="451" t="s">
        <v>569</v>
      </c>
      <c r="H998" s="7" t="s">
        <v>527</v>
      </c>
      <c r="I998" s="251">
        <v>150</v>
      </c>
      <c r="J998" s="251">
        <v>47449</v>
      </c>
      <c r="K998" s="38">
        <f>ROUND(I998*J998,0)</f>
        <v>7117350</v>
      </c>
      <c r="L998" s="192" t="s">
        <v>258</v>
      </c>
      <c r="M998" s="192" t="s">
        <v>173</v>
      </c>
      <c r="N998" s="52" t="str">
        <f>IF(AND('331-CT'!$E$7=TH!H998,OR(L998="331",M998="331")),"331",IF(AND(OR(L998="131",M998="131"),H998='131-CT'!$E$7),"131",""))</f>
        <v/>
      </c>
      <c r="O998" s="818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52"/>
      <c r="AB998" s="552"/>
      <c r="AC998" s="552"/>
    </row>
    <row r="999" spans="1:32" s="209" customFormat="1" ht="15.75" customHeight="1">
      <c r="A999" s="202" t="str">
        <f>IF(B999&lt;&gt;"",IF(AND(B999&gt;=_TM1,B999&lt;=_TM2,OR(TH!L999="1111",TH!M999="1111")),TH!D999,""),"")</f>
        <v/>
      </c>
      <c r="B999" s="36">
        <f t="shared" si="51"/>
        <v>5</v>
      </c>
      <c r="C999" s="182">
        <f t="shared" si="52"/>
        <v>42519</v>
      </c>
      <c r="D999" s="189" t="s">
        <v>1136</v>
      </c>
      <c r="E999" s="182">
        <v>42519</v>
      </c>
      <c r="F999" s="190" t="s">
        <v>1028</v>
      </c>
      <c r="G999" s="451" t="s">
        <v>569</v>
      </c>
      <c r="H999" s="7" t="s">
        <v>527</v>
      </c>
      <c r="I999" s="251"/>
      <c r="J999" s="251"/>
      <c r="K999" s="560">
        <v>711735</v>
      </c>
      <c r="L999" s="192" t="s">
        <v>258</v>
      </c>
      <c r="M999" s="192" t="s">
        <v>367</v>
      </c>
      <c r="N999" s="52" t="str">
        <f>IF(AND('331-CT'!$E$7=TH!H999,OR(L999="331",M999="331")),"331",IF(AND(OR(L999="131",M999="131"),H999='131-CT'!$E$7),"131",""))</f>
        <v/>
      </c>
      <c r="O999" s="818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52"/>
      <c r="AB999" s="552"/>
    </row>
    <row r="1000" spans="1:32" s="209" customFormat="1" ht="15.75" customHeight="1">
      <c r="A1000" s="202" t="str">
        <f>IF(B1000&lt;&gt;"",IF(AND(B1000&gt;=_TM1,B1000&lt;=_TM2,OR(TH!L1000="1111",TH!M1000="1111")),TH!D1000,""),"")</f>
        <v/>
      </c>
      <c r="B1000" s="36">
        <f t="shared" si="51"/>
        <v>5</v>
      </c>
      <c r="C1000" s="182">
        <f t="shared" si="52"/>
        <v>42520</v>
      </c>
      <c r="D1000" s="189" t="s">
        <v>1137</v>
      </c>
      <c r="E1000" s="189">
        <v>42520</v>
      </c>
      <c r="F1000" s="190" t="s">
        <v>1040</v>
      </c>
      <c r="G1000" s="451" t="s">
        <v>572</v>
      </c>
      <c r="H1000" s="7" t="s">
        <v>797</v>
      </c>
      <c r="I1000" s="251">
        <v>306</v>
      </c>
      <c r="J1000" s="251">
        <v>6700</v>
      </c>
      <c r="K1000" s="38">
        <f>ROUND(I1000*J1000,0)</f>
        <v>2050200</v>
      </c>
      <c r="L1000" s="192" t="s">
        <v>258</v>
      </c>
      <c r="M1000" s="192" t="s">
        <v>173</v>
      </c>
      <c r="N1000" s="52" t="str">
        <f>IF(AND('331-CT'!$E$7=TH!H1000,OR(L1000="331",M1000="331")),"331",IF(AND(OR(L1000="131",M1000="131"),H1000='131-CT'!$E$7),"131",""))</f>
        <v/>
      </c>
      <c r="O1000" s="818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52"/>
      <c r="AB1000" s="552"/>
      <c r="AC1000" s="552"/>
    </row>
    <row r="1001" spans="1:32" s="209" customFormat="1" ht="15.75" customHeight="1">
      <c r="A1001" s="202" t="str">
        <f>IF(B1001&lt;&gt;"",IF(AND(B1001&gt;=_TM1,B1001&lt;=_TM2,OR(TH!L1001="1111",TH!M1001="1111")),TH!D1001,""),"")</f>
        <v/>
      </c>
      <c r="B1001" s="36">
        <f t="shared" si="51"/>
        <v>5</v>
      </c>
      <c r="C1001" s="182">
        <f t="shared" si="52"/>
        <v>42520</v>
      </c>
      <c r="D1001" s="189" t="s">
        <v>1137</v>
      </c>
      <c r="E1001" s="189">
        <v>42520</v>
      </c>
      <c r="F1001" s="190" t="s">
        <v>1041</v>
      </c>
      <c r="G1001" s="451" t="s">
        <v>572</v>
      </c>
      <c r="H1001" s="7" t="s">
        <v>797</v>
      </c>
      <c r="I1001" s="251">
        <v>403</v>
      </c>
      <c r="J1001" s="251">
        <v>5980</v>
      </c>
      <c r="K1001" s="38">
        <f>ROUND(I1001*J1001,0)</f>
        <v>2409940</v>
      </c>
      <c r="L1001" s="192" t="s">
        <v>258</v>
      </c>
      <c r="M1001" s="192" t="s">
        <v>173</v>
      </c>
      <c r="N1001" s="52" t="str">
        <f>IF(AND('331-CT'!$E$7=TH!H1001,OR(L1001="331",M1001="331")),"331",IF(AND(OR(L1001="131",M1001="131"),H1001='131-CT'!$E$7),"131",""))</f>
        <v/>
      </c>
      <c r="O1001" s="818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52"/>
      <c r="AB1001" s="552"/>
      <c r="AC1001" s="552"/>
    </row>
    <row r="1002" spans="1:32" s="209" customFormat="1" ht="15.75" customHeight="1">
      <c r="A1002" s="202" t="str">
        <f>IF(B1002&lt;&gt;"",IF(AND(B1002&gt;=_TM1,B1002&lt;=_TM2,OR(TH!L1002="1111",TH!M1002="1111")),TH!D1002,""),"")</f>
        <v/>
      </c>
      <c r="B1002" s="36">
        <f t="shared" si="51"/>
        <v>5</v>
      </c>
      <c r="C1002" s="182">
        <f t="shared" si="52"/>
        <v>42520</v>
      </c>
      <c r="D1002" s="189" t="s">
        <v>1137</v>
      </c>
      <c r="E1002" s="189">
        <v>42520</v>
      </c>
      <c r="F1002" s="190" t="s">
        <v>1042</v>
      </c>
      <c r="G1002" s="451" t="s">
        <v>572</v>
      </c>
      <c r="H1002" s="7" t="s">
        <v>797</v>
      </c>
      <c r="I1002" s="251">
        <v>307</v>
      </c>
      <c r="J1002" s="251">
        <v>8000</v>
      </c>
      <c r="K1002" s="38">
        <f>ROUND(I1002*J1002,0)</f>
        <v>2456000</v>
      </c>
      <c r="L1002" s="192" t="s">
        <v>258</v>
      </c>
      <c r="M1002" s="192" t="s">
        <v>173</v>
      </c>
      <c r="N1002" s="52" t="str">
        <f>IF(AND('331-CT'!$E$7=TH!H1002,OR(L1002="331",M1002="331")),"331",IF(AND(OR(L1002="131",M1002="131"),H1002='131-CT'!$E$7),"131",""))</f>
        <v/>
      </c>
      <c r="O1002" s="818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52"/>
      <c r="AB1002" s="552"/>
      <c r="AC1002" s="552"/>
    </row>
    <row r="1003" spans="1:32" s="209" customFormat="1" ht="15.75" customHeight="1">
      <c r="A1003" s="202" t="str">
        <f>IF(B1003&lt;&gt;"",IF(AND(B1003&gt;=_TM1,B1003&lt;=_TM2,OR(TH!L1003="1111",TH!M1003="1111")),TH!D1003,""),"")</f>
        <v/>
      </c>
      <c r="B1003" s="36">
        <f t="shared" si="51"/>
        <v>5</v>
      </c>
      <c r="C1003" s="182">
        <f t="shared" si="52"/>
        <v>42520</v>
      </c>
      <c r="D1003" s="189" t="s">
        <v>1137</v>
      </c>
      <c r="E1003" s="189">
        <v>42520</v>
      </c>
      <c r="F1003" s="190" t="s">
        <v>1028</v>
      </c>
      <c r="G1003" s="451" t="s">
        <v>572</v>
      </c>
      <c r="H1003" s="7" t="s">
        <v>797</v>
      </c>
      <c r="I1003" s="251"/>
      <c r="J1003" s="251"/>
      <c r="K1003" s="560">
        <v>691614</v>
      </c>
      <c r="L1003" s="192" t="s">
        <v>258</v>
      </c>
      <c r="M1003" s="192" t="s">
        <v>367</v>
      </c>
      <c r="N1003" s="52" t="str">
        <f>IF(AND('331-CT'!$E$7=TH!H1003,OR(L1003="331",M1003="331")),"331",IF(AND(OR(L1003="131",M1003="131"),H1003='131-CT'!$E$7),"131",""))</f>
        <v/>
      </c>
      <c r="O1003" s="818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52"/>
      <c r="AB1003" s="552"/>
      <c r="AC1003" s="552"/>
    </row>
    <row r="1004" spans="1:32" s="209" customFormat="1" ht="15.75" customHeight="1">
      <c r="A1004" s="202" t="str">
        <f>IF(B1004&lt;&gt;"",IF(AND(B1004&gt;=_TM1,B1004&lt;=_TM2,OR(TH!L1004="1111",TH!M1004="1111")),TH!D1004,""),"")</f>
        <v/>
      </c>
      <c r="B1004" s="36">
        <f t="shared" si="51"/>
        <v>5</v>
      </c>
      <c r="C1004" s="839">
        <f t="shared" si="52"/>
        <v>42521</v>
      </c>
      <c r="D1004" s="839" t="s">
        <v>332</v>
      </c>
      <c r="E1004" s="839">
        <v>42521</v>
      </c>
      <c r="F1004" s="845" t="s">
        <v>1429</v>
      </c>
      <c r="G1004" s="874"/>
      <c r="H1004" s="875"/>
      <c r="I1004" s="842"/>
      <c r="J1004" s="842"/>
      <c r="K1004" s="849">
        <v>5375000</v>
      </c>
      <c r="L1004" s="876" t="s">
        <v>83</v>
      </c>
      <c r="M1004" s="876" t="s">
        <v>261</v>
      </c>
      <c r="N1004" s="52" t="str">
        <f>IF(AND('331-CT'!$E$7=TH!H1004,OR(L1004="331",M1004="331")),"331",IF(AND(OR(L1004="131",M1004="131"),H1004='131-CT'!$E$7),"131",""))</f>
        <v/>
      </c>
      <c r="O1004" s="818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>x</v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196"/>
      <c r="AB1004" s="196"/>
      <c r="AC1004" s="196"/>
      <c r="AD1004" s="196"/>
      <c r="AE1004" s="196"/>
      <c r="AF1004" s="196"/>
    </row>
    <row r="1005" spans="1:32" s="209" customFormat="1" ht="15.75" customHeight="1">
      <c r="A1005" s="202" t="str">
        <f>IF(B1005&lt;&gt;"",IF(AND(B1005&gt;=_TM1,B1005&lt;=_TM2,OR(TH!L1005="1111",TH!M1005="1111")),TH!D1005,""),"")</f>
        <v/>
      </c>
      <c r="B1005" s="36">
        <f t="shared" si="51"/>
        <v>5</v>
      </c>
      <c r="C1005" s="839">
        <f t="shared" si="52"/>
        <v>42521</v>
      </c>
      <c r="D1005" s="839" t="s">
        <v>332</v>
      </c>
      <c r="E1005" s="839">
        <v>42521</v>
      </c>
      <c r="F1005" s="845" t="s">
        <v>1430</v>
      </c>
      <c r="G1005" s="874"/>
      <c r="H1005" s="875"/>
      <c r="I1005" s="842"/>
      <c r="J1005" s="842"/>
      <c r="K1005" s="849">
        <v>16125000</v>
      </c>
      <c r="L1005" s="876" t="s">
        <v>164</v>
      </c>
      <c r="M1005" s="876" t="s">
        <v>261</v>
      </c>
      <c r="N1005" s="52" t="str">
        <f>IF(AND('331-CT'!$E$7=TH!H1005,OR(L1005="331",M1005="331")),"331",IF(AND(OR(L1005="131",M1005="131"),H1005='131-CT'!$E$7),"131",""))</f>
        <v/>
      </c>
      <c r="O1005" s="818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196"/>
      <c r="AB1005" s="196"/>
      <c r="AC1005" s="196"/>
      <c r="AD1005" s="196"/>
      <c r="AE1005" s="196"/>
      <c r="AF1005" s="196"/>
    </row>
    <row r="1006" spans="1:32" s="209" customFormat="1" ht="15.75" customHeight="1">
      <c r="A1006" s="202" t="str">
        <f>IF(B1006&lt;&gt;"",IF(AND(B1006&gt;=_TM1,B1006&lt;=_TM2,OR(TH!L1006="1111",TH!M1006="1111")),TH!D1006,""),"")</f>
        <v/>
      </c>
      <c r="B1006" s="36">
        <f t="shared" si="51"/>
        <v>5</v>
      </c>
      <c r="C1006" s="839">
        <f t="shared" si="52"/>
        <v>42521</v>
      </c>
      <c r="D1006" s="839" t="s">
        <v>1646</v>
      </c>
      <c r="E1006" s="839">
        <v>42521</v>
      </c>
      <c r="F1006" s="845" t="str">
        <f>"Thanh toán tiền lương tháng "&amp;MONTH(E1006)&amp;"/"&amp;YEAR(E1006)</f>
        <v>Thanh toán tiền lương tháng 5/2016</v>
      </c>
      <c r="G1006" s="874"/>
      <c r="H1006" s="875" t="s">
        <v>1680</v>
      </c>
      <c r="I1006" s="842"/>
      <c r="J1006" s="842"/>
      <c r="K1006" s="849">
        <f>K1004+K1005</f>
        <v>21500000</v>
      </c>
      <c r="L1006" s="876" t="s">
        <v>261</v>
      </c>
      <c r="M1006" s="876" t="s">
        <v>47</v>
      </c>
      <c r="N1006" s="52" t="str">
        <f>IF(AND('331-CT'!$E$7=TH!H1006,OR(L1006="331",M1006="331")),"331",IF(AND(OR(L1006="131",M1006="131"),H1006='131-CT'!$E$7),"131",""))</f>
        <v/>
      </c>
      <c r="O1006" s="818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196"/>
      <c r="AB1006" s="196"/>
      <c r="AC1006" s="196"/>
      <c r="AD1006" s="196"/>
      <c r="AE1006" s="196"/>
      <c r="AF1006" s="196"/>
    </row>
    <row r="1007" spans="1:32" s="209" customFormat="1" ht="15.75" customHeight="1">
      <c r="A1007" s="202" t="str">
        <f>IF(B1007&lt;&gt;"",IF(AND(B1007&gt;=_TM1,B1007&lt;=_TM2,OR(TH!L1007="1111",TH!M1007="1111")),TH!D1007,""),"")</f>
        <v/>
      </c>
      <c r="B1007" s="36">
        <f t="shared" si="51"/>
        <v>5</v>
      </c>
      <c r="C1007" s="182">
        <f t="shared" si="52"/>
        <v>42521</v>
      </c>
      <c r="D1007" s="182" t="s">
        <v>665</v>
      </c>
      <c r="E1007" s="189">
        <v>42521</v>
      </c>
      <c r="F1007" s="190" t="s">
        <v>666</v>
      </c>
      <c r="G1007" s="190" t="s">
        <v>330</v>
      </c>
      <c r="H1007" s="191" t="s">
        <v>615</v>
      </c>
      <c r="I1007" s="251"/>
      <c r="J1007" s="251"/>
      <c r="K1007" s="560">
        <v>15873000</v>
      </c>
      <c r="L1007" s="192" t="s">
        <v>24</v>
      </c>
      <c r="M1007" s="192" t="s">
        <v>258</v>
      </c>
      <c r="N1007" s="52" t="str">
        <f>IF(AND('331-CT'!$E$7=TH!H1007,OR(L1007="331",M1007="331")),"331",IF(AND(OR(L1007="131",M1007="131"),H1007='131-CT'!$E$7),"131",""))</f>
        <v/>
      </c>
      <c r="O1007" s="818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53"/>
      <c r="AB1007" s="552"/>
      <c r="AC1007" s="552"/>
    </row>
    <row r="1008" spans="1:32" s="209" customFormat="1" ht="15.75" customHeight="1">
      <c r="A1008" s="202" t="str">
        <f>IF(B1008&lt;&gt;"",IF(AND(B1008&gt;=_TM1,B1008&lt;=_TM2,OR(TH!L1008="1111",TH!M1008="1111")),TH!D1008,""),"")</f>
        <v/>
      </c>
      <c r="B1008" s="36">
        <f t="shared" si="51"/>
        <v>5</v>
      </c>
      <c r="C1008" s="182">
        <f t="shared" si="52"/>
        <v>42521</v>
      </c>
      <c r="D1008" s="182" t="s">
        <v>669</v>
      </c>
      <c r="E1008" s="189">
        <v>42521</v>
      </c>
      <c r="F1008" s="190" t="s">
        <v>671</v>
      </c>
      <c r="G1008" s="190" t="s">
        <v>330</v>
      </c>
      <c r="H1008" s="7" t="s">
        <v>829</v>
      </c>
      <c r="I1008" s="251"/>
      <c r="J1008" s="251"/>
      <c r="K1008" s="560">
        <v>30000000</v>
      </c>
      <c r="L1008" s="192" t="s">
        <v>8</v>
      </c>
      <c r="M1008" s="192" t="s">
        <v>24</v>
      </c>
      <c r="N1008" s="52" t="str">
        <f>IF(AND('331-CT'!$E$7=TH!H1008,OR(L1008="331",M1008="331")),"331",IF(AND(OR(L1008="131",M1008="131"),H1008='131-CT'!$E$7),"131",""))</f>
        <v/>
      </c>
      <c r="O1008" s="818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53"/>
      <c r="AB1008" s="552"/>
      <c r="AC1008" s="552"/>
    </row>
    <row r="1009" spans="1:32" s="209" customFormat="1" ht="15.75" customHeight="1">
      <c r="A1009" s="202" t="str">
        <f>IF(B1009&lt;&gt;"",IF(AND(B1009&gt;=_TM1,B1009&lt;=_TM2,OR(TH!L1009="1111",TH!M1009="1111")),TH!D1009,""),"")</f>
        <v/>
      </c>
      <c r="B1009" s="36">
        <f t="shared" si="51"/>
        <v>5</v>
      </c>
      <c r="C1009" s="182">
        <f t="shared" si="52"/>
        <v>42521</v>
      </c>
      <c r="D1009" s="182" t="s">
        <v>669</v>
      </c>
      <c r="E1009" s="189">
        <v>42521</v>
      </c>
      <c r="F1009" s="190" t="s">
        <v>801</v>
      </c>
      <c r="G1009" s="190" t="s">
        <v>330</v>
      </c>
      <c r="H1009" s="7" t="s">
        <v>792</v>
      </c>
      <c r="I1009" s="251"/>
      <c r="J1009" s="251"/>
      <c r="K1009" s="560">
        <v>9670540</v>
      </c>
      <c r="L1009" s="192" t="s">
        <v>8</v>
      </c>
      <c r="M1009" s="192" t="s">
        <v>24</v>
      </c>
      <c r="N1009" s="52" t="str">
        <f>IF(AND('331-CT'!$E$7=TH!H1009,OR(L1009="331",M1009="331")),"331",IF(AND(OR(L1009="131",M1009="131"),H1009='131-CT'!$E$7),"131",""))</f>
        <v/>
      </c>
      <c r="O1009" s="818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53"/>
      <c r="AB1009" s="552"/>
      <c r="AC1009" s="552"/>
    </row>
    <row r="1010" spans="1:32" s="209" customFormat="1" ht="15.75" customHeight="1">
      <c r="A1010" s="202" t="str">
        <f>IF(B1010&lt;&gt;"",IF(AND(B1010&gt;=_TM1,B1010&lt;=_TM2,OR(TH!L1010="1111",TH!M1010="1111")),TH!D1010,""),"")</f>
        <v/>
      </c>
      <c r="B1010" s="36">
        <f t="shared" si="51"/>
        <v>5</v>
      </c>
      <c r="C1010" s="182">
        <f t="shared" si="52"/>
        <v>42521</v>
      </c>
      <c r="D1010" s="182" t="s">
        <v>1653</v>
      </c>
      <c r="E1010" s="189">
        <v>42521</v>
      </c>
      <c r="F1010" s="190" t="s">
        <v>1520</v>
      </c>
      <c r="G1010" s="190" t="s">
        <v>330</v>
      </c>
      <c r="H1010" s="7" t="s">
        <v>792</v>
      </c>
      <c r="I1010" s="251"/>
      <c r="J1010" s="251"/>
      <c r="K1010" s="560">
        <v>200000</v>
      </c>
      <c r="L1010" s="192" t="s">
        <v>47</v>
      </c>
      <c r="M1010" s="192" t="s">
        <v>8</v>
      </c>
      <c r="N1010" s="52" t="str">
        <f>IF(AND('331-CT'!$E$7=TH!H1010,OR(L1010="331",M1010="331")),"331",IF(AND(OR(L1010="131",M1010="131"),H1010='131-CT'!$E$7),"131",""))</f>
        <v/>
      </c>
      <c r="O1010" s="818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53"/>
      <c r="AB1010" s="552"/>
      <c r="AC1010" s="552"/>
    </row>
    <row r="1011" spans="1:32" s="209" customFormat="1" ht="15.75" customHeight="1">
      <c r="A1011" s="202" t="str">
        <f>IF(B1011&lt;&gt;"",IF(AND(B1011&gt;=_TM1,B1011&lt;=_TM2,OR(TH!L1011="1111",TH!M1011="1111")),TH!D1011,""),"")</f>
        <v/>
      </c>
      <c r="B1011" s="36">
        <f t="shared" si="51"/>
        <v>5</v>
      </c>
      <c r="C1011" s="182">
        <f t="shared" si="52"/>
        <v>42521</v>
      </c>
      <c r="D1011" s="182" t="s">
        <v>669</v>
      </c>
      <c r="E1011" s="189">
        <v>42521</v>
      </c>
      <c r="F1011" s="190" t="s">
        <v>672</v>
      </c>
      <c r="G1011" s="190" t="s">
        <v>330</v>
      </c>
      <c r="H1011" s="191"/>
      <c r="I1011" s="251"/>
      <c r="J1011" s="251"/>
      <c r="K1011" s="560">
        <v>13636</v>
      </c>
      <c r="L1011" s="192" t="s">
        <v>83</v>
      </c>
      <c r="M1011" s="192" t="s">
        <v>24</v>
      </c>
      <c r="N1011" s="52" t="str">
        <f>IF(AND('331-CT'!$E$7=TH!H1011,OR(L1011="331",M1011="331")),"331",IF(AND(OR(L1011="131",M1011="131"),H1011='131-CT'!$E$7),"131",""))</f>
        <v/>
      </c>
      <c r="O1011" s="818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>x</v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52">
        <v>2</v>
      </c>
      <c r="AB1011" s="552"/>
      <c r="AC1011" s="552"/>
    </row>
    <row r="1012" spans="1:32" s="209" customFormat="1" ht="15.75" customHeight="1">
      <c r="A1012" s="202" t="str">
        <f>IF(B1012&lt;&gt;"",IF(AND(B1012&gt;=_TM1,B1012&lt;=_TM2,OR(TH!L1012="1111",TH!M1012="1111")),TH!D1012,""),"")</f>
        <v/>
      </c>
      <c r="B1012" s="36">
        <f t="shared" si="51"/>
        <v>5</v>
      </c>
      <c r="C1012" s="182">
        <f t="shared" si="52"/>
        <v>42521</v>
      </c>
      <c r="D1012" s="182" t="s">
        <v>669</v>
      </c>
      <c r="E1012" s="189">
        <v>42521</v>
      </c>
      <c r="F1012" s="190" t="s">
        <v>762</v>
      </c>
      <c r="G1012" s="190" t="s">
        <v>330</v>
      </c>
      <c r="H1012" s="7"/>
      <c r="I1012" s="251"/>
      <c r="J1012" s="251"/>
      <c r="K1012" s="560">
        <v>1364</v>
      </c>
      <c r="L1012" s="192" t="s">
        <v>9</v>
      </c>
      <c r="M1012" s="192" t="s">
        <v>24</v>
      </c>
      <c r="N1012" s="52" t="str">
        <f>IF(AND('331-CT'!$E$7=TH!H1012,OR(L1012="331",M1012="331")),"331",IF(AND(OR(L1012="131",M1012="131"),H1012='131-CT'!$E$7),"131",""))</f>
        <v/>
      </c>
      <c r="O1012" s="818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52">
        <v>2</v>
      </c>
      <c r="AB1012" s="552"/>
      <c r="AC1012" s="552"/>
    </row>
    <row r="1013" spans="1:32" s="209" customFormat="1" ht="15.75" customHeight="1">
      <c r="A1013" s="202" t="str">
        <f>IF(B1013&lt;&gt;"",IF(AND(B1013&gt;=_TM1,B1013&lt;=_TM2,OR(TH!L1013="1111",TH!M1013="1111")),TH!D1013,""),"")</f>
        <v/>
      </c>
      <c r="B1013" s="36">
        <f t="shared" si="51"/>
        <v>5</v>
      </c>
      <c r="C1013" s="182">
        <f t="shared" si="52"/>
        <v>42521</v>
      </c>
      <c r="D1013" s="182" t="s">
        <v>669</v>
      </c>
      <c r="E1013" s="189">
        <v>42521</v>
      </c>
      <c r="F1013" s="190" t="s">
        <v>672</v>
      </c>
      <c r="G1013" s="190" t="s">
        <v>330</v>
      </c>
      <c r="H1013" s="7"/>
      <c r="I1013" s="251"/>
      <c r="J1013" s="251"/>
      <c r="K1013" s="560">
        <v>13636</v>
      </c>
      <c r="L1013" s="192" t="s">
        <v>83</v>
      </c>
      <c r="M1013" s="192" t="s">
        <v>24</v>
      </c>
      <c r="N1013" s="52" t="str">
        <f>IF(AND('331-CT'!$E$7=TH!H1013,OR(L1013="331",M1013="331")),"331",IF(AND(OR(L1013="131",M1013="131"),H1013='131-CT'!$E$7),"131",""))</f>
        <v/>
      </c>
      <c r="O1013" s="818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>x</v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52">
        <v>2</v>
      </c>
      <c r="AB1013" s="552"/>
      <c r="AC1013" s="552"/>
    </row>
    <row r="1014" spans="1:32" s="209" customFormat="1" ht="15.75" customHeight="1">
      <c r="A1014" s="202" t="str">
        <f>IF(B1014&lt;&gt;"",IF(AND(B1014&gt;=_TM1,B1014&lt;=_TM2,OR(TH!L1014="1111",TH!M1014="1111")),TH!D1014,""),"")</f>
        <v/>
      </c>
      <c r="B1014" s="36">
        <f t="shared" si="51"/>
        <v>5</v>
      </c>
      <c r="C1014" s="182">
        <f t="shared" si="52"/>
        <v>42521</v>
      </c>
      <c r="D1014" s="182" t="s">
        <v>669</v>
      </c>
      <c r="E1014" s="189">
        <v>42521</v>
      </c>
      <c r="F1014" s="190" t="s">
        <v>762</v>
      </c>
      <c r="G1014" s="190" t="s">
        <v>330</v>
      </c>
      <c r="H1014" s="7"/>
      <c r="I1014" s="251"/>
      <c r="J1014" s="251"/>
      <c r="K1014" s="560">
        <v>1364</v>
      </c>
      <c r="L1014" s="192" t="s">
        <v>9</v>
      </c>
      <c r="M1014" s="192" t="s">
        <v>24</v>
      </c>
      <c r="N1014" s="52" t="str">
        <f>IF(AND('331-CT'!$E$7=TH!H1014,OR(L1014="331",M1014="331")),"331",IF(AND(OR(L1014="131",M1014="131"),H1014='131-CT'!$E$7),"131",""))</f>
        <v/>
      </c>
      <c r="O1014" s="818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52">
        <v>2</v>
      </c>
      <c r="AB1014" s="552"/>
      <c r="AC1014" s="552"/>
    </row>
    <row r="1015" spans="1:32" s="209" customFormat="1" ht="15.75" customHeight="1">
      <c r="A1015" s="202" t="str">
        <f>IF(B1015&lt;&gt;"",IF(AND(B1015&gt;=_TM1,B1015&lt;=_TM2,OR(TH!L1015="1111",TH!M1015="1111")),TH!D1015,""),"")</f>
        <v/>
      </c>
      <c r="B1015" s="36">
        <f t="shared" si="51"/>
        <v>5</v>
      </c>
      <c r="C1015" s="182">
        <f t="shared" si="52"/>
        <v>42521</v>
      </c>
      <c r="D1015" s="189" t="s">
        <v>1647</v>
      </c>
      <c r="E1015" s="182">
        <v>42521</v>
      </c>
      <c r="F1015" s="190" t="s">
        <v>687</v>
      </c>
      <c r="G1015" s="451" t="s">
        <v>685</v>
      </c>
      <c r="H1015" s="7" t="s">
        <v>842</v>
      </c>
      <c r="I1015" s="251"/>
      <c r="J1015" s="251"/>
      <c r="K1015" s="560">
        <v>630000</v>
      </c>
      <c r="L1015" s="192" t="s">
        <v>83</v>
      </c>
      <c r="M1015" s="192" t="s">
        <v>47</v>
      </c>
      <c r="N1015" s="52" t="str">
        <f>IF(AND('331-CT'!$E$7=TH!H1015,OR(L1015="331",M1015="331")),"331",IF(AND(OR(L1015="131",M1015="131"),H1015='131-CT'!$E$7),"131",""))</f>
        <v/>
      </c>
      <c r="O1015" s="818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>x</v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52">
        <v>2</v>
      </c>
      <c r="AB1015" s="552"/>
      <c r="AC1015" s="552"/>
    </row>
    <row r="1016" spans="1:32" s="209" customFormat="1" ht="15.75" customHeight="1">
      <c r="A1016" s="202" t="str">
        <f>IF(B1016&lt;&gt;"",IF(AND(B1016&gt;=_TM1,B1016&lt;=_TM2,OR(TH!L1016="1111",TH!M1016="1111")),TH!D1016,""),"")</f>
        <v/>
      </c>
      <c r="B1016" s="36">
        <f t="shared" si="51"/>
        <v>5</v>
      </c>
      <c r="C1016" s="182">
        <f t="shared" si="52"/>
        <v>42521</v>
      </c>
      <c r="D1016" s="189" t="s">
        <v>1647</v>
      </c>
      <c r="E1016" s="182">
        <v>42521</v>
      </c>
      <c r="F1016" s="187" t="s">
        <v>688</v>
      </c>
      <c r="G1016" s="451" t="s">
        <v>685</v>
      </c>
      <c r="H1016" s="7" t="s">
        <v>842</v>
      </c>
      <c r="I1016" s="251"/>
      <c r="J1016" s="251"/>
      <c r="K1016" s="560">
        <v>63000</v>
      </c>
      <c r="L1016" s="192" t="s">
        <v>9</v>
      </c>
      <c r="M1016" s="192" t="s">
        <v>47</v>
      </c>
      <c r="N1016" s="52" t="str">
        <f>IF(AND('331-CT'!$E$7=TH!H1016,OR(L1016="331",M1016="331")),"331",IF(AND(OR(L1016="131",M1016="131"),H1016='131-CT'!$E$7),"131",""))</f>
        <v/>
      </c>
      <c r="O1016" s="818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52">
        <v>2</v>
      </c>
      <c r="AB1016" s="552"/>
    </row>
    <row r="1017" spans="1:32" s="209" customFormat="1" ht="15.75" customHeight="1">
      <c r="A1017" s="202" t="str">
        <f>IF(B1017&lt;&gt;"",IF(AND(B1017&gt;=_TM1,B1017&lt;=_TM2,OR(TH!L1017="1111",TH!M1017="1111")),TH!D1017,""),"")</f>
        <v/>
      </c>
      <c r="B1017" s="36">
        <f t="shared" si="51"/>
        <v>5</v>
      </c>
      <c r="C1017" s="182">
        <f t="shared" si="52"/>
        <v>42521</v>
      </c>
      <c r="D1017" s="189" t="s">
        <v>1199</v>
      </c>
      <c r="E1017" s="182">
        <v>42521</v>
      </c>
      <c r="F1017" s="187" t="s">
        <v>853</v>
      </c>
      <c r="G1017" s="451" t="s">
        <v>854</v>
      </c>
      <c r="H1017" s="7" t="s">
        <v>855</v>
      </c>
      <c r="I1017" s="251">
        <v>4777</v>
      </c>
      <c r="J1017" s="251">
        <v>8500</v>
      </c>
      <c r="K1017" s="38">
        <f>ROUND(I1017*J1017,0)</f>
        <v>40604500</v>
      </c>
      <c r="L1017" s="192" t="s">
        <v>158</v>
      </c>
      <c r="M1017" s="192" t="s">
        <v>8</v>
      </c>
      <c r="N1017" s="52" t="str">
        <f>IF(AND('331-CT'!$E$7=TH!H1017,OR(L1017="331",M1017="331")),"331",IF(AND(OR(L1017="131",M1017="131"),H1017='131-CT'!$E$7),"131",""))</f>
        <v/>
      </c>
      <c r="O1017" s="818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52">
        <v>2</v>
      </c>
      <c r="AB1017" s="552"/>
      <c r="AC1017" s="209" t="str">
        <f>IF(VLOOKUP(H1017,DSKH,1,0)=H1017,"","x")</f>
        <v/>
      </c>
      <c r="AE1017" s="552"/>
      <c r="AF1017" s="552"/>
    </row>
    <row r="1018" spans="1:32" s="209" customFormat="1" ht="15.75" customHeight="1">
      <c r="A1018" s="202" t="str">
        <f>IF(B1018&lt;&gt;"",IF(AND(B1018&gt;=_TM1,B1018&lt;=_TM2,OR(TH!L1018="1111",TH!M1018="1111")),TH!D1018,""),"")</f>
        <v/>
      </c>
      <c r="B1018" s="36">
        <f t="shared" si="51"/>
        <v>5</v>
      </c>
      <c r="C1018" s="182">
        <f t="shared" si="52"/>
        <v>42521</v>
      </c>
      <c r="D1018" s="189" t="s">
        <v>1199</v>
      </c>
      <c r="E1018" s="182">
        <v>42521</v>
      </c>
      <c r="F1018" s="187" t="s">
        <v>1248</v>
      </c>
      <c r="G1018" s="451" t="s">
        <v>854</v>
      </c>
      <c r="H1018" s="7" t="s">
        <v>855</v>
      </c>
      <c r="I1018" s="251">
        <v>10008</v>
      </c>
      <c r="J1018" s="251">
        <v>8500</v>
      </c>
      <c r="K1018" s="38">
        <f>ROUND(I1018*J1018,0)</f>
        <v>85068000</v>
      </c>
      <c r="L1018" s="192" t="s">
        <v>158</v>
      </c>
      <c r="M1018" s="192" t="s">
        <v>8</v>
      </c>
      <c r="N1018" s="52" t="str">
        <f>IF(AND('331-CT'!$E$7=TH!H1018,OR(L1018="331",M1018="331")),"331",IF(AND(OR(L1018="131",M1018="131"),H1018='131-CT'!$E$7),"131",""))</f>
        <v/>
      </c>
      <c r="O1018" s="818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52">
        <v>2</v>
      </c>
      <c r="AB1018" s="552"/>
      <c r="AC1018" s="209" t="str">
        <f>IF(VLOOKUP(H1018,DSKH,1,0)=H1018,"","x")</f>
        <v/>
      </c>
      <c r="AE1018" s="552"/>
      <c r="AF1018" s="552"/>
    </row>
    <row r="1019" spans="1:32" s="209" customFormat="1" ht="15.75" customHeight="1">
      <c r="A1019" s="202" t="str">
        <f>IF(B1019&lt;&gt;"",IF(AND(B1019&gt;=_TM1,B1019&lt;=_TM2,OR(TH!L1019="1111",TH!M1019="1111")),TH!D1019,""),"")</f>
        <v/>
      </c>
      <c r="B1019" s="36">
        <f t="shared" si="51"/>
        <v>5</v>
      </c>
      <c r="C1019" s="182">
        <f t="shared" si="52"/>
        <v>42521</v>
      </c>
      <c r="D1019" s="189" t="s">
        <v>1199</v>
      </c>
      <c r="E1019" s="182">
        <v>42521</v>
      </c>
      <c r="F1019" s="187" t="s">
        <v>856</v>
      </c>
      <c r="G1019" s="451" t="s">
        <v>854</v>
      </c>
      <c r="H1019" s="7" t="s">
        <v>855</v>
      </c>
      <c r="I1019" s="251"/>
      <c r="J1019" s="251"/>
      <c r="K1019" s="560">
        <v>12567250</v>
      </c>
      <c r="L1019" s="192" t="s">
        <v>9</v>
      </c>
      <c r="M1019" s="192" t="s">
        <v>8</v>
      </c>
      <c r="N1019" s="52" t="str">
        <f>IF(AND('331-CT'!$E$7=TH!H1019,OR(L1019="331",M1019="331")),"331",IF(AND(OR(L1019="131",M1019="131"),H1019='131-CT'!$E$7),"131",""))</f>
        <v/>
      </c>
      <c r="O1019" s="818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52">
        <v>2</v>
      </c>
      <c r="AB1019" s="552"/>
      <c r="AC1019" s="209" t="str">
        <f>IF(VLOOKUP(H1019,DSKH,1,0)=H1019,"","x")</f>
        <v/>
      </c>
      <c r="AE1019" s="552"/>
      <c r="AF1019" s="552"/>
    </row>
    <row r="1020" spans="1:32" s="209" customFormat="1" ht="15.75" customHeight="1">
      <c r="A1020" s="202" t="str">
        <f>IF(B1020&lt;&gt;"",IF(AND(B1020&gt;=_TM1,B1020&lt;=_TM2,OR(TH!L1020="1111",TH!M1020="1111")),TH!D1020,""),"")</f>
        <v/>
      </c>
      <c r="B1020" s="36">
        <f t="shared" si="51"/>
        <v>6</v>
      </c>
      <c r="C1020" s="182">
        <f t="shared" si="52"/>
        <v>42522</v>
      </c>
      <c r="D1020" s="189" t="s">
        <v>1138</v>
      </c>
      <c r="E1020" s="189">
        <v>42522</v>
      </c>
      <c r="F1020" s="190" t="s">
        <v>389</v>
      </c>
      <c r="G1020" s="451" t="s">
        <v>573</v>
      </c>
      <c r="H1020" s="7" t="s">
        <v>1043</v>
      </c>
      <c r="I1020" s="251">
        <v>1600</v>
      </c>
      <c r="J1020" s="251">
        <v>5000</v>
      </c>
      <c r="K1020" s="38">
        <f>ROUND(I1020*J1020,0)</f>
        <v>8000000</v>
      </c>
      <c r="L1020" s="192" t="s">
        <v>258</v>
      </c>
      <c r="M1020" s="192" t="s">
        <v>173</v>
      </c>
      <c r="N1020" s="52" t="str">
        <f>IF(AND('331-CT'!$E$7=TH!H1020,OR(L1020="331",M1020="331")),"331",IF(AND(OR(L1020="131",M1020="131"),H1020='131-CT'!$E$7),"131",""))</f>
        <v/>
      </c>
      <c r="O1020" s="818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52"/>
      <c r="AB1020" s="552"/>
      <c r="AC1020" s="552"/>
    </row>
    <row r="1021" spans="1:32" s="209" customFormat="1" ht="15.75" customHeight="1">
      <c r="A1021" s="202" t="str">
        <f>IF(B1021&lt;&gt;"",IF(AND(B1021&gt;=_TM1,B1021&lt;=_TM2,OR(TH!L1021="1111",TH!M1021="1111")),TH!D1021,""),"")</f>
        <v/>
      </c>
      <c r="B1021" s="36">
        <f t="shared" si="51"/>
        <v>6</v>
      </c>
      <c r="C1021" s="182">
        <f t="shared" si="52"/>
        <v>42522</v>
      </c>
      <c r="D1021" s="189" t="s">
        <v>1138</v>
      </c>
      <c r="E1021" s="189">
        <v>42522</v>
      </c>
      <c r="F1021" s="190" t="s">
        <v>441</v>
      </c>
      <c r="G1021" s="451" t="s">
        <v>573</v>
      </c>
      <c r="H1021" s="7" t="s">
        <v>1043</v>
      </c>
      <c r="I1021" s="251">
        <v>750</v>
      </c>
      <c r="J1021" s="251">
        <v>9700</v>
      </c>
      <c r="K1021" s="38">
        <f>ROUND(I1021*J1021,0)</f>
        <v>7275000</v>
      </c>
      <c r="L1021" s="192" t="s">
        <v>258</v>
      </c>
      <c r="M1021" s="192" t="s">
        <v>173</v>
      </c>
      <c r="N1021" s="52" t="str">
        <f>IF(AND('331-CT'!$E$7=TH!H1021,OR(L1021="331",M1021="331")),"331",IF(AND(OR(L1021="131",M1021="131"),H1021='131-CT'!$E$7),"131",""))</f>
        <v/>
      </c>
      <c r="O1021" s="818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52"/>
      <c r="AB1021" s="552"/>
      <c r="AC1021" s="552"/>
    </row>
    <row r="1022" spans="1:32" s="209" customFormat="1" ht="15.75" customHeight="1">
      <c r="A1022" s="202" t="str">
        <f>IF(B1022&lt;&gt;"",IF(AND(B1022&gt;=_TM1,B1022&lt;=_TM2,OR(TH!L1022="1111",TH!M1022="1111")),TH!D1022,""),"")</f>
        <v/>
      </c>
      <c r="B1022" s="36">
        <f t="shared" si="51"/>
        <v>6</v>
      </c>
      <c r="C1022" s="182">
        <f t="shared" si="52"/>
        <v>42522</v>
      </c>
      <c r="D1022" s="189" t="s">
        <v>1138</v>
      </c>
      <c r="E1022" s="189">
        <v>42522</v>
      </c>
      <c r="F1022" s="190" t="s">
        <v>1028</v>
      </c>
      <c r="G1022" s="451" t="s">
        <v>573</v>
      </c>
      <c r="H1022" s="7" t="s">
        <v>1043</v>
      </c>
      <c r="I1022" s="251"/>
      <c r="J1022" s="251"/>
      <c r="K1022" s="560">
        <v>1527500</v>
      </c>
      <c r="L1022" s="192" t="s">
        <v>258</v>
      </c>
      <c r="M1022" s="192" t="s">
        <v>367</v>
      </c>
      <c r="N1022" s="52" t="str">
        <f>IF(AND('331-CT'!$E$7=TH!H1022,OR(L1022="331",M1022="331")),"331",IF(AND(OR(L1022="131",M1022="131"),H1022='131-CT'!$E$7),"131",""))</f>
        <v/>
      </c>
      <c r="O1022" s="818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52"/>
      <c r="AB1022" s="552"/>
      <c r="AC1022" s="552"/>
    </row>
    <row r="1023" spans="1:32" s="209" customFormat="1" ht="15.75" customHeight="1">
      <c r="A1023" s="202" t="str">
        <f>IF(B1023&lt;&gt;"",IF(AND(B1023&gt;=_TM1,B1023&lt;=_TM2,OR(TH!L1023="1111",TH!M1023="1111")),TH!D1023,""),"")</f>
        <v/>
      </c>
      <c r="B1023" s="36">
        <f t="shared" si="51"/>
        <v>6</v>
      </c>
      <c r="C1023" s="182">
        <f t="shared" si="52"/>
        <v>42522</v>
      </c>
      <c r="D1023" s="189" t="s">
        <v>1139</v>
      </c>
      <c r="E1023" s="189">
        <v>42522</v>
      </c>
      <c r="F1023" s="190" t="s">
        <v>418</v>
      </c>
      <c r="G1023" s="451" t="s">
        <v>574</v>
      </c>
      <c r="H1023" s="7" t="s">
        <v>527</v>
      </c>
      <c r="I1023" s="251">
        <v>170</v>
      </c>
      <c r="J1023" s="251">
        <v>47449</v>
      </c>
      <c r="K1023" s="38">
        <f>ROUND(I1023*J1023,0)</f>
        <v>8066330</v>
      </c>
      <c r="L1023" s="192" t="s">
        <v>258</v>
      </c>
      <c r="M1023" s="192" t="s">
        <v>173</v>
      </c>
      <c r="N1023" s="52" t="str">
        <f>IF(AND('331-CT'!$E$7=TH!H1023,OR(L1023="331",M1023="331")),"331",IF(AND(OR(L1023="131",M1023="131"),H1023='131-CT'!$E$7),"131",""))</f>
        <v/>
      </c>
      <c r="O1023" s="818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52"/>
      <c r="AB1023" s="552"/>
      <c r="AC1023" s="552"/>
    </row>
    <row r="1024" spans="1:32" s="209" customFormat="1" ht="15.75" customHeight="1">
      <c r="A1024" s="202" t="str">
        <f>IF(B1024&lt;&gt;"",IF(AND(B1024&gt;=_TM1,B1024&lt;=_TM2,OR(TH!L1024="1111",TH!M1024="1111")),TH!D1024,""),"")</f>
        <v/>
      </c>
      <c r="B1024" s="36">
        <f t="shared" si="51"/>
        <v>6</v>
      </c>
      <c r="C1024" s="182">
        <f t="shared" si="52"/>
        <v>42522</v>
      </c>
      <c r="D1024" s="189" t="s">
        <v>1139</v>
      </c>
      <c r="E1024" s="189">
        <v>42522</v>
      </c>
      <c r="F1024" s="190" t="s">
        <v>1028</v>
      </c>
      <c r="G1024" s="451" t="s">
        <v>574</v>
      </c>
      <c r="H1024" s="7" t="s">
        <v>527</v>
      </c>
      <c r="I1024" s="251"/>
      <c r="J1024" s="251"/>
      <c r="K1024" s="560">
        <v>806633</v>
      </c>
      <c r="L1024" s="192" t="s">
        <v>258</v>
      </c>
      <c r="M1024" s="192" t="s">
        <v>367</v>
      </c>
      <c r="N1024" s="52" t="str">
        <f>IF(AND('331-CT'!$E$7=TH!H1024,OR(L1024="331",M1024="331")),"331",IF(AND(OR(L1024="131",M1024="131"),H1024='131-CT'!$E$7),"131",""))</f>
        <v/>
      </c>
      <c r="O1024" s="818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52"/>
      <c r="AB1024" s="552"/>
      <c r="AC1024" s="552"/>
    </row>
    <row r="1025" spans="1:29" s="209" customFormat="1" ht="15.75" customHeight="1">
      <c r="A1025" s="202" t="str">
        <f>IF(B1025&lt;&gt;"",IF(AND(B1025&gt;=_TM1,B1025&lt;=_TM2,OR(TH!L1025="1111",TH!M1025="1111")),TH!D1025,""),"")</f>
        <v/>
      </c>
      <c r="B1025" s="36">
        <f t="shared" si="51"/>
        <v>6</v>
      </c>
      <c r="C1025" s="182">
        <f t="shared" si="52"/>
        <v>42522</v>
      </c>
      <c r="D1025" s="189" t="s">
        <v>1140</v>
      </c>
      <c r="E1025" s="189">
        <v>42522</v>
      </c>
      <c r="F1025" s="190" t="s">
        <v>933</v>
      </c>
      <c r="G1025" s="451" t="s">
        <v>575</v>
      </c>
      <c r="H1025" s="191" t="s">
        <v>609</v>
      </c>
      <c r="I1025" s="251">
        <v>245</v>
      </c>
      <c r="J1025" s="251">
        <v>14500</v>
      </c>
      <c r="K1025" s="38">
        <f t="shared" ref="K1025:K1033" si="53">ROUND(I1025*J1025,0)</f>
        <v>3552500</v>
      </c>
      <c r="L1025" s="192" t="s">
        <v>258</v>
      </c>
      <c r="M1025" s="192" t="s">
        <v>173</v>
      </c>
      <c r="N1025" s="52" t="str">
        <f>IF(AND('331-CT'!$E$7=TH!H1025,OR(L1025="331",M1025="331")),"331",IF(AND(OR(L1025="131",M1025="131"),H1025='131-CT'!$E$7),"131",""))</f>
        <v/>
      </c>
      <c r="O1025" s="818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52"/>
      <c r="AB1025" s="552"/>
    </row>
    <row r="1026" spans="1:29" s="209" customFormat="1" ht="15.75" customHeight="1">
      <c r="A1026" s="202" t="str">
        <f>IF(B1026&lt;&gt;"",IF(AND(B1026&gt;=_TM1,B1026&lt;=_TM2,OR(TH!L1026="1111",TH!M1026="1111")),TH!D1026,""),"")</f>
        <v/>
      </c>
      <c r="B1026" s="36">
        <f t="shared" si="51"/>
        <v>6</v>
      </c>
      <c r="C1026" s="182">
        <f t="shared" si="52"/>
        <v>42522</v>
      </c>
      <c r="D1026" s="189" t="s">
        <v>1140</v>
      </c>
      <c r="E1026" s="189">
        <v>42522</v>
      </c>
      <c r="F1026" s="190" t="s">
        <v>407</v>
      </c>
      <c r="G1026" s="451" t="s">
        <v>575</v>
      </c>
      <c r="H1026" s="191" t="s">
        <v>609</v>
      </c>
      <c r="I1026" s="251">
        <v>35</v>
      </c>
      <c r="J1026" s="251">
        <v>7850</v>
      </c>
      <c r="K1026" s="38">
        <f t="shared" si="53"/>
        <v>274750</v>
      </c>
      <c r="L1026" s="192" t="s">
        <v>258</v>
      </c>
      <c r="M1026" s="192" t="s">
        <v>173</v>
      </c>
      <c r="N1026" s="52" t="str">
        <f>IF(AND('331-CT'!$E$7=TH!H1026,OR(L1026="331",M1026="331")),"331",IF(AND(OR(L1026="131",M1026="131"),H1026='131-CT'!$E$7),"131",""))</f>
        <v/>
      </c>
      <c r="O1026" s="818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52"/>
      <c r="AB1026" s="552"/>
      <c r="AC1026" s="552"/>
    </row>
    <row r="1027" spans="1:29" s="209" customFormat="1" ht="15.75" customHeight="1">
      <c r="A1027" s="202" t="str">
        <f>IF(B1027&lt;&gt;"",IF(AND(B1027&gt;=_TM1,B1027&lt;=_TM2,OR(TH!L1027="1111",TH!M1027="1111")),TH!D1027,""),"")</f>
        <v/>
      </c>
      <c r="B1027" s="36">
        <f t="shared" si="51"/>
        <v>6</v>
      </c>
      <c r="C1027" s="182">
        <f t="shared" si="52"/>
        <v>42522</v>
      </c>
      <c r="D1027" s="189" t="s">
        <v>1140</v>
      </c>
      <c r="E1027" s="189">
        <v>42522</v>
      </c>
      <c r="F1027" s="190" t="s">
        <v>1044</v>
      </c>
      <c r="G1027" s="451" t="s">
        <v>575</v>
      </c>
      <c r="H1027" s="191" t="s">
        <v>609</v>
      </c>
      <c r="I1027" s="251">
        <v>24</v>
      </c>
      <c r="J1027" s="251">
        <v>8940</v>
      </c>
      <c r="K1027" s="38">
        <f t="shared" si="53"/>
        <v>214560</v>
      </c>
      <c r="L1027" s="192" t="s">
        <v>258</v>
      </c>
      <c r="M1027" s="192" t="s">
        <v>173</v>
      </c>
      <c r="N1027" s="52" t="str">
        <f>IF(AND('331-CT'!$E$7=TH!H1027,OR(L1027="331",M1027="331")),"331",IF(AND(OR(L1027="131",M1027="131"),H1027='131-CT'!$E$7),"131",""))</f>
        <v/>
      </c>
      <c r="O1027" s="818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52"/>
      <c r="AB1027" s="552"/>
    </row>
    <row r="1028" spans="1:29" s="209" customFormat="1" ht="15.75" customHeight="1">
      <c r="A1028" s="202" t="str">
        <f>IF(B1028&lt;&gt;"",IF(AND(B1028&gt;=_TM1,B1028&lt;=_TM2,OR(TH!L1028="1111",TH!M1028="1111")),TH!D1028,""),"")</f>
        <v/>
      </c>
      <c r="B1028" s="36">
        <f t="shared" si="51"/>
        <v>6</v>
      </c>
      <c r="C1028" s="182">
        <f t="shared" si="52"/>
        <v>42522</v>
      </c>
      <c r="D1028" s="189" t="s">
        <v>1140</v>
      </c>
      <c r="E1028" s="189">
        <v>42522</v>
      </c>
      <c r="F1028" s="190" t="s">
        <v>933</v>
      </c>
      <c r="G1028" s="451" t="s">
        <v>575</v>
      </c>
      <c r="H1028" s="191" t="s">
        <v>609</v>
      </c>
      <c r="I1028" s="251">
        <v>13</v>
      </c>
      <c r="J1028" s="251">
        <v>14500</v>
      </c>
      <c r="K1028" s="38">
        <f t="shared" si="53"/>
        <v>188500</v>
      </c>
      <c r="L1028" s="192" t="s">
        <v>258</v>
      </c>
      <c r="M1028" s="192" t="s">
        <v>173</v>
      </c>
      <c r="N1028" s="52" t="str">
        <f>IF(AND('331-CT'!$E$7=TH!H1028,OR(L1028="331",M1028="331")),"331",IF(AND(OR(L1028="131",M1028="131"),H1028='131-CT'!$E$7),"131",""))</f>
        <v/>
      </c>
      <c r="O1028" s="818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52"/>
      <c r="AB1028" s="552"/>
      <c r="AC1028" s="552"/>
    </row>
    <row r="1029" spans="1:29" s="209" customFormat="1" ht="15.75" customHeight="1">
      <c r="A1029" s="202" t="str">
        <f>IF(B1029&lt;&gt;"",IF(AND(B1029&gt;=_TM1,B1029&lt;=_TM2,OR(TH!L1029="1111",TH!M1029="1111")),TH!D1029,""),"")</f>
        <v/>
      </c>
      <c r="B1029" s="36">
        <f t="shared" si="51"/>
        <v>6</v>
      </c>
      <c r="C1029" s="182">
        <f t="shared" si="52"/>
        <v>42522</v>
      </c>
      <c r="D1029" s="189" t="s">
        <v>1140</v>
      </c>
      <c r="E1029" s="189">
        <v>42522</v>
      </c>
      <c r="F1029" s="187" t="s">
        <v>1045</v>
      </c>
      <c r="G1029" s="451" t="s">
        <v>575</v>
      </c>
      <c r="H1029" s="191" t="s">
        <v>609</v>
      </c>
      <c r="I1029" s="251">
        <v>90</v>
      </c>
      <c r="J1029" s="251">
        <v>9010</v>
      </c>
      <c r="K1029" s="38">
        <f t="shared" si="53"/>
        <v>810900</v>
      </c>
      <c r="L1029" s="192" t="s">
        <v>258</v>
      </c>
      <c r="M1029" s="192" t="s">
        <v>173</v>
      </c>
      <c r="N1029" s="52" t="str">
        <f>IF(AND('331-CT'!$E$7=TH!H1029,OR(L1029="331",M1029="331")),"331",IF(AND(OR(L1029="131",M1029="131"),H1029='131-CT'!$E$7),"131",""))</f>
        <v/>
      </c>
      <c r="O1029" s="818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52"/>
      <c r="AB1029" s="552"/>
      <c r="AC1029" s="552"/>
    </row>
    <row r="1030" spans="1:29" s="209" customFormat="1" ht="15.75" customHeight="1">
      <c r="A1030" s="202" t="str">
        <f>IF(B1030&lt;&gt;"",IF(AND(B1030&gt;=_TM1,B1030&lt;=_TM2,OR(TH!L1030="1111",TH!M1030="1111")),TH!D1030,""),"")</f>
        <v/>
      </c>
      <c r="B1030" s="36">
        <f t="shared" si="51"/>
        <v>6</v>
      </c>
      <c r="C1030" s="182">
        <f t="shared" si="52"/>
        <v>42522</v>
      </c>
      <c r="D1030" s="189" t="s">
        <v>1140</v>
      </c>
      <c r="E1030" s="189">
        <v>42522</v>
      </c>
      <c r="F1030" s="190" t="s">
        <v>1046</v>
      </c>
      <c r="G1030" s="451" t="s">
        <v>575</v>
      </c>
      <c r="H1030" s="191" t="s">
        <v>609</v>
      </c>
      <c r="I1030" s="251">
        <v>24</v>
      </c>
      <c r="J1030" s="251">
        <v>6400</v>
      </c>
      <c r="K1030" s="38">
        <f t="shared" si="53"/>
        <v>153600</v>
      </c>
      <c r="L1030" s="192" t="s">
        <v>258</v>
      </c>
      <c r="M1030" s="192" t="s">
        <v>173</v>
      </c>
      <c r="N1030" s="52" t="str">
        <f>IF(AND('331-CT'!$E$7=TH!H1030,OR(L1030="331",M1030="331")),"331",IF(AND(OR(L1030="131",M1030="131"),H1030='131-CT'!$E$7),"131",""))</f>
        <v/>
      </c>
      <c r="O1030" s="818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52"/>
      <c r="AB1030" s="552"/>
      <c r="AC1030" s="552"/>
    </row>
    <row r="1031" spans="1:29" s="209" customFormat="1" ht="15.75" customHeight="1">
      <c r="A1031" s="202" t="str">
        <f>IF(B1031&lt;&gt;"",IF(AND(B1031&gt;=_TM1,B1031&lt;=_TM2,OR(TH!L1031="1111",TH!M1031="1111")),TH!D1031,""),"")</f>
        <v/>
      </c>
      <c r="B1031" s="36">
        <f t="shared" si="51"/>
        <v>6</v>
      </c>
      <c r="C1031" s="182">
        <f t="shared" si="52"/>
        <v>42522</v>
      </c>
      <c r="D1031" s="189" t="s">
        <v>1140</v>
      </c>
      <c r="E1031" s="189">
        <v>42522</v>
      </c>
      <c r="F1031" s="190" t="s">
        <v>1047</v>
      </c>
      <c r="G1031" s="451" t="s">
        <v>575</v>
      </c>
      <c r="H1031" s="191" t="s">
        <v>609</v>
      </c>
      <c r="I1031" s="251">
        <v>90</v>
      </c>
      <c r="J1031" s="251">
        <v>9970</v>
      </c>
      <c r="K1031" s="38">
        <f t="shared" si="53"/>
        <v>897300</v>
      </c>
      <c r="L1031" s="192" t="s">
        <v>258</v>
      </c>
      <c r="M1031" s="192" t="s">
        <v>173</v>
      </c>
      <c r="N1031" s="52" t="str">
        <f>IF(AND('331-CT'!$E$7=TH!H1031,OR(L1031="331",M1031="331")),"331",IF(AND(OR(L1031="131",M1031="131"),H1031='131-CT'!$E$7),"131",""))</f>
        <v/>
      </c>
      <c r="O1031" s="818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52"/>
      <c r="AB1031" s="552"/>
      <c r="AC1031" s="552"/>
    </row>
    <row r="1032" spans="1:29" s="209" customFormat="1" ht="15.75" customHeight="1">
      <c r="A1032" s="202" t="str">
        <f>IF(B1032&lt;&gt;"",IF(AND(B1032&gt;=_TM1,B1032&lt;=_TM2,OR(TH!L1032="1111",TH!M1032="1111")),TH!D1032,""),"")</f>
        <v/>
      </c>
      <c r="B1032" s="36">
        <f t="shared" si="51"/>
        <v>6</v>
      </c>
      <c r="C1032" s="182">
        <f t="shared" si="52"/>
        <v>42522</v>
      </c>
      <c r="D1032" s="189" t="s">
        <v>1140</v>
      </c>
      <c r="E1032" s="189">
        <v>42522</v>
      </c>
      <c r="F1032" s="190" t="s">
        <v>1048</v>
      </c>
      <c r="G1032" s="190" t="s">
        <v>575</v>
      </c>
      <c r="H1032" s="191" t="s">
        <v>609</v>
      </c>
      <c r="I1032" s="708">
        <v>55</v>
      </c>
      <c r="J1032" s="708">
        <v>12200</v>
      </c>
      <c r="K1032" s="38">
        <f t="shared" si="53"/>
        <v>671000</v>
      </c>
      <c r="L1032" s="192" t="s">
        <v>258</v>
      </c>
      <c r="M1032" s="192" t="s">
        <v>173</v>
      </c>
      <c r="N1032" s="52" t="str">
        <f>IF(AND('331-CT'!$E$7=TH!H1032,OR(L1032="331",M1032="331")),"331",IF(AND(OR(L1032="131",M1032="131"),H1032='131-CT'!$E$7),"131",""))</f>
        <v/>
      </c>
      <c r="O1032" s="818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52"/>
      <c r="AB1032" s="552"/>
    </row>
    <row r="1033" spans="1:29" s="209" customFormat="1" ht="15.75" customHeight="1">
      <c r="A1033" s="202" t="str">
        <f>IF(B1033&lt;&gt;"",IF(AND(B1033&gt;=_TM1,B1033&lt;=_TM2,OR(TH!L1033="1111",TH!M1033="1111")),TH!D1033,""),"")</f>
        <v/>
      </c>
      <c r="B1033" s="36">
        <f t="shared" si="51"/>
        <v>6</v>
      </c>
      <c r="C1033" s="182">
        <f t="shared" si="52"/>
        <v>42522</v>
      </c>
      <c r="D1033" s="189" t="s">
        <v>1140</v>
      </c>
      <c r="E1033" s="189">
        <v>42522</v>
      </c>
      <c r="F1033" s="190" t="s">
        <v>1049</v>
      </c>
      <c r="G1033" s="190" t="s">
        <v>575</v>
      </c>
      <c r="H1033" s="191" t="s">
        <v>609</v>
      </c>
      <c r="I1033" s="708">
        <v>210</v>
      </c>
      <c r="J1033" s="708">
        <v>16500</v>
      </c>
      <c r="K1033" s="38">
        <f t="shared" si="53"/>
        <v>3465000</v>
      </c>
      <c r="L1033" s="192" t="s">
        <v>258</v>
      </c>
      <c r="M1033" s="192" t="s">
        <v>173</v>
      </c>
      <c r="N1033" s="52" t="str">
        <f>IF(AND('331-CT'!$E$7=TH!H1033,OR(L1033="331",M1033="331")),"331",IF(AND(OR(L1033="131",M1033="131"),H1033='131-CT'!$E$7),"131",""))</f>
        <v/>
      </c>
      <c r="O1033" s="818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52"/>
      <c r="AB1033" s="552"/>
      <c r="AC1033" s="552"/>
    </row>
    <row r="1034" spans="1:29" s="209" customFormat="1" ht="15.75" customHeight="1">
      <c r="A1034" s="202" t="str">
        <f>IF(B1034&lt;&gt;"",IF(AND(B1034&gt;=_TM1,B1034&lt;=_TM2,OR(TH!L1034="1111",TH!M1034="1111")),TH!D1034,""),"")</f>
        <v/>
      </c>
      <c r="B1034" s="36">
        <f t="shared" si="51"/>
        <v>6</v>
      </c>
      <c r="C1034" s="182">
        <f t="shared" si="52"/>
        <v>42522</v>
      </c>
      <c r="D1034" s="189" t="s">
        <v>1140</v>
      </c>
      <c r="E1034" s="189">
        <v>42522</v>
      </c>
      <c r="F1034" s="187" t="s">
        <v>1028</v>
      </c>
      <c r="G1034" s="190" t="s">
        <v>575</v>
      </c>
      <c r="H1034" s="191" t="s">
        <v>609</v>
      </c>
      <c r="I1034" s="708"/>
      <c r="J1034" s="708"/>
      <c r="K1034" s="560">
        <v>1022811</v>
      </c>
      <c r="L1034" s="192" t="s">
        <v>258</v>
      </c>
      <c r="M1034" s="192" t="s">
        <v>367</v>
      </c>
      <c r="N1034" s="52" t="str">
        <f>IF(AND('331-CT'!$E$7=TH!H1034,OR(L1034="331",M1034="331")),"331",IF(AND(OR(L1034="131",M1034="131"),H1034='131-CT'!$E$7),"131",""))</f>
        <v/>
      </c>
      <c r="O1034" s="818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52"/>
      <c r="AB1034" s="552"/>
      <c r="AC1034" s="552"/>
    </row>
    <row r="1035" spans="1:29" s="209" customFormat="1" ht="15.75" customHeight="1">
      <c r="A1035" s="202" t="str">
        <f>IF(B1035&lt;&gt;"",IF(AND(B1035&gt;=_TM1,B1035&lt;=_TM2,OR(TH!L1035="1111",TH!M1035="1111")),TH!D1035,""),"")</f>
        <v/>
      </c>
      <c r="B1035" s="36">
        <f t="shared" si="51"/>
        <v>6</v>
      </c>
      <c r="C1035" s="182">
        <f t="shared" si="52"/>
        <v>42522</v>
      </c>
      <c r="D1035" s="189" t="s">
        <v>1141</v>
      </c>
      <c r="E1035" s="189">
        <v>42522</v>
      </c>
      <c r="F1035" s="286" t="s">
        <v>1050</v>
      </c>
      <c r="G1035" s="190" t="s">
        <v>576</v>
      </c>
      <c r="H1035" s="191" t="s">
        <v>609</v>
      </c>
      <c r="I1035" s="708">
        <v>210</v>
      </c>
      <c r="J1035" s="708">
        <v>8200</v>
      </c>
      <c r="K1035" s="38">
        <f>ROUND(I1035*J1035,0)</f>
        <v>1722000</v>
      </c>
      <c r="L1035" s="192" t="s">
        <v>258</v>
      </c>
      <c r="M1035" s="192" t="s">
        <v>173</v>
      </c>
      <c r="N1035" s="52" t="str">
        <f>IF(AND('331-CT'!$E$7=TH!H1035,OR(L1035="331",M1035="331")),"331",IF(AND(OR(L1035="131",M1035="131"),H1035='131-CT'!$E$7),"131",""))</f>
        <v/>
      </c>
      <c r="O1035" s="818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52"/>
      <c r="AB1035" s="552"/>
    </row>
    <row r="1036" spans="1:29" s="209" customFormat="1" ht="15.75" customHeight="1">
      <c r="A1036" s="202" t="str">
        <f>IF(B1036&lt;&gt;"",IF(AND(B1036&gt;=_TM1,B1036&lt;=_TM2,OR(TH!L1036="1111",TH!M1036="1111")),TH!D1036,""),"")</f>
        <v/>
      </c>
      <c r="B1036" s="36">
        <f t="shared" si="51"/>
        <v>6</v>
      </c>
      <c r="C1036" s="182">
        <f t="shared" si="52"/>
        <v>42522</v>
      </c>
      <c r="D1036" s="189" t="s">
        <v>1141</v>
      </c>
      <c r="E1036" s="189">
        <v>42522</v>
      </c>
      <c r="F1036" s="187" t="s">
        <v>474</v>
      </c>
      <c r="G1036" s="190" t="s">
        <v>576</v>
      </c>
      <c r="H1036" s="191" t="s">
        <v>609</v>
      </c>
      <c r="I1036" s="708">
        <v>204</v>
      </c>
      <c r="J1036" s="708">
        <v>9270</v>
      </c>
      <c r="K1036" s="38">
        <f>ROUND(I1036*J1036,0)</f>
        <v>1891080</v>
      </c>
      <c r="L1036" s="192" t="s">
        <v>258</v>
      </c>
      <c r="M1036" s="192" t="s">
        <v>173</v>
      </c>
      <c r="N1036" s="52" t="str">
        <f>IF(AND('331-CT'!$E$7=TH!H1036,OR(L1036="331",M1036="331")),"331",IF(AND(OR(L1036="131",M1036="131"),H1036='131-CT'!$E$7),"131",""))</f>
        <v/>
      </c>
      <c r="O1036" s="818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52"/>
      <c r="AB1036" s="552"/>
      <c r="AC1036" s="552"/>
    </row>
    <row r="1037" spans="1:29" s="209" customFormat="1" ht="15.75" customHeight="1">
      <c r="A1037" s="202" t="str">
        <f>IF(B1037&lt;&gt;"",IF(AND(B1037&gt;=_TM1,B1037&lt;=_TM2,OR(TH!L1037="1111",TH!M1037="1111")),TH!D1037,""),"")</f>
        <v/>
      </c>
      <c r="B1037" s="36">
        <f t="shared" si="51"/>
        <v>6</v>
      </c>
      <c r="C1037" s="182">
        <f t="shared" si="52"/>
        <v>42522</v>
      </c>
      <c r="D1037" s="189" t="s">
        <v>1141</v>
      </c>
      <c r="E1037" s="189">
        <v>42522</v>
      </c>
      <c r="F1037" s="286" t="s">
        <v>1028</v>
      </c>
      <c r="G1037" s="190" t="s">
        <v>576</v>
      </c>
      <c r="H1037" s="191" t="s">
        <v>609</v>
      </c>
      <c r="I1037" s="708"/>
      <c r="J1037" s="708"/>
      <c r="K1037" s="560">
        <v>361308</v>
      </c>
      <c r="L1037" s="192" t="s">
        <v>258</v>
      </c>
      <c r="M1037" s="192" t="s">
        <v>367</v>
      </c>
      <c r="N1037" s="52" t="str">
        <f>IF(AND('331-CT'!$E$7=TH!H1037,OR(L1037="331",M1037="331")),"331",IF(AND(OR(L1037="131",M1037="131"),H1037='131-CT'!$E$7),"131",""))</f>
        <v/>
      </c>
      <c r="O1037" s="818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52"/>
      <c r="AB1037" s="552"/>
      <c r="AC1037" s="552"/>
    </row>
    <row r="1038" spans="1:29" s="209" customFormat="1" ht="15.75" customHeight="1">
      <c r="A1038" s="202" t="str">
        <f>IF(B1038&lt;&gt;"",IF(AND(B1038&gt;=_TM1,B1038&lt;=_TM2,OR(TH!L1038="1111",TH!M1038="1111")),TH!D1038,""),"")</f>
        <v/>
      </c>
      <c r="B1038" s="36">
        <f t="shared" si="51"/>
        <v>6</v>
      </c>
      <c r="C1038" s="182">
        <f t="shared" si="52"/>
        <v>42522</v>
      </c>
      <c r="D1038" s="189" t="s">
        <v>1142</v>
      </c>
      <c r="E1038" s="189">
        <v>42522</v>
      </c>
      <c r="F1038" s="187" t="s">
        <v>438</v>
      </c>
      <c r="G1038" s="190" t="s">
        <v>577</v>
      </c>
      <c r="H1038" s="191" t="s">
        <v>417</v>
      </c>
      <c r="I1038" s="708">
        <v>220</v>
      </c>
      <c r="J1038" s="708">
        <v>7000</v>
      </c>
      <c r="K1038" s="38">
        <f>ROUND(I1038*J1038,0)</f>
        <v>1540000</v>
      </c>
      <c r="L1038" s="192" t="s">
        <v>258</v>
      </c>
      <c r="M1038" s="192" t="s">
        <v>173</v>
      </c>
      <c r="N1038" s="52" t="str">
        <f>IF(AND('331-CT'!$E$7=TH!H1038,OR(L1038="331",M1038="331")),"331",IF(AND(OR(L1038="131",M1038="131"),H1038='131-CT'!$E$7),"131",""))</f>
        <v/>
      </c>
      <c r="O1038" s="818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52"/>
      <c r="AB1038" s="552"/>
    </row>
    <row r="1039" spans="1:29" s="209" customFormat="1" ht="15.75" customHeight="1">
      <c r="A1039" s="202" t="str">
        <f>IF(B1039&lt;&gt;"",IF(AND(B1039&gt;=_TM1,B1039&lt;=_TM2,OR(TH!L1039="1111",TH!M1039="1111")),TH!D1039,""),"")</f>
        <v/>
      </c>
      <c r="B1039" s="36">
        <f t="shared" si="51"/>
        <v>6</v>
      </c>
      <c r="C1039" s="182">
        <f t="shared" si="52"/>
        <v>42522</v>
      </c>
      <c r="D1039" s="189" t="s">
        <v>1142</v>
      </c>
      <c r="E1039" s="189">
        <v>42522</v>
      </c>
      <c r="F1039" s="187" t="s">
        <v>1028</v>
      </c>
      <c r="G1039" s="190" t="s">
        <v>577</v>
      </c>
      <c r="H1039" s="191" t="s">
        <v>417</v>
      </c>
      <c r="I1039" s="708"/>
      <c r="J1039" s="708"/>
      <c r="K1039" s="560">
        <v>154000</v>
      </c>
      <c r="L1039" s="192" t="s">
        <v>258</v>
      </c>
      <c r="M1039" s="192" t="s">
        <v>367</v>
      </c>
      <c r="N1039" s="52" t="str">
        <f>IF(AND('331-CT'!$E$7=TH!H1039,OR(L1039="331",M1039="331")),"331",IF(AND(OR(L1039="131",M1039="131"),H1039='131-CT'!$E$7),"131",""))</f>
        <v/>
      </c>
      <c r="O1039" s="818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52"/>
      <c r="AB1039" s="552"/>
      <c r="AC1039" s="552"/>
    </row>
    <row r="1040" spans="1:29" s="209" customFormat="1" ht="15.75" customHeight="1">
      <c r="A1040" s="202" t="str">
        <f>IF(B1040&lt;&gt;"",IF(AND(B1040&gt;=_TM1,B1040&lt;=_TM2,OR(TH!L1040="1111",TH!M1040="1111")),TH!D1040,""),"")</f>
        <v/>
      </c>
      <c r="B1040" s="36">
        <f t="shared" si="51"/>
        <v>6</v>
      </c>
      <c r="C1040" s="182">
        <f t="shared" si="52"/>
        <v>42523</v>
      </c>
      <c r="D1040" s="182" t="s">
        <v>665</v>
      </c>
      <c r="E1040" s="189">
        <v>42523</v>
      </c>
      <c r="F1040" s="190" t="s">
        <v>666</v>
      </c>
      <c r="G1040" s="190" t="s">
        <v>330</v>
      </c>
      <c r="H1040" s="7" t="s">
        <v>780</v>
      </c>
      <c r="I1040" s="251"/>
      <c r="J1040" s="251"/>
      <c r="K1040" s="560">
        <v>18718590</v>
      </c>
      <c r="L1040" s="192" t="s">
        <v>24</v>
      </c>
      <c r="M1040" s="192" t="s">
        <v>258</v>
      </c>
      <c r="N1040" s="52" t="str">
        <f>IF(AND('331-CT'!$E$7=TH!H1040,OR(L1040="331",M1040="331")),"331",IF(AND(OR(L1040="131",M1040="131"),H1040='131-CT'!$E$7),"131",""))</f>
        <v/>
      </c>
      <c r="O1040" s="818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53"/>
      <c r="AB1040" s="552"/>
      <c r="AC1040" s="552"/>
    </row>
    <row r="1041" spans="1:29" s="209" customFormat="1" ht="15.75" customHeight="1">
      <c r="A1041" s="202" t="str">
        <f>IF(B1041&lt;&gt;"",IF(AND(B1041&gt;=_TM1,B1041&lt;=_TM2,OR(TH!L1041="1111",TH!M1041="1111")),TH!D1041,""),"")</f>
        <v/>
      </c>
      <c r="B1041" s="36">
        <f t="shared" si="51"/>
        <v>6</v>
      </c>
      <c r="C1041" s="182">
        <f t="shared" si="52"/>
        <v>42524</v>
      </c>
      <c r="D1041" s="182" t="s">
        <v>665</v>
      </c>
      <c r="E1041" s="189">
        <v>42524</v>
      </c>
      <c r="F1041" s="190" t="s">
        <v>666</v>
      </c>
      <c r="G1041" s="190" t="s">
        <v>330</v>
      </c>
      <c r="H1041" s="7" t="s">
        <v>797</v>
      </c>
      <c r="I1041" s="251"/>
      <c r="J1041" s="251"/>
      <c r="K1041" s="560">
        <v>12267860</v>
      </c>
      <c r="L1041" s="192" t="s">
        <v>24</v>
      </c>
      <c r="M1041" s="192" t="s">
        <v>258</v>
      </c>
      <c r="N1041" s="52" t="str">
        <f>IF(AND('331-CT'!$E$7=TH!H1041,OR(L1041="331",M1041="331")),"331",IF(AND(OR(L1041="131",M1041="131"),H1041='131-CT'!$E$7),"131",""))</f>
        <v/>
      </c>
      <c r="O1041" s="818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53"/>
      <c r="AB1041" s="552"/>
    </row>
    <row r="1042" spans="1:29" s="209" customFormat="1" ht="15.75" customHeight="1">
      <c r="A1042" s="202" t="str">
        <f>IF(B1042&lt;&gt;"",IF(AND(B1042&gt;=_TM1,B1042&lt;=_TM2,OR(TH!L1042="1111",TH!M1042="1111")),TH!D1042,""),"")</f>
        <v/>
      </c>
      <c r="B1042" s="36">
        <f t="shared" si="51"/>
        <v>6</v>
      </c>
      <c r="C1042" s="182">
        <f t="shared" si="52"/>
        <v>42525</v>
      </c>
      <c r="D1042" s="182" t="s">
        <v>665</v>
      </c>
      <c r="E1042" s="189">
        <v>42525</v>
      </c>
      <c r="F1042" s="190" t="s">
        <v>666</v>
      </c>
      <c r="G1042" s="190" t="s">
        <v>330</v>
      </c>
      <c r="H1042" s="191" t="s">
        <v>391</v>
      </c>
      <c r="I1042" s="252"/>
      <c r="J1042" s="252"/>
      <c r="K1042" s="560">
        <v>16802500</v>
      </c>
      <c r="L1042" s="192" t="s">
        <v>24</v>
      </c>
      <c r="M1042" s="192" t="s">
        <v>258</v>
      </c>
      <c r="N1042" s="52" t="str">
        <f>IF(AND('331-CT'!$E$7=TH!H1042,OR(L1042="331",M1042="331")),"331",IF(AND(OR(L1042="131",M1042="131"),H1042='131-CT'!$E$7),"131",""))</f>
        <v/>
      </c>
      <c r="O1042" s="818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53"/>
      <c r="AB1042" s="552"/>
      <c r="AC1042" s="552"/>
    </row>
    <row r="1043" spans="1:29" s="209" customFormat="1" ht="15.75" customHeight="1">
      <c r="A1043" s="202" t="str">
        <f>IF(B1043&lt;&gt;"",IF(AND(B1043&gt;=_TM1,B1043&lt;=_TM2,OR(TH!L1043="1111",TH!M1043="1111")),TH!D1043,""),"")</f>
        <v/>
      </c>
      <c r="B1043" s="36">
        <f t="shared" si="51"/>
        <v>6</v>
      </c>
      <c r="C1043" s="182">
        <f t="shared" si="52"/>
        <v>42527</v>
      </c>
      <c r="D1043" s="182" t="s">
        <v>1649</v>
      </c>
      <c r="E1043" s="189">
        <v>42527</v>
      </c>
      <c r="F1043" s="190" t="s">
        <v>668</v>
      </c>
      <c r="G1043" s="190" t="s">
        <v>330</v>
      </c>
      <c r="H1043" s="191" t="s">
        <v>782</v>
      </c>
      <c r="I1043" s="251"/>
      <c r="J1043" s="251"/>
      <c r="K1043" s="560">
        <v>31800000</v>
      </c>
      <c r="L1043" s="192" t="s">
        <v>24</v>
      </c>
      <c r="M1043" s="192" t="s">
        <v>47</v>
      </c>
      <c r="N1043" s="52" t="str">
        <f>IF(AND('331-CT'!$E$7=TH!H1043,OR(L1043="331",M1043="331")),"331",IF(AND(OR(L1043="131",M1043="131"),H1043='131-CT'!$E$7),"131",""))</f>
        <v/>
      </c>
      <c r="O1043" s="818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53"/>
      <c r="AB1043" s="552"/>
    </row>
    <row r="1044" spans="1:29" s="209" customFormat="1" ht="15.75" customHeight="1">
      <c r="A1044" s="202" t="str">
        <f>IF(B1044&lt;&gt;"",IF(AND(B1044&gt;=_TM1,B1044&lt;=_TM2,OR(TH!L1044="1111",TH!M1044="1111")),TH!D1044,""),"")</f>
        <v/>
      </c>
      <c r="B1044" s="36">
        <f t="shared" ref="B1044:B1107" si="54">IF(C1044&lt;&gt;"",MONTH(C1044),"")</f>
        <v>6</v>
      </c>
      <c r="C1044" s="182">
        <f t="shared" ref="C1044:C1107" si="55">E1044</f>
        <v>42527</v>
      </c>
      <c r="D1044" s="182" t="s">
        <v>669</v>
      </c>
      <c r="E1044" s="189">
        <v>42527</v>
      </c>
      <c r="F1044" s="190" t="s">
        <v>671</v>
      </c>
      <c r="G1044" s="190" t="s">
        <v>330</v>
      </c>
      <c r="H1044" s="7" t="s">
        <v>1452</v>
      </c>
      <c r="I1044" s="251"/>
      <c r="J1044" s="251"/>
      <c r="K1044" s="560">
        <v>10000000</v>
      </c>
      <c r="L1044" s="192" t="s">
        <v>8</v>
      </c>
      <c r="M1044" s="192" t="s">
        <v>24</v>
      </c>
      <c r="N1044" s="52" t="str">
        <f>IF(AND('331-CT'!$E$7=TH!H1044,OR(L1044="331",M1044="331")),"331",IF(AND(OR(L1044="131",M1044="131"),H1044='131-CT'!$E$7),"131",""))</f>
        <v/>
      </c>
      <c r="O1044" s="818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53"/>
      <c r="AB1044" s="552"/>
      <c r="AC1044" s="552"/>
    </row>
    <row r="1045" spans="1:29" s="209" customFormat="1" ht="15.75" customHeight="1">
      <c r="A1045" s="202" t="str">
        <f>IF(B1045&lt;&gt;"",IF(AND(B1045&gt;=_TM1,B1045&lt;=_TM2,OR(TH!L1045="1111",TH!M1045="1111")),TH!D1045,""),"")</f>
        <v/>
      </c>
      <c r="B1045" s="36">
        <f t="shared" si="54"/>
        <v>6</v>
      </c>
      <c r="C1045" s="182">
        <f t="shared" si="55"/>
        <v>42527</v>
      </c>
      <c r="D1045" s="182" t="s">
        <v>669</v>
      </c>
      <c r="E1045" s="189">
        <v>42527</v>
      </c>
      <c r="F1045" s="190" t="s">
        <v>672</v>
      </c>
      <c r="G1045" s="190" t="s">
        <v>330</v>
      </c>
      <c r="H1045" s="7"/>
      <c r="I1045" s="251"/>
      <c r="J1045" s="251"/>
      <c r="K1045" s="560">
        <v>9091</v>
      </c>
      <c r="L1045" s="192" t="s">
        <v>83</v>
      </c>
      <c r="M1045" s="192" t="s">
        <v>24</v>
      </c>
      <c r="N1045" s="52" t="str">
        <f>IF(AND('331-CT'!$E$7=TH!H1045,OR(L1045="331",M1045="331")),"331",IF(AND(OR(L1045="131",M1045="131"),H1045='131-CT'!$E$7),"131",""))</f>
        <v/>
      </c>
      <c r="O1045" s="818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>x</v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52">
        <v>2</v>
      </c>
      <c r="AB1045" s="552"/>
      <c r="AC1045" s="552"/>
    </row>
    <row r="1046" spans="1:29" s="209" customFormat="1" ht="15.75" customHeight="1">
      <c r="A1046" s="202" t="str">
        <f>IF(B1046&lt;&gt;"",IF(AND(B1046&gt;=_TM1,B1046&lt;=_TM2,OR(TH!L1046="1111",TH!M1046="1111")),TH!D1046,""),"")</f>
        <v/>
      </c>
      <c r="B1046" s="36">
        <f t="shared" si="54"/>
        <v>6</v>
      </c>
      <c r="C1046" s="182">
        <f t="shared" si="55"/>
        <v>42527</v>
      </c>
      <c r="D1046" s="182" t="s">
        <v>669</v>
      </c>
      <c r="E1046" s="189">
        <v>42527</v>
      </c>
      <c r="F1046" s="190" t="s">
        <v>762</v>
      </c>
      <c r="G1046" s="190" t="s">
        <v>330</v>
      </c>
      <c r="H1046" s="7"/>
      <c r="I1046" s="251"/>
      <c r="J1046" s="251"/>
      <c r="K1046" s="560">
        <v>909</v>
      </c>
      <c r="L1046" s="192" t="s">
        <v>9</v>
      </c>
      <c r="M1046" s="192" t="s">
        <v>24</v>
      </c>
      <c r="N1046" s="52" t="str">
        <f>IF(AND('331-CT'!$E$7=TH!H1046,OR(L1046="331",M1046="331")),"331",IF(AND(OR(L1046="131",M1046="131"),H1046='131-CT'!$E$7),"131",""))</f>
        <v/>
      </c>
      <c r="O1046" s="818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52">
        <v>2</v>
      </c>
      <c r="AB1046" s="552"/>
    </row>
    <row r="1047" spans="1:29" s="209" customFormat="1" ht="15.75" customHeight="1">
      <c r="A1047" s="202" t="str">
        <f>IF(B1047&lt;&gt;"",IF(AND(B1047&gt;=_TM1,B1047&lt;=_TM2,OR(TH!L1047="1111",TH!M1047="1111")),TH!D1047,""),"")</f>
        <v/>
      </c>
      <c r="B1047" s="36">
        <f t="shared" si="54"/>
        <v>6</v>
      </c>
      <c r="C1047" s="182">
        <f t="shared" si="55"/>
        <v>42527</v>
      </c>
      <c r="D1047" s="182" t="s">
        <v>669</v>
      </c>
      <c r="E1047" s="189">
        <v>42527</v>
      </c>
      <c r="F1047" s="190" t="s">
        <v>791</v>
      </c>
      <c r="G1047" s="190" t="s">
        <v>330</v>
      </c>
      <c r="H1047" s="7" t="s">
        <v>792</v>
      </c>
      <c r="I1047" s="251"/>
      <c r="J1047" s="251"/>
      <c r="K1047" s="560">
        <v>40700000</v>
      </c>
      <c r="L1047" s="192" t="s">
        <v>8</v>
      </c>
      <c r="M1047" s="192" t="s">
        <v>24</v>
      </c>
      <c r="N1047" s="52" t="str">
        <f>IF(AND('331-CT'!$E$7=TH!H1047,OR(L1047="331",M1047="331")),"331",IF(AND(OR(L1047="131",M1047="131"),H1047='131-CT'!$E$7),"131",""))</f>
        <v/>
      </c>
      <c r="O1047" s="818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53"/>
      <c r="AB1047" s="552"/>
      <c r="AC1047" s="552"/>
    </row>
    <row r="1048" spans="1:29" s="209" customFormat="1" ht="15.75" customHeight="1">
      <c r="A1048" s="202" t="str">
        <f>IF(B1048&lt;&gt;"",IF(AND(B1048&gt;=_TM1,B1048&lt;=_TM2,OR(TH!L1048="1111",TH!M1048="1111")),TH!D1048,""),"")</f>
        <v/>
      </c>
      <c r="B1048" s="36">
        <f t="shared" si="54"/>
        <v>6</v>
      </c>
      <c r="C1048" s="182">
        <f t="shared" si="55"/>
        <v>42527</v>
      </c>
      <c r="D1048" s="182" t="s">
        <v>669</v>
      </c>
      <c r="E1048" s="189">
        <v>42527</v>
      </c>
      <c r="F1048" s="190" t="s">
        <v>671</v>
      </c>
      <c r="G1048" s="190" t="s">
        <v>330</v>
      </c>
      <c r="H1048" s="7" t="s">
        <v>829</v>
      </c>
      <c r="I1048" s="251"/>
      <c r="J1048" s="251"/>
      <c r="K1048" s="560">
        <v>25000000</v>
      </c>
      <c r="L1048" s="192" t="s">
        <v>8</v>
      </c>
      <c r="M1048" s="192" t="s">
        <v>24</v>
      </c>
      <c r="N1048" s="52" t="str">
        <f>IF(AND('331-CT'!$E$7=TH!H1048,OR(L1048="331",M1048="331")),"331",IF(AND(OR(L1048="131",M1048="131"),H1048='131-CT'!$E$7),"131",""))</f>
        <v/>
      </c>
      <c r="O1048" s="818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53"/>
      <c r="AB1048" s="552"/>
      <c r="AC1048" s="552"/>
    </row>
    <row r="1049" spans="1:29" s="209" customFormat="1" ht="15.75" customHeight="1">
      <c r="A1049" s="202" t="str">
        <f>IF(B1049&lt;&gt;"",IF(AND(B1049&gt;=_TM1,B1049&lt;=_TM2,OR(TH!L1049="1111",TH!M1049="1111")),TH!D1049,""),"")</f>
        <v/>
      </c>
      <c r="B1049" s="36">
        <f t="shared" si="54"/>
        <v>6</v>
      </c>
      <c r="C1049" s="182">
        <f t="shared" si="55"/>
        <v>42527</v>
      </c>
      <c r="D1049" s="182" t="s">
        <v>669</v>
      </c>
      <c r="E1049" s="189">
        <v>42527</v>
      </c>
      <c r="F1049" s="190" t="s">
        <v>671</v>
      </c>
      <c r="G1049" s="190" t="s">
        <v>330</v>
      </c>
      <c r="H1049" s="7" t="s">
        <v>1453</v>
      </c>
      <c r="I1049" s="251"/>
      <c r="J1049" s="251"/>
      <c r="K1049" s="560">
        <v>10000000</v>
      </c>
      <c r="L1049" s="192" t="s">
        <v>8</v>
      </c>
      <c r="M1049" s="192" t="s">
        <v>24</v>
      </c>
      <c r="N1049" s="52" t="str">
        <f>IF(AND('331-CT'!$E$7=TH!H1049,OR(L1049="331",M1049="331")),"331",IF(AND(OR(L1049="131",M1049="131"),H1049='131-CT'!$E$7),"131",""))</f>
        <v/>
      </c>
      <c r="O1049" s="818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53"/>
      <c r="AB1049" s="552"/>
    </row>
    <row r="1050" spans="1:29" s="209" customFormat="1" ht="15.75" customHeight="1">
      <c r="A1050" s="202" t="str">
        <f>IF(B1050&lt;&gt;"",IF(AND(B1050&gt;=_TM1,B1050&lt;=_TM2,OR(TH!L1050="1111",TH!M1050="1111")),TH!D1050,""),"")</f>
        <v/>
      </c>
      <c r="B1050" s="36">
        <f t="shared" si="54"/>
        <v>6</v>
      </c>
      <c r="C1050" s="182">
        <f t="shared" si="55"/>
        <v>42527</v>
      </c>
      <c r="D1050" s="182" t="s">
        <v>669</v>
      </c>
      <c r="E1050" s="189">
        <v>42527</v>
      </c>
      <c r="F1050" s="187" t="s">
        <v>674</v>
      </c>
      <c r="G1050" s="190" t="s">
        <v>330</v>
      </c>
      <c r="H1050" s="7"/>
      <c r="I1050" s="251"/>
      <c r="J1050" s="251"/>
      <c r="K1050" s="560">
        <v>13636</v>
      </c>
      <c r="L1050" s="192" t="s">
        <v>83</v>
      </c>
      <c r="M1050" s="192" t="s">
        <v>24</v>
      </c>
      <c r="N1050" s="52" t="str">
        <f>IF(AND('331-CT'!$E$7=TH!H1050,OR(L1050="331",M1050="331")),"331",IF(AND(OR(L1050="131",M1050="131"),H1050='131-CT'!$E$7),"131",""))</f>
        <v/>
      </c>
      <c r="O1050" s="818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>x</v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52">
        <v>2</v>
      </c>
      <c r="AB1050" s="552"/>
      <c r="AC1050" s="552"/>
    </row>
    <row r="1051" spans="1:29" s="209" customFormat="1" ht="15.75" customHeight="1">
      <c r="A1051" s="202" t="str">
        <f>IF(B1051&lt;&gt;"",IF(AND(B1051&gt;=_TM1,B1051&lt;=_TM2,OR(TH!L1051="1111",TH!M1051="1111")),TH!D1051,""),"")</f>
        <v/>
      </c>
      <c r="B1051" s="36">
        <f t="shared" si="54"/>
        <v>6</v>
      </c>
      <c r="C1051" s="182">
        <f t="shared" si="55"/>
        <v>42527</v>
      </c>
      <c r="D1051" s="182" t="s">
        <v>669</v>
      </c>
      <c r="E1051" s="189">
        <v>42527</v>
      </c>
      <c r="F1051" s="187" t="s">
        <v>794</v>
      </c>
      <c r="G1051" s="190" t="s">
        <v>330</v>
      </c>
      <c r="H1051" s="7"/>
      <c r="I1051" s="251"/>
      <c r="J1051" s="251"/>
      <c r="K1051" s="560">
        <v>1364</v>
      </c>
      <c r="L1051" s="192" t="s">
        <v>9</v>
      </c>
      <c r="M1051" s="192" t="s">
        <v>24</v>
      </c>
      <c r="N1051" s="52" t="str">
        <f>IF(AND('331-CT'!$E$7=TH!H1051,OR(L1051="331",M1051="331")),"331",IF(AND(OR(L1051="131",M1051="131"),H1051='131-CT'!$E$7),"131",""))</f>
        <v/>
      </c>
      <c r="O1051" s="818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52">
        <v>2</v>
      </c>
      <c r="AB1051" s="552"/>
      <c r="AC1051" s="552"/>
    </row>
    <row r="1052" spans="1:29" s="209" customFormat="1" ht="15.75" customHeight="1">
      <c r="A1052" s="202" t="str">
        <f>IF(B1052&lt;&gt;"",IF(AND(B1052&gt;=_TM1,B1052&lt;=_TM2,OR(TH!L1052="1111",TH!M1052="1111")),TH!D1052,""),"")</f>
        <v/>
      </c>
      <c r="B1052" s="36">
        <f t="shared" si="54"/>
        <v>6</v>
      </c>
      <c r="C1052" s="182">
        <f t="shared" si="55"/>
        <v>42527</v>
      </c>
      <c r="D1052" s="182" t="s">
        <v>669</v>
      </c>
      <c r="E1052" s="189">
        <v>42527</v>
      </c>
      <c r="F1052" s="190" t="s">
        <v>672</v>
      </c>
      <c r="G1052" s="190" t="s">
        <v>330</v>
      </c>
      <c r="H1052" s="7"/>
      <c r="I1052" s="251"/>
      <c r="J1052" s="251"/>
      <c r="K1052" s="560">
        <v>13636</v>
      </c>
      <c r="L1052" s="192" t="s">
        <v>83</v>
      </c>
      <c r="M1052" s="192" t="s">
        <v>24</v>
      </c>
      <c r="N1052" s="52" t="str">
        <f>IF(AND('331-CT'!$E$7=TH!H1052,OR(L1052="331",M1052="331")),"331",IF(AND(OR(L1052="131",M1052="131"),H1052='131-CT'!$E$7),"131",""))</f>
        <v/>
      </c>
      <c r="O1052" s="818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>x</v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52">
        <v>2</v>
      </c>
      <c r="AB1052" s="552"/>
      <c r="AC1052" s="552"/>
    </row>
    <row r="1053" spans="1:29" s="209" customFormat="1" ht="15.75" customHeight="1">
      <c r="A1053" s="202" t="str">
        <f>IF(B1053&lt;&gt;"",IF(AND(B1053&gt;=_TM1,B1053&lt;=_TM2,OR(TH!L1053="1111",TH!M1053="1111")),TH!D1053,""),"")</f>
        <v/>
      </c>
      <c r="B1053" s="36">
        <f t="shared" si="54"/>
        <v>6</v>
      </c>
      <c r="C1053" s="182">
        <f t="shared" si="55"/>
        <v>42527</v>
      </c>
      <c r="D1053" s="182" t="s">
        <v>669</v>
      </c>
      <c r="E1053" s="189">
        <v>42527</v>
      </c>
      <c r="F1053" s="190" t="s">
        <v>762</v>
      </c>
      <c r="G1053" s="190" t="s">
        <v>330</v>
      </c>
      <c r="H1053" s="7"/>
      <c r="I1053" s="251"/>
      <c r="J1053" s="251"/>
      <c r="K1053" s="560">
        <v>1364</v>
      </c>
      <c r="L1053" s="192" t="s">
        <v>9</v>
      </c>
      <c r="M1053" s="192" t="s">
        <v>24</v>
      </c>
      <c r="N1053" s="52" t="str">
        <f>IF(AND('331-CT'!$E$7=TH!H1053,OR(L1053="331",M1053="331")),"331",IF(AND(OR(L1053="131",M1053="131"),H1053='131-CT'!$E$7),"131",""))</f>
        <v/>
      </c>
      <c r="O1053" s="818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52">
        <v>2</v>
      </c>
      <c r="AB1053" s="552"/>
      <c r="AC1053" s="552"/>
    </row>
    <row r="1054" spans="1:29" s="209" customFormat="1" ht="15.75" customHeight="1">
      <c r="A1054" s="202" t="str">
        <f>IF(B1054&lt;&gt;"",IF(AND(B1054&gt;=_TM1,B1054&lt;=_TM2,OR(TH!L1054="1111",TH!M1054="1111")),TH!D1054,""),"")</f>
        <v/>
      </c>
      <c r="B1054" s="36">
        <f t="shared" si="54"/>
        <v>6</v>
      </c>
      <c r="C1054" s="182">
        <f t="shared" si="55"/>
        <v>42527</v>
      </c>
      <c r="D1054" s="182" t="s">
        <v>669</v>
      </c>
      <c r="E1054" s="189">
        <v>42527</v>
      </c>
      <c r="F1054" s="190" t="s">
        <v>672</v>
      </c>
      <c r="G1054" s="190" t="s">
        <v>330</v>
      </c>
      <c r="H1054" s="7"/>
      <c r="I1054" s="251"/>
      <c r="J1054" s="251"/>
      <c r="K1054" s="560">
        <v>13636</v>
      </c>
      <c r="L1054" s="192" t="s">
        <v>83</v>
      </c>
      <c r="M1054" s="192" t="s">
        <v>24</v>
      </c>
      <c r="N1054" s="52" t="str">
        <f>IF(AND('331-CT'!$E$7=TH!H1054,OR(L1054="331",M1054="331")),"331",IF(AND(OR(L1054="131",M1054="131"),H1054='131-CT'!$E$7),"131",""))</f>
        <v/>
      </c>
      <c r="O1054" s="818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>x</v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52">
        <v>2</v>
      </c>
      <c r="AB1054" s="552"/>
    </row>
    <row r="1055" spans="1:29" s="209" customFormat="1" ht="15.75" customHeight="1">
      <c r="A1055" s="202" t="str">
        <f>IF(B1055&lt;&gt;"",IF(AND(B1055&gt;=_TM1,B1055&lt;=_TM2,OR(TH!L1055="1111",TH!M1055="1111")),TH!D1055,""),"")</f>
        <v/>
      </c>
      <c r="B1055" s="36">
        <f t="shared" si="54"/>
        <v>6</v>
      </c>
      <c r="C1055" s="182">
        <f t="shared" si="55"/>
        <v>42527</v>
      </c>
      <c r="D1055" s="182" t="s">
        <v>669</v>
      </c>
      <c r="E1055" s="189">
        <v>42527</v>
      </c>
      <c r="F1055" s="190" t="s">
        <v>762</v>
      </c>
      <c r="G1055" s="190" t="s">
        <v>330</v>
      </c>
      <c r="H1055" s="7"/>
      <c r="I1055" s="251"/>
      <c r="J1055" s="251"/>
      <c r="K1055" s="560">
        <v>1364</v>
      </c>
      <c r="L1055" s="192" t="s">
        <v>9</v>
      </c>
      <c r="M1055" s="192" t="s">
        <v>24</v>
      </c>
      <c r="N1055" s="52" t="str">
        <f>IF(AND('331-CT'!$E$7=TH!H1055,OR(L1055="331",M1055="331")),"331",IF(AND(OR(L1055="131",M1055="131"),H1055='131-CT'!$E$7),"131",""))</f>
        <v/>
      </c>
      <c r="O1055" s="818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52">
        <v>2</v>
      </c>
      <c r="AB1055" s="552"/>
      <c r="AC1055" s="552"/>
    </row>
    <row r="1056" spans="1:29" s="209" customFormat="1" ht="15.75" customHeight="1">
      <c r="A1056" s="202" t="str">
        <f>IF(B1056&lt;&gt;"",IF(AND(B1056&gt;=_TM1,B1056&lt;=_TM2,OR(TH!L1056="1111",TH!M1056="1111")),TH!D1056,""),"")</f>
        <v/>
      </c>
      <c r="B1056" s="36">
        <f t="shared" si="54"/>
        <v>6</v>
      </c>
      <c r="C1056" s="182">
        <f t="shared" si="55"/>
        <v>42527</v>
      </c>
      <c r="D1056" s="182" t="s">
        <v>669</v>
      </c>
      <c r="E1056" s="189">
        <v>42527</v>
      </c>
      <c r="F1056" s="190" t="s">
        <v>672</v>
      </c>
      <c r="G1056" s="190" t="s">
        <v>330</v>
      </c>
      <c r="H1056" s="7"/>
      <c r="I1056" s="251"/>
      <c r="J1056" s="251"/>
      <c r="K1056" s="560">
        <v>13636</v>
      </c>
      <c r="L1056" s="192" t="s">
        <v>83</v>
      </c>
      <c r="M1056" s="192" t="s">
        <v>24</v>
      </c>
      <c r="N1056" s="52" t="str">
        <f>IF(AND('331-CT'!$E$7=TH!H1056,OR(L1056="331",M1056="331")),"331",IF(AND(OR(L1056="131",M1056="131"),H1056='131-CT'!$E$7),"131",""))</f>
        <v/>
      </c>
      <c r="O1056" s="818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>x</v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52">
        <v>2</v>
      </c>
      <c r="AB1056" s="552"/>
      <c r="AC1056" s="552"/>
    </row>
    <row r="1057" spans="1:32" s="209" customFormat="1" ht="15.75" customHeight="1">
      <c r="A1057" s="202" t="str">
        <f>IF(B1057&lt;&gt;"",IF(AND(B1057&gt;=_TM1,B1057&lt;=_TM2,OR(TH!L1057="1111",TH!M1057="1111")),TH!D1057,""),"")</f>
        <v/>
      </c>
      <c r="B1057" s="36">
        <f t="shared" si="54"/>
        <v>6</v>
      </c>
      <c r="C1057" s="182">
        <f t="shared" si="55"/>
        <v>42527</v>
      </c>
      <c r="D1057" s="182" t="s">
        <v>669</v>
      </c>
      <c r="E1057" s="189">
        <v>42527</v>
      </c>
      <c r="F1057" s="190" t="s">
        <v>762</v>
      </c>
      <c r="G1057" s="190" t="s">
        <v>330</v>
      </c>
      <c r="H1057" s="7"/>
      <c r="I1057" s="251"/>
      <c r="J1057" s="251"/>
      <c r="K1057" s="560">
        <v>1364</v>
      </c>
      <c r="L1057" s="192" t="s">
        <v>9</v>
      </c>
      <c r="M1057" s="192" t="s">
        <v>24</v>
      </c>
      <c r="N1057" s="52" t="str">
        <f>IF(AND('331-CT'!$E$7=TH!H1057,OR(L1057="331",M1057="331")),"331",IF(AND(OR(L1057="131",M1057="131"),H1057='131-CT'!$E$7),"131",""))</f>
        <v/>
      </c>
      <c r="O1057" s="818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52">
        <v>2</v>
      </c>
      <c r="AB1057" s="552"/>
      <c r="AC1057" s="552"/>
    </row>
    <row r="1058" spans="1:32" s="209" customFormat="1" ht="15.75" customHeight="1">
      <c r="A1058" s="202" t="str">
        <f>IF(B1058&lt;&gt;"",IF(AND(B1058&gt;=_TM1,B1058&lt;=_TM2,OR(TH!L1058="1111",TH!M1058="1111")),TH!D1058,""),"")</f>
        <v/>
      </c>
      <c r="B1058" s="36">
        <f t="shared" si="54"/>
        <v>6</v>
      </c>
      <c r="C1058" s="182">
        <f t="shared" si="55"/>
        <v>42527</v>
      </c>
      <c r="D1058" s="189" t="s">
        <v>1183</v>
      </c>
      <c r="E1058" s="182">
        <v>42527</v>
      </c>
      <c r="F1058" s="187" t="s">
        <v>813</v>
      </c>
      <c r="G1058" s="451" t="s">
        <v>624</v>
      </c>
      <c r="H1058" s="712" t="s">
        <v>686</v>
      </c>
      <c r="I1058" s="251">
        <v>350</v>
      </c>
      <c r="J1058" s="251">
        <v>19545</v>
      </c>
      <c r="K1058" s="38">
        <f>ROUND(I1058*J1058,0)</f>
        <v>6840750</v>
      </c>
      <c r="L1058" s="192" t="s">
        <v>160</v>
      </c>
      <c r="M1058" s="192" t="s">
        <v>8</v>
      </c>
      <c r="N1058" s="52" t="str">
        <f>IF(AND('331-CT'!$E$7=TH!H1058,OR(L1058="331",M1058="331")),"331",IF(AND(OR(L1058="131",M1058="131"),H1058='131-CT'!$E$7),"131",""))</f>
        <v/>
      </c>
      <c r="O1058" s="818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52">
        <v>2</v>
      </c>
      <c r="AB1058" s="552"/>
      <c r="AC1058" s="209" t="str">
        <f>IF(VLOOKUP(H1058,DSKH,1,0)=H1058,"","x")</f>
        <v/>
      </c>
      <c r="AE1058" s="552"/>
      <c r="AF1058" s="552"/>
    </row>
    <row r="1059" spans="1:32" s="209" customFormat="1" ht="15.75" customHeight="1">
      <c r="A1059" s="202" t="str">
        <f>IF(B1059&lt;&gt;"",IF(AND(B1059&gt;=_TM1,B1059&lt;=_TM2,OR(TH!L1059="1111",TH!M1059="1111")),TH!D1059,""),"")</f>
        <v/>
      </c>
      <c r="B1059" s="36">
        <f t="shared" si="54"/>
        <v>6</v>
      </c>
      <c r="C1059" s="182">
        <f t="shared" si="55"/>
        <v>42527</v>
      </c>
      <c r="D1059" s="189" t="s">
        <v>1183</v>
      </c>
      <c r="E1059" s="182">
        <v>42527</v>
      </c>
      <c r="F1059" s="190" t="s">
        <v>814</v>
      </c>
      <c r="G1059" s="451" t="s">
        <v>624</v>
      </c>
      <c r="H1059" s="712" t="s">
        <v>686</v>
      </c>
      <c r="I1059" s="251"/>
      <c r="J1059" s="251"/>
      <c r="K1059" s="560">
        <v>684075</v>
      </c>
      <c r="L1059" s="192" t="s">
        <v>9</v>
      </c>
      <c r="M1059" s="192" t="s">
        <v>8</v>
      </c>
      <c r="N1059" s="52" t="str">
        <f>IF(AND('331-CT'!$E$7=TH!H1059,OR(L1059="331",M1059="331")),"331",IF(AND(OR(L1059="131",M1059="131"),H1059='131-CT'!$E$7),"131",""))</f>
        <v/>
      </c>
      <c r="O1059" s="818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52">
        <v>2</v>
      </c>
      <c r="AB1059" s="552"/>
      <c r="AC1059" s="209" t="str">
        <f>IF(VLOOKUP(H1059,DSKH,1,0)=H1059,"","x")</f>
        <v/>
      </c>
      <c r="AE1059" s="552"/>
      <c r="AF1059" s="552"/>
    </row>
    <row r="1060" spans="1:32" s="209" customFormat="1" ht="15.75" customHeight="1">
      <c r="A1060" s="202" t="str">
        <f>IF(B1060&lt;&gt;"",IF(AND(B1060&gt;=_TM1,B1060&lt;=_TM2,OR(TH!L1060="1111",TH!M1060="1111")),TH!D1060,""),"")</f>
        <v/>
      </c>
      <c r="B1060" s="36">
        <f t="shared" si="54"/>
        <v>6</v>
      </c>
      <c r="C1060" s="182">
        <f t="shared" si="55"/>
        <v>42527</v>
      </c>
      <c r="D1060" s="189" t="s">
        <v>1651</v>
      </c>
      <c r="E1060" s="182">
        <v>42527</v>
      </c>
      <c r="F1060" s="190" t="s">
        <v>815</v>
      </c>
      <c r="G1060" s="451" t="s">
        <v>624</v>
      </c>
      <c r="H1060" s="712" t="s">
        <v>686</v>
      </c>
      <c r="I1060" s="251"/>
      <c r="J1060" s="251"/>
      <c r="K1060" s="560">
        <v>7524825</v>
      </c>
      <c r="L1060" s="192" t="s">
        <v>8</v>
      </c>
      <c r="M1060" s="192" t="s">
        <v>47</v>
      </c>
      <c r="N1060" s="52" t="str">
        <f>IF(AND('331-CT'!$E$7=TH!H1060,OR(L1060="331",M1060="331")),"331",IF(AND(OR(L1060="131",M1060="131"),H1060='131-CT'!$E$7),"131",""))</f>
        <v/>
      </c>
      <c r="O1060" s="818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52"/>
      <c r="AB1060" s="552"/>
      <c r="AC1060" s="552"/>
      <c r="AE1060" s="552"/>
      <c r="AF1060" s="552"/>
    </row>
    <row r="1061" spans="1:32" s="209" customFormat="1" ht="15.75" customHeight="1">
      <c r="A1061" s="202" t="str">
        <f>IF(B1061&lt;&gt;"",IF(AND(B1061&gt;=_TM1,B1061&lt;=_TM2,OR(TH!L1061="1111",TH!M1061="1111")),TH!D1061,""),"")</f>
        <v/>
      </c>
      <c r="B1061" s="36">
        <f t="shared" si="54"/>
        <v>6</v>
      </c>
      <c r="C1061" s="182">
        <f t="shared" si="55"/>
        <v>42527</v>
      </c>
      <c r="D1061" s="189" t="s">
        <v>1184</v>
      </c>
      <c r="E1061" s="182">
        <v>42527</v>
      </c>
      <c r="F1061" s="190" t="s">
        <v>857</v>
      </c>
      <c r="G1061" s="451" t="s">
        <v>623</v>
      </c>
      <c r="H1061" s="7" t="s">
        <v>858</v>
      </c>
      <c r="I1061" s="251">
        <v>400</v>
      </c>
      <c r="J1061" s="251">
        <v>18000</v>
      </c>
      <c r="K1061" s="38">
        <f>ROUND(I1061*J1061,0)</f>
        <v>7200000</v>
      </c>
      <c r="L1061" s="192" t="s">
        <v>160</v>
      </c>
      <c r="M1061" s="192" t="s">
        <v>8</v>
      </c>
      <c r="N1061" s="52" t="str">
        <f>IF(AND('331-CT'!$E$7=TH!H1061,OR(L1061="331",M1061="331")),"331",IF(AND(OR(L1061="131",M1061="131"),H1061='131-CT'!$E$7),"131",""))</f>
        <v/>
      </c>
      <c r="O1061" s="818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52">
        <v>2</v>
      </c>
      <c r="AB1061" s="552"/>
      <c r="AC1061" s="209" t="str">
        <f>IF(VLOOKUP(H1061,DSKH,1,0)=H1061,"","x")</f>
        <v/>
      </c>
      <c r="AE1061" s="552"/>
      <c r="AF1061" s="552"/>
    </row>
    <row r="1062" spans="1:32" s="209" customFormat="1" ht="15.75" customHeight="1">
      <c r="A1062" s="202" t="str">
        <f>IF(B1062&lt;&gt;"",IF(AND(B1062&gt;=_TM1,B1062&lt;=_TM2,OR(TH!L1062="1111",TH!M1062="1111")),TH!D1062,""),"")</f>
        <v/>
      </c>
      <c r="B1062" s="36">
        <f t="shared" si="54"/>
        <v>6</v>
      </c>
      <c r="C1062" s="182">
        <f t="shared" si="55"/>
        <v>42527</v>
      </c>
      <c r="D1062" s="189" t="s">
        <v>1184</v>
      </c>
      <c r="E1062" s="182">
        <v>42527</v>
      </c>
      <c r="F1062" s="187" t="s">
        <v>859</v>
      </c>
      <c r="G1062" s="451" t="s">
        <v>623</v>
      </c>
      <c r="H1062" s="7" t="s">
        <v>858</v>
      </c>
      <c r="I1062" s="251"/>
      <c r="J1062" s="251"/>
      <c r="K1062" s="560">
        <v>720000</v>
      </c>
      <c r="L1062" s="192" t="s">
        <v>9</v>
      </c>
      <c r="M1062" s="192" t="s">
        <v>8</v>
      </c>
      <c r="N1062" s="52" t="str">
        <f>IF(AND('331-CT'!$E$7=TH!H1062,OR(L1062="331",M1062="331")),"331",IF(AND(OR(L1062="131",M1062="131"),H1062='131-CT'!$E$7),"131",""))</f>
        <v/>
      </c>
      <c r="O1062" s="818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52">
        <v>2</v>
      </c>
      <c r="AB1062" s="552"/>
      <c r="AC1062" s="209" t="str">
        <f>IF(VLOOKUP(H1062,DSKH,1,0)=H1062,"","x")</f>
        <v/>
      </c>
      <c r="AE1062" s="552"/>
      <c r="AF1062" s="552"/>
    </row>
    <row r="1063" spans="1:32" s="209" customFormat="1" ht="15.75" customHeight="1">
      <c r="A1063" s="202" t="str">
        <f>IF(B1063&lt;&gt;"",IF(AND(B1063&gt;=_TM1,B1063&lt;=_TM2,OR(TH!L1063="1111",TH!M1063="1111")),TH!D1063,""),"")</f>
        <v/>
      </c>
      <c r="B1063" s="36">
        <f t="shared" si="54"/>
        <v>6</v>
      </c>
      <c r="C1063" s="182">
        <f t="shared" si="55"/>
        <v>42527</v>
      </c>
      <c r="D1063" s="189" t="s">
        <v>1654</v>
      </c>
      <c r="E1063" s="182">
        <v>42527</v>
      </c>
      <c r="F1063" s="187" t="s">
        <v>860</v>
      </c>
      <c r="G1063" s="451" t="s">
        <v>623</v>
      </c>
      <c r="H1063" s="7" t="s">
        <v>858</v>
      </c>
      <c r="I1063" s="251"/>
      <c r="J1063" s="251"/>
      <c r="K1063" s="560">
        <v>7920000</v>
      </c>
      <c r="L1063" s="192" t="s">
        <v>8</v>
      </c>
      <c r="M1063" s="192" t="s">
        <v>47</v>
      </c>
      <c r="N1063" s="52" t="str">
        <f>IF(AND('331-CT'!$E$7=TH!H1063,OR(L1063="331",M1063="331")),"331",IF(AND(OR(L1063="131",M1063="131"),H1063='131-CT'!$E$7),"131",""))</f>
        <v/>
      </c>
      <c r="O1063" s="818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52"/>
      <c r="AB1063" s="552"/>
      <c r="AC1063" s="552"/>
      <c r="AE1063" s="552"/>
      <c r="AF1063" s="552"/>
    </row>
    <row r="1064" spans="1:32" s="209" customFormat="1" ht="15.75" customHeight="1">
      <c r="A1064" s="202" t="str">
        <f>IF(B1064&lt;&gt;"",IF(AND(B1064&gt;=_TM1,B1064&lt;=_TM2,OR(TH!L1064="1111",TH!M1064="1111")),TH!D1064,""),"")</f>
        <v/>
      </c>
      <c r="B1064" s="36">
        <f t="shared" si="54"/>
        <v>6</v>
      </c>
      <c r="C1064" s="182">
        <f t="shared" si="55"/>
        <v>42527</v>
      </c>
      <c r="D1064" s="189" t="s">
        <v>1143</v>
      </c>
      <c r="E1064" s="189">
        <v>42527</v>
      </c>
      <c r="F1064" s="190" t="s">
        <v>414</v>
      </c>
      <c r="G1064" s="190" t="s">
        <v>578</v>
      </c>
      <c r="H1064" s="7" t="s">
        <v>1043</v>
      </c>
      <c r="I1064" s="708">
        <v>780</v>
      </c>
      <c r="J1064" s="708">
        <v>5550</v>
      </c>
      <c r="K1064" s="38">
        <f>ROUND(I1064*J1064,0)</f>
        <v>4329000</v>
      </c>
      <c r="L1064" s="192" t="s">
        <v>258</v>
      </c>
      <c r="M1064" s="192" t="s">
        <v>173</v>
      </c>
      <c r="N1064" s="52" t="str">
        <f>IF(AND('331-CT'!$E$7=TH!H1064,OR(L1064="331",M1064="331")),"331",IF(AND(OR(L1064="131",M1064="131"),H1064='131-CT'!$E$7),"131",""))</f>
        <v/>
      </c>
      <c r="O1064" s="818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52"/>
      <c r="AB1064" s="552"/>
    </row>
    <row r="1065" spans="1:32" s="209" customFormat="1" ht="15.75" customHeight="1">
      <c r="A1065" s="202" t="str">
        <f>IF(B1065&lt;&gt;"",IF(AND(B1065&gt;=_TM1,B1065&lt;=_TM2,OR(TH!L1065="1111",TH!M1065="1111")),TH!D1065,""),"")</f>
        <v/>
      </c>
      <c r="B1065" s="36">
        <f t="shared" si="54"/>
        <v>6</v>
      </c>
      <c r="C1065" s="182">
        <f t="shared" si="55"/>
        <v>42527</v>
      </c>
      <c r="D1065" s="189" t="s">
        <v>1143</v>
      </c>
      <c r="E1065" s="189">
        <v>42527</v>
      </c>
      <c r="F1065" s="190" t="s">
        <v>1028</v>
      </c>
      <c r="G1065" s="190" t="s">
        <v>578</v>
      </c>
      <c r="H1065" s="7" t="s">
        <v>1043</v>
      </c>
      <c r="I1065" s="708"/>
      <c r="J1065" s="708"/>
      <c r="K1065" s="560">
        <v>432900</v>
      </c>
      <c r="L1065" s="192" t="s">
        <v>258</v>
      </c>
      <c r="M1065" s="192" t="s">
        <v>367</v>
      </c>
      <c r="N1065" s="52" t="str">
        <f>IF(AND('331-CT'!$E$7=TH!H1065,OR(L1065="331",M1065="331")),"331",IF(AND(OR(L1065="131",M1065="131"),H1065='131-CT'!$E$7),"131",""))</f>
        <v/>
      </c>
      <c r="O1065" s="818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52"/>
      <c r="AB1065" s="552"/>
      <c r="AC1065" s="552"/>
    </row>
    <row r="1066" spans="1:32" s="209" customFormat="1" ht="15.75" customHeight="1">
      <c r="A1066" s="202" t="str">
        <f>IF(B1066&lt;&gt;"",IF(AND(B1066&gt;=_TM1,B1066&lt;=_TM2,OR(TH!L1066="1111",TH!M1066="1111")),TH!D1066,""),"")</f>
        <v/>
      </c>
      <c r="B1066" s="36">
        <f t="shared" si="54"/>
        <v>6</v>
      </c>
      <c r="C1066" s="182">
        <f t="shared" si="55"/>
        <v>42527</v>
      </c>
      <c r="D1066" s="189" t="s">
        <v>1144</v>
      </c>
      <c r="E1066" s="189">
        <v>42527</v>
      </c>
      <c r="F1066" s="190" t="s">
        <v>646</v>
      </c>
      <c r="G1066" s="190" t="s">
        <v>579</v>
      </c>
      <c r="H1066" s="208" t="s">
        <v>501</v>
      </c>
      <c r="I1066" s="708">
        <v>2000</v>
      </c>
      <c r="J1066" s="708">
        <v>6950</v>
      </c>
      <c r="K1066" s="38">
        <f>ROUND(I1066*J1066,0)</f>
        <v>13900000</v>
      </c>
      <c r="L1066" s="192" t="s">
        <v>258</v>
      </c>
      <c r="M1066" s="192" t="s">
        <v>173</v>
      </c>
      <c r="N1066" s="52" t="str">
        <f>IF(AND('331-CT'!$E$7=TH!H1066,OR(L1066="331",M1066="331")),"331",IF(AND(OR(L1066="131",M1066="131"),H1066='131-CT'!$E$7),"131",""))</f>
        <v/>
      </c>
      <c r="O1066" s="818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52"/>
      <c r="AB1066" s="552"/>
    </row>
    <row r="1067" spans="1:32" s="209" customFormat="1" ht="15.75" customHeight="1">
      <c r="A1067" s="202" t="str">
        <f>IF(B1067&lt;&gt;"",IF(AND(B1067&gt;=_TM1,B1067&lt;=_TM2,OR(TH!L1067="1111",TH!M1067="1111")),TH!D1067,""),"")</f>
        <v/>
      </c>
      <c r="B1067" s="36">
        <f t="shared" si="54"/>
        <v>6</v>
      </c>
      <c r="C1067" s="182">
        <f t="shared" si="55"/>
        <v>42527</v>
      </c>
      <c r="D1067" s="189" t="s">
        <v>1144</v>
      </c>
      <c r="E1067" s="189">
        <v>42527</v>
      </c>
      <c r="F1067" s="187" t="s">
        <v>1028</v>
      </c>
      <c r="G1067" s="190" t="s">
        <v>579</v>
      </c>
      <c r="H1067" s="208" t="s">
        <v>501</v>
      </c>
      <c r="I1067" s="708"/>
      <c r="J1067" s="708"/>
      <c r="K1067" s="560">
        <v>1390000</v>
      </c>
      <c r="L1067" s="192" t="s">
        <v>258</v>
      </c>
      <c r="M1067" s="192" t="s">
        <v>367</v>
      </c>
      <c r="N1067" s="52" t="str">
        <f>IF(AND('331-CT'!$E$7=TH!H1067,OR(L1067="331",M1067="331")),"331",IF(AND(OR(L1067="131",M1067="131"),H1067='131-CT'!$E$7),"131",""))</f>
        <v/>
      </c>
      <c r="O1067" s="818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52"/>
      <c r="AB1067" s="552"/>
      <c r="AC1067" s="552"/>
    </row>
    <row r="1068" spans="1:32" s="209" customFormat="1" ht="15.75" customHeight="1">
      <c r="A1068" s="202" t="str">
        <f>IF(B1068&lt;&gt;"",IF(AND(B1068&gt;=_TM1,B1068&lt;=_TM2,OR(TH!L1068="1111",TH!M1068="1111")),TH!D1068,""),"")</f>
        <v/>
      </c>
      <c r="B1068" s="36">
        <f t="shared" si="54"/>
        <v>6</v>
      </c>
      <c r="C1068" s="182">
        <f t="shared" si="55"/>
        <v>42527</v>
      </c>
      <c r="D1068" s="189" t="s">
        <v>1145</v>
      </c>
      <c r="E1068" s="189">
        <v>42527</v>
      </c>
      <c r="F1068" s="190" t="s">
        <v>436</v>
      </c>
      <c r="G1068" s="190" t="s">
        <v>1051</v>
      </c>
      <c r="H1068" s="828" t="s">
        <v>565</v>
      </c>
      <c r="I1068" s="708">
        <v>517</v>
      </c>
      <c r="J1068" s="708">
        <v>5900</v>
      </c>
      <c r="K1068" s="38">
        <f>ROUND(I1068*J1068,0)</f>
        <v>3050300</v>
      </c>
      <c r="L1068" s="192" t="s">
        <v>258</v>
      </c>
      <c r="M1068" s="192" t="s">
        <v>173</v>
      </c>
      <c r="N1068" s="52" t="str">
        <f>IF(AND('331-CT'!$E$7=TH!H1068,OR(L1068="331",M1068="331")),"331",IF(AND(OR(L1068="131",M1068="131"),H1068='131-CT'!$E$7),"131",""))</f>
        <v/>
      </c>
      <c r="O1068" s="818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52"/>
      <c r="AB1068" s="552"/>
      <c r="AC1068" s="552"/>
    </row>
    <row r="1069" spans="1:32" s="209" customFormat="1" ht="15.75" customHeight="1">
      <c r="A1069" s="202" t="str">
        <f>IF(B1069&lt;&gt;"",IF(AND(B1069&gt;=_TM1,B1069&lt;=_TM2,OR(TH!L1069="1111",TH!M1069="1111")),TH!D1069,""),"")</f>
        <v/>
      </c>
      <c r="B1069" s="36">
        <f t="shared" si="54"/>
        <v>6</v>
      </c>
      <c r="C1069" s="182">
        <f t="shared" si="55"/>
        <v>42527</v>
      </c>
      <c r="D1069" s="189" t="s">
        <v>1145</v>
      </c>
      <c r="E1069" s="189">
        <v>42527</v>
      </c>
      <c r="F1069" s="190" t="s">
        <v>1028</v>
      </c>
      <c r="G1069" s="190" t="s">
        <v>1051</v>
      </c>
      <c r="H1069" s="828" t="s">
        <v>565</v>
      </c>
      <c r="I1069" s="708"/>
      <c r="J1069" s="708"/>
      <c r="K1069" s="560">
        <v>305030</v>
      </c>
      <c r="L1069" s="192" t="s">
        <v>258</v>
      </c>
      <c r="M1069" s="192" t="s">
        <v>367</v>
      </c>
      <c r="N1069" s="52" t="str">
        <f>IF(AND('331-CT'!$E$7=TH!H1069,OR(L1069="331",M1069="331")),"331",IF(AND(OR(L1069="131",M1069="131"),H1069='131-CT'!$E$7),"131",""))</f>
        <v/>
      </c>
      <c r="O1069" s="818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52"/>
      <c r="AB1069" s="552"/>
      <c r="AC1069" s="552"/>
    </row>
    <row r="1070" spans="1:32" s="209" customFormat="1" ht="15.75" customHeight="1">
      <c r="A1070" s="202" t="str">
        <f>IF(B1070&lt;&gt;"",IF(AND(B1070&gt;=_TM1,B1070&lt;=_TM2,OR(TH!L1070="1111",TH!M1070="1111")),TH!D1070,""),"")</f>
        <v/>
      </c>
      <c r="B1070" s="36">
        <f t="shared" si="54"/>
        <v>6</v>
      </c>
      <c r="C1070" s="182">
        <f t="shared" si="55"/>
        <v>42528</v>
      </c>
      <c r="D1070" s="182" t="s">
        <v>669</v>
      </c>
      <c r="E1070" s="182">
        <v>42528</v>
      </c>
      <c r="F1070" s="187" t="s">
        <v>1276</v>
      </c>
      <c r="G1070" s="448" t="s">
        <v>756</v>
      </c>
      <c r="H1070" s="191"/>
      <c r="I1070" s="251"/>
      <c r="J1070" s="251"/>
      <c r="K1070" s="560">
        <v>18000</v>
      </c>
      <c r="L1070" s="561" t="s">
        <v>83</v>
      </c>
      <c r="M1070" s="561" t="s">
        <v>24</v>
      </c>
      <c r="N1070" s="52" t="str">
        <f>IF(AND('331-CT'!$E$7=TH!H1070,OR(L1070="331",M1070="331")),"331",IF(AND(OR(L1070="131",M1070="131"),H1070='131-CT'!$E$7),"131",""))</f>
        <v/>
      </c>
      <c r="O1070" s="818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>x</v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52">
        <v>3</v>
      </c>
      <c r="AB1070" s="552"/>
      <c r="AC1070" s="552"/>
      <c r="AD1070" s="552"/>
      <c r="AE1070" s="552"/>
      <c r="AF1070" s="552"/>
    </row>
    <row r="1071" spans="1:32" s="209" customFormat="1" ht="15.75" customHeight="1">
      <c r="A1071" s="202" t="str">
        <f>IF(B1071&lt;&gt;"",IF(AND(B1071&gt;=_TM1,B1071&lt;=_TM2,OR(TH!L1071="1111",TH!M1071="1111")),TH!D1071,""),"")</f>
        <v/>
      </c>
      <c r="B1071" s="36">
        <f t="shared" si="54"/>
        <v>6</v>
      </c>
      <c r="C1071" s="182">
        <f t="shared" si="55"/>
        <v>42528</v>
      </c>
      <c r="D1071" s="182" t="s">
        <v>669</v>
      </c>
      <c r="E1071" s="182">
        <v>42528</v>
      </c>
      <c r="F1071" s="187" t="s">
        <v>1277</v>
      </c>
      <c r="G1071" s="448" t="s">
        <v>756</v>
      </c>
      <c r="H1071" s="191"/>
      <c r="I1071" s="251"/>
      <c r="J1071" s="251"/>
      <c r="K1071" s="560">
        <v>1800</v>
      </c>
      <c r="L1071" s="561" t="s">
        <v>9</v>
      </c>
      <c r="M1071" s="561" t="s">
        <v>24</v>
      </c>
      <c r="N1071" s="52" t="str">
        <f>IF(AND('331-CT'!$E$7=TH!H1071,OR(L1071="331",M1071="331")),"331",IF(AND(OR(L1071="131",M1071="131"),H1071='131-CT'!$E$7),"131",""))</f>
        <v/>
      </c>
      <c r="O1071" s="818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52">
        <v>3</v>
      </c>
      <c r="AB1071" s="552"/>
      <c r="AC1071" s="552"/>
      <c r="AD1071" s="552"/>
      <c r="AE1071" s="552"/>
      <c r="AF1071" s="552"/>
    </row>
    <row r="1072" spans="1:32" s="209" customFormat="1" ht="15.75" customHeight="1">
      <c r="A1072" s="202" t="str">
        <f>IF(B1072&lt;&gt;"",IF(AND(B1072&gt;=_TM1,B1072&lt;=_TM2,OR(TH!L1072="1111",TH!M1072="1111")),TH!D1072,""),"")</f>
        <v/>
      </c>
      <c r="B1072" s="36">
        <f t="shared" si="54"/>
        <v>6</v>
      </c>
      <c r="C1072" s="182">
        <f t="shared" si="55"/>
        <v>42528</v>
      </c>
      <c r="D1072" s="189" t="s">
        <v>1146</v>
      </c>
      <c r="E1072" s="189">
        <v>42528</v>
      </c>
      <c r="F1072" s="286" t="s">
        <v>627</v>
      </c>
      <c r="G1072" s="190" t="s">
        <v>580</v>
      </c>
      <c r="H1072" s="7" t="s">
        <v>399</v>
      </c>
      <c r="I1072" s="708">
        <v>308</v>
      </c>
      <c r="J1072" s="708">
        <v>8800</v>
      </c>
      <c r="K1072" s="38">
        <f>ROUND(I1072*J1072,0)</f>
        <v>2710400</v>
      </c>
      <c r="L1072" s="192" t="s">
        <v>258</v>
      </c>
      <c r="M1072" s="192" t="s">
        <v>173</v>
      </c>
      <c r="N1072" s="52" t="str">
        <f>IF(AND('331-CT'!$E$7=TH!H1072,OR(L1072="331",M1072="331")),"331",IF(AND(OR(L1072="131",M1072="131"),H1072='131-CT'!$E$7),"131",""))</f>
        <v/>
      </c>
      <c r="O1072" s="818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52"/>
      <c r="AB1072" s="552"/>
    </row>
    <row r="1073" spans="1:29" s="209" customFormat="1" ht="15.75" customHeight="1">
      <c r="A1073" s="202" t="str">
        <f>IF(B1073&lt;&gt;"",IF(AND(B1073&gt;=_TM1,B1073&lt;=_TM2,OR(TH!L1073="1111",TH!M1073="1111")),TH!D1073,""),"")</f>
        <v/>
      </c>
      <c r="B1073" s="36">
        <f t="shared" si="54"/>
        <v>6</v>
      </c>
      <c r="C1073" s="182">
        <f t="shared" si="55"/>
        <v>42528</v>
      </c>
      <c r="D1073" s="189" t="s">
        <v>1146</v>
      </c>
      <c r="E1073" s="189">
        <v>42528</v>
      </c>
      <c r="F1073" s="286" t="s">
        <v>400</v>
      </c>
      <c r="G1073" s="190" t="s">
        <v>580</v>
      </c>
      <c r="H1073" s="7" t="s">
        <v>399</v>
      </c>
      <c r="I1073" s="708">
        <v>308</v>
      </c>
      <c r="J1073" s="708">
        <v>10000</v>
      </c>
      <c r="K1073" s="38">
        <f>ROUND(I1073*J1073,0)</f>
        <v>3080000</v>
      </c>
      <c r="L1073" s="192" t="s">
        <v>258</v>
      </c>
      <c r="M1073" s="192" t="s">
        <v>173</v>
      </c>
      <c r="N1073" s="52" t="str">
        <f>IF(AND('331-CT'!$E$7=TH!H1073,OR(L1073="331",M1073="331")),"331",IF(AND(OR(L1073="131",M1073="131"),H1073='131-CT'!$E$7),"131",""))</f>
        <v/>
      </c>
      <c r="O1073" s="818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52"/>
      <c r="AB1073" s="552"/>
      <c r="AC1073" s="552"/>
    </row>
    <row r="1074" spans="1:29" s="209" customFormat="1" ht="15.75" customHeight="1">
      <c r="A1074" s="202" t="str">
        <f>IF(B1074&lt;&gt;"",IF(AND(B1074&gt;=_TM1,B1074&lt;=_TM2,OR(TH!L1074="1111",TH!M1074="1111")),TH!D1074,""),"")</f>
        <v/>
      </c>
      <c r="B1074" s="36">
        <f t="shared" si="54"/>
        <v>6</v>
      </c>
      <c r="C1074" s="182">
        <f t="shared" si="55"/>
        <v>42528</v>
      </c>
      <c r="D1074" s="189" t="s">
        <v>1146</v>
      </c>
      <c r="E1074" s="189">
        <v>42528</v>
      </c>
      <c r="F1074" s="286" t="s">
        <v>1028</v>
      </c>
      <c r="G1074" s="190" t="s">
        <v>580</v>
      </c>
      <c r="H1074" s="7" t="s">
        <v>399</v>
      </c>
      <c r="I1074" s="708"/>
      <c r="J1074" s="708"/>
      <c r="K1074" s="560">
        <v>579040</v>
      </c>
      <c r="L1074" s="192" t="s">
        <v>258</v>
      </c>
      <c r="M1074" s="192" t="s">
        <v>367</v>
      </c>
      <c r="N1074" s="52" t="str">
        <f>IF(AND('331-CT'!$E$7=TH!H1074,OR(L1074="331",M1074="331")),"331",IF(AND(OR(L1074="131",M1074="131"),H1074='131-CT'!$E$7),"131",""))</f>
        <v/>
      </c>
      <c r="O1074" s="818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52"/>
      <c r="AB1074" s="552"/>
    </row>
    <row r="1075" spans="1:29" s="209" customFormat="1" ht="15.75" customHeight="1">
      <c r="A1075" s="202" t="str">
        <f>IF(B1075&lt;&gt;"",IF(AND(B1075&gt;=_TM1,B1075&lt;=_TM2,OR(TH!L1075="1111",TH!M1075="1111")),TH!D1075,""),"")</f>
        <v/>
      </c>
      <c r="B1075" s="36">
        <f t="shared" si="54"/>
        <v>6</v>
      </c>
      <c r="C1075" s="182">
        <f t="shared" si="55"/>
        <v>42529</v>
      </c>
      <c r="D1075" s="189" t="s">
        <v>1147</v>
      </c>
      <c r="E1075" s="189">
        <v>42529</v>
      </c>
      <c r="F1075" s="190" t="s">
        <v>436</v>
      </c>
      <c r="G1075" s="190" t="s">
        <v>581</v>
      </c>
      <c r="H1075" s="828" t="s">
        <v>565</v>
      </c>
      <c r="I1075" s="708">
        <v>1023</v>
      </c>
      <c r="J1075" s="708">
        <v>5900</v>
      </c>
      <c r="K1075" s="38">
        <f>ROUND(I1075*J1075,0)</f>
        <v>6035700</v>
      </c>
      <c r="L1075" s="192" t="s">
        <v>258</v>
      </c>
      <c r="M1075" s="192" t="s">
        <v>173</v>
      </c>
      <c r="N1075" s="52" t="str">
        <f>IF(AND('331-CT'!$E$7=TH!H1075,OR(L1075="331",M1075="331")),"331",IF(AND(OR(L1075="131",M1075="131"),H1075='131-CT'!$E$7),"131",""))</f>
        <v/>
      </c>
      <c r="O1075" s="818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52"/>
      <c r="AB1075" s="552"/>
      <c r="AC1075" s="552"/>
    </row>
    <row r="1076" spans="1:29" s="209" customFormat="1" ht="15.75" customHeight="1">
      <c r="A1076" s="202" t="str">
        <f>IF(B1076&lt;&gt;"",IF(AND(B1076&gt;=_TM1,B1076&lt;=_TM2,OR(TH!L1076="1111",TH!M1076="1111")),TH!D1076,""),"")</f>
        <v/>
      </c>
      <c r="B1076" s="36">
        <f t="shared" si="54"/>
        <v>6</v>
      </c>
      <c r="C1076" s="182">
        <f t="shared" si="55"/>
        <v>42529</v>
      </c>
      <c r="D1076" s="189" t="s">
        <v>1147</v>
      </c>
      <c r="E1076" s="189">
        <v>42529</v>
      </c>
      <c r="F1076" s="187" t="s">
        <v>1028</v>
      </c>
      <c r="G1076" s="190" t="s">
        <v>581</v>
      </c>
      <c r="H1076" s="828" t="s">
        <v>565</v>
      </c>
      <c r="I1076" s="708"/>
      <c r="J1076" s="251"/>
      <c r="K1076" s="560">
        <v>603570</v>
      </c>
      <c r="L1076" s="192" t="s">
        <v>258</v>
      </c>
      <c r="M1076" s="192" t="s">
        <v>367</v>
      </c>
      <c r="N1076" s="52" t="str">
        <f>IF(AND('331-CT'!$E$7=TH!H1076,OR(L1076="331",M1076="331")),"331",IF(AND(OR(L1076="131",M1076="131"),H1076='131-CT'!$E$7),"131",""))</f>
        <v/>
      </c>
      <c r="O1076" s="818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52"/>
      <c r="AB1076" s="552"/>
    </row>
    <row r="1077" spans="1:29" s="209" customFormat="1" ht="15.75" customHeight="1">
      <c r="A1077" s="202" t="str">
        <f>IF(B1077&lt;&gt;"",IF(AND(B1077&gt;=_TM1,B1077&lt;=_TM2,OR(TH!L1077="1111",TH!M1077="1111")),TH!D1077,""),"")</f>
        <v/>
      </c>
      <c r="B1077" s="36">
        <f t="shared" si="54"/>
        <v>6</v>
      </c>
      <c r="C1077" s="182">
        <f t="shared" si="55"/>
        <v>42530</v>
      </c>
      <c r="D1077" s="189" t="s">
        <v>1148</v>
      </c>
      <c r="E1077" s="781">
        <v>42530</v>
      </c>
      <c r="F1077" s="782" t="s">
        <v>1052</v>
      </c>
      <c r="G1077" s="782" t="s">
        <v>582</v>
      </c>
      <c r="H1077" s="784" t="s">
        <v>1053</v>
      </c>
      <c r="I1077" s="854">
        <v>1010</v>
      </c>
      <c r="J1077" s="854">
        <v>13800</v>
      </c>
      <c r="K1077" s="38">
        <f>ROUND(I1077*J1077,0)</f>
        <v>13938000</v>
      </c>
      <c r="L1077" s="836" t="s">
        <v>258</v>
      </c>
      <c r="M1077" s="192" t="s">
        <v>173</v>
      </c>
      <c r="N1077" s="52" t="str">
        <f>IF(AND('331-CT'!$E$7=TH!H1077,OR(L1077="331",M1077="331")),"331",IF(AND(OR(L1077="131",M1077="131"),H1077='131-CT'!$E$7),"131",""))</f>
        <v/>
      </c>
      <c r="O1077" s="818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52"/>
      <c r="AB1077" s="552"/>
      <c r="AC1077" s="552"/>
    </row>
    <row r="1078" spans="1:29" s="209" customFormat="1" ht="15.75" customHeight="1">
      <c r="A1078" s="202" t="str">
        <f>IF(B1078&lt;&gt;"",IF(AND(B1078&gt;=_TM1,B1078&lt;=_TM2,OR(TH!L1078="1111",TH!M1078="1111")),TH!D1078,""),"")</f>
        <v/>
      </c>
      <c r="B1078" s="36">
        <f t="shared" si="54"/>
        <v>6</v>
      </c>
      <c r="C1078" s="182">
        <f t="shared" si="55"/>
        <v>42530</v>
      </c>
      <c r="D1078" s="189" t="s">
        <v>1148</v>
      </c>
      <c r="E1078" s="781">
        <v>42530</v>
      </c>
      <c r="F1078" s="789" t="s">
        <v>645</v>
      </c>
      <c r="G1078" s="782" t="s">
        <v>582</v>
      </c>
      <c r="H1078" s="784" t="s">
        <v>1053</v>
      </c>
      <c r="I1078" s="854">
        <v>50</v>
      </c>
      <c r="J1078" s="854">
        <v>13400</v>
      </c>
      <c r="K1078" s="38">
        <f>ROUND(I1078*J1078,0)</f>
        <v>670000</v>
      </c>
      <c r="L1078" s="836" t="s">
        <v>258</v>
      </c>
      <c r="M1078" s="192" t="s">
        <v>173</v>
      </c>
      <c r="N1078" s="52" t="str">
        <f>IF(AND('331-CT'!$E$7=TH!H1078,OR(L1078="331",M1078="331")),"331",IF(AND(OR(L1078="131",M1078="131"),H1078='131-CT'!$E$7),"131",""))</f>
        <v/>
      </c>
      <c r="O1078" s="818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52"/>
      <c r="AB1078" s="552"/>
    </row>
    <row r="1079" spans="1:29" s="209" customFormat="1" ht="15.75" customHeight="1">
      <c r="A1079" s="202" t="str">
        <f>IF(B1079&lt;&gt;"",IF(AND(B1079&gt;=_TM1,B1079&lt;=_TM2,OR(TH!L1079="1111",TH!M1079="1111")),TH!D1079,""),"")</f>
        <v/>
      </c>
      <c r="B1079" s="36">
        <f t="shared" si="54"/>
        <v>6</v>
      </c>
      <c r="C1079" s="182">
        <f t="shared" si="55"/>
        <v>42530</v>
      </c>
      <c r="D1079" s="189" t="s">
        <v>1148</v>
      </c>
      <c r="E1079" s="781">
        <v>42530</v>
      </c>
      <c r="F1079" s="187" t="s">
        <v>693</v>
      </c>
      <c r="G1079" s="782" t="s">
        <v>582</v>
      </c>
      <c r="H1079" s="784" t="s">
        <v>1053</v>
      </c>
      <c r="I1079" s="854">
        <v>2120</v>
      </c>
      <c r="J1079" s="854">
        <v>1300</v>
      </c>
      <c r="K1079" s="38">
        <f>ROUND(I1079*J1079,0)</f>
        <v>2756000</v>
      </c>
      <c r="L1079" s="836" t="s">
        <v>258</v>
      </c>
      <c r="M1079" s="192" t="s">
        <v>173</v>
      </c>
      <c r="N1079" s="52" t="str">
        <f>IF(AND('331-CT'!$E$7=TH!H1079,OR(L1079="331",M1079="331")),"331",IF(AND(OR(L1079="131",M1079="131"),H1079='131-CT'!$E$7),"131",""))</f>
        <v/>
      </c>
      <c r="O1079" s="818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52"/>
      <c r="AB1079" s="552"/>
      <c r="AC1079" s="552"/>
    </row>
    <row r="1080" spans="1:29" s="209" customFormat="1" ht="15.75" customHeight="1">
      <c r="A1080" s="202" t="str">
        <f>IF(B1080&lt;&gt;"",IF(AND(B1080&gt;=_TM1,B1080&lt;=_TM2,OR(TH!L1080="1111",TH!M1080="1111")),TH!D1080,""),"")</f>
        <v/>
      </c>
      <c r="B1080" s="36">
        <f t="shared" si="54"/>
        <v>6</v>
      </c>
      <c r="C1080" s="182">
        <f t="shared" si="55"/>
        <v>42530</v>
      </c>
      <c r="D1080" s="189" t="s">
        <v>1148</v>
      </c>
      <c r="E1080" s="781">
        <v>42530</v>
      </c>
      <c r="F1080" s="782" t="s">
        <v>1028</v>
      </c>
      <c r="G1080" s="782" t="s">
        <v>582</v>
      </c>
      <c r="H1080" s="784" t="s">
        <v>1053</v>
      </c>
      <c r="I1080" s="854"/>
      <c r="J1080" s="854"/>
      <c r="K1080" s="786">
        <v>1736400</v>
      </c>
      <c r="L1080" s="836" t="s">
        <v>258</v>
      </c>
      <c r="M1080" s="192" t="s">
        <v>367</v>
      </c>
      <c r="N1080" s="52" t="str">
        <f>IF(AND('331-CT'!$E$7=TH!H1080,OR(L1080="331",M1080="331")),"331",IF(AND(OR(L1080="131",M1080="131"),H1080='131-CT'!$E$7),"131",""))</f>
        <v/>
      </c>
      <c r="O1080" s="818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52"/>
      <c r="AB1080" s="552"/>
      <c r="AC1080" s="552"/>
    </row>
    <row r="1081" spans="1:29" s="209" customFormat="1" ht="15.75" customHeight="1">
      <c r="A1081" s="202" t="str">
        <f>IF(B1081&lt;&gt;"",IF(AND(B1081&gt;=_TM1,B1081&lt;=_TM2,OR(TH!L1081="1111",TH!M1081="1111")),TH!D1081,""),"")</f>
        <v/>
      </c>
      <c r="B1081" s="36">
        <f t="shared" si="54"/>
        <v>6</v>
      </c>
      <c r="C1081" s="182">
        <f t="shared" si="55"/>
        <v>42530</v>
      </c>
      <c r="D1081" s="189" t="s">
        <v>1149</v>
      </c>
      <c r="E1081" s="189">
        <v>42530</v>
      </c>
      <c r="F1081" s="286" t="s">
        <v>1029</v>
      </c>
      <c r="G1081" s="190" t="s">
        <v>583</v>
      </c>
      <c r="H1081" s="7" t="s">
        <v>780</v>
      </c>
      <c r="I1081" s="708">
        <v>490</v>
      </c>
      <c r="J1081" s="251">
        <v>6700</v>
      </c>
      <c r="K1081" s="38">
        <f>ROUND(I1081*J1081,0)</f>
        <v>3283000</v>
      </c>
      <c r="L1081" s="192" t="s">
        <v>258</v>
      </c>
      <c r="M1081" s="192" t="s">
        <v>173</v>
      </c>
      <c r="N1081" s="52" t="str">
        <f>IF(AND('331-CT'!$E$7=TH!H1081,OR(L1081="331",M1081="331")),"331",IF(AND(OR(L1081="131",M1081="131"),H1081='131-CT'!$E$7),"131",""))</f>
        <v/>
      </c>
      <c r="O1081" s="818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52"/>
      <c r="AB1081" s="552"/>
      <c r="AC1081" s="552"/>
    </row>
    <row r="1082" spans="1:29" s="209" customFormat="1" ht="15.75" customHeight="1">
      <c r="A1082" s="202" t="str">
        <f>IF(B1082&lt;&gt;"",IF(AND(B1082&gt;=_TM1,B1082&lt;=_TM2,OR(TH!L1082="1111",TH!M1082="1111")),TH!D1082,""),"")</f>
        <v/>
      </c>
      <c r="B1082" s="36">
        <f t="shared" si="54"/>
        <v>6</v>
      </c>
      <c r="C1082" s="182">
        <f t="shared" si="55"/>
        <v>42530</v>
      </c>
      <c r="D1082" s="189" t="s">
        <v>1149</v>
      </c>
      <c r="E1082" s="189">
        <v>42530</v>
      </c>
      <c r="F1082" s="187" t="s">
        <v>1054</v>
      </c>
      <c r="G1082" s="190" t="s">
        <v>583</v>
      </c>
      <c r="H1082" s="7" t="s">
        <v>780</v>
      </c>
      <c r="I1082" s="708">
        <v>510</v>
      </c>
      <c r="J1082" s="708">
        <v>7700</v>
      </c>
      <c r="K1082" s="38">
        <f>ROUND(I1082*J1082,0)</f>
        <v>3927000</v>
      </c>
      <c r="L1082" s="192" t="s">
        <v>258</v>
      </c>
      <c r="M1082" s="192" t="s">
        <v>173</v>
      </c>
      <c r="N1082" s="52" t="str">
        <f>IF(AND('331-CT'!$E$7=TH!H1082,OR(L1082="331",M1082="331")),"331",IF(AND(OR(L1082="131",M1082="131"),H1082='131-CT'!$E$7),"131",""))</f>
        <v/>
      </c>
      <c r="O1082" s="818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52"/>
      <c r="AB1082" s="552"/>
      <c r="AC1082" s="552"/>
    </row>
    <row r="1083" spans="1:29" s="209" customFormat="1" ht="15.75" customHeight="1">
      <c r="A1083" s="202" t="str">
        <f>IF(B1083&lt;&gt;"",IF(AND(B1083&gt;=_TM1,B1083&lt;=_TM2,OR(TH!L1083="1111",TH!M1083="1111")),TH!D1083,""),"")</f>
        <v/>
      </c>
      <c r="B1083" s="36">
        <f t="shared" si="54"/>
        <v>6</v>
      </c>
      <c r="C1083" s="182">
        <f t="shared" si="55"/>
        <v>42530</v>
      </c>
      <c r="D1083" s="189" t="s">
        <v>1149</v>
      </c>
      <c r="E1083" s="189">
        <v>42530</v>
      </c>
      <c r="F1083" s="187" t="s">
        <v>1028</v>
      </c>
      <c r="G1083" s="190" t="s">
        <v>583</v>
      </c>
      <c r="H1083" s="7" t="s">
        <v>780</v>
      </c>
      <c r="I1083" s="708"/>
      <c r="J1083" s="708"/>
      <c r="K1083" s="560">
        <v>721000</v>
      </c>
      <c r="L1083" s="192" t="s">
        <v>258</v>
      </c>
      <c r="M1083" s="192" t="s">
        <v>367</v>
      </c>
      <c r="N1083" s="52" t="str">
        <f>IF(AND('331-CT'!$E$7=TH!H1083,OR(L1083="331",M1083="331")),"331",IF(AND(OR(L1083="131",M1083="131"),H1083='131-CT'!$E$7),"131",""))</f>
        <v/>
      </c>
      <c r="O1083" s="818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52"/>
      <c r="AB1083" s="552"/>
      <c r="AC1083" s="552"/>
    </row>
    <row r="1084" spans="1:29" s="209" customFormat="1" ht="15.75" customHeight="1">
      <c r="A1084" s="202" t="str">
        <f>IF(B1084&lt;&gt;"",IF(AND(B1084&gt;=_TM1,B1084&lt;=_TM2,OR(TH!L1084="1111",TH!M1084="1111")),TH!D1084,""),"")</f>
        <v/>
      </c>
      <c r="B1084" s="36">
        <f t="shared" si="54"/>
        <v>6</v>
      </c>
      <c r="C1084" s="182">
        <f t="shared" si="55"/>
        <v>42530</v>
      </c>
      <c r="D1084" s="182" t="s">
        <v>1657</v>
      </c>
      <c r="E1084" s="189">
        <v>42530</v>
      </c>
      <c r="F1084" s="40" t="s">
        <v>666</v>
      </c>
      <c r="G1084" s="451" t="s">
        <v>1588</v>
      </c>
      <c r="H1084" s="7" t="s">
        <v>1589</v>
      </c>
      <c r="I1084" s="252"/>
      <c r="J1084" s="252"/>
      <c r="K1084" s="560">
        <v>5368000</v>
      </c>
      <c r="L1084" s="561" t="s">
        <v>47</v>
      </c>
      <c r="M1084" s="561" t="s">
        <v>258</v>
      </c>
      <c r="N1084" s="52" t="str">
        <f>IF(AND('331-CT'!$E$7=TH!H1084,OR(L1084="331",M1084="331")),"331",IF(AND(OR(L1084="131",M1084="131"),H1084='131-CT'!$E$7),"131",""))</f>
        <v/>
      </c>
      <c r="O1084" s="818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52"/>
      <c r="AB1084" s="552"/>
      <c r="AC1084" s="552"/>
    </row>
    <row r="1085" spans="1:29" s="209" customFormat="1" ht="15.75" customHeight="1">
      <c r="A1085" s="202" t="str">
        <f>IF(B1085&lt;&gt;"",IF(AND(B1085&gt;=_TM1,B1085&lt;=_TM2,OR(TH!L1085="1111",TH!M1085="1111")),TH!D1085,""),"")</f>
        <v/>
      </c>
      <c r="B1085" s="36">
        <f t="shared" si="54"/>
        <v>6</v>
      </c>
      <c r="C1085" s="182">
        <f t="shared" si="55"/>
        <v>42534</v>
      </c>
      <c r="D1085" s="182" t="s">
        <v>665</v>
      </c>
      <c r="E1085" s="189">
        <v>42534</v>
      </c>
      <c r="F1085" s="190" t="s">
        <v>666</v>
      </c>
      <c r="G1085" s="190" t="s">
        <v>330</v>
      </c>
      <c r="H1085" s="711" t="s">
        <v>777</v>
      </c>
      <c r="I1085" s="251"/>
      <c r="J1085" s="251"/>
      <c r="K1085" s="560">
        <v>10000000</v>
      </c>
      <c r="L1085" s="192" t="s">
        <v>24</v>
      </c>
      <c r="M1085" s="192" t="s">
        <v>258</v>
      </c>
      <c r="N1085" s="52" t="str">
        <f>IF(AND('331-CT'!$E$7=TH!H1085,OR(L1085="331",M1085="331")),"331",IF(AND(OR(L1085="131",M1085="131"),H1085='131-CT'!$E$7),"131",""))</f>
        <v>131</v>
      </c>
      <c r="O1085" s="818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53"/>
      <c r="AB1085" s="552"/>
      <c r="AC1085" s="552"/>
    </row>
    <row r="1086" spans="1:29" s="209" customFormat="1" ht="15.75" customHeight="1">
      <c r="A1086" s="202" t="str">
        <f>IF(B1086&lt;&gt;"",IF(AND(B1086&gt;=_TM1,B1086&lt;=_TM2,OR(TH!L1086="1111",TH!M1086="1111")),TH!D1086,""),"")</f>
        <v/>
      </c>
      <c r="B1086" s="36">
        <f t="shared" si="54"/>
        <v>6</v>
      </c>
      <c r="C1086" s="182">
        <f t="shared" si="55"/>
        <v>42534</v>
      </c>
      <c r="D1086" s="182" t="s">
        <v>1655</v>
      </c>
      <c r="E1086" s="189">
        <v>42534</v>
      </c>
      <c r="F1086" s="190" t="s">
        <v>668</v>
      </c>
      <c r="G1086" s="190" t="s">
        <v>330</v>
      </c>
      <c r="H1086" s="7" t="s">
        <v>673</v>
      </c>
      <c r="I1086" s="251"/>
      <c r="J1086" s="251"/>
      <c r="K1086" s="560">
        <v>40000000</v>
      </c>
      <c r="L1086" s="192" t="s">
        <v>24</v>
      </c>
      <c r="M1086" s="192" t="s">
        <v>47</v>
      </c>
      <c r="N1086" s="52" t="str">
        <f>IF(AND('331-CT'!$E$7=TH!H1086,OR(L1086="331",M1086="331")),"331",IF(AND(OR(L1086="131",M1086="131"),H1086='131-CT'!$E$7),"131",""))</f>
        <v/>
      </c>
      <c r="O1086" s="818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53"/>
      <c r="AB1086" s="552"/>
      <c r="AC1086" s="552"/>
    </row>
    <row r="1087" spans="1:29" s="209" customFormat="1" ht="15.75" customHeight="1">
      <c r="A1087" s="202" t="str">
        <f>IF(B1087&lt;&gt;"",IF(AND(B1087&gt;=_TM1,B1087&lt;=_TM2,OR(TH!L1087="1111",TH!M1087="1111")),TH!D1087,""),"")</f>
        <v/>
      </c>
      <c r="B1087" s="36">
        <f t="shared" si="54"/>
        <v>6</v>
      </c>
      <c r="C1087" s="182">
        <f t="shared" si="55"/>
        <v>42535</v>
      </c>
      <c r="D1087" s="182" t="s">
        <v>665</v>
      </c>
      <c r="E1087" s="189">
        <v>42535</v>
      </c>
      <c r="F1087" s="190" t="s">
        <v>666</v>
      </c>
      <c r="G1087" s="190" t="s">
        <v>330</v>
      </c>
      <c r="H1087" s="191" t="s">
        <v>391</v>
      </c>
      <c r="I1087" s="251"/>
      <c r="J1087" s="251"/>
      <c r="K1087" s="560">
        <v>4791900</v>
      </c>
      <c r="L1087" s="192" t="s">
        <v>24</v>
      </c>
      <c r="M1087" s="192" t="s">
        <v>258</v>
      </c>
      <c r="N1087" s="52" t="str">
        <f>IF(AND('331-CT'!$E$7=TH!H1087,OR(L1087="331",M1087="331")),"331",IF(AND(OR(L1087="131",M1087="131"),H1087='131-CT'!$E$7),"131",""))</f>
        <v/>
      </c>
      <c r="O1087" s="818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53"/>
      <c r="AB1087" s="552"/>
    </row>
    <row r="1088" spans="1:29" s="209" customFormat="1" ht="15.75" customHeight="1">
      <c r="A1088" s="202" t="str">
        <f>IF(B1088&lt;&gt;"",IF(AND(B1088&gt;=_TM1,B1088&lt;=_TM2,OR(TH!L1088="1111",TH!M1088="1111")),TH!D1088,""),"")</f>
        <v/>
      </c>
      <c r="B1088" s="36">
        <f t="shared" si="54"/>
        <v>6</v>
      </c>
      <c r="C1088" s="182">
        <f t="shared" si="55"/>
        <v>42535</v>
      </c>
      <c r="D1088" s="182" t="s">
        <v>1659</v>
      </c>
      <c r="E1088" s="189">
        <v>42535</v>
      </c>
      <c r="F1088" s="190" t="s">
        <v>670</v>
      </c>
      <c r="G1088" s="190" t="s">
        <v>330</v>
      </c>
      <c r="H1088" s="7" t="s">
        <v>675</v>
      </c>
      <c r="I1088" s="251"/>
      <c r="J1088" s="251"/>
      <c r="K1088" s="560">
        <v>14900000</v>
      </c>
      <c r="L1088" s="192" t="s">
        <v>47</v>
      </c>
      <c r="M1088" s="192" t="s">
        <v>24</v>
      </c>
      <c r="N1088" s="52" t="str">
        <f>IF(AND('331-CT'!$E$7=TH!H1088,OR(L1088="331",M1088="331")),"331",IF(AND(OR(L1088="131",M1088="131"),H1088='131-CT'!$E$7),"131",""))</f>
        <v/>
      </c>
      <c r="O1088" s="818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53"/>
      <c r="AB1088" s="552"/>
      <c r="AC1088" s="552"/>
    </row>
    <row r="1089" spans="1:29" s="209" customFormat="1" ht="15.75" customHeight="1">
      <c r="A1089" s="202" t="str">
        <f>IF(B1089&lt;&gt;"",IF(AND(B1089&gt;=_TM1,B1089&lt;=_TM2,OR(TH!L1089="1111",TH!M1089="1111")),TH!D1089,""),"")</f>
        <v/>
      </c>
      <c r="B1089" s="36">
        <f t="shared" si="54"/>
        <v>6</v>
      </c>
      <c r="C1089" s="182">
        <f t="shared" si="55"/>
        <v>42535</v>
      </c>
      <c r="D1089" s="189" t="s">
        <v>1150</v>
      </c>
      <c r="E1089" s="189">
        <v>42535</v>
      </c>
      <c r="F1089" s="190" t="s">
        <v>436</v>
      </c>
      <c r="G1089" s="190" t="s">
        <v>584</v>
      </c>
      <c r="H1089" s="828" t="s">
        <v>565</v>
      </c>
      <c r="I1089" s="708">
        <v>402</v>
      </c>
      <c r="J1089" s="708">
        <v>7300</v>
      </c>
      <c r="K1089" s="38">
        <f>ROUND(I1089*J1089,0)</f>
        <v>2934600</v>
      </c>
      <c r="L1089" s="192" t="s">
        <v>258</v>
      </c>
      <c r="M1089" s="192" t="s">
        <v>173</v>
      </c>
      <c r="N1089" s="52" t="str">
        <f>IF(AND('331-CT'!$E$7=TH!H1089,OR(L1089="331",M1089="331")),"331",IF(AND(OR(L1089="131",M1089="131"),H1089='131-CT'!$E$7),"131",""))</f>
        <v/>
      </c>
      <c r="O1089" s="818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52"/>
      <c r="AB1089" s="552"/>
      <c r="AC1089" s="552"/>
    </row>
    <row r="1090" spans="1:29" s="209" customFormat="1" ht="15.75" customHeight="1">
      <c r="A1090" s="202" t="str">
        <f>IF(B1090&lt;&gt;"",IF(AND(B1090&gt;=_TM1,B1090&lt;=_TM2,OR(TH!L1090="1111",TH!M1090="1111")),TH!D1090,""),"")</f>
        <v/>
      </c>
      <c r="B1090" s="36">
        <f t="shared" si="54"/>
        <v>6</v>
      </c>
      <c r="C1090" s="182">
        <f t="shared" si="55"/>
        <v>42535</v>
      </c>
      <c r="D1090" s="189" t="s">
        <v>1150</v>
      </c>
      <c r="E1090" s="189">
        <v>42535</v>
      </c>
      <c r="F1090" s="286" t="s">
        <v>512</v>
      </c>
      <c r="G1090" s="190" t="s">
        <v>584</v>
      </c>
      <c r="H1090" s="828" t="s">
        <v>565</v>
      </c>
      <c r="I1090" s="708">
        <v>317</v>
      </c>
      <c r="J1090" s="251">
        <v>4900</v>
      </c>
      <c r="K1090" s="38">
        <f>ROUND(I1090*J1090,0)</f>
        <v>1553300</v>
      </c>
      <c r="L1090" s="192" t="s">
        <v>258</v>
      </c>
      <c r="M1090" s="192" t="s">
        <v>173</v>
      </c>
      <c r="N1090" s="52" t="str">
        <f>IF(AND('331-CT'!$E$7=TH!H1090,OR(L1090="331",M1090="331")),"331",IF(AND(OR(L1090="131",M1090="131"),H1090='131-CT'!$E$7),"131",""))</f>
        <v/>
      </c>
      <c r="O1090" s="818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52"/>
      <c r="AB1090" s="552"/>
      <c r="AC1090" s="552"/>
    </row>
    <row r="1091" spans="1:29" s="209" customFormat="1" ht="15.75" customHeight="1">
      <c r="A1091" s="202" t="str">
        <f>IF(B1091&lt;&gt;"",IF(AND(B1091&gt;=_TM1,B1091&lt;=_TM2,OR(TH!L1091="1111",TH!M1091="1111")),TH!D1091,""),"")</f>
        <v/>
      </c>
      <c r="B1091" s="36">
        <f t="shared" si="54"/>
        <v>6</v>
      </c>
      <c r="C1091" s="182">
        <f t="shared" si="55"/>
        <v>42535</v>
      </c>
      <c r="D1091" s="189" t="s">
        <v>1150</v>
      </c>
      <c r="E1091" s="189">
        <v>42535</v>
      </c>
      <c r="F1091" s="190" t="s">
        <v>1028</v>
      </c>
      <c r="G1091" s="190" t="s">
        <v>584</v>
      </c>
      <c r="H1091" s="828" t="s">
        <v>565</v>
      </c>
      <c r="I1091" s="708"/>
      <c r="J1091" s="708"/>
      <c r="K1091" s="560">
        <v>448790</v>
      </c>
      <c r="L1091" s="192" t="s">
        <v>258</v>
      </c>
      <c r="M1091" s="192" t="s">
        <v>367</v>
      </c>
      <c r="N1091" s="52" t="str">
        <f>IF(AND('331-CT'!$E$7=TH!H1091,OR(L1091="331",M1091="331")),"331",IF(AND(OR(L1091="131",M1091="131"),H1091='131-CT'!$E$7),"131",""))</f>
        <v/>
      </c>
      <c r="O1091" s="818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52"/>
      <c r="AB1091" s="552"/>
    </row>
    <row r="1092" spans="1:29" s="209" customFormat="1" ht="15.75" customHeight="1">
      <c r="A1092" s="202" t="str">
        <f>IF(B1092&lt;&gt;"",IF(AND(B1092&gt;=_TM1,B1092&lt;=_TM2,OR(TH!L1092="1111",TH!M1092="1111")),TH!D1092,""),"")</f>
        <v/>
      </c>
      <c r="B1092" s="36">
        <f t="shared" si="54"/>
        <v>6</v>
      </c>
      <c r="C1092" s="182">
        <f t="shared" si="55"/>
        <v>42536</v>
      </c>
      <c r="D1092" s="182" t="s">
        <v>665</v>
      </c>
      <c r="E1092" s="189">
        <v>42536</v>
      </c>
      <c r="F1092" s="190" t="s">
        <v>666</v>
      </c>
      <c r="G1092" s="190" t="s">
        <v>330</v>
      </c>
      <c r="H1092" s="7" t="s">
        <v>798</v>
      </c>
      <c r="I1092" s="251"/>
      <c r="J1092" s="251"/>
      <c r="K1092" s="560">
        <v>16020180</v>
      </c>
      <c r="L1092" s="192" t="s">
        <v>24</v>
      </c>
      <c r="M1092" s="192" t="s">
        <v>258</v>
      </c>
      <c r="N1092" s="52" t="str">
        <f>IF(AND('331-CT'!$E$7=TH!H1092,OR(L1092="331",M1092="331")),"331",IF(AND(OR(L1092="131",M1092="131"),H1092='131-CT'!$E$7),"131",""))</f>
        <v/>
      </c>
      <c r="O1092" s="818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53"/>
      <c r="AB1092" s="552"/>
      <c r="AC1092" s="552"/>
    </row>
    <row r="1093" spans="1:29" s="209" customFormat="1" ht="15.75" customHeight="1">
      <c r="A1093" s="202" t="str">
        <f>IF(B1093&lt;&gt;"",IF(AND(B1093&gt;=_TM1,B1093&lt;=_TM2,OR(TH!L1093="1111",TH!M1093="1111")),TH!D1093,""),"")</f>
        <v/>
      </c>
      <c r="B1093" s="36">
        <f t="shared" si="54"/>
        <v>6</v>
      </c>
      <c r="C1093" s="182">
        <f t="shared" si="55"/>
        <v>42536</v>
      </c>
      <c r="D1093" s="189" t="s">
        <v>1151</v>
      </c>
      <c r="E1093" s="189">
        <v>42536</v>
      </c>
      <c r="F1093" s="190" t="s">
        <v>1443</v>
      </c>
      <c r="G1093" s="190" t="s">
        <v>585</v>
      </c>
      <c r="H1093" s="7" t="s">
        <v>399</v>
      </c>
      <c r="I1093" s="708">
        <v>300</v>
      </c>
      <c r="J1093" s="708">
        <v>10500</v>
      </c>
      <c r="K1093" s="38">
        <f>ROUND(I1093*J1093,0)</f>
        <v>3150000</v>
      </c>
      <c r="L1093" s="192" t="s">
        <v>258</v>
      </c>
      <c r="M1093" s="192" t="s">
        <v>173</v>
      </c>
      <c r="N1093" s="52" t="str">
        <f>IF(AND('331-CT'!$E$7=TH!H1093,OR(L1093="331",M1093="331")),"331",IF(AND(OR(L1093="131",M1093="131"),H1093='131-CT'!$E$7),"131",""))</f>
        <v/>
      </c>
      <c r="O1093" s="818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52"/>
      <c r="AB1093" s="552"/>
      <c r="AC1093" s="552"/>
    </row>
    <row r="1094" spans="1:29" s="209" customFormat="1" ht="15.75" customHeight="1">
      <c r="A1094" s="202" t="str">
        <f>IF(B1094&lt;&gt;"",IF(AND(B1094&gt;=_TM1,B1094&lt;=_TM2,OR(TH!L1094="1111",TH!M1094="1111")),TH!D1094,""),"")</f>
        <v/>
      </c>
      <c r="B1094" s="36">
        <f t="shared" si="54"/>
        <v>6</v>
      </c>
      <c r="C1094" s="182">
        <f t="shared" si="55"/>
        <v>42536</v>
      </c>
      <c r="D1094" s="189" t="s">
        <v>1151</v>
      </c>
      <c r="E1094" s="189">
        <v>42536</v>
      </c>
      <c r="F1094" s="414" t="s">
        <v>1028</v>
      </c>
      <c r="G1094" s="190" t="s">
        <v>585</v>
      </c>
      <c r="H1094" s="7" t="s">
        <v>399</v>
      </c>
      <c r="I1094" s="708"/>
      <c r="J1094" s="708"/>
      <c r="K1094" s="560">
        <v>315000</v>
      </c>
      <c r="L1094" s="192" t="s">
        <v>258</v>
      </c>
      <c r="M1094" s="192" t="s">
        <v>367</v>
      </c>
      <c r="N1094" s="52" t="str">
        <f>IF(AND('331-CT'!$E$7=TH!H1094,OR(L1094="331",M1094="331")),"331",IF(AND(OR(L1094="131",M1094="131"),H1094='131-CT'!$E$7),"131",""))</f>
        <v/>
      </c>
      <c r="O1094" s="818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52"/>
      <c r="AB1094" s="552"/>
      <c r="AC1094" s="552"/>
    </row>
    <row r="1095" spans="1:29" s="209" customFormat="1" ht="15.75" customHeight="1">
      <c r="A1095" s="202" t="str">
        <f>IF(B1095&lt;&gt;"",IF(AND(B1095&gt;=_TM1,B1095&lt;=_TM2,OR(TH!L1095="1111",TH!M1095="1111")),TH!D1095,""),"")</f>
        <v/>
      </c>
      <c r="B1095" s="36">
        <f t="shared" si="54"/>
        <v>6</v>
      </c>
      <c r="C1095" s="182">
        <f t="shared" si="55"/>
        <v>42537</v>
      </c>
      <c r="D1095" s="182" t="s">
        <v>665</v>
      </c>
      <c r="E1095" s="189">
        <v>42537</v>
      </c>
      <c r="F1095" s="190" t="s">
        <v>666</v>
      </c>
      <c r="G1095" s="190" t="s">
        <v>330</v>
      </c>
      <c r="H1095" s="191" t="s">
        <v>609</v>
      </c>
      <c r="I1095" s="251"/>
      <c r="J1095" s="251"/>
      <c r="K1095" s="560">
        <v>19274915</v>
      </c>
      <c r="L1095" s="192" t="s">
        <v>24</v>
      </c>
      <c r="M1095" s="192" t="s">
        <v>258</v>
      </c>
      <c r="N1095" s="52" t="str">
        <f>IF(AND('331-CT'!$E$7=TH!H1095,OR(L1095="331",M1095="331")),"331",IF(AND(OR(L1095="131",M1095="131"),H1095='131-CT'!$E$7),"131",""))</f>
        <v/>
      </c>
      <c r="O1095" s="818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53"/>
      <c r="AB1095" s="552"/>
      <c r="AC1095" s="552"/>
    </row>
    <row r="1096" spans="1:29" s="209" customFormat="1" ht="15.75" customHeight="1">
      <c r="A1096" s="202" t="str">
        <f>IF(B1096&lt;&gt;"",IF(AND(B1096&gt;=_TM1,B1096&lt;=_TM2,OR(TH!L1096="1111",TH!M1096="1111")),TH!D1096,""),"")</f>
        <v/>
      </c>
      <c r="B1096" s="36">
        <f t="shared" si="54"/>
        <v>6</v>
      </c>
      <c r="C1096" s="182">
        <f t="shared" si="55"/>
        <v>42537</v>
      </c>
      <c r="D1096" s="182" t="s">
        <v>1662</v>
      </c>
      <c r="E1096" s="189">
        <v>42537</v>
      </c>
      <c r="F1096" s="190" t="s">
        <v>670</v>
      </c>
      <c r="G1096" s="190" t="s">
        <v>330</v>
      </c>
      <c r="H1096" s="7" t="s">
        <v>675</v>
      </c>
      <c r="I1096" s="251"/>
      <c r="J1096" s="251"/>
      <c r="K1096" s="560">
        <v>16000000</v>
      </c>
      <c r="L1096" s="192" t="s">
        <v>47</v>
      </c>
      <c r="M1096" s="192" t="s">
        <v>24</v>
      </c>
      <c r="N1096" s="52" t="str">
        <f>IF(AND('331-CT'!$E$7=TH!H1096,OR(L1096="331",M1096="331")),"331",IF(AND(OR(L1096="131",M1096="131"),H1096='131-CT'!$E$7),"131",""))</f>
        <v/>
      </c>
      <c r="O1096" s="818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53"/>
      <c r="AB1096" s="552"/>
      <c r="AC1096" s="552"/>
    </row>
    <row r="1097" spans="1:29" s="209" customFormat="1" ht="15.75" customHeight="1">
      <c r="A1097" s="202" t="str">
        <f>IF(B1097&lt;&gt;"",IF(AND(B1097&gt;=_TM1,B1097&lt;=_TM2,OR(TH!L1097="1111",TH!M1097="1111")),TH!D1097,""),"")</f>
        <v/>
      </c>
      <c r="B1097" s="36">
        <f t="shared" si="54"/>
        <v>6</v>
      </c>
      <c r="C1097" s="182">
        <f t="shared" si="55"/>
        <v>42537</v>
      </c>
      <c r="D1097" s="182" t="s">
        <v>669</v>
      </c>
      <c r="E1097" s="189">
        <v>42537</v>
      </c>
      <c r="F1097" s="190" t="s">
        <v>671</v>
      </c>
      <c r="G1097" s="190" t="s">
        <v>330</v>
      </c>
      <c r="H1097" s="7" t="s">
        <v>834</v>
      </c>
      <c r="I1097" s="251"/>
      <c r="J1097" s="251"/>
      <c r="K1097" s="560">
        <v>20000000</v>
      </c>
      <c r="L1097" s="192" t="s">
        <v>8</v>
      </c>
      <c r="M1097" s="192" t="s">
        <v>24</v>
      </c>
      <c r="N1097" s="52" t="str">
        <f>IF(AND('331-CT'!$E$7=TH!H1097,OR(L1097="331",M1097="331")),"331",IF(AND(OR(L1097="131",M1097="131"),H1097='131-CT'!$E$7),"131",""))</f>
        <v/>
      </c>
      <c r="O1097" s="818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53"/>
      <c r="AB1097" s="552"/>
      <c r="AC1097" s="552"/>
    </row>
    <row r="1098" spans="1:29" s="209" customFormat="1" ht="15.75" customHeight="1">
      <c r="A1098" s="202" t="str">
        <f>IF(B1098&lt;&gt;"",IF(AND(B1098&gt;=_TM1,B1098&lt;=_TM2,OR(TH!L1098="1111",TH!M1098="1111")),TH!D1098,""),"")</f>
        <v/>
      </c>
      <c r="B1098" s="36">
        <f t="shared" si="54"/>
        <v>6</v>
      </c>
      <c r="C1098" s="182">
        <f t="shared" si="55"/>
        <v>42538</v>
      </c>
      <c r="D1098" s="182" t="s">
        <v>665</v>
      </c>
      <c r="E1098" s="189">
        <v>42538</v>
      </c>
      <c r="F1098" s="190" t="s">
        <v>666</v>
      </c>
      <c r="G1098" s="190" t="s">
        <v>330</v>
      </c>
      <c r="H1098" s="191" t="s">
        <v>428</v>
      </c>
      <c r="I1098" s="251"/>
      <c r="J1098" s="251"/>
      <c r="K1098" s="560">
        <v>19100400</v>
      </c>
      <c r="L1098" s="192" t="s">
        <v>24</v>
      </c>
      <c r="M1098" s="192" t="s">
        <v>258</v>
      </c>
      <c r="N1098" s="52" t="str">
        <f>IF(AND('331-CT'!$E$7=TH!H1098,OR(L1098="331",M1098="331")),"331",IF(AND(OR(L1098="131",M1098="131"),H1098='131-CT'!$E$7),"131",""))</f>
        <v/>
      </c>
      <c r="O1098" s="818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53"/>
      <c r="AB1098" s="552"/>
      <c r="AC1098" s="552"/>
    </row>
    <row r="1099" spans="1:29" s="209" customFormat="1" ht="15.75" customHeight="1">
      <c r="A1099" s="202" t="str">
        <f>IF(B1099&lt;&gt;"",IF(AND(B1099&gt;=_TM1,B1099&lt;=_TM2,OR(TH!L1099="1111",TH!M1099="1111")),TH!D1099,""),"")</f>
        <v/>
      </c>
      <c r="B1099" s="36">
        <f t="shared" si="54"/>
        <v>6</v>
      </c>
      <c r="C1099" s="182">
        <f t="shared" si="55"/>
        <v>42539</v>
      </c>
      <c r="D1099" s="189" t="s">
        <v>1152</v>
      </c>
      <c r="E1099" s="189">
        <v>42539</v>
      </c>
      <c r="F1099" s="286" t="s">
        <v>480</v>
      </c>
      <c r="G1099" s="190" t="s">
        <v>586</v>
      </c>
      <c r="H1099" s="191" t="s">
        <v>609</v>
      </c>
      <c r="I1099" s="708">
        <v>237</v>
      </c>
      <c r="J1099" s="708">
        <v>9270</v>
      </c>
      <c r="K1099" s="38">
        <f>ROUND(I1099*J1099,0)</f>
        <v>2196990</v>
      </c>
      <c r="L1099" s="192" t="s">
        <v>258</v>
      </c>
      <c r="M1099" s="192" t="s">
        <v>173</v>
      </c>
      <c r="N1099" s="52" t="str">
        <f>IF(AND('331-CT'!$E$7=TH!H1099,OR(L1099="331",M1099="331")),"331",IF(AND(OR(L1099="131",M1099="131"),H1099='131-CT'!$E$7),"131",""))</f>
        <v/>
      </c>
      <c r="O1099" s="818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52"/>
      <c r="AB1099" s="552"/>
    </row>
    <row r="1100" spans="1:29" s="209" customFormat="1" ht="15.75" customHeight="1">
      <c r="A1100" s="202" t="str">
        <f>IF(B1100&lt;&gt;"",IF(AND(B1100&gt;=_TM1,B1100&lt;=_TM2,OR(TH!L1100="1111",TH!M1100="1111")),TH!D1100,""),"")</f>
        <v/>
      </c>
      <c r="B1100" s="36">
        <f t="shared" si="54"/>
        <v>6</v>
      </c>
      <c r="C1100" s="182">
        <f t="shared" si="55"/>
        <v>42539</v>
      </c>
      <c r="D1100" s="189" t="s">
        <v>1152</v>
      </c>
      <c r="E1100" s="189">
        <v>42539</v>
      </c>
      <c r="F1100" s="190" t="s">
        <v>473</v>
      </c>
      <c r="G1100" s="190" t="s">
        <v>586</v>
      </c>
      <c r="H1100" s="191" t="s">
        <v>609</v>
      </c>
      <c r="I1100" s="708">
        <v>51</v>
      </c>
      <c r="J1100" s="708">
        <v>7600</v>
      </c>
      <c r="K1100" s="38">
        <f>ROUND(I1100*J1100,0)</f>
        <v>387600</v>
      </c>
      <c r="L1100" s="192" t="s">
        <v>258</v>
      </c>
      <c r="M1100" s="192" t="s">
        <v>173</v>
      </c>
      <c r="N1100" s="52" t="str">
        <f>IF(AND('331-CT'!$E$7=TH!H1100,OR(L1100="331",M1100="331")),"331",IF(AND(OR(L1100="131",M1100="131"),H1100='131-CT'!$E$7),"131",""))</f>
        <v/>
      </c>
      <c r="O1100" s="818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52"/>
      <c r="AB1100" s="552"/>
      <c r="AC1100" s="552"/>
    </row>
    <row r="1101" spans="1:29" s="209" customFormat="1" ht="15.75" customHeight="1">
      <c r="A1101" s="202" t="str">
        <f>IF(B1101&lt;&gt;"",IF(AND(B1101&gt;=_TM1,B1101&lt;=_TM2,OR(TH!L1101="1111",TH!M1101="1111")),TH!D1101,""),"")</f>
        <v/>
      </c>
      <c r="B1101" s="36">
        <f t="shared" si="54"/>
        <v>6</v>
      </c>
      <c r="C1101" s="182">
        <f t="shared" si="55"/>
        <v>42539</v>
      </c>
      <c r="D1101" s="189" t="s">
        <v>1152</v>
      </c>
      <c r="E1101" s="189">
        <v>42539</v>
      </c>
      <c r="F1101" s="190" t="s">
        <v>1048</v>
      </c>
      <c r="G1101" s="190" t="s">
        <v>586</v>
      </c>
      <c r="H1101" s="191" t="s">
        <v>609</v>
      </c>
      <c r="I1101" s="708">
        <v>55</v>
      </c>
      <c r="J1101" s="708">
        <v>12400</v>
      </c>
      <c r="K1101" s="38">
        <f>ROUND(I1101*J1101,0)</f>
        <v>682000</v>
      </c>
      <c r="L1101" s="192" t="s">
        <v>258</v>
      </c>
      <c r="M1101" s="192" t="s">
        <v>173</v>
      </c>
      <c r="N1101" s="52" t="str">
        <f>IF(AND('331-CT'!$E$7=TH!H1101,OR(L1101="331",M1101="331")),"331",IF(AND(OR(L1101="131",M1101="131"),H1101='131-CT'!$E$7),"131",""))</f>
        <v/>
      </c>
      <c r="O1101" s="818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52"/>
      <c r="AB1101" s="552"/>
      <c r="AC1101" s="552"/>
    </row>
    <row r="1102" spans="1:29" s="209" customFormat="1" ht="15.75" customHeight="1">
      <c r="A1102" s="202" t="str">
        <f>IF(B1102&lt;&gt;"",IF(AND(B1102&gt;=_TM1,B1102&lt;=_TM2,OR(TH!L1102="1111",TH!M1102="1111")),TH!D1102,""),"")</f>
        <v/>
      </c>
      <c r="B1102" s="36">
        <f t="shared" si="54"/>
        <v>6</v>
      </c>
      <c r="C1102" s="182">
        <f t="shared" si="55"/>
        <v>42539</v>
      </c>
      <c r="D1102" s="189" t="s">
        <v>1152</v>
      </c>
      <c r="E1102" s="189">
        <v>42539</v>
      </c>
      <c r="F1102" s="190" t="s">
        <v>474</v>
      </c>
      <c r="G1102" s="190" t="s">
        <v>586</v>
      </c>
      <c r="H1102" s="191" t="s">
        <v>609</v>
      </c>
      <c r="I1102" s="708">
        <v>357</v>
      </c>
      <c r="J1102" s="708">
        <v>9300</v>
      </c>
      <c r="K1102" s="38">
        <f>ROUND(I1102*J1102,0)</f>
        <v>3320100</v>
      </c>
      <c r="L1102" s="192" t="s">
        <v>258</v>
      </c>
      <c r="M1102" s="192" t="s">
        <v>173</v>
      </c>
      <c r="N1102" s="52" t="str">
        <f>IF(AND('331-CT'!$E$7=TH!H1102,OR(L1102="331",M1102="331")),"331",IF(AND(OR(L1102="131",M1102="131"),H1102='131-CT'!$E$7),"131",""))</f>
        <v/>
      </c>
      <c r="O1102" s="818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52"/>
      <c r="AB1102" s="552"/>
      <c r="AC1102" s="552"/>
    </row>
    <row r="1103" spans="1:29" s="209" customFormat="1" ht="15.75" customHeight="1">
      <c r="A1103" s="202" t="str">
        <f>IF(B1103&lt;&gt;"",IF(AND(B1103&gt;=_TM1,B1103&lt;=_TM2,OR(TH!L1103="1111",TH!M1103="1111")),TH!D1103,""),"")</f>
        <v/>
      </c>
      <c r="B1103" s="36">
        <f t="shared" si="54"/>
        <v>6</v>
      </c>
      <c r="C1103" s="182">
        <f t="shared" si="55"/>
        <v>42539</v>
      </c>
      <c r="D1103" s="189" t="s">
        <v>1152</v>
      </c>
      <c r="E1103" s="189">
        <v>42539</v>
      </c>
      <c r="F1103" s="187" t="s">
        <v>1028</v>
      </c>
      <c r="G1103" s="190" t="s">
        <v>586</v>
      </c>
      <c r="H1103" s="191" t="s">
        <v>609</v>
      </c>
      <c r="I1103" s="708"/>
      <c r="J1103" s="708"/>
      <c r="K1103" s="560">
        <v>658669</v>
      </c>
      <c r="L1103" s="192" t="s">
        <v>258</v>
      </c>
      <c r="M1103" s="192" t="s">
        <v>367</v>
      </c>
      <c r="N1103" s="52" t="str">
        <f>IF(AND('331-CT'!$E$7=TH!H1103,OR(L1103="331",M1103="331")),"331",IF(AND(OR(L1103="131",M1103="131"),H1103='131-CT'!$E$7),"131",""))</f>
        <v/>
      </c>
      <c r="O1103" s="818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52"/>
      <c r="AB1103" s="552"/>
      <c r="AC1103" s="552"/>
    </row>
    <row r="1104" spans="1:29" s="209" customFormat="1" ht="15.75" customHeight="1">
      <c r="A1104" s="202" t="str">
        <f>IF(B1104&lt;&gt;"",IF(AND(B1104&gt;=_TM1,B1104&lt;=_TM2,OR(TH!L1104="1111",TH!M1104="1111")),TH!D1104,""),"")</f>
        <v/>
      </c>
      <c r="B1104" s="36">
        <f t="shared" si="54"/>
        <v>6</v>
      </c>
      <c r="C1104" s="182">
        <f t="shared" si="55"/>
        <v>42539</v>
      </c>
      <c r="D1104" s="189" t="s">
        <v>1153</v>
      </c>
      <c r="E1104" s="189">
        <v>42539</v>
      </c>
      <c r="F1104" s="187" t="s">
        <v>474</v>
      </c>
      <c r="G1104" s="190" t="s">
        <v>587</v>
      </c>
      <c r="H1104" s="191" t="s">
        <v>609</v>
      </c>
      <c r="I1104" s="708">
        <v>764</v>
      </c>
      <c r="J1104" s="708">
        <v>9300</v>
      </c>
      <c r="K1104" s="38">
        <f>ROUND(I1104*J1104,0)</f>
        <v>7105200</v>
      </c>
      <c r="L1104" s="192" t="s">
        <v>258</v>
      </c>
      <c r="M1104" s="192" t="s">
        <v>173</v>
      </c>
      <c r="N1104" s="52" t="str">
        <f>IF(AND('331-CT'!$E$7=TH!H1104,OR(L1104="331",M1104="331")),"331",IF(AND(OR(L1104="131",M1104="131"),H1104='131-CT'!$E$7),"131",""))</f>
        <v/>
      </c>
      <c r="O1104" s="818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52"/>
      <c r="AB1104" s="552"/>
    </row>
    <row r="1105" spans="1:32" s="209" customFormat="1" ht="15.75" customHeight="1">
      <c r="A1105" s="202" t="str">
        <f>IF(B1105&lt;&gt;"",IF(AND(B1105&gt;=_TM1,B1105&lt;=_TM2,OR(TH!L1105="1111",TH!M1105="1111")),TH!D1105,""),"")</f>
        <v/>
      </c>
      <c r="B1105" s="36">
        <f t="shared" si="54"/>
        <v>6</v>
      </c>
      <c r="C1105" s="182">
        <f t="shared" si="55"/>
        <v>42539</v>
      </c>
      <c r="D1105" s="189" t="s">
        <v>1153</v>
      </c>
      <c r="E1105" s="189">
        <v>42539</v>
      </c>
      <c r="F1105" s="190" t="s">
        <v>1028</v>
      </c>
      <c r="G1105" s="190" t="s">
        <v>587</v>
      </c>
      <c r="H1105" s="191" t="s">
        <v>609</v>
      </c>
      <c r="I1105" s="708"/>
      <c r="J1105" s="708"/>
      <c r="K1105" s="560">
        <v>710520</v>
      </c>
      <c r="L1105" s="192" t="s">
        <v>258</v>
      </c>
      <c r="M1105" s="192" t="s">
        <v>367</v>
      </c>
      <c r="N1105" s="52" t="str">
        <f>IF(AND('331-CT'!$E$7=TH!H1105,OR(L1105="331",M1105="331")),"331",IF(AND(OR(L1105="131",M1105="131"),H1105='131-CT'!$E$7),"131",""))</f>
        <v/>
      </c>
      <c r="O1105" s="818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52"/>
      <c r="AB1105" s="552"/>
      <c r="AC1105" s="552"/>
    </row>
    <row r="1106" spans="1:32" s="209" customFormat="1" ht="15.75" customHeight="1">
      <c r="A1106" s="202" t="str">
        <f>IF(B1106&lt;&gt;"",IF(AND(B1106&gt;=_TM1,B1106&lt;=_TM2,OR(TH!L1106="1111",TH!M1106="1111")),TH!D1106,""),"")</f>
        <v/>
      </c>
      <c r="B1106" s="36">
        <f t="shared" si="54"/>
        <v>6</v>
      </c>
      <c r="C1106" s="182">
        <f t="shared" si="55"/>
        <v>42539</v>
      </c>
      <c r="D1106" s="189" t="s">
        <v>1154</v>
      </c>
      <c r="E1106" s="189">
        <v>42539</v>
      </c>
      <c r="F1106" s="190" t="s">
        <v>477</v>
      </c>
      <c r="G1106" s="190" t="s">
        <v>588</v>
      </c>
      <c r="H1106" s="191" t="s">
        <v>417</v>
      </c>
      <c r="I1106" s="708">
        <v>214</v>
      </c>
      <c r="J1106" s="708">
        <v>6400</v>
      </c>
      <c r="K1106" s="38">
        <f>ROUND(I1106*J1106,0)</f>
        <v>1369600</v>
      </c>
      <c r="L1106" s="192" t="s">
        <v>258</v>
      </c>
      <c r="M1106" s="192" t="s">
        <v>173</v>
      </c>
      <c r="N1106" s="52" t="str">
        <f>IF(AND('331-CT'!$E$7=TH!H1106,OR(L1106="331",M1106="331")),"331",IF(AND(OR(L1106="131",M1106="131"),H1106='131-CT'!$E$7),"131",""))</f>
        <v/>
      </c>
      <c r="O1106" s="818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52"/>
      <c r="AB1106" s="552"/>
      <c r="AC1106" s="552"/>
    </row>
    <row r="1107" spans="1:32" s="209" customFormat="1" ht="15.75" customHeight="1">
      <c r="A1107" s="202" t="str">
        <f>IF(B1107&lt;&gt;"",IF(AND(B1107&gt;=_TM1,B1107&lt;=_TM2,OR(TH!L1107="1111",TH!M1107="1111")),TH!D1107,""),"")</f>
        <v/>
      </c>
      <c r="B1107" s="36">
        <f t="shared" si="54"/>
        <v>6</v>
      </c>
      <c r="C1107" s="182">
        <f t="shared" si="55"/>
        <v>42539</v>
      </c>
      <c r="D1107" s="189" t="s">
        <v>1154</v>
      </c>
      <c r="E1107" s="189">
        <v>42539</v>
      </c>
      <c r="F1107" s="286" t="s">
        <v>1028</v>
      </c>
      <c r="G1107" s="190" t="s">
        <v>588</v>
      </c>
      <c r="H1107" s="191" t="s">
        <v>417</v>
      </c>
      <c r="I1107" s="708"/>
      <c r="J1107" s="251"/>
      <c r="K1107" s="560">
        <v>136960</v>
      </c>
      <c r="L1107" s="192" t="s">
        <v>258</v>
      </c>
      <c r="M1107" s="192" t="s">
        <v>367</v>
      </c>
      <c r="N1107" s="52" t="str">
        <f>IF(AND('331-CT'!$E$7=TH!H1107,OR(L1107="331",M1107="331")),"331",IF(AND(OR(L1107="131",M1107="131"),H1107='131-CT'!$E$7),"131",""))</f>
        <v/>
      </c>
      <c r="O1107" s="818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52"/>
      <c r="AB1107" s="552"/>
      <c r="AC1107" s="552"/>
    </row>
    <row r="1108" spans="1:32" s="209" customFormat="1" ht="15.75" customHeight="1">
      <c r="A1108" s="202" t="str">
        <f>IF(B1108&lt;&gt;"",IF(AND(B1108&gt;=_TM1,B1108&lt;=_TM2,OR(TH!L1108="1111",TH!M1108="1111")),TH!D1108,""),"")</f>
        <v/>
      </c>
      <c r="B1108" s="36">
        <f t="shared" ref="B1108:B1171" si="56">IF(C1108&lt;&gt;"",MONTH(C1108),"")</f>
        <v>6</v>
      </c>
      <c r="C1108" s="182">
        <f t="shared" ref="C1108:C1171" si="57">E1108</f>
        <v>42541</v>
      </c>
      <c r="D1108" s="182" t="s">
        <v>1656</v>
      </c>
      <c r="E1108" s="182">
        <v>42541</v>
      </c>
      <c r="F1108" s="190" t="s">
        <v>754</v>
      </c>
      <c r="G1108" s="451" t="s">
        <v>756</v>
      </c>
      <c r="H1108" s="191" t="s">
        <v>675</v>
      </c>
      <c r="I1108" s="251"/>
      <c r="J1108" s="251"/>
      <c r="K1108" s="560">
        <v>99000000</v>
      </c>
      <c r="L1108" s="192" t="s">
        <v>24</v>
      </c>
      <c r="M1108" s="561" t="s">
        <v>47</v>
      </c>
      <c r="N1108" s="52" t="str">
        <f>IF(AND('331-CT'!$E$7=TH!H1108,OR(L1108="331",M1108="331")),"331",IF(AND(OR(L1108="131",M1108="131"),H1108='131-CT'!$E$7),"131",""))</f>
        <v/>
      </c>
      <c r="O1108" s="818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52"/>
      <c r="AB1108" s="552"/>
      <c r="AC1108" s="552"/>
      <c r="AD1108" s="552"/>
      <c r="AE1108" s="552"/>
      <c r="AF1108" s="552"/>
    </row>
    <row r="1109" spans="1:32" s="209" customFormat="1" ht="15.75" customHeight="1">
      <c r="A1109" s="202" t="str">
        <f>IF(B1109&lt;&gt;"",IF(AND(B1109&gt;=_TM1,B1109&lt;=_TM2,OR(TH!L1109="1111",TH!M1109="1111")),TH!D1109,""),"")</f>
        <v/>
      </c>
      <c r="B1109" s="36">
        <f t="shared" si="56"/>
        <v>6</v>
      </c>
      <c r="C1109" s="182">
        <f t="shared" si="57"/>
        <v>42541</v>
      </c>
      <c r="D1109" s="182" t="s">
        <v>669</v>
      </c>
      <c r="E1109" s="182">
        <v>42541</v>
      </c>
      <c r="F1109" s="187" t="s">
        <v>770</v>
      </c>
      <c r="G1109" s="448" t="s">
        <v>756</v>
      </c>
      <c r="H1109" s="191" t="s">
        <v>763</v>
      </c>
      <c r="I1109" s="251"/>
      <c r="J1109" s="251"/>
      <c r="K1109" s="560">
        <v>2178494</v>
      </c>
      <c r="L1109" s="561" t="s">
        <v>81</v>
      </c>
      <c r="M1109" s="561" t="s">
        <v>24</v>
      </c>
      <c r="N1109" s="52" t="str">
        <f>IF(AND('331-CT'!$E$7=TH!H1109,OR(L1109="331",M1109="331")),"331",IF(AND(OR(L1109="131",M1109="131"),H1109='131-CT'!$E$7),"131",""))</f>
        <v/>
      </c>
      <c r="O1109" s="818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52"/>
      <c r="AB1109" s="552"/>
      <c r="AC1109" s="552"/>
      <c r="AD1109" s="552"/>
      <c r="AE1109" s="552"/>
      <c r="AF1109" s="552"/>
    </row>
    <row r="1110" spans="1:32" s="209" customFormat="1" ht="15.75" customHeight="1">
      <c r="A1110" s="202" t="str">
        <f>IF(B1110&lt;&gt;"",IF(AND(B1110&gt;=_TM1,B1110&lt;=_TM2,OR(TH!L1110="1111",TH!M1110="1111")),TH!D1110,""),"")</f>
        <v/>
      </c>
      <c r="B1110" s="36">
        <f t="shared" si="56"/>
        <v>6</v>
      </c>
      <c r="C1110" s="182">
        <f t="shared" si="57"/>
        <v>42541</v>
      </c>
      <c r="D1110" s="182" t="s">
        <v>669</v>
      </c>
      <c r="E1110" s="182">
        <v>42541</v>
      </c>
      <c r="F1110" s="187" t="s">
        <v>769</v>
      </c>
      <c r="G1110" s="448" t="s">
        <v>756</v>
      </c>
      <c r="H1110" s="191" t="s">
        <v>757</v>
      </c>
      <c r="I1110" s="251"/>
      <c r="J1110" s="251"/>
      <c r="K1110" s="560">
        <v>83385000</v>
      </c>
      <c r="L1110" s="561" t="s">
        <v>755</v>
      </c>
      <c r="M1110" s="561" t="s">
        <v>24</v>
      </c>
      <c r="N1110" s="52" t="str">
        <f>IF(AND('331-CT'!$E$7=TH!H1110,OR(L1110="331",M1110="331")),"331",IF(AND(OR(L1110="131",M1110="131"),H1110='131-CT'!$E$7),"131",""))</f>
        <v/>
      </c>
      <c r="O1110" s="818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52"/>
      <c r="AB1110" s="552"/>
      <c r="AC1110" s="552"/>
      <c r="AD1110" s="552"/>
      <c r="AE1110" s="552"/>
      <c r="AF1110" s="552"/>
    </row>
    <row r="1111" spans="1:32" s="209" customFormat="1" ht="15.75" customHeight="1">
      <c r="A1111" s="202" t="str">
        <f>IF(B1111&lt;&gt;"",IF(AND(B1111&gt;=_TM1,B1111&lt;=_TM2,OR(TH!L1111="1111",TH!M1111="1111")),TH!D1111,""),"")</f>
        <v/>
      </c>
      <c r="B1111" s="36">
        <f t="shared" si="56"/>
        <v>6</v>
      </c>
      <c r="C1111" s="182">
        <f t="shared" si="57"/>
        <v>42541</v>
      </c>
      <c r="D1111" s="182" t="s">
        <v>669</v>
      </c>
      <c r="E1111" s="182">
        <v>42541</v>
      </c>
      <c r="F1111" s="187" t="s">
        <v>770</v>
      </c>
      <c r="G1111" s="448" t="s">
        <v>756</v>
      </c>
      <c r="H1111" s="191" t="s">
        <v>757</v>
      </c>
      <c r="I1111" s="251"/>
      <c r="J1111" s="251"/>
      <c r="K1111" s="560">
        <v>12193817</v>
      </c>
      <c r="L1111" s="561" t="s">
        <v>81</v>
      </c>
      <c r="M1111" s="561" t="s">
        <v>24</v>
      </c>
      <c r="N1111" s="52" t="str">
        <f>IF(AND('331-CT'!$E$7=TH!H1111,OR(L1111="331",M1111="331")),"331",IF(AND(OR(L1111="131",M1111="131"),H1111='131-CT'!$E$7),"131",""))</f>
        <v/>
      </c>
      <c r="O1111" s="818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52"/>
      <c r="AB1111" s="552"/>
      <c r="AC1111" s="552"/>
      <c r="AD1111" s="552"/>
      <c r="AE1111" s="552"/>
      <c r="AF1111" s="552"/>
    </row>
    <row r="1112" spans="1:32" s="209" customFormat="1" ht="15.75" customHeight="1">
      <c r="A1112" s="202" t="str">
        <f>IF(B1112&lt;&gt;"",IF(AND(B1112&gt;=_TM1,B1112&lt;=_TM2,OR(TH!L1112="1111",TH!M1112="1111")),TH!D1112,""),"")</f>
        <v/>
      </c>
      <c r="B1112" s="36">
        <f t="shared" si="56"/>
        <v>6</v>
      </c>
      <c r="C1112" s="182">
        <f t="shared" si="57"/>
        <v>42541</v>
      </c>
      <c r="D1112" s="182" t="s">
        <v>669</v>
      </c>
      <c r="E1112" s="182">
        <v>42541</v>
      </c>
      <c r="F1112" s="187" t="s">
        <v>770</v>
      </c>
      <c r="G1112" s="448" t="s">
        <v>756</v>
      </c>
      <c r="H1112" s="191" t="s">
        <v>768</v>
      </c>
      <c r="I1112" s="251"/>
      <c r="J1112" s="251"/>
      <c r="K1112" s="560">
        <v>776453</v>
      </c>
      <c r="L1112" s="561" t="s">
        <v>81</v>
      </c>
      <c r="M1112" s="561" t="s">
        <v>24</v>
      </c>
      <c r="N1112" s="52" t="str">
        <f>IF(AND('331-CT'!$E$7=TH!H1112,OR(L1112="331",M1112="331")),"331",IF(AND(OR(L1112="131",M1112="131"),H1112='131-CT'!$E$7),"131",""))</f>
        <v/>
      </c>
      <c r="O1112" s="818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52"/>
      <c r="AB1112" s="552"/>
      <c r="AC1112" s="552"/>
      <c r="AD1112" s="552"/>
      <c r="AE1112" s="552"/>
      <c r="AF1112" s="552"/>
    </row>
    <row r="1113" spans="1:32" s="209" customFormat="1" ht="15.75" customHeight="1">
      <c r="A1113" s="202" t="str">
        <f>IF(B1113&lt;&gt;"",IF(AND(B1113&gt;=_TM1,B1113&lt;=_TM2,OR(TH!L1113="1111",TH!M1113="1111")),TH!D1113,""),"")</f>
        <v/>
      </c>
      <c r="B1113" s="36">
        <f t="shared" si="56"/>
        <v>6</v>
      </c>
      <c r="C1113" s="182">
        <f t="shared" si="57"/>
        <v>42541</v>
      </c>
      <c r="D1113" s="182" t="s">
        <v>669</v>
      </c>
      <c r="E1113" s="189">
        <v>42541</v>
      </c>
      <c r="F1113" s="190" t="s">
        <v>671</v>
      </c>
      <c r="G1113" s="190" t="s">
        <v>330</v>
      </c>
      <c r="H1113" s="7" t="s">
        <v>855</v>
      </c>
      <c r="I1113" s="251"/>
      <c r="J1113" s="251"/>
      <c r="K1113" s="560">
        <v>35000000</v>
      </c>
      <c r="L1113" s="192" t="s">
        <v>8</v>
      </c>
      <c r="M1113" s="192" t="s">
        <v>24</v>
      </c>
      <c r="N1113" s="52" t="str">
        <f>IF(AND('331-CT'!$E$7=TH!H1113,OR(L1113="331",M1113="331")),"331",IF(AND(OR(L1113="131",M1113="131"),H1113='131-CT'!$E$7),"131",""))</f>
        <v/>
      </c>
      <c r="O1113" s="818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53"/>
      <c r="AB1113" s="552"/>
    </row>
    <row r="1114" spans="1:32" s="209" customFormat="1" ht="15.75" customHeight="1">
      <c r="A1114" s="202" t="str">
        <f>IF(B1114&lt;&gt;"",IF(AND(B1114&gt;=_TM1,B1114&lt;=_TM2,OR(TH!L1114="1111",TH!M1114="1111")),TH!D1114,""),"")</f>
        <v/>
      </c>
      <c r="B1114" s="36">
        <f t="shared" si="56"/>
        <v>6</v>
      </c>
      <c r="C1114" s="182">
        <f t="shared" si="57"/>
        <v>42541</v>
      </c>
      <c r="D1114" s="182" t="s">
        <v>669</v>
      </c>
      <c r="E1114" s="189">
        <v>42541</v>
      </c>
      <c r="F1114" s="190" t="s">
        <v>671</v>
      </c>
      <c r="G1114" s="190" t="s">
        <v>330</v>
      </c>
      <c r="H1114" s="7" t="s">
        <v>1453</v>
      </c>
      <c r="I1114" s="251"/>
      <c r="J1114" s="251"/>
      <c r="K1114" s="560">
        <v>5000000</v>
      </c>
      <c r="L1114" s="192" t="s">
        <v>8</v>
      </c>
      <c r="M1114" s="192" t="s">
        <v>24</v>
      </c>
      <c r="N1114" s="52" t="str">
        <f>IF(AND('331-CT'!$E$7=TH!H1114,OR(L1114="331",M1114="331")),"331",IF(AND(OR(L1114="131",M1114="131"),H1114='131-CT'!$E$7),"131",""))</f>
        <v/>
      </c>
      <c r="O1114" s="818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53"/>
      <c r="AB1114" s="552"/>
      <c r="AC1114" s="552"/>
    </row>
    <row r="1115" spans="1:32" s="209" customFormat="1" ht="15.75" customHeight="1">
      <c r="A1115" s="202" t="str">
        <f>IF(B1115&lt;&gt;"",IF(AND(B1115&gt;=_TM1,B1115&lt;=_TM2,OR(TH!L1115="1111",TH!M1115="1111")),TH!D1115,""),"")</f>
        <v/>
      </c>
      <c r="B1115" s="36">
        <f t="shared" si="56"/>
        <v>6</v>
      </c>
      <c r="C1115" s="182">
        <f t="shared" si="57"/>
        <v>42541</v>
      </c>
      <c r="D1115" s="182" t="s">
        <v>669</v>
      </c>
      <c r="E1115" s="189">
        <v>42541</v>
      </c>
      <c r="F1115" s="190" t="s">
        <v>672</v>
      </c>
      <c r="G1115" s="190" t="s">
        <v>330</v>
      </c>
      <c r="H1115" s="191"/>
      <c r="I1115" s="251"/>
      <c r="J1115" s="251"/>
      <c r="K1115" s="560">
        <v>18182</v>
      </c>
      <c r="L1115" s="192" t="s">
        <v>83</v>
      </c>
      <c r="M1115" s="192" t="s">
        <v>24</v>
      </c>
      <c r="N1115" s="52" t="str">
        <f>IF(AND('331-CT'!$E$7=TH!H1115,OR(L1115="331",M1115="331")),"331",IF(AND(OR(L1115="131",M1115="131"),H1115='131-CT'!$E$7),"131",""))</f>
        <v/>
      </c>
      <c r="O1115" s="818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>x</v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52">
        <v>2</v>
      </c>
      <c r="AB1115" s="552"/>
      <c r="AC1115" s="552"/>
    </row>
    <row r="1116" spans="1:32" s="209" customFormat="1" ht="15.75" customHeight="1">
      <c r="A1116" s="202" t="str">
        <f>IF(B1116&lt;&gt;"",IF(AND(B1116&gt;=_TM1,B1116&lt;=_TM2,OR(TH!L1116="1111",TH!M1116="1111")),TH!D1116,""),"")</f>
        <v/>
      </c>
      <c r="B1116" s="36">
        <f t="shared" si="56"/>
        <v>6</v>
      </c>
      <c r="C1116" s="182">
        <f t="shared" si="57"/>
        <v>42541</v>
      </c>
      <c r="D1116" s="182" t="s">
        <v>669</v>
      </c>
      <c r="E1116" s="189">
        <v>42541</v>
      </c>
      <c r="F1116" s="190" t="s">
        <v>762</v>
      </c>
      <c r="G1116" s="190" t="s">
        <v>330</v>
      </c>
      <c r="H1116" s="7"/>
      <c r="I1116" s="251"/>
      <c r="J1116" s="251"/>
      <c r="K1116" s="560">
        <v>1818</v>
      </c>
      <c r="L1116" s="192" t="s">
        <v>9</v>
      </c>
      <c r="M1116" s="192" t="s">
        <v>24</v>
      </c>
      <c r="N1116" s="52" t="str">
        <f>IF(AND('331-CT'!$E$7=TH!H1116,OR(L1116="331",M1116="331")),"331",IF(AND(OR(L1116="131",M1116="131"),H1116='131-CT'!$E$7),"131",""))</f>
        <v/>
      </c>
      <c r="O1116" s="818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52">
        <v>2</v>
      </c>
      <c r="AB1116" s="552"/>
      <c r="AC1116" s="552"/>
    </row>
    <row r="1117" spans="1:32" s="209" customFormat="1" ht="15.75" customHeight="1">
      <c r="A1117" s="202" t="str">
        <f>IF(B1117&lt;&gt;"",IF(AND(B1117&gt;=_TM1,B1117&lt;=_TM2,OR(TH!L1117="1111",TH!M1117="1111")),TH!D1117,""),"")</f>
        <v/>
      </c>
      <c r="B1117" s="36">
        <f t="shared" si="56"/>
        <v>6</v>
      </c>
      <c r="C1117" s="182">
        <f t="shared" si="57"/>
        <v>42541</v>
      </c>
      <c r="D1117" s="182" t="s">
        <v>669</v>
      </c>
      <c r="E1117" s="189">
        <v>42541</v>
      </c>
      <c r="F1117" s="190" t="s">
        <v>672</v>
      </c>
      <c r="G1117" s="190" t="s">
        <v>330</v>
      </c>
      <c r="H1117" s="7"/>
      <c r="I1117" s="251"/>
      <c r="J1117" s="251"/>
      <c r="K1117" s="560">
        <v>13636</v>
      </c>
      <c r="L1117" s="192" t="s">
        <v>83</v>
      </c>
      <c r="M1117" s="192" t="s">
        <v>24</v>
      </c>
      <c r="N1117" s="52" t="str">
        <f>IF(AND('331-CT'!$E$7=TH!H1117,OR(L1117="331",M1117="331")),"331",IF(AND(OR(L1117="131",M1117="131"),H1117='131-CT'!$E$7),"131",""))</f>
        <v/>
      </c>
      <c r="O1117" s="818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>x</v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52">
        <v>2</v>
      </c>
      <c r="AB1117" s="552"/>
      <c r="AC1117" s="552"/>
    </row>
    <row r="1118" spans="1:32" s="209" customFormat="1" ht="15.75" customHeight="1">
      <c r="A1118" s="202" t="str">
        <f>IF(B1118&lt;&gt;"",IF(AND(B1118&gt;=_TM1,B1118&lt;=_TM2,OR(TH!L1118="1111",TH!M1118="1111")),TH!D1118,""),"")</f>
        <v/>
      </c>
      <c r="B1118" s="36">
        <f t="shared" si="56"/>
        <v>6</v>
      </c>
      <c r="C1118" s="182">
        <f t="shared" si="57"/>
        <v>42541</v>
      </c>
      <c r="D1118" s="182" t="s">
        <v>669</v>
      </c>
      <c r="E1118" s="189">
        <v>42541</v>
      </c>
      <c r="F1118" s="190" t="s">
        <v>762</v>
      </c>
      <c r="G1118" s="190" t="s">
        <v>330</v>
      </c>
      <c r="H1118" s="7"/>
      <c r="I1118" s="251"/>
      <c r="J1118" s="251"/>
      <c r="K1118" s="560">
        <v>1364</v>
      </c>
      <c r="L1118" s="192" t="s">
        <v>9</v>
      </c>
      <c r="M1118" s="192" t="s">
        <v>24</v>
      </c>
      <c r="N1118" s="52" t="str">
        <f>IF(AND('331-CT'!$E$7=TH!H1118,OR(L1118="331",M1118="331")),"331",IF(AND(OR(L1118="131",M1118="131"),H1118='131-CT'!$E$7),"131",""))</f>
        <v/>
      </c>
      <c r="O1118" s="818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52">
        <v>2</v>
      </c>
      <c r="AB1118" s="552"/>
      <c r="AC1118" s="552"/>
    </row>
    <row r="1119" spans="1:32" s="209" customFormat="1" ht="15.75" customHeight="1">
      <c r="A1119" s="202" t="str">
        <f>IF(B1119&lt;&gt;"",IF(AND(B1119&gt;=_TM1,B1119&lt;=_TM2,OR(TH!L1119="1111",TH!M1119="1111")),TH!D1119,""),"")</f>
        <v/>
      </c>
      <c r="B1119" s="36">
        <f t="shared" si="56"/>
        <v>6</v>
      </c>
      <c r="C1119" s="182">
        <f t="shared" si="57"/>
        <v>42541</v>
      </c>
      <c r="D1119" s="182" t="s">
        <v>1663</v>
      </c>
      <c r="E1119" s="189">
        <v>42541</v>
      </c>
      <c r="F1119" s="190" t="s">
        <v>670</v>
      </c>
      <c r="G1119" s="190" t="s">
        <v>330</v>
      </c>
      <c r="H1119" s="7" t="s">
        <v>675</v>
      </c>
      <c r="I1119" s="251"/>
      <c r="J1119" s="251"/>
      <c r="K1119" s="560">
        <v>8000000</v>
      </c>
      <c r="L1119" s="192" t="s">
        <v>47</v>
      </c>
      <c r="M1119" s="192" t="s">
        <v>24</v>
      </c>
      <c r="N1119" s="52" t="str">
        <f>IF(AND('331-CT'!$E$7=TH!H1119,OR(L1119="331",M1119="331")),"331",IF(AND(OR(L1119="131",M1119="131"),H1119='131-CT'!$E$7),"131",""))</f>
        <v/>
      </c>
      <c r="O1119" s="818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53"/>
      <c r="AB1119" s="552"/>
      <c r="AC1119" s="552"/>
    </row>
    <row r="1120" spans="1:32" s="209" customFormat="1" ht="15.75" customHeight="1">
      <c r="A1120" s="202" t="str">
        <f>IF(B1120&lt;&gt;"",IF(AND(B1120&gt;=_TM1,B1120&lt;=_TM2,OR(TH!L1120="1111",TH!M1120="1111")),TH!D1120,""),"")</f>
        <v/>
      </c>
      <c r="B1120" s="36">
        <f t="shared" si="56"/>
        <v>6</v>
      </c>
      <c r="C1120" s="182">
        <f t="shared" si="57"/>
        <v>42541</v>
      </c>
      <c r="D1120" s="182" t="s">
        <v>669</v>
      </c>
      <c r="E1120" s="189">
        <v>42541</v>
      </c>
      <c r="F1120" s="190" t="s">
        <v>801</v>
      </c>
      <c r="G1120" s="190" t="s">
        <v>330</v>
      </c>
      <c r="H1120" s="7" t="s">
        <v>792</v>
      </c>
      <c r="I1120" s="251"/>
      <c r="J1120" s="251"/>
      <c r="K1120" s="560">
        <v>10232860</v>
      </c>
      <c r="L1120" s="192" t="s">
        <v>8</v>
      </c>
      <c r="M1120" s="192" t="s">
        <v>24</v>
      </c>
      <c r="N1120" s="52" t="str">
        <f>IF(AND('331-CT'!$E$7=TH!H1120,OR(L1120="331",M1120="331")),"331",IF(AND(OR(L1120="131",M1120="131"),H1120='131-CT'!$E$7),"131",""))</f>
        <v/>
      </c>
      <c r="O1120" s="818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53"/>
      <c r="AB1120" s="552"/>
    </row>
    <row r="1121" spans="1:32" s="209" customFormat="1" ht="15.75" customHeight="1">
      <c r="A1121" s="202" t="str">
        <f>IF(B1121&lt;&gt;"",IF(AND(B1121&gt;=_TM1,B1121&lt;=_TM2,OR(TH!L1121="1111",TH!M1121="1111")),TH!D1121,""),"")</f>
        <v/>
      </c>
      <c r="B1121" s="36">
        <f t="shared" si="56"/>
        <v>6</v>
      </c>
      <c r="C1121" s="182">
        <f t="shared" si="57"/>
        <v>42541</v>
      </c>
      <c r="D1121" s="182" t="s">
        <v>669</v>
      </c>
      <c r="E1121" s="189">
        <v>42541</v>
      </c>
      <c r="F1121" s="190" t="s">
        <v>672</v>
      </c>
      <c r="G1121" s="190" t="s">
        <v>330</v>
      </c>
      <c r="H1121" s="7"/>
      <c r="I1121" s="251"/>
      <c r="J1121" s="251"/>
      <c r="K1121" s="560">
        <v>13636</v>
      </c>
      <c r="L1121" s="192" t="s">
        <v>83</v>
      </c>
      <c r="M1121" s="192" t="s">
        <v>24</v>
      </c>
      <c r="N1121" s="52" t="str">
        <f>IF(AND('331-CT'!$E$7=TH!H1121,OR(L1121="331",M1121="331")),"331",IF(AND(OR(L1121="131",M1121="131"),H1121='131-CT'!$E$7),"131",""))</f>
        <v/>
      </c>
      <c r="O1121" s="818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>x</v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52">
        <v>2</v>
      </c>
      <c r="AB1121" s="552"/>
      <c r="AC1121" s="552"/>
    </row>
    <row r="1122" spans="1:32" s="209" customFormat="1" ht="15.75" customHeight="1">
      <c r="A1122" s="202" t="str">
        <f>IF(B1122&lt;&gt;"",IF(AND(B1122&gt;=_TM1,B1122&lt;=_TM2,OR(TH!L1122="1111",TH!M1122="1111")),TH!D1122,""),"")</f>
        <v/>
      </c>
      <c r="B1122" s="36">
        <f t="shared" si="56"/>
        <v>6</v>
      </c>
      <c r="C1122" s="182">
        <f t="shared" si="57"/>
        <v>42541</v>
      </c>
      <c r="D1122" s="182" t="s">
        <v>669</v>
      </c>
      <c r="E1122" s="189">
        <v>42541</v>
      </c>
      <c r="F1122" s="190" t="s">
        <v>762</v>
      </c>
      <c r="G1122" s="190" t="s">
        <v>330</v>
      </c>
      <c r="H1122" s="7"/>
      <c r="I1122" s="251"/>
      <c r="J1122" s="251"/>
      <c r="K1122" s="560">
        <v>1364</v>
      </c>
      <c r="L1122" s="192" t="s">
        <v>9</v>
      </c>
      <c r="M1122" s="192" t="s">
        <v>24</v>
      </c>
      <c r="N1122" s="52" t="str">
        <f>IF(AND('331-CT'!$E$7=TH!H1122,OR(L1122="331",M1122="331")),"331",IF(AND(OR(L1122="131",M1122="131"),H1122='131-CT'!$E$7),"131",""))</f>
        <v/>
      </c>
      <c r="O1122" s="818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52">
        <v>2</v>
      </c>
      <c r="AB1122" s="552"/>
      <c r="AC1122" s="552"/>
    </row>
    <row r="1123" spans="1:32" s="209" customFormat="1" ht="15.75" customHeight="1">
      <c r="A1123" s="202" t="str">
        <f>IF(B1123&lt;&gt;"",IF(AND(B1123&gt;=_TM1,B1123&lt;=_TM2,OR(TH!L1123="1111",TH!M1123="1111")),TH!D1123,""),"")</f>
        <v/>
      </c>
      <c r="B1123" s="36">
        <f t="shared" si="56"/>
        <v>6</v>
      </c>
      <c r="C1123" s="182">
        <f t="shared" si="57"/>
        <v>42541</v>
      </c>
      <c r="D1123" s="189" t="s">
        <v>1155</v>
      </c>
      <c r="E1123" s="189">
        <v>42541</v>
      </c>
      <c r="F1123" s="187" t="s">
        <v>985</v>
      </c>
      <c r="G1123" s="190" t="s">
        <v>589</v>
      </c>
      <c r="H1123" s="191" t="s">
        <v>609</v>
      </c>
      <c r="I1123" s="708">
        <v>88</v>
      </c>
      <c r="J1123" s="708">
        <v>9750</v>
      </c>
      <c r="K1123" s="38">
        <f>ROUND(I1123*J1123,0)</f>
        <v>858000</v>
      </c>
      <c r="L1123" s="192" t="s">
        <v>258</v>
      </c>
      <c r="M1123" s="192" t="s">
        <v>173</v>
      </c>
      <c r="N1123" s="52" t="str">
        <f>IF(AND('331-CT'!$E$7=TH!H1123,OR(L1123="331",M1123="331")),"331",IF(AND(OR(L1123="131",M1123="131"),H1123='131-CT'!$E$7),"131",""))</f>
        <v/>
      </c>
      <c r="O1123" s="818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52"/>
      <c r="AB1123" s="552"/>
    </row>
    <row r="1124" spans="1:32" s="209" customFormat="1" ht="15.75" customHeight="1">
      <c r="A1124" s="202" t="str">
        <f>IF(B1124&lt;&gt;"",IF(AND(B1124&gt;=_TM1,B1124&lt;=_TM2,OR(TH!L1124="1111",TH!M1124="1111")),TH!D1124,""),"")</f>
        <v/>
      </c>
      <c r="B1124" s="36">
        <f t="shared" si="56"/>
        <v>6</v>
      </c>
      <c r="C1124" s="182">
        <f t="shared" si="57"/>
        <v>42541</v>
      </c>
      <c r="D1124" s="189" t="s">
        <v>1155</v>
      </c>
      <c r="E1124" s="189">
        <v>42541</v>
      </c>
      <c r="F1124" s="190" t="s">
        <v>1048</v>
      </c>
      <c r="G1124" s="562" t="s">
        <v>589</v>
      </c>
      <c r="H1124" s="191" t="s">
        <v>609</v>
      </c>
      <c r="I1124" s="251">
        <v>35</v>
      </c>
      <c r="J1124" s="251">
        <v>12000</v>
      </c>
      <c r="K1124" s="38">
        <f>ROUND(I1124*J1124,0)</f>
        <v>420000</v>
      </c>
      <c r="L1124" s="192" t="s">
        <v>258</v>
      </c>
      <c r="M1124" s="192" t="s">
        <v>173</v>
      </c>
      <c r="N1124" s="52" t="str">
        <f>IF(AND('331-CT'!$E$7=TH!H1124,OR(L1124="331",M1124="331")),"331",IF(AND(OR(L1124="131",M1124="131"),H1124='131-CT'!$E$7),"131",""))</f>
        <v/>
      </c>
      <c r="O1124" s="818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52"/>
      <c r="AB1124" s="552"/>
      <c r="AC1124" s="552"/>
    </row>
    <row r="1125" spans="1:32" s="209" customFormat="1" ht="15.75" customHeight="1">
      <c r="A1125" s="202" t="str">
        <f>IF(B1125&lt;&gt;"",IF(AND(B1125&gt;=_TM1,B1125&lt;=_TM2,OR(TH!L1125="1111",TH!M1125="1111")),TH!D1125,""),"")</f>
        <v/>
      </c>
      <c r="B1125" s="36">
        <f t="shared" si="56"/>
        <v>6</v>
      </c>
      <c r="C1125" s="182">
        <f t="shared" si="57"/>
        <v>42541</v>
      </c>
      <c r="D1125" s="189" t="s">
        <v>1155</v>
      </c>
      <c r="E1125" s="189">
        <v>42541</v>
      </c>
      <c r="F1125" s="187" t="s">
        <v>662</v>
      </c>
      <c r="G1125" s="448" t="s">
        <v>589</v>
      </c>
      <c r="H1125" s="191" t="s">
        <v>609</v>
      </c>
      <c r="I1125" s="252">
        <v>27</v>
      </c>
      <c r="J1125" s="251">
        <v>8600</v>
      </c>
      <c r="K1125" s="38">
        <f>ROUND(I1125*J1125,0)</f>
        <v>232200</v>
      </c>
      <c r="L1125" s="192" t="s">
        <v>258</v>
      </c>
      <c r="M1125" s="192" t="s">
        <v>173</v>
      </c>
      <c r="N1125" s="52" t="str">
        <f>IF(AND('331-CT'!$E$7=TH!H1125,OR(L1125="331",M1125="331")),"331",IF(AND(OR(L1125="131",M1125="131"),H1125='131-CT'!$E$7),"131",""))</f>
        <v/>
      </c>
      <c r="O1125" s="818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52"/>
      <c r="AB1125" s="552"/>
    </row>
    <row r="1126" spans="1:32" s="209" customFormat="1" ht="15.75" customHeight="1">
      <c r="A1126" s="202" t="str">
        <f>IF(B1126&lt;&gt;"",IF(AND(B1126&gt;=_TM1,B1126&lt;=_TM2,OR(TH!L1126="1111",TH!M1126="1111")),TH!D1126,""),"")</f>
        <v/>
      </c>
      <c r="B1126" s="36">
        <f t="shared" si="56"/>
        <v>6</v>
      </c>
      <c r="C1126" s="182">
        <f t="shared" si="57"/>
        <v>42541</v>
      </c>
      <c r="D1126" s="189" t="s">
        <v>1155</v>
      </c>
      <c r="E1126" s="189">
        <v>42541</v>
      </c>
      <c r="F1126" s="190" t="s">
        <v>408</v>
      </c>
      <c r="G1126" s="448" t="s">
        <v>589</v>
      </c>
      <c r="H1126" s="191" t="s">
        <v>609</v>
      </c>
      <c r="I1126" s="252">
        <v>51</v>
      </c>
      <c r="J1126" s="251">
        <v>10100</v>
      </c>
      <c r="K1126" s="38">
        <f>ROUND(I1126*J1126,0)</f>
        <v>515100</v>
      </c>
      <c r="L1126" s="192" t="s">
        <v>258</v>
      </c>
      <c r="M1126" s="192" t="s">
        <v>173</v>
      </c>
      <c r="N1126" s="52" t="str">
        <f>IF(AND('331-CT'!$E$7=TH!H1126,OR(L1126="331",M1126="331")),"331",IF(AND(OR(L1126="131",M1126="131"),H1126='131-CT'!$E$7),"131",""))</f>
        <v/>
      </c>
      <c r="O1126" s="818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52"/>
      <c r="AB1126" s="552"/>
      <c r="AC1126" s="552"/>
    </row>
    <row r="1127" spans="1:32" s="209" customFormat="1" ht="15.75" customHeight="1">
      <c r="A1127" s="202" t="str">
        <f>IF(B1127&lt;&gt;"",IF(AND(B1127&gt;=_TM1,B1127&lt;=_TM2,OR(TH!L1127="1111",TH!M1127="1111")),TH!D1127,""),"")</f>
        <v/>
      </c>
      <c r="B1127" s="36">
        <f t="shared" si="56"/>
        <v>6</v>
      </c>
      <c r="C1127" s="182">
        <f t="shared" si="57"/>
        <v>42541</v>
      </c>
      <c r="D1127" s="189" t="s">
        <v>1155</v>
      </c>
      <c r="E1127" s="189">
        <v>42541</v>
      </c>
      <c r="F1127" s="190" t="s">
        <v>1028</v>
      </c>
      <c r="G1127" s="448" t="s">
        <v>589</v>
      </c>
      <c r="H1127" s="191" t="s">
        <v>609</v>
      </c>
      <c r="I1127" s="252"/>
      <c r="J1127" s="251"/>
      <c r="K1127" s="38">
        <v>202530</v>
      </c>
      <c r="L1127" s="192" t="s">
        <v>258</v>
      </c>
      <c r="M1127" s="192" t="s">
        <v>367</v>
      </c>
      <c r="N1127" s="52" t="str">
        <f>IF(AND('331-CT'!$E$7=TH!H1127,OR(L1127="331",M1127="331")),"331",IF(AND(OR(L1127="131",M1127="131"),H1127='131-CT'!$E$7),"131",""))</f>
        <v/>
      </c>
      <c r="O1127" s="818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52"/>
      <c r="AB1127" s="552"/>
      <c r="AC1127" s="552"/>
    </row>
    <row r="1128" spans="1:32" s="209" customFormat="1" ht="15.75" customHeight="1">
      <c r="A1128" s="202" t="str">
        <f>IF(B1128&lt;&gt;"",IF(AND(B1128&gt;=_TM1,B1128&lt;=_TM2,OR(TH!L1128="1111",TH!M1128="1111")),TH!D1128,""),"")</f>
        <v/>
      </c>
      <c r="B1128" s="36">
        <f t="shared" si="56"/>
        <v>6</v>
      </c>
      <c r="C1128" s="182">
        <f t="shared" si="57"/>
        <v>42541</v>
      </c>
      <c r="D1128" s="189" t="s">
        <v>1156</v>
      </c>
      <c r="E1128" s="189">
        <v>42541</v>
      </c>
      <c r="F1128" s="190" t="s">
        <v>1055</v>
      </c>
      <c r="G1128" s="448" t="s">
        <v>590</v>
      </c>
      <c r="H1128" s="191" t="s">
        <v>1268</v>
      </c>
      <c r="I1128" s="252">
        <v>2250</v>
      </c>
      <c r="J1128" s="251">
        <v>5500</v>
      </c>
      <c r="K1128" s="38">
        <f>ROUND(I1128*J1128,0)</f>
        <v>12375000</v>
      </c>
      <c r="L1128" s="192" t="s">
        <v>258</v>
      </c>
      <c r="M1128" s="192" t="s">
        <v>173</v>
      </c>
      <c r="N1128" s="52" t="str">
        <f>IF(AND('331-CT'!$E$7=TH!H1128,OR(L1128="331",M1128="331")),"331",IF(AND(OR(L1128="131",M1128="131"),H1128='131-CT'!$E$7),"131",""))</f>
        <v/>
      </c>
      <c r="O1128" s="818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52"/>
      <c r="AB1128" s="552"/>
    </row>
    <row r="1129" spans="1:32" s="788" customFormat="1" ht="15.75" customHeight="1">
      <c r="A1129" s="202" t="str">
        <f>IF(B1129&lt;&gt;"",IF(AND(B1129&gt;=_TM1,B1129&lt;=_TM2,OR(TH!L1129="1111",TH!M1129="1111")),TH!D1129,""),"")</f>
        <v/>
      </c>
      <c r="B1129" s="36">
        <f t="shared" si="56"/>
        <v>6</v>
      </c>
      <c r="C1129" s="182">
        <f t="shared" si="57"/>
        <v>42541</v>
      </c>
      <c r="D1129" s="189" t="s">
        <v>1156</v>
      </c>
      <c r="E1129" s="189">
        <v>42541</v>
      </c>
      <c r="F1129" s="187" t="s">
        <v>1028</v>
      </c>
      <c r="G1129" s="562" t="s">
        <v>590</v>
      </c>
      <c r="H1129" s="191" t="s">
        <v>1268</v>
      </c>
      <c r="I1129" s="251"/>
      <c r="J1129" s="251"/>
      <c r="K1129" s="560">
        <v>1237500</v>
      </c>
      <c r="L1129" s="192" t="s">
        <v>258</v>
      </c>
      <c r="M1129" s="192" t="s">
        <v>367</v>
      </c>
      <c r="N1129" s="52" t="str">
        <f>IF(AND('331-CT'!$E$7=TH!H1129,OR(L1129="331",M1129="331")),"331",IF(AND(OR(L1129="131",M1129="131"),H1129='131-CT'!$E$7),"131",""))</f>
        <v/>
      </c>
      <c r="O1129" s="818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52"/>
      <c r="AB1129" s="552"/>
      <c r="AC1129" s="552"/>
      <c r="AD1129" s="209"/>
      <c r="AE1129" s="209"/>
      <c r="AF1129" s="209"/>
    </row>
    <row r="1130" spans="1:32" s="788" customFormat="1" ht="15.75" customHeight="1">
      <c r="A1130" s="202" t="str">
        <f>IF(B1130&lt;&gt;"",IF(AND(B1130&gt;=_TM1,B1130&lt;=_TM2,OR(TH!L1130="1111",TH!M1130="1111")),TH!D1130,""),"")</f>
        <v/>
      </c>
      <c r="B1130" s="36">
        <f t="shared" si="56"/>
        <v>6</v>
      </c>
      <c r="C1130" s="182">
        <f t="shared" si="57"/>
        <v>42542</v>
      </c>
      <c r="D1130" s="182" t="s">
        <v>360</v>
      </c>
      <c r="E1130" s="182">
        <v>42542</v>
      </c>
      <c r="F1130" s="190" t="s">
        <v>754</v>
      </c>
      <c r="G1130" s="451" t="s">
        <v>756</v>
      </c>
      <c r="H1130" s="191" t="s">
        <v>1278</v>
      </c>
      <c r="I1130" s="251"/>
      <c r="J1130" s="251"/>
      <c r="K1130" s="560">
        <v>800000</v>
      </c>
      <c r="L1130" s="192" t="s">
        <v>24</v>
      </c>
      <c r="M1130" s="561" t="s">
        <v>47</v>
      </c>
      <c r="N1130" s="52" t="str">
        <f>IF(AND('331-CT'!$E$7=TH!H1130,OR(L1130="331",M1130="331")),"331",IF(AND(OR(L1130="131",M1130="131"),H1130='131-CT'!$E$7),"131",""))</f>
        <v/>
      </c>
      <c r="O1130" s="818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52"/>
      <c r="AB1130" s="552"/>
      <c r="AC1130" s="552"/>
      <c r="AD1130" s="552"/>
      <c r="AE1130" s="552"/>
      <c r="AF1130" s="552"/>
    </row>
    <row r="1131" spans="1:32" s="209" customFormat="1" ht="15.75" customHeight="1">
      <c r="A1131" s="202" t="str">
        <f>IF(B1131&lt;&gt;"",IF(AND(B1131&gt;=_TM1,B1131&lt;=_TM2,OR(TH!L1131="1111",TH!M1131="1111")),TH!D1131,""),"")</f>
        <v/>
      </c>
      <c r="B1131" s="36">
        <f t="shared" si="56"/>
        <v>6</v>
      </c>
      <c r="C1131" s="182">
        <f t="shared" si="57"/>
        <v>42542</v>
      </c>
      <c r="D1131" s="182" t="s">
        <v>669</v>
      </c>
      <c r="E1131" s="182">
        <v>42542</v>
      </c>
      <c r="F1131" s="187" t="s">
        <v>770</v>
      </c>
      <c r="G1131" s="448" t="s">
        <v>756</v>
      </c>
      <c r="H1131" s="191" t="s">
        <v>767</v>
      </c>
      <c r="I1131" s="251"/>
      <c r="J1131" s="251"/>
      <c r="K1131" s="560">
        <v>1380534</v>
      </c>
      <c r="L1131" s="561" t="s">
        <v>81</v>
      </c>
      <c r="M1131" s="561" t="s">
        <v>24</v>
      </c>
      <c r="N1131" s="52" t="str">
        <f>IF(AND('331-CT'!$E$7=TH!H1131,OR(L1131="331",M1131="331")),"331",IF(AND(OR(L1131="131",M1131="131"),H1131='131-CT'!$E$7),"131",""))</f>
        <v/>
      </c>
      <c r="O1131" s="818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52"/>
      <c r="AB1131" s="552"/>
      <c r="AC1131" s="552"/>
      <c r="AD1131" s="552"/>
      <c r="AE1131" s="552"/>
      <c r="AF1131" s="552"/>
    </row>
    <row r="1132" spans="1:32" s="209" customFormat="1" ht="15.75" customHeight="1">
      <c r="A1132" s="202" t="str">
        <f>IF(B1132&lt;&gt;"",IF(AND(B1132&gt;=_TM1,B1132&lt;=_TM2,OR(TH!L1132="1111",TH!M1132="1111")),TH!D1132,""),"")</f>
        <v/>
      </c>
      <c r="B1132" s="36">
        <f t="shared" si="56"/>
        <v>6</v>
      </c>
      <c r="C1132" s="182">
        <f t="shared" si="57"/>
        <v>42542</v>
      </c>
      <c r="D1132" s="182" t="s">
        <v>665</v>
      </c>
      <c r="E1132" s="182">
        <v>42542</v>
      </c>
      <c r="F1132" s="187" t="s">
        <v>766</v>
      </c>
      <c r="G1132" s="448" t="s">
        <v>756</v>
      </c>
      <c r="H1132" s="191" t="s">
        <v>1279</v>
      </c>
      <c r="I1132" s="251"/>
      <c r="J1132" s="251"/>
      <c r="K1132" s="560">
        <v>99149000</v>
      </c>
      <c r="L1132" s="561" t="s">
        <v>24</v>
      </c>
      <c r="M1132" s="561" t="s">
        <v>755</v>
      </c>
      <c r="N1132" s="52" t="str">
        <f>IF(AND('331-CT'!$E$7=TH!H1132,OR(L1132="331",M1132="331")),"331",IF(AND(OR(L1132="131",M1132="131"),H1132='131-CT'!$E$7),"131",""))</f>
        <v/>
      </c>
      <c r="O1132" s="818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52"/>
      <c r="AB1132" s="552"/>
      <c r="AC1132" s="552"/>
      <c r="AD1132" s="552"/>
      <c r="AE1132" s="552"/>
      <c r="AF1132" s="552"/>
    </row>
    <row r="1133" spans="1:32" s="209" customFormat="1" ht="15.75" customHeight="1">
      <c r="A1133" s="202" t="str">
        <f>IF(B1133&lt;&gt;"",IF(AND(B1133&gt;=_TM1,B1133&lt;=_TM2,OR(TH!L1133="1111",TH!M1133="1111")),TH!D1133,""),"")</f>
        <v/>
      </c>
      <c r="B1133" s="36">
        <f t="shared" si="56"/>
        <v>6</v>
      </c>
      <c r="C1133" s="182">
        <f t="shared" si="57"/>
        <v>42542</v>
      </c>
      <c r="D1133" s="182" t="s">
        <v>665</v>
      </c>
      <c r="E1133" s="189">
        <v>42542</v>
      </c>
      <c r="F1133" s="190" t="s">
        <v>666</v>
      </c>
      <c r="G1133" s="190" t="s">
        <v>330</v>
      </c>
      <c r="H1133" s="191" t="s">
        <v>1268</v>
      </c>
      <c r="I1133" s="251"/>
      <c r="J1133" s="251"/>
      <c r="K1133" s="560">
        <v>13612500</v>
      </c>
      <c r="L1133" s="192" t="s">
        <v>24</v>
      </c>
      <c r="M1133" s="192" t="s">
        <v>258</v>
      </c>
      <c r="N1133" s="52" t="str">
        <f>IF(AND('331-CT'!$E$7=TH!H1133,OR(L1133="331",M1133="331")),"331",IF(AND(OR(L1133="131",M1133="131"),H1133='131-CT'!$E$7),"131",""))</f>
        <v/>
      </c>
      <c r="O1133" s="818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53"/>
      <c r="AB1133" s="552"/>
      <c r="AC1133" s="552"/>
    </row>
    <row r="1134" spans="1:32" s="209" customFormat="1" ht="15.75" customHeight="1">
      <c r="A1134" s="202" t="str">
        <f>IF(B1134&lt;&gt;"",IF(AND(B1134&gt;=_TM1,B1134&lt;=_TM2,OR(TH!L1134="1111",TH!M1134="1111")),TH!D1134,""),"")</f>
        <v/>
      </c>
      <c r="B1134" s="36">
        <f t="shared" si="56"/>
        <v>6</v>
      </c>
      <c r="C1134" s="182">
        <f t="shared" si="57"/>
        <v>42542</v>
      </c>
      <c r="D1134" s="182" t="s">
        <v>1664</v>
      </c>
      <c r="E1134" s="189">
        <v>42542</v>
      </c>
      <c r="F1134" s="190" t="s">
        <v>670</v>
      </c>
      <c r="G1134" s="190" t="s">
        <v>330</v>
      </c>
      <c r="H1134" s="7" t="s">
        <v>675</v>
      </c>
      <c r="I1134" s="251"/>
      <c r="J1134" s="251"/>
      <c r="K1134" s="560">
        <v>13500000</v>
      </c>
      <c r="L1134" s="192" t="s">
        <v>47</v>
      </c>
      <c r="M1134" s="192" t="s">
        <v>24</v>
      </c>
      <c r="N1134" s="52" t="str">
        <f>IF(AND('331-CT'!$E$7=TH!H1134,OR(L1134="331",M1134="331")),"331",IF(AND(OR(L1134="131",M1134="131"),H1134='131-CT'!$E$7),"131",""))</f>
        <v/>
      </c>
      <c r="O1134" s="818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53"/>
      <c r="AB1134" s="552"/>
      <c r="AC1134" s="552"/>
    </row>
    <row r="1135" spans="1:32" s="209" customFormat="1" ht="15.75" customHeight="1">
      <c r="A1135" s="202" t="str">
        <f>IF(B1135&lt;&gt;"",IF(AND(B1135&gt;=_TM1,B1135&lt;=_TM2,OR(TH!L1135="1111",TH!M1135="1111")),TH!D1135,""),"")</f>
        <v/>
      </c>
      <c r="B1135" s="36">
        <f t="shared" si="56"/>
        <v>6</v>
      </c>
      <c r="C1135" s="182">
        <f t="shared" si="57"/>
        <v>42542</v>
      </c>
      <c r="D1135" s="189" t="s">
        <v>1157</v>
      </c>
      <c r="E1135" s="189">
        <v>42542</v>
      </c>
      <c r="F1135" s="187" t="s">
        <v>933</v>
      </c>
      <c r="G1135" s="562" t="s">
        <v>591</v>
      </c>
      <c r="H1135" s="191" t="s">
        <v>609</v>
      </c>
      <c r="I1135" s="251">
        <v>245</v>
      </c>
      <c r="J1135" s="251">
        <v>14700</v>
      </c>
      <c r="K1135" s="38">
        <f>ROUND(I1135*J1135,0)</f>
        <v>3601500</v>
      </c>
      <c r="L1135" s="192" t="s">
        <v>258</v>
      </c>
      <c r="M1135" s="192" t="s">
        <v>173</v>
      </c>
      <c r="N1135" s="52" t="str">
        <f>IF(AND('331-CT'!$E$7=TH!H1135,OR(L1135="331",M1135="331")),"331",IF(AND(OR(L1135="131",M1135="131"),H1135='131-CT'!$E$7),"131",""))</f>
        <v/>
      </c>
      <c r="O1135" s="818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52"/>
      <c r="AB1135" s="552"/>
    </row>
    <row r="1136" spans="1:32" s="209" customFormat="1" ht="15.75" customHeight="1">
      <c r="A1136" s="202" t="str">
        <f>IF(B1136&lt;&gt;"",IF(AND(B1136&gt;=_TM1,B1136&lt;=_TM2,OR(TH!L1136="1111",TH!M1136="1111")),TH!D1136,""),"")</f>
        <v/>
      </c>
      <c r="B1136" s="36">
        <f t="shared" si="56"/>
        <v>6</v>
      </c>
      <c r="C1136" s="182">
        <f t="shared" si="57"/>
        <v>42542</v>
      </c>
      <c r="D1136" s="189" t="s">
        <v>1157</v>
      </c>
      <c r="E1136" s="182">
        <v>42542</v>
      </c>
      <c r="F1136" s="190" t="s">
        <v>1056</v>
      </c>
      <c r="G1136" s="451" t="s">
        <v>591</v>
      </c>
      <c r="H1136" s="191" t="s">
        <v>609</v>
      </c>
      <c r="I1136" s="251">
        <v>30</v>
      </c>
      <c r="J1136" s="251">
        <v>8000</v>
      </c>
      <c r="K1136" s="38">
        <f>ROUND(I1136*J1136,0)</f>
        <v>240000</v>
      </c>
      <c r="L1136" s="192" t="s">
        <v>258</v>
      </c>
      <c r="M1136" s="192" t="s">
        <v>173</v>
      </c>
      <c r="N1136" s="52" t="str">
        <f>IF(AND('331-CT'!$E$7=TH!H1136,OR(L1136="331",M1136="331")),"331",IF(AND(OR(L1136="131",M1136="131"),H1136='131-CT'!$E$7),"131",""))</f>
        <v/>
      </c>
      <c r="O1136" s="818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52"/>
      <c r="AB1136" s="552"/>
      <c r="AC1136" s="552"/>
    </row>
    <row r="1137" spans="1:32" s="209" customFormat="1" ht="15.75" customHeight="1">
      <c r="A1137" s="202" t="str">
        <f>IF(B1137&lt;&gt;"",IF(AND(B1137&gt;=_TM1,B1137&lt;=_TM2,OR(TH!L1137="1111",TH!M1137="1111")),TH!D1137,""),"")</f>
        <v/>
      </c>
      <c r="B1137" s="36">
        <f t="shared" si="56"/>
        <v>6</v>
      </c>
      <c r="C1137" s="182">
        <f t="shared" si="57"/>
        <v>42542</v>
      </c>
      <c r="D1137" s="189" t="s">
        <v>1157</v>
      </c>
      <c r="E1137" s="182">
        <v>42542</v>
      </c>
      <c r="F1137" s="190" t="s">
        <v>480</v>
      </c>
      <c r="G1137" s="451" t="s">
        <v>591</v>
      </c>
      <c r="H1137" s="191" t="s">
        <v>609</v>
      </c>
      <c r="I1137" s="251">
        <v>641</v>
      </c>
      <c r="J1137" s="251">
        <v>9270</v>
      </c>
      <c r="K1137" s="38">
        <f>ROUND(I1137*J1137,0)</f>
        <v>5942070</v>
      </c>
      <c r="L1137" s="192" t="s">
        <v>258</v>
      </c>
      <c r="M1137" s="192" t="s">
        <v>173</v>
      </c>
      <c r="N1137" s="52" t="str">
        <f>IF(AND('331-CT'!$E$7=TH!H1137,OR(L1137="331",M1137="331")),"331",IF(AND(OR(L1137="131",M1137="131"),H1137='131-CT'!$E$7),"131",""))</f>
        <v/>
      </c>
      <c r="O1137" s="818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52"/>
      <c r="AB1137" s="552"/>
      <c r="AC1137" s="552"/>
    </row>
    <row r="1138" spans="1:32" s="209" customFormat="1" ht="15.75" customHeight="1">
      <c r="A1138" s="202" t="str">
        <f>IF(B1138&lt;&gt;"",IF(AND(B1138&gt;=_TM1,B1138&lt;=_TM2,OR(TH!L1138="1111",TH!M1138="1111")),TH!D1138,""),"")</f>
        <v/>
      </c>
      <c r="B1138" s="36">
        <f t="shared" si="56"/>
        <v>6</v>
      </c>
      <c r="C1138" s="182">
        <f t="shared" si="57"/>
        <v>42542</v>
      </c>
      <c r="D1138" s="189" t="s">
        <v>1157</v>
      </c>
      <c r="E1138" s="189">
        <v>42542</v>
      </c>
      <c r="F1138" s="190" t="s">
        <v>1028</v>
      </c>
      <c r="G1138" s="190" t="s">
        <v>591</v>
      </c>
      <c r="H1138" s="191" t="s">
        <v>609</v>
      </c>
      <c r="I1138" s="251"/>
      <c r="J1138" s="251"/>
      <c r="K1138" s="560">
        <v>978357</v>
      </c>
      <c r="L1138" s="192" t="s">
        <v>258</v>
      </c>
      <c r="M1138" s="192" t="s">
        <v>367</v>
      </c>
      <c r="N1138" s="52" t="str">
        <f>IF(AND('331-CT'!$E$7=TH!H1138,OR(L1138="331",M1138="331")),"331",IF(AND(OR(L1138="131",M1138="131"),H1138='131-CT'!$E$7),"131",""))</f>
        <v/>
      </c>
      <c r="O1138" s="818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52"/>
      <c r="AB1138" s="552"/>
      <c r="AC1138" s="552"/>
    </row>
    <row r="1139" spans="1:32" s="209" customFormat="1" ht="15.75" customHeight="1">
      <c r="A1139" s="202" t="str">
        <f>IF(B1139&lt;&gt;"",IF(AND(B1139&gt;=_TM1,B1139&lt;=_TM2,OR(TH!L1139="1111",TH!M1139="1111")),TH!D1139,""),"")</f>
        <v/>
      </c>
      <c r="B1139" s="36">
        <f t="shared" si="56"/>
        <v>6</v>
      </c>
      <c r="C1139" s="182">
        <f t="shared" si="57"/>
        <v>42543</v>
      </c>
      <c r="D1139" s="189" t="s">
        <v>1158</v>
      </c>
      <c r="E1139" s="189">
        <v>42543</v>
      </c>
      <c r="F1139" s="190" t="s">
        <v>436</v>
      </c>
      <c r="G1139" s="190" t="s">
        <v>592</v>
      </c>
      <c r="H1139" s="828" t="s">
        <v>565</v>
      </c>
      <c r="I1139" s="251">
        <v>834</v>
      </c>
      <c r="J1139" s="251">
        <v>5900</v>
      </c>
      <c r="K1139" s="38">
        <f>ROUND(I1139*J1139,0)</f>
        <v>4920600</v>
      </c>
      <c r="L1139" s="192" t="s">
        <v>258</v>
      </c>
      <c r="M1139" s="192" t="s">
        <v>173</v>
      </c>
      <c r="N1139" s="52" t="str">
        <f>IF(AND('331-CT'!$E$7=TH!H1139,OR(L1139="331",M1139="331")),"331",IF(AND(OR(L1139="131",M1139="131"),H1139='131-CT'!$E$7),"131",""))</f>
        <v/>
      </c>
      <c r="O1139" s="818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52"/>
      <c r="AB1139" s="552"/>
    </row>
    <row r="1140" spans="1:32" s="209" customFormat="1" ht="15.75" customHeight="1">
      <c r="A1140" s="202" t="str">
        <f>IF(B1140&lt;&gt;"",IF(AND(B1140&gt;=_TM1,B1140&lt;=_TM2,OR(TH!L1140="1111",TH!M1140="1111")),TH!D1140,""),"")</f>
        <v/>
      </c>
      <c r="B1140" s="36">
        <f t="shared" si="56"/>
        <v>6</v>
      </c>
      <c r="C1140" s="182">
        <f t="shared" si="57"/>
        <v>42543</v>
      </c>
      <c r="D1140" s="189" t="s">
        <v>1158</v>
      </c>
      <c r="E1140" s="189">
        <v>42543</v>
      </c>
      <c r="F1140" s="190" t="s">
        <v>436</v>
      </c>
      <c r="G1140" s="451" t="s">
        <v>592</v>
      </c>
      <c r="H1140" s="828" t="s">
        <v>565</v>
      </c>
      <c r="I1140" s="251">
        <v>322</v>
      </c>
      <c r="J1140" s="251">
        <v>5900</v>
      </c>
      <c r="K1140" s="38">
        <f>ROUND(I1140*J1140,0)</f>
        <v>1899800</v>
      </c>
      <c r="L1140" s="192" t="s">
        <v>258</v>
      </c>
      <c r="M1140" s="192" t="s">
        <v>173</v>
      </c>
      <c r="N1140" s="52" t="str">
        <f>IF(AND('331-CT'!$E$7=TH!H1140,OR(L1140="331",M1140="331")),"331",IF(AND(OR(L1140="131",M1140="131"),H1140='131-CT'!$E$7),"131",""))</f>
        <v/>
      </c>
      <c r="O1140" s="818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52"/>
      <c r="AB1140" s="552"/>
      <c r="AC1140" s="552"/>
    </row>
    <row r="1141" spans="1:32" s="209" customFormat="1" ht="15.75" customHeight="1">
      <c r="A1141" s="202" t="str">
        <f>IF(B1141&lt;&gt;"",IF(AND(B1141&gt;=_TM1,B1141&lt;=_TM2,OR(TH!L1141="1111",TH!M1141="1111")),TH!D1141,""),"")</f>
        <v/>
      </c>
      <c r="B1141" s="36">
        <f t="shared" si="56"/>
        <v>6</v>
      </c>
      <c r="C1141" s="182">
        <f t="shared" si="57"/>
        <v>42543</v>
      </c>
      <c r="D1141" s="189" t="s">
        <v>1158</v>
      </c>
      <c r="E1141" s="189">
        <v>42543</v>
      </c>
      <c r="F1141" s="286" t="s">
        <v>1028</v>
      </c>
      <c r="G1141" s="451" t="s">
        <v>592</v>
      </c>
      <c r="H1141" s="828" t="s">
        <v>565</v>
      </c>
      <c r="I1141" s="251"/>
      <c r="J1141" s="251"/>
      <c r="K1141" s="38">
        <v>682040</v>
      </c>
      <c r="L1141" s="192" t="s">
        <v>258</v>
      </c>
      <c r="M1141" s="192" t="s">
        <v>367</v>
      </c>
      <c r="N1141" s="52" t="str">
        <f>IF(AND('331-CT'!$E$7=TH!H1141,OR(L1141="331",M1141="331")),"331",IF(AND(OR(L1141="131",M1141="131"),H1141='131-CT'!$E$7),"131",""))</f>
        <v/>
      </c>
      <c r="O1141" s="818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52"/>
      <c r="AB1141" s="552"/>
      <c r="AC1141" s="552"/>
    </row>
    <row r="1142" spans="1:32" s="209" customFormat="1" ht="15.75" customHeight="1">
      <c r="A1142" s="202" t="str">
        <f>IF(B1142&lt;&gt;"",IF(AND(B1142&gt;=_TM1,B1142&lt;=_TM2,OR(TH!L1142="1111",TH!M1142="1111")),TH!D1142,""),"")</f>
        <v/>
      </c>
      <c r="B1142" s="36">
        <f t="shared" si="56"/>
        <v>6</v>
      </c>
      <c r="C1142" s="182">
        <f t="shared" si="57"/>
        <v>42543</v>
      </c>
      <c r="D1142" s="189" t="s">
        <v>1159</v>
      </c>
      <c r="E1142" s="691">
        <v>42543</v>
      </c>
      <c r="F1142" s="286" t="s">
        <v>1057</v>
      </c>
      <c r="G1142" s="190" t="s">
        <v>593</v>
      </c>
      <c r="H1142" s="191" t="s">
        <v>609</v>
      </c>
      <c r="I1142" s="251">
        <v>720</v>
      </c>
      <c r="J1142" s="251">
        <v>10300</v>
      </c>
      <c r="K1142" s="38">
        <f>ROUND(I1142*J1142,0)</f>
        <v>7416000</v>
      </c>
      <c r="L1142" s="192" t="s">
        <v>258</v>
      </c>
      <c r="M1142" s="192" t="s">
        <v>173</v>
      </c>
      <c r="N1142" s="52" t="str">
        <f>IF(AND('331-CT'!$E$7=TH!H1142,OR(L1142="331",M1142="331")),"331",IF(AND(OR(L1142="131",M1142="131"),H1142='131-CT'!$E$7),"131",""))</f>
        <v/>
      </c>
      <c r="O1142" s="818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52"/>
      <c r="AB1142" s="552"/>
    </row>
    <row r="1143" spans="1:32" s="209" customFormat="1" ht="15.75" customHeight="1">
      <c r="A1143" s="202" t="str">
        <f>IF(B1143&lt;&gt;"",IF(AND(B1143&gt;=_TM1,B1143&lt;=_TM2,OR(TH!L1143="1111",TH!M1143="1111")),TH!D1143,""),"")</f>
        <v/>
      </c>
      <c r="B1143" s="36">
        <f t="shared" si="56"/>
        <v>6</v>
      </c>
      <c r="C1143" s="182">
        <f t="shared" si="57"/>
        <v>42543</v>
      </c>
      <c r="D1143" s="189" t="s">
        <v>1159</v>
      </c>
      <c r="E1143" s="691">
        <v>42543</v>
      </c>
      <c r="F1143" s="190" t="s">
        <v>1048</v>
      </c>
      <c r="G1143" s="190" t="s">
        <v>593</v>
      </c>
      <c r="H1143" s="191" t="s">
        <v>609</v>
      </c>
      <c r="I1143" s="251">
        <v>12</v>
      </c>
      <c r="J1143" s="251">
        <v>9300</v>
      </c>
      <c r="K1143" s="38">
        <f>ROUND(I1143*J1143,0)</f>
        <v>111600</v>
      </c>
      <c r="L1143" s="192" t="s">
        <v>258</v>
      </c>
      <c r="M1143" s="192" t="s">
        <v>173</v>
      </c>
      <c r="N1143" s="52" t="str">
        <f>IF(AND('331-CT'!$E$7=TH!H1143,OR(L1143="331",M1143="331")),"331",IF(AND(OR(L1143="131",M1143="131"),H1143='131-CT'!$E$7),"131",""))</f>
        <v/>
      </c>
      <c r="O1143" s="818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52"/>
      <c r="AB1143" s="552"/>
      <c r="AC1143" s="552"/>
    </row>
    <row r="1144" spans="1:32" s="209" customFormat="1" ht="15.75" customHeight="1">
      <c r="A1144" s="202" t="str">
        <f>IF(B1144&lt;&gt;"",IF(AND(B1144&gt;=_TM1,B1144&lt;=_TM2,OR(TH!L1144="1111",TH!M1144="1111")),TH!D1144,""),"")</f>
        <v/>
      </c>
      <c r="B1144" s="36">
        <f t="shared" si="56"/>
        <v>6</v>
      </c>
      <c r="C1144" s="182">
        <f t="shared" si="57"/>
        <v>42543</v>
      </c>
      <c r="D1144" s="189" t="s">
        <v>1159</v>
      </c>
      <c r="E1144" s="691">
        <v>42543</v>
      </c>
      <c r="F1144" s="837" t="s">
        <v>1028</v>
      </c>
      <c r="G1144" s="190" t="s">
        <v>593</v>
      </c>
      <c r="H1144" s="191" t="s">
        <v>609</v>
      </c>
      <c r="I1144" s="251"/>
      <c r="J1144" s="251"/>
      <c r="K1144" s="560">
        <v>752760</v>
      </c>
      <c r="L1144" s="192" t="s">
        <v>258</v>
      </c>
      <c r="M1144" s="192" t="s">
        <v>367</v>
      </c>
      <c r="N1144" s="52" t="str">
        <f>IF(AND('331-CT'!$E$7=TH!H1144,OR(L1144="331",M1144="331")),"331",IF(AND(OR(L1144="131",M1144="131"),H1144='131-CT'!$E$7),"131",""))</f>
        <v/>
      </c>
      <c r="O1144" s="818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52"/>
      <c r="AB1144" s="552"/>
    </row>
    <row r="1145" spans="1:32" s="209" customFormat="1" ht="15.75" customHeight="1">
      <c r="A1145" s="202" t="str">
        <f>IF(B1145&lt;&gt;"",IF(AND(B1145&gt;=_TM1,B1145&lt;=_TM2,OR(TH!L1145="1111",TH!M1145="1111")),TH!D1145,""),"")</f>
        <v/>
      </c>
      <c r="B1145" s="36">
        <f t="shared" si="56"/>
        <v>6</v>
      </c>
      <c r="C1145" s="182">
        <f t="shared" si="57"/>
        <v>42544</v>
      </c>
      <c r="D1145" s="182" t="s">
        <v>1666</v>
      </c>
      <c r="E1145" s="182">
        <v>42544</v>
      </c>
      <c r="F1145" s="187" t="s">
        <v>776</v>
      </c>
      <c r="G1145" s="448" t="s">
        <v>756</v>
      </c>
      <c r="H1145" s="191" t="s">
        <v>673</v>
      </c>
      <c r="I1145" s="251"/>
      <c r="J1145" s="251"/>
      <c r="K1145" s="560">
        <v>99000000</v>
      </c>
      <c r="L1145" s="561" t="s">
        <v>47</v>
      </c>
      <c r="M1145" s="561" t="s">
        <v>24</v>
      </c>
      <c r="N1145" s="52" t="str">
        <f>IF(AND('331-CT'!$E$7=TH!H1145,OR(L1145="331",M1145="331")),"331",IF(AND(OR(L1145="131",M1145="131"),H1145='131-CT'!$E$7),"131",""))</f>
        <v/>
      </c>
      <c r="O1145" s="818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52"/>
      <c r="AB1145" s="552"/>
      <c r="AC1145" s="552"/>
      <c r="AD1145" s="552"/>
      <c r="AE1145" s="552"/>
      <c r="AF1145" s="552"/>
    </row>
    <row r="1146" spans="1:32" s="209" customFormat="1" ht="15.75" customHeight="1">
      <c r="A1146" s="202" t="str">
        <f>IF(B1146&lt;&gt;"",IF(AND(B1146&gt;=_TM1,B1146&lt;=_TM2,OR(TH!L1146="1111",TH!M1146="1111")),TH!D1146,""),"")</f>
        <v/>
      </c>
      <c r="B1146" s="36">
        <f t="shared" si="56"/>
        <v>6</v>
      </c>
      <c r="C1146" s="182">
        <f t="shared" si="57"/>
        <v>42544</v>
      </c>
      <c r="D1146" s="182" t="s">
        <v>1658</v>
      </c>
      <c r="E1146" s="189">
        <v>42544</v>
      </c>
      <c r="F1146" s="190" t="s">
        <v>668</v>
      </c>
      <c r="G1146" s="190" t="s">
        <v>330</v>
      </c>
      <c r="H1146" s="191" t="s">
        <v>782</v>
      </c>
      <c r="I1146" s="251"/>
      <c r="J1146" s="251"/>
      <c r="K1146" s="560">
        <v>70000000</v>
      </c>
      <c r="L1146" s="192" t="s">
        <v>24</v>
      </c>
      <c r="M1146" s="192" t="s">
        <v>47</v>
      </c>
      <c r="N1146" s="52" t="str">
        <f>IF(AND('331-CT'!$E$7=TH!H1146,OR(L1146="331",M1146="331")),"331",IF(AND(OR(L1146="131",M1146="131"),H1146='131-CT'!$E$7),"131",""))</f>
        <v/>
      </c>
      <c r="O1146" s="818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53"/>
      <c r="AB1146" s="552"/>
      <c r="AC1146" s="552"/>
    </row>
    <row r="1147" spans="1:32" s="209" customFormat="1" ht="15.75" customHeight="1">
      <c r="A1147" s="202" t="str">
        <f>IF(B1147&lt;&gt;"",IF(AND(B1147&gt;=_TM1,B1147&lt;=_TM2,OR(TH!L1147="1111",TH!M1147="1111")),TH!D1147,""),"")</f>
        <v/>
      </c>
      <c r="B1147" s="36">
        <f t="shared" si="56"/>
        <v>6</v>
      </c>
      <c r="C1147" s="182">
        <f t="shared" si="57"/>
        <v>42544</v>
      </c>
      <c r="D1147" s="182" t="s">
        <v>669</v>
      </c>
      <c r="E1147" s="189">
        <v>42544</v>
      </c>
      <c r="F1147" s="190" t="s">
        <v>671</v>
      </c>
      <c r="G1147" s="190" t="s">
        <v>330</v>
      </c>
      <c r="H1147" s="7" t="s">
        <v>855</v>
      </c>
      <c r="I1147" s="251"/>
      <c r="J1147" s="251"/>
      <c r="K1147" s="560">
        <v>30000000</v>
      </c>
      <c r="L1147" s="192" t="s">
        <v>8</v>
      </c>
      <c r="M1147" s="192" t="s">
        <v>24</v>
      </c>
      <c r="N1147" s="52" t="str">
        <f>IF(AND('331-CT'!$E$7=TH!H1147,OR(L1147="331",M1147="331")),"331",IF(AND(OR(L1147="131",M1147="131"),H1147='131-CT'!$E$7),"131",""))</f>
        <v/>
      </c>
      <c r="O1147" s="818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53"/>
      <c r="AB1147" s="552"/>
      <c r="AC1147" s="552"/>
    </row>
    <row r="1148" spans="1:32" s="209" customFormat="1" ht="15.75" customHeight="1">
      <c r="A1148" s="202" t="str">
        <f>IF(B1148&lt;&gt;"",IF(AND(B1148&gt;=_TM1,B1148&lt;=_TM2,OR(TH!L1148="1111",TH!M1148="1111")),TH!D1148,""),"")</f>
        <v/>
      </c>
      <c r="B1148" s="36">
        <f t="shared" si="56"/>
        <v>6</v>
      </c>
      <c r="C1148" s="182">
        <f t="shared" si="57"/>
        <v>42544</v>
      </c>
      <c r="D1148" s="182" t="s">
        <v>669</v>
      </c>
      <c r="E1148" s="189">
        <v>42544</v>
      </c>
      <c r="F1148" s="190" t="s">
        <v>671</v>
      </c>
      <c r="G1148" s="190" t="s">
        <v>330</v>
      </c>
      <c r="H1148" s="7" t="s">
        <v>834</v>
      </c>
      <c r="I1148" s="251"/>
      <c r="J1148" s="251"/>
      <c r="K1148" s="560">
        <v>20000000</v>
      </c>
      <c r="L1148" s="192" t="s">
        <v>8</v>
      </c>
      <c r="M1148" s="192" t="s">
        <v>24</v>
      </c>
      <c r="N1148" s="52" t="str">
        <f>IF(AND('331-CT'!$E$7=TH!H1148,OR(L1148="331",M1148="331")),"331",IF(AND(OR(L1148="131",M1148="131"),H1148='131-CT'!$E$7),"131",""))</f>
        <v/>
      </c>
      <c r="O1148" s="818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53"/>
      <c r="AB1148" s="552"/>
      <c r="AC1148" s="552"/>
    </row>
    <row r="1149" spans="1:32" s="209" customFormat="1" ht="15.75" customHeight="1">
      <c r="A1149" s="202" t="str">
        <f>IF(B1149&lt;&gt;"",IF(AND(B1149&gt;=_TM1,B1149&lt;=_TM2,OR(TH!L1149="1111",TH!M1149="1111")),TH!D1149,""),"")</f>
        <v/>
      </c>
      <c r="B1149" s="36">
        <f t="shared" si="56"/>
        <v>6</v>
      </c>
      <c r="C1149" s="182">
        <f t="shared" si="57"/>
        <v>42544</v>
      </c>
      <c r="D1149" s="182" t="s">
        <v>669</v>
      </c>
      <c r="E1149" s="189">
        <v>42544</v>
      </c>
      <c r="F1149" s="190" t="s">
        <v>671</v>
      </c>
      <c r="G1149" s="190" t="s">
        <v>330</v>
      </c>
      <c r="H1149" s="7" t="s">
        <v>829</v>
      </c>
      <c r="I1149" s="251"/>
      <c r="J1149" s="251"/>
      <c r="K1149" s="560">
        <v>20000000</v>
      </c>
      <c r="L1149" s="192" t="s">
        <v>8</v>
      </c>
      <c r="M1149" s="192" t="s">
        <v>24</v>
      </c>
      <c r="N1149" s="52" t="str">
        <f>IF(AND('331-CT'!$E$7=TH!H1149,OR(L1149="331",M1149="331")),"331",IF(AND(OR(L1149="131",M1149="131"),H1149='131-CT'!$E$7),"131",""))</f>
        <v/>
      </c>
      <c r="O1149" s="818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53"/>
      <c r="AB1149" s="552"/>
      <c r="AC1149" s="552"/>
    </row>
    <row r="1150" spans="1:32" s="209" customFormat="1" ht="15.75" customHeight="1">
      <c r="A1150" s="202" t="str">
        <f>IF(B1150&lt;&gt;"",IF(AND(B1150&gt;=_TM1,B1150&lt;=_TM2,OR(TH!L1150="1111",TH!M1150="1111")),TH!D1150,""),"")</f>
        <v/>
      </c>
      <c r="B1150" s="36">
        <f t="shared" si="56"/>
        <v>6</v>
      </c>
      <c r="C1150" s="182">
        <f t="shared" si="57"/>
        <v>42544</v>
      </c>
      <c r="D1150" s="182" t="s">
        <v>669</v>
      </c>
      <c r="E1150" s="189">
        <v>42544</v>
      </c>
      <c r="F1150" s="837" t="s">
        <v>674</v>
      </c>
      <c r="G1150" s="190" t="s">
        <v>330</v>
      </c>
      <c r="H1150" s="7"/>
      <c r="I1150" s="251"/>
      <c r="J1150" s="251"/>
      <c r="K1150" s="560">
        <v>19021</v>
      </c>
      <c r="L1150" s="192" t="s">
        <v>83</v>
      </c>
      <c r="M1150" s="192" t="s">
        <v>24</v>
      </c>
      <c r="N1150" s="52" t="str">
        <f>IF(AND('331-CT'!$E$7=TH!H1150,OR(L1150="331",M1150="331")),"331",IF(AND(OR(L1150="131",M1150="131"),H1150='131-CT'!$E$7),"131",""))</f>
        <v/>
      </c>
      <c r="O1150" s="818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>x</v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52">
        <v>2</v>
      </c>
      <c r="AB1150" s="552"/>
    </row>
    <row r="1151" spans="1:32" s="209" customFormat="1" ht="15.75" customHeight="1">
      <c r="A1151" s="202" t="str">
        <f>IF(B1151&lt;&gt;"",IF(AND(B1151&gt;=_TM1,B1151&lt;=_TM2,OR(TH!L1151="1111",TH!M1151="1111")),TH!D1151,""),"")</f>
        <v/>
      </c>
      <c r="B1151" s="36">
        <f t="shared" si="56"/>
        <v>6</v>
      </c>
      <c r="C1151" s="182">
        <f t="shared" si="57"/>
        <v>42544</v>
      </c>
      <c r="D1151" s="182" t="s">
        <v>669</v>
      </c>
      <c r="E1151" s="189">
        <v>42544</v>
      </c>
      <c r="F1151" s="187" t="s">
        <v>794</v>
      </c>
      <c r="G1151" s="190" t="s">
        <v>330</v>
      </c>
      <c r="H1151" s="7"/>
      <c r="I1151" s="251"/>
      <c r="J1151" s="251"/>
      <c r="K1151" s="560">
        <v>1902</v>
      </c>
      <c r="L1151" s="192" t="s">
        <v>9</v>
      </c>
      <c r="M1151" s="192" t="s">
        <v>24</v>
      </c>
      <c r="N1151" s="52" t="str">
        <f>IF(AND('331-CT'!$E$7=TH!H1151,OR(L1151="331",M1151="331")),"331",IF(AND(OR(L1151="131",M1151="131"),H1151='131-CT'!$E$7),"131",""))</f>
        <v/>
      </c>
      <c r="O1151" s="818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52">
        <v>2</v>
      </c>
      <c r="AB1151" s="552"/>
      <c r="AC1151" s="552"/>
    </row>
    <row r="1152" spans="1:32" s="209" customFormat="1" ht="15.75" customHeight="1">
      <c r="A1152" s="202" t="str">
        <f>IF(B1152&lt;&gt;"",IF(AND(B1152&gt;=_TM1,B1152&lt;=_TM2,OR(TH!L1152="1111",TH!M1152="1111")),TH!D1152,""),"")</f>
        <v/>
      </c>
      <c r="B1152" s="36">
        <f t="shared" si="56"/>
        <v>6</v>
      </c>
      <c r="C1152" s="182">
        <f t="shared" si="57"/>
        <v>42544</v>
      </c>
      <c r="D1152" s="182" t="s">
        <v>669</v>
      </c>
      <c r="E1152" s="189">
        <v>42544</v>
      </c>
      <c r="F1152" s="190" t="s">
        <v>672</v>
      </c>
      <c r="G1152" s="190" t="s">
        <v>330</v>
      </c>
      <c r="H1152" s="7"/>
      <c r="I1152" s="251"/>
      <c r="J1152" s="251"/>
      <c r="K1152" s="560">
        <v>13636</v>
      </c>
      <c r="L1152" s="192" t="s">
        <v>83</v>
      </c>
      <c r="M1152" s="192" t="s">
        <v>24</v>
      </c>
      <c r="N1152" s="52" t="str">
        <f>IF(AND('331-CT'!$E$7=TH!H1152,OR(L1152="331",M1152="331")),"331",IF(AND(OR(L1152="131",M1152="131"),H1152='131-CT'!$E$7),"131",""))</f>
        <v/>
      </c>
      <c r="O1152" s="818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>x</v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52">
        <v>2</v>
      </c>
      <c r="AB1152" s="552"/>
      <c r="AC1152" s="552"/>
    </row>
    <row r="1153" spans="1:29" s="209" customFormat="1" ht="15.75" customHeight="1">
      <c r="A1153" s="202" t="str">
        <f>IF(B1153&lt;&gt;"",IF(AND(B1153&gt;=_TM1,B1153&lt;=_TM2,OR(TH!L1153="1111",TH!M1153="1111")),TH!D1153,""),"")</f>
        <v/>
      </c>
      <c r="B1153" s="36">
        <f t="shared" si="56"/>
        <v>6</v>
      </c>
      <c r="C1153" s="182">
        <f t="shared" si="57"/>
        <v>42544</v>
      </c>
      <c r="D1153" s="182" t="s">
        <v>669</v>
      </c>
      <c r="E1153" s="189">
        <v>42544</v>
      </c>
      <c r="F1153" s="190" t="s">
        <v>762</v>
      </c>
      <c r="G1153" s="190" t="s">
        <v>330</v>
      </c>
      <c r="H1153" s="7"/>
      <c r="I1153" s="251"/>
      <c r="J1153" s="251"/>
      <c r="K1153" s="560">
        <v>1364</v>
      </c>
      <c r="L1153" s="192" t="s">
        <v>9</v>
      </c>
      <c r="M1153" s="192" t="s">
        <v>24</v>
      </c>
      <c r="N1153" s="52" t="str">
        <f>IF(AND('331-CT'!$E$7=TH!H1153,OR(L1153="331",M1153="331")),"331",IF(AND(OR(L1153="131",M1153="131"),H1153='131-CT'!$E$7),"131",""))</f>
        <v/>
      </c>
      <c r="O1153" s="818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52">
        <v>2</v>
      </c>
      <c r="AB1153" s="552"/>
    </row>
    <row r="1154" spans="1:29" s="209" customFormat="1" ht="15.75" customHeight="1">
      <c r="A1154" s="202" t="str">
        <f>IF(B1154&lt;&gt;"",IF(AND(B1154&gt;=_TM1,B1154&lt;=_TM2,OR(TH!L1154="1111",TH!M1154="1111")),TH!D1154,""),"")</f>
        <v/>
      </c>
      <c r="B1154" s="36">
        <f t="shared" si="56"/>
        <v>6</v>
      </c>
      <c r="C1154" s="182">
        <f t="shared" si="57"/>
        <v>42544</v>
      </c>
      <c r="D1154" s="189" t="s">
        <v>1160</v>
      </c>
      <c r="E1154" s="691">
        <v>42544</v>
      </c>
      <c r="F1154" s="190" t="s">
        <v>1058</v>
      </c>
      <c r="G1154" s="190" t="s">
        <v>595</v>
      </c>
      <c r="H1154" s="7" t="s">
        <v>797</v>
      </c>
      <c r="I1154" s="251">
        <v>304</v>
      </c>
      <c r="J1154" s="251">
        <v>8900</v>
      </c>
      <c r="K1154" s="38">
        <f>ROUND(I1154*J1154,0)</f>
        <v>2705600</v>
      </c>
      <c r="L1154" s="192" t="s">
        <v>258</v>
      </c>
      <c r="M1154" s="192" t="s">
        <v>173</v>
      </c>
      <c r="N1154" s="52" t="str">
        <f>IF(AND('331-CT'!$E$7=TH!H1154,OR(L1154="331",M1154="331")),"331",IF(AND(OR(L1154="131",M1154="131"),H1154='131-CT'!$E$7),"131",""))</f>
        <v/>
      </c>
      <c r="O1154" s="818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52"/>
      <c r="AB1154" s="552"/>
      <c r="AC1154" s="552"/>
    </row>
    <row r="1155" spans="1:29" s="209" customFormat="1" ht="15.75" customHeight="1">
      <c r="A1155" s="202" t="str">
        <f>IF(B1155&lt;&gt;"",IF(AND(B1155&gt;=_TM1,B1155&lt;=_TM2,OR(TH!L1155="1111",TH!M1155="1111")),TH!D1155,""),"")</f>
        <v/>
      </c>
      <c r="B1155" s="36">
        <f t="shared" si="56"/>
        <v>6</v>
      </c>
      <c r="C1155" s="182">
        <f t="shared" si="57"/>
        <v>42544</v>
      </c>
      <c r="D1155" s="189" t="s">
        <v>1160</v>
      </c>
      <c r="E1155" s="691">
        <v>42544</v>
      </c>
      <c r="F1155" s="187" t="s">
        <v>1028</v>
      </c>
      <c r="G1155" s="190" t="s">
        <v>595</v>
      </c>
      <c r="H1155" s="7" t="s">
        <v>797</v>
      </c>
      <c r="I1155" s="251"/>
      <c r="J1155" s="251"/>
      <c r="K1155" s="560">
        <v>270560</v>
      </c>
      <c r="L1155" s="192" t="s">
        <v>258</v>
      </c>
      <c r="M1155" s="192" t="s">
        <v>367</v>
      </c>
      <c r="N1155" s="52" t="str">
        <f>IF(AND('331-CT'!$E$7=TH!H1155,OR(L1155="331",M1155="331")),"331",IF(AND(OR(L1155="131",M1155="131"),H1155='131-CT'!$E$7),"131",""))</f>
        <v/>
      </c>
      <c r="O1155" s="818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52"/>
      <c r="AB1155" s="552"/>
      <c r="AC1155" s="552"/>
    </row>
    <row r="1156" spans="1:29" s="209" customFormat="1" ht="15.75" customHeight="1">
      <c r="A1156" s="202" t="str">
        <f>IF(B1156&lt;&gt;"",IF(AND(B1156&gt;=_TM1,B1156&lt;=_TM2,OR(TH!L1156="1111",TH!M1156="1111")),TH!D1156,""),"")</f>
        <v/>
      </c>
      <c r="B1156" s="36">
        <f t="shared" si="56"/>
        <v>6</v>
      </c>
      <c r="C1156" s="182">
        <f t="shared" si="57"/>
        <v>42545</v>
      </c>
      <c r="D1156" s="182" t="s">
        <v>665</v>
      </c>
      <c r="E1156" s="189">
        <v>42545</v>
      </c>
      <c r="F1156" s="190" t="s">
        <v>666</v>
      </c>
      <c r="G1156" s="190" t="s">
        <v>330</v>
      </c>
      <c r="H1156" s="191" t="s">
        <v>609</v>
      </c>
      <c r="I1156" s="251"/>
      <c r="J1156" s="251"/>
      <c r="K1156" s="560">
        <v>20820360</v>
      </c>
      <c r="L1156" s="192" t="s">
        <v>24</v>
      </c>
      <c r="M1156" s="192" t="s">
        <v>258</v>
      </c>
      <c r="N1156" s="52" t="str">
        <f>IF(AND('331-CT'!$E$7=TH!H1156,OR(L1156="331",M1156="331")),"331",IF(AND(OR(L1156="131",M1156="131"),H1156='131-CT'!$E$7),"131",""))</f>
        <v/>
      </c>
      <c r="O1156" s="818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53"/>
      <c r="AB1156" s="552"/>
      <c r="AC1156" s="552"/>
    </row>
    <row r="1157" spans="1:29" s="209" customFormat="1" ht="15.75" customHeight="1">
      <c r="A1157" s="202" t="str">
        <f>IF(B1157&lt;&gt;"",IF(AND(B1157&gt;=_TM1,B1157&lt;=_TM2,OR(TH!L1157="1111",TH!M1157="1111")),TH!D1157,""),"")</f>
        <v/>
      </c>
      <c r="B1157" s="36">
        <f t="shared" si="56"/>
        <v>6</v>
      </c>
      <c r="C1157" s="182">
        <f t="shared" si="57"/>
        <v>42545</v>
      </c>
      <c r="D1157" s="182" t="s">
        <v>665</v>
      </c>
      <c r="E1157" s="189">
        <v>42545</v>
      </c>
      <c r="F1157" s="190" t="s">
        <v>666</v>
      </c>
      <c r="G1157" s="190" t="s">
        <v>330</v>
      </c>
      <c r="H1157" s="711" t="s">
        <v>777</v>
      </c>
      <c r="I1157" s="251"/>
      <c r="J1157" s="251"/>
      <c r="K1157" s="560">
        <v>11226260</v>
      </c>
      <c r="L1157" s="192" t="s">
        <v>24</v>
      </c>
      <c r="M1157" s="192" t="s">
        <v>258</v>
      </c>
      <c r="N1157" s="52" t="str">
        <f>IF(AND('331-CT'!$E$7=TH!H1157,OR(L1157="331",M1157="331")),"331",IF(AND(OR(L1157="131",M1157="131"),H1157='131-CT'!$E$7),"131",""))</f>
        <v>131</v>
      </c>
      <c r="O1157" s="818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53"/>
      <c r="AB1157" s="552"/>
      <c r="AC1157" s="552"/>
    </row>
    <row r="1158" spans="1:29" s="209" customFormat="1" ht="15.75" customHeight="1">
      <c r="A1158" s="202" t="str">
        <f>IF(B1158&lt;&gt;"",IF(AND(B1158&gt;=_TM1,B1158&lt;=_TM2,OR(TH!L1158="1111",TH!M1158="1111")),TH!D1158,""),"")</f>
        <v/>
      </c>
      <c r="B1158" s="36">
        <f t="shared" si="56"/>
        <v>6</v>
      </c>
      <c r="C1158" s="182">
        <f t="shared" si="57"/>
        <v>42545</v>
      </c>
      <c r="D1158" s="189" t="s">
        <v>1161</v>
      </c>
      <c r="E1158" s="691">
        <v>42545</v>
      </c>
      <c r="F1158" s="190" t="s">
        <v>436</v>
      </c>
      <c r="G1158" s="190" t="s">
        <v>596</v>
      </c>
      <c r="H1158" s="828" t="s">
        <v>565</v>
      </c>
      <c r="I1158" s="251">
        <v>534</v>
      </c>
      <c r="J1158" s="251">
        <v>5900</v>
      </c>
      <c r="K1158" s="38">
        <f>ROUND(I1158*J1158,0)</f>
        <v>3150600</v>
      </c>
      <c r="L1158" s="192" t="s">
        <v>258</v>
      </c>
      <c r="M1158" s="192" t="s">
        <v>173</v>
      </c>
      <c r="N1158" s="52" t="str">
        <f>IF(AND('331-CT'!$E$7=TH!H1158,OR(L1158="331",M1158="331")),"331",IF(AND(OR(L1158="131",M1158="131"),H1158='131-CT'!$E$7),"131",""))</f>
        <v/>
      </c>
      <c r="O1158" s="818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52"/>
      <c r="AB1158" s="552"/>
      <c r="AC1158" s="552"/>
    </row>
    <row r="1159" spans="1:29" s="209" customFormat="1" ht="15.75" customHeight="1">
      <c r="A1159" s="202" t="str">
        <f>IF(B1159&lt;&gt;"",IF(AND(B1159&gt;=_TM1,B1159&lt;=_TM2,OR(TH!L1159="1111",TH!M1159="1111")),TH!D1159,""),"")</f>
        <v/>
      </c>
      <c r="B1159" s="36">
        <f t="shared" si="56"/>
        <v>6</v>
      </c>
      <c r="C1159" s="182">
        <f t="shared" si="57"/>
        <v>42545</v>
      </c>
      <c r="D1159" s="189" t="s">
        <v>1161</v>
      </c>
      <c r="E1159" s="691">
        <v>42545</v>
      </c>
      <c r="F1159" s="190" t="s">
        <v>436</v>
      </c>
      <c r="G1159" s="190" t="s">
        <v>596</v>
      </c>
      <c r="H1159" s="828" t="s">
        <v>565</v>
      </c>
      <c r="I1159" s="251">
        <v>99</v>
      </c>
      <c r="J1159" s="251">
        <v>5900</v>
      </c>
      <c r="K1159" s="38">
        <f>ROUND(I1159*J1159,0)</f>
        <v>584100</v>
      </c>
      <c r="L1159" s="192" t="s">
        <v>258</v>
      </c>
      <c r="M1159" s="192" t="s">
        <v>173</v>
      </c>
      <c r="N1159" s="52" t="str">
        <f>IF(AND('331-CT'!$E$7=TH!H1159,OR(L1159="331",M1159="331")),"331",IF(AND(OR(L1159="131",M1159="131"),H1159='131-CT'!$E$7),"131",""))</f>
        <v/>
      </c>
      <c r="O1159" s="818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52"/>
      <c r="AB1159" s="552"/>
    </row>
    <row r="1160" spans="1:29" s="209" customFormat="1" ht="15.75" customHeight="1">
      <c r="A1160" s="202" t="str">
        <f>IF(B1160&lt;&gt;"",IF(AND(B1160&gt;=_TM1,B1160&lt;=_TM2,OR(TH!L1160="1111",TH!M1160="1111")),TH!D1160,""),"")</f>
        <v/>
      </c>
      <c r="B1160" s="36">
        <f t="shared" si="56"/>
        <v>6</v>
      </c>
      <c r="C1160" s="182">
        <f t="shared" si="57"/>
        <v>42545</v>
      </c>
      <c r="D1160" s="189" t="s">
        <v>1161</v>
      </c>
      <c r="E1160" s="691">
        <v>42545</v>
      </c>
      <c r="F1160" s="187" t="s">
        <v>1028</v>
      </c>
      <c r="G1160" s="190" t="s">
        <v>596</v>
      </c>
      <c r="H1160" s="828" t="s">
        <v>565</v>
      </c>
      <c r="I1160" s="251"/>
      <c r="J1160" s="251"/>
      <c r="K1160" s="560">
        <v>373470</v>
      </c>
      <c r="L1160" s="192" t="s">
        <v>258</v>
      </c>
      <c r="M1160" s="192" t="s">
        <v>367</v>
      </c>
      <c r="N1160" s="52" t="str">
        <f>IF(AND('331-CT'!$E$7=TH!H1160,OR(L1160="331",M1160="331")),"331",IF(AND(OR(L1160="131",M1160="131"),H1160='131-CT'!$E$7),"131",""))</f>
        <v/>
      </c>
      <c r="O1160" s="818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52"/>
      <c r="AB1160" s="552"/>
      <c r="AC1160" s="552"/>
    </row>
    <row r="1161" spans="1:29" s="209" customFormat="1" ht="15.75" customHeight="1">
      <c r="A1161" s="202" t="str">
        <f>IF(B1161&lt;&gt;"",IF(AND(B1161&gt;=_TM1,B1161&lt;=_TM2,OR(TH!L1161="1111",TH!M1161="1111")),TH!D1161,""),"")</f>
        <v/>
      </c>
      <c r="B1161" s="36">
        <f t="shared" si="56"/>
        <v>6</v>
      </c>
      <c r="C1161" s="182">
        <f t="shared" si="57"/>
        <v>42545</v>
      </c>
      <c r="D1161" s="189" t="s">
        <v>1162</v>
      </c>
      <c r="E1161" s="691">
        <v>42545</v>
      </c>
      <c r="F1161" s="40" t="s">
        <v>680</v>
      </c>
      <c r="G1161" s="190" t="s">
        <v>598</v>
      </c>
      <c r="H1161" s="711" t="s">
        <v>777</v>
      </c>
      <c r="I1161" s="251">
        <v>210</v>
      </c>
      <c r="J1161" s="251">
        <v>9300</v>
      </c>
      <c r="K1161" s="38">
        <f>ROUND(I1161*J1161,0)</f>
        <v>1953000</v>
      </c>
      <c r="L1161" s="192" t="s">
        <v>258</v>
      </c>
      <c r="M1161" s="192" t="s">
        <v>173</v>
      </c>
      <c r="N1161" s="52" t="str">
        <f>IF(AND('331-CT'!$E$7=TH!H1161,OR(L1161="331",M1161="331")),"331",IF(AND(OR(L1161="131",M1161="131"),H1161='131-CT'!$E$7),"131",""))</f>
        <v>131</v>
      </c>
      <c r="O1161" s="818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52"/>
      <c r="AB1161" s="552"/>
    </row>
    <row r="1162" spans="1:29" s="209" customFormat="1" ht="15.75" customHeight="1">
      <c r="A1162" s="202" t="str">
        <f>IF(B1162&lt;&gt;"",IF(AND(B1162&gt;=_TM1,B1162&lt;=_TM2,OR(TH!L1162="1111",TH!M1162="1111")),TH!D1162,""),"")</f>
        <v/>
      </c>
      <c r="B1162" s="36">
        <f t="shared" si="56"/>
        <v>6</v>
      </c>
      <c r="C1162" s="182">
        <f t="shared" si="57"/>
        <v>42545</v>
      </c>
      <c r="D1162" s="189" t="s">
        <v>1162</v>
      </c>
      <c r="E1162" s="182">
        <v>42545</v>
      </c>
      <c r="F1162" s="187" t="s">
        <v>1059</v>
      </c>
      <c r="G1162" s="562" t="s">
        <v>598</v>
      </c>
      <c r="H1162" s="711" t="s">
        <v>777</v>
      </c>
      <c r="I1162" s="251"/>
      <c r="J1162" s="251"/>
      <c r="K1162" s="560">
        <v>195300</v>
      </c>
      <c r="L1162" s="192" t="s">
        <v>258</v>
      </c>
      <c r="M1162" s="192" t="s">
        <v>367</v>
      </c>
      <c r="N1162" s="52" t="str">
        <f>IF(AND('331-CT'!$E$7=TH!H1162,OR(L1162="331",M1162="331")),"331",IF(AND(OR(L1162="131",M1162="131"),H1162='131-CT'!$E$7),"131",""))</f>
        <v>131</v>
      </c>
      <c r="O1162" s="818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52"/>
      <c r="AB1162" s="552"/>
      <c r="AC1162" s="552"/>
    </row>
    <row r="1163" spans="1:29" s="209" customFormat="1" ht="15.75" customHeight="1">
      <c r="A1163" s="202" t="str">
        <f>IF(B1163&lt;&gt;"",IF(AND(B1163&gt;=_TM1,B1163&lt;=_TM2,OR(TH!L1163="1111",TH!M1163="1111")),TH!D1163,""),"")</f>
        <v/>
      </c>
      <c r="B1163" s="36">
        <f t="shared" si="56"/>
        <v>6</v>
      </c>
      <c r="C1163" s="182">
        <f t="shared" si="57"/>
        <v>42545</v>
      </c>
      <c r="D1163" s="189" t="s">
        <v>1163</v>
      </c>
      <c r="E1163" s="182">
        <v>42545</v>
      </c>
      <c r="F1163" s="187" t="s">
        <v>429</v>
      </c>
      <c r="G1163" s="562" t="s">
        <v>599</v>
      </c>
      <c r="H1163" s="191" t="s">
        <v>1060</v>
      </c>
      <c r="I1163" s="251">
        <v>628</v>
      </c>
      <c r="J1163" s="251">
        <v>14000</v>
      </c>
      <c r="K1163" s="38">
        <f>ROUND(I1163*J1163,0)</f>
        <v>8792000</v>
      </c>
      <c r="L1163" s="192" t="s">
        <v>258</v>
      </c>
      <c r="M1163" s="192" t="s">
        <v>173</v>
      </c>
      <c r="N1163" s="52" t="str">
        <f>IF(AND('331-CT'!$E$7=TH!H1163,OR(L1163="331",M1163="331")),"331",IF(AND(OR(L1163="131",M1163="131"),H1163='131-CT'!$E$7),"131",""))</f>
        <v/>
      </c>
      <c r="O1163" s="818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52"/>
      <c r="AB1163" s="552"/>
    </row>
    <row r="1164" spans="1:29" s="209" customFormat="1" ht="15.75" customHeight="1">
      <c r="A1164" s="202" t="str">
        <f>IF(B1164&lt;&gt;"",IF(AND(B1164&gt;=_TM1,B1164&lt;=_TM2,OR(TH!L1164="1111",TH!M1164="1111")),TH!D1164,""),"")</f>
        <v/>
      </c>
      <c r="B1164" s="36">
        <f t="shared" si="56"/>
        <v>6</v>
      </c>
      <c r="C1164" s="182">
        <f t="shared" si="57"/>
        <v>42545</v>
      </c>
      <c r="D1164" s="189" t="s">
        <v>1163</v>
      </c>
      <c r="E1164" s="182">
        <v>42545</v>
      </c>
      <c r="F1164" s="187" t="s">
        <v>1028</v>
      </c>
      <c r="G1164" s="562" t="s">
        <v>599</v>
      </c>
      <c r="H1164" s="191" t="s">
        <v>1060</v>
      </c>
      <c r="I1164" s="251"/>
      <c r="J1164" s="251"/>
      <c r="K1164" s="560">
        <v>879200</v>
      </c>
      <c r="L1164" s="192" t="s">
        <v>258</v>
      </c>
      <c r="M1164" s="192" t="s">
        <v>367</v>
      </c>
      <c r="N1164" s="52" t="str">
        <f>IF(AND('331-CT'!$E$7=TH!H1164,OR(L1164="331",M1164="331")),"331",IF(AND(OR(L1164="131",M1164="131"),H1164='131-CT'!$E$7),"131",""))</f>
        <v/>
      </c>
      <c r="O1164" s="818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52"/>
      <c r="AB1164" s="552"/>
      <c r="AC1164" s="552"/>
    </row>
    <row r="1165" spans="1:29" s="209" customFormat="1" ht="15.75" customHeight="1">
      <c r="A1165" s="202" t="str">
        <f>IF(B1165&lt;&gt;"",IF(AND(B1165&gt;=_TM1,B1165&lt;=_TM2,OR(TH!L1165="1111",TH!M1165="1111")),TH!D1165,""),"")</f>
        <v/>
      </c>
      <c r="B1165" s="36">
        <f t="shared" si="56"/>
        <v>6</v>
      </c>
      <c r="C1165" s="182">
        <f t="shared" si="57"/>
        <v>42545</v>
      </c>
      <c r="D1165" s="189" t="s">
        <v>1164</v>
      </c>
      <c r="E1165" s="182">
        <v>42545</v>
      </c>
      <c r="F1165" s="190" t="s">
        <v>1437</v>
      </c>
      <c r="G1165" s="562" t="s">
        <v>600</v>
      </c>
      <c r="H1165" s="7" t="s">
        <v>643</v>
      </c>
      <c r="I1165" s="251">
        <v>3000</v>
      </c>
      <c r="J1165" s="251">
        <v>5200</v>
      </c>
      <c r="K1165" s="38">
        <f>ROUND(I1165*J1165,0)</f>
        <v>15600000</v>
      </c>
      <c r="L1165" s="192" t="s">
        <v>258</v>
      </c>
      <c r="M1165" s="192" t="s">
        <v>173</v>
      </c>
      <c r="N1165" s="52" t="str">
        <f>IF(AND('331-CT'!$E$7=TH!H1165,OR(L1165="331",M1165="331")),"331",IF(AND(OR(L1165="131",M1165="131"),H1165='131-CT'!$E$7),"131",""))</f>
        <v/>
      </c>
      <c r="O1165" s="818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52"/>
      <c r="AB1165" s="552"/>
    </row>
    <row r="1166" spans="1:29" s="209" customFormat="1" ht="15.75" customHeight="1">
      <c r="A1166" s="202" t="str">
        <f>IF(B1166&lt;&gt;"",IF(AND(B1166&gt;=_TM1,B1166&lt;=_TM2,OR(TH!L1166="1111",TH!M1166="1111")),TH!D1166,""),"")</f>
        <v/>
      </c>
      <c r="B1166" s="36">
        <f t="shared" si="56"/>
        <v>6</v>
      </c>
      <c r="C1166" s="182">
        <f t="shared" si="57"/>
        <v>42545</v>
      </c>
      <c r="D1166" s="189" t="s">
        <v>1164</v>
      </c>
      <c r="E1166" s="182">
        <v>42545</v>
      </c>
      <c r="F1166" s="187" t="s">
        <v>1028</v>
      </c>
      <c r="G1166" s="562" t="s">
        <v>600</v>
      </c>
      <c r="H1166" s="7" t="s">
        <v>643</v>
      </c>
      <c r="I1166" s="251"/>
      <c r="J1166" s="251"/>
      <c r="K1166" s="560">
        <v>1560000</v>
      </c>
      <c r="L1166" s="192" t="s">
        <v>258</v>
      </c>
      <c r="M1166" s="192" t="s">
        <v>367</v>
      </c>
      <c r="N1166" s="52" t="str">
        <f>IF(AND('331-CT'!$E$7=TH!H1166,OR(L1166="331",M1166="331")),"331",IF(AND(OR(L1166="131",M1166="131"),H1166='131-CT'!$E$7),"131",""))</f>
        <v/>
      </c>
      <c r="O1166" s="818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52"/>
      <c r="AB1166" s="552"/>
      <c r="AC1166" s="552"/>
    </row>
    <row r="1167" spans="1:29" s="209" customFormat="1" ht="15.75" customHeight="1">
      <c r="A1167" s="202" t="str">
        <f>IF(B1167&lt;&gt;"",IF(AND(B1167&gt;=_TM1,B1167&lt;=_TM2,OR(TH!L1167="1111",TH!M1167="1111")),TH!D1167,""),"")</f>
        <v/>
      </c>
      <c r="B1167" s="36">
        <f t="shared" si="56"/>
        <v>6</v>
      </c>
      <c r="C1167" s="182">
        <f t="shared" si="57"/>
        <v>42546</v>
      </c>
      <c r="D1167" s="182" t="s">
        <v>665</v>
      </c>
      <c r="E1167" s="189">
        <v>42546</v>
      </c>
      <c r="F1167" s="190" t="s">
        <v>667</v>
      </c>
      <c r="G1167" s="190" t="s">
        <v>330</v>
      </c>
      <c r="H1167" s="7"/>
      <c r="I1167" s="251"/>
      <c r="J1167" s="251"/>
      <c r="K1167" s="560">
        <v>10223</v>
      </c>
      <c r="L1167" s="192" t="s">
        <v>24</v>
      </c>
      <c r="M1167" s="192" t="s">
        <v>40</v>
      </c>
      <c r="N1167" s="52" t="str">
        <f>IF(AND('331-CT'!$E$7=TH!H1167,OR(L1167="331",M1167="331")),"331",IF(AND(OR(L1167="131",M1167="131"),H1167='131-CT'!$E$7),"131",""))</f>
        <v/>
      </c>
      <c r="O1167" s="818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53"/>
      <c r="AB1167" s="552"/>
    </row>
    <row r="1168" spans="1:29" s="209" customFormat="1" ht="15.75" customHeight="1">
      <c r="A1168" s="202" t="str">
        <f>IF(B1168&lt;&gt;"",IF(AND(B1168&gt;=_TM1,B1168&lt;=_TM2,OR(TH!L1168="1111",TH!M1168="1111")),TH!D1168,""),"")</f>
        <v/>
      </c>
      <c r="B1168" s="36">
        <f t="shared" si="56"/>
        <v>6</v>
      </c>
      <c r="C1168" s="182">
        <f t="shared" si="57"/>
        <v>42546</v>
      </c>
      <c r="D1168" s="182" t="s">
        <v>1668</v>
      </c>
      <c r="E1168" s="189">
        <v>42546</v>
      </c>
      <c r="F1168" s="190" t="s">
        <v>670</v>
      </c>
      <c r="G1168" s="190" t="s">
        <v>330</v>
      </c>
      <c r="H1168" s="7" t="s">
        <v>675</v>
      </c>
      <c r="I1168" s="251"/>
      <c r="J1168" s="251"/>
      <c r="K1168" s="560">
        <v>32000000</v>
      </c>
      <c r="L1168" s="192" t="s">
        <v>47</v>
      </c>
      <c r="M1168" s="192" t="s">
        <v>24</v>
      </c>
      <c r="N1168" s="52" t="str">
        <f>IF(AND('331-CT'!$E$7=TH!H1168,OR(L1168="331",M1168="331")),"331",IF(AND(OR(L1168="131",M1168="131"),H1168='131-CT'!$E$7),"131",""))</f>
        <v/>
      </c>
      <c r="O1168" s="818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53"/>
      <c r="AB1168" s="552"/>
      <c r="AC1168" s="552"/>
    </row>
    <row r="1169" spans="1:29" s="209" customFormat="1" ht="15.75" customHeight="1">
      <c r="A1169" s="202" t="str">
        <f>IF(B1169&lt;&gt;"",IF(AND(B1169&gt;=_TM1,B1169&lt;=_TM2,OR(TH!L1169="1111",TH!M1169="1111")),TH!D1169,""),"")</f>
        <v/>
      </c>
      <c r="B1169" s="36">
        <f t="shared" si="56"/>
        <v>6</v>
      </c>
      <c r="C1169" s="182">
        <f t="shared" si="57"/>
        <v>42548</v>
      </c>
      <c r="D1169" s="189" t="s">
        <v>1165</v>
      </c>
      <c r="E1169" s="780">
        <v>42548</v>
      </c>
      <c r="F1169" s="190" t="s">
        <v>436</v>
      </c>
      <c r="G1169" s="850" t="s">
        <v>601</v>
      </c>
      <c r="H1169" s="828" t="s">
        <v>565</v>
      </c>
      <c r="I1169" s="785">
        <v>509</v>
      </c>
      <c r="J1169" s="785">
        <v>5900</v>
      </c>
      <c r="K1169" s="38">
        <f>ROUND(I1169*J1169,0)</f>
        <v>3003100</v>
      </c>
      <c r="L1169" s="836" t="s">
        <v>258</v>
      </c>
      <c r="M1169" s="192" t="s">
        <v>173</v>
      </c>
      <c r="N1169" s="52" t="str">
        <f>IF(AND('331-CT'!$E$7=TH!H1169,OR(L1169="331",M1169="331")),"331",IF(AND(OR(L1169="131",M1169="131"),H1169='131-CT'!$E$7),"131",""))</f>
        <v/>
      </c>
      <c r="O1169" s="818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52"/>
      <c r="AB1169" s="552"/>
    </row>
    <row r="1170" spans="1:29" s="209" customFormat="1" ht="15.75" customHeight="1">
      <c r="A1170" s="202" t="str">
        <f>IF(B1170&lt;&gt;"",IF(AND(B1170&gt;=_TM1,B1170&lt;=_TM2,OR(TH!L1170="1111",TH!M1170="1111")),TH!D1170,""),"")</f>
        <v/>
      </c>
      <c r="B1170" s="36">
        <f t="shared" si="56"/>
        <v>6</v>
      </c>
      <c r="C1170" s="182">
        <f t="shared" si="57"/>
        <v>42548</v>
      </c>
      <c r="D1170" s="189" t="s">
        <v>1165</v>
      </c>
      <c r="E1170" s="780">
        <v>42548</v>
      </c>
      <c r="F1170" s="190" t="s">
        <v>436</v>
      </c>
      <c r="G1170" s="850" t="s">
        <v>601</v>
      </c>
      <c r="H1170" s="828" t="s">
        <v>565</v>
      </c>
      <c r="I1170" s="785">
        <v>1104</v>
      </c>
      <c r="J1170" s="785">
        <v>5900</v>
      </c>
      <c r="K1170" s="38">
        <f>ROUND(I1170*J1170,0)</f>
        <v>6513600</v>
      </c>
      <c r="L1170" s="836" t="s">
        <v>258</v>
      </c>
      <c r="M1170" s="192" t="s">
        <v>173</v>
      </c>
      <c r="N1170" s="52" t="str">
        <f>IF(AND('331-CT'!$E$7=TH!H1170,OR(L1170="331",M1170="331")),"331",IF(AND(OR(L1170="131",M1170="131"),H1170='131-CT'!$E$7),"131",""))</f>
        <v/>
      </c>
      <c r="O1170" s="818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52"/>
      <c r="AB1170" s="552"/>
      <c r="AC1170" s="552"/>
    </row>
    <row r="1171" spans="1:29" s="209" customFormat="1" ht="15.75" customHeight="1">
      <c r="A1171" s="202" t="str">
        <f>IF(B1171&lt;&gt;"",IF(AND(B1171&gt;=_TM1,B1171&lt;=_TM2,OR(TH!L1171="1111",TH!M1171="1111")),TH!D1171,""),"")</f>
        <v/>
      </c>
      <c r="B1171" s="36">
        <f t="shared" si="56"/>
        <v>6</v>
      </c>
      <c r="C1171" s="182">
        <f t="shared" si="57"/>
        <v>42548</v>
      </c>
      <c r="D1171" s="189" t="s">
        <v>1165</v>
      </c>
      <c r="E1171" s="851">
        <v>42548</v>
      </c>
      <c r="F1171" s="789" t="s">
        <v>1028</v>
      </c>
      <c r="G1171" s="782" t="s">
        <v>601</v>
      </c>
      <c r="H1171" s="828" t="s">
        <v>565</v>
      </c>
      <c r="I1171" s="785"/>
      <c r="J1171" s="785"/>
      <c r="K1171" s="786">
        <v>951670</v>
      </c>
      <c r="L1171" s="836" t="s">
        <v>258</v>
      </c>
      <c r="M1171" s="192" t="s">
        <v>367</v>
      </c>
      <c r="N1171" s="52" t="str">
        <f>IF(AND('331-CT'!$E$7=TH!H1171,OR(L1171="331",M1171="331")),"331",IF(AND(OR(L1171="131",M1171="131"),H1171='131-CT'!$E$7),"131",""))</f>
        <v/>
      </c>
      <c r="O1171" s="818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52"/>
      <c r="AB1171" s="552"/>
      <c r="AC1171" s="552"/>
    </row>
    <row r="1172" spans="1:29" s="209" customFormat="1" ht="15.75" customHeight="1">
      <c r="A1172" s="202" t="str">
        <f>IF(B1172&lt;&gt;"",IF(AND(B1172&gt;=_TM1,B1172&lt;=_TM2,OR(TH!L1172="1111",TH!M1172="1111")),TH!D1172,""),"")</f>
        <v/>
      </c>
      <c r="B1172" s="36">
        <f t="shared" ref="B1172:B1235" si="58">IF(C1172&lt;&gt;"",MONTH(C1172),"")</f>
        <v>6</v>
      </c>
      <c r="C1172" s="182">
        <f t="shared" ref="C1172:C1210" si="59">E1172</f>
        <v>42548</v>
      </c>
      <c r="D1172" s="189" t="s">
        <v>1166</v>
      </c>
      <c r="E1172" s="691">
        <v>42548</v>
      </c>
      <c r="F1172" s="190" t="s">
        <v>1443</v>
      </c>
      <c r="G1172" s="190" t="s">
        <v>602</v>
      </c>
      <c r="H1172" s="7" t="s">
        <v>399</v>
      </c>
      <c r="I1172" s="251">
        <v>522</v>
      </c>
      <c r="J1172" s="251">
        <v>10500</v>
      </c>
      <c r="K1172" s="38">
        <f>ROUND(I1172*J1172,0)</f>
        <v>5481000</v>
      </c>
      <c r="L1172" s="192" t="s">
        <v>258</v>
      </c>
      <c r="M1172" s="192" t="s">
        <v>173</v>
      </c>
      <c r="N1172" s="52" t="str">
        <f>IF(AND('331-CT'!$E$7=TH!H1172,OR(L1172="331",M1172="331")),"331",IF(AND(OR(L1172="131",M1172="131"),H1172='131-CT'!$E$7),"131",""))</f>
        <v/>
      </c>
      <c r="O1172" s="818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52"/>
      <c r="AB1172" s="552"/>
      <c r="AC1172" s="552"/>
    </row>
    <row r="1173" spans="1:29" s="209" customFormat="1" ht="15.75" customHeight="1">
      <c r="A1173" s="202" t="str">
        <f>IF(B1173&lt;&gt;"",IF(AND(B1173&gt;=_TM1,B1173&lt;=_TM2,OR(TH!L1173="1111",TH!M1173="1111")),TH!D1173,""),"")</f>
        <v/>
      </c>
      <c r="B1173" s="36">
        <f t="shared" si="58"/>
        <v>6</v>
      </c>
      <c r="C1173" s="182">
        <f t="shared" si="59"/>
        <v>42548</v>
      </c>
      <c r="D1173" s="189" t="s">
        <v>1166</v>
      </c>
      <c r="E1173" s="691">
        <v>42548</v>
      </c>
      <c r="F1173" s="187" t="s">
        <v>1028</v>
      </c>
      <c r="G1173" s="190" t="s">
        <v>602</v>
      </c>
      <c r="H1173" s="7" t="s">
        <v>399</v>
      </c>
      <c r="I1173" s="251"/>
      <c r="J1173" s="251"/>
      <c r="K1173" s="560">
        <v>548100</v>
      </c>
      <c r="L1173" s="192" t="s">
        <v>258</v>
      </c>
      <c r="M1173" s="192" t="s">
        <v>367</v>
      </c>
      <c r="N1173" s="52" t="str">
        <f>IF(AND('331-CT'!$E$7=TH!H1173,OR(L1173="331",M1173="331")),"331",IF(AND(OR(L1173="131",M1173="131"),H1173='131-CT'!$E$7),"131",""))</f>
        <v/>
      </c>
      <c r="O1173" s="818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52"/>
      <c r="AB1173" s="552"/>
    </row>
    <row r="1174" spans="1:29" s="209" customFormat="1" ht="15.75" customHeight="1">
      <c r="A1174" s="202" t="str">
        <f>IF(B1174&lt;&gt;"",IF(AND(B1174&gt;=_TM1,B1174&lt;=_TM2,OR(TH!L1174="1111",TH!M1174="1111")),TH!D1174,""),"")</f>
        <v/>
      </c>
      <c r="B1174" s="36">
        <f t="shared" si="58"/>
        <v>6</v>
      </c>
      <c r="C1174" s="182">
        <f t="shared" si="59"/>
        <v>42549</v>
      </c>
      <c r="D1174" s="189" t="s">
        <v>1167</v>
      </c>
      <c r="E1174" s="691">
        <v>42549</v>
      </c>
      <c r="F1174" s="187" t="s">
        <v>389</v>
      </c>
      <c r="G1174" s="190" t="s">
        <v>1061</v>
      </c>
      <c r="H1174" s="7" t="s">
        <v>1043</v>
      </c>
      <c r="I1174" s="251">
        <v>1300</v>
      </c>
      <c r="J1174" s="251">
        <v>5000</v>
      </c>
      <c r="K1174" s="38">
        <f>ROUND(I1174*J1174,0)</f>
        <v>6500000</v>
      </c>
      <c r="L1174" s="192" t="s">
        <v>258</v>
      </c>
      <c r="M1174" s="192" t="s">
        <v>173</v>
      </c>
      <c r="N1174" s="52" t="str">
        <f>IF(AND('331-CT'!$E$7=TH!H1174,OR(L1174="331",M1174="331")),"331",IF(AND(OR(L1174="131",M1174="131"),H1174='131-CT'!$E$7),"131",""))</f>
        <v/>
      </c>
      <c r="O1174" s="818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52"/>
      <c r="AB1174" s="552"/>
      <c r="AC1174" s="552"/>
    </row>
    <row r="1175" spans="1:29" s="209" customFormat="1" ht="15.75" customHeight="1">
      <c r="A1175" s="202" t="str">
        <f>IF(B1175&lt;&gt;"",IF(AND(B1175&gt;=_TM1,B1175&lt;=_TM2,OR(TH!L1175="1111",TH!M1175="1111")),TH!D1175,""),"")</f>
        <v/>
      </c>
      <c r="B1175" s="36">
        <f t="shared" si="58"/>
        <v>6</v>
      </c>
      <c r="C1175" s="182">
        <f t="shared" si="59"/>
        <v>42549</v>
      </c>
      <c r="D1175" s="189" t="s">
        <v>1167</v>
      </c>
      <c r="E1175" s="691">
        <v>42549</v>
      </c>
      <c r="F1175" s="187" t="s">
        <v>392</v>
      </c>
      <c r="G1175" s="190" t="s">
        <v>1061</v>
      </c>
      <c r="H1175" s="7" t="s">
        <v>1043</v>
      </c>
      <c r="I1175" s="251">
        <v>338</v>
      </c>
      <c r="J1175" s="251">
        <v>5800</v>
      </c>
      <c r="K1175" s="38">
        <f>ROUND(I1175*J1175,0)</f>
        <v>1960400</v>
      </c>
      <c r="L1175" s="192" t="s">
        <v>258</v>
      </c>
      <c r="M1175" s="192" t="s">
        <v>173</v>
      </c>
      <c r="N1175" s="52" t="str">
        <f>IF(AND('331-CT'!$E$7=TH!H1175,OR(L1175="331",M1175="331")),"331",IF(AND(OR(L1175="131",M1175="131"),H1175='131-CT'!$E$7),"131",""))</f>
        <v/>
      </c>
      <c r="O1175" s="818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52"/>
      <c r="AB1175" s="552"/>
      <c r="AC1175" s="552"/>
    </row>
    <row r="1176" spans="1:29" s="209" customFormat="1" ht="15.75" customHeight="1">
      <c r="A1176" s="202" t="str">
        <f>IF(B1176&lt;&gt;"",IF(AND(B1176&gt;=_TM1,B1176&lt;=_TM2,OR(TH!L1176="1111",TH!M1176="1111")),TH!D1176,""),"")</f>
        <v/>
      </c>
      <c r="B1176" s="36">
        <f t="shared" si="58"/>
        <v>6</v>
      </c>
      <c r="C1176" s="182">
        <f t="shared" si="59"/>
        <v>42549</v>
      </c>
      <c r="D1176" s="189" t="s">
        <v>1167</v>
      </c>
      <c r="E1176" s="691">
        <v>42549</v>
      </c>
      <c r="F1176" s="187" t="s">
        <v>626</v>
      </c>
      <c r="G1176" s="190" t="s">
        <v>1061</v>
      </c>
      <c r="H1176" s="7" t="s">
        <v>1043</v>
      </c>
      <c r="I1176" s="251">
        <v>316</v>
      </c>
      <c r="J1176" s="251">
        <v>9290</v>
      </c>
      <c r="K1176" s="38">
        <f>ROUND(I1176*J1176,0)</f>
        <v>2935640</v>
      </c>
      <c r="L1176" s="192" t="s">
        <v>258</v>
      </c>
      <c r="M1176" s="192" t="s">
        <v>173</v>
      </c>
      <c r="N1176" s="52" t="str">
        <f>IF(AND('331-CT'!$E$7=TH!H1176,OR(L1176="331",M1176="331")),"331",IF(AND(OR(L1176="131",M1176="131"),H1176='131-CT'!$E$7),"131",""))</f>
        <v/>
      </c>
      <c r="O1176" s="818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52"/>
      <c r="AB1176" s="552"/>
    </row>
    <row r="1177" spans="1:29" s="209" customFormat="1" ht="15.75" customHeight="1">
      <c r="A1177" s="202" t="str">
        <f>IF(B1177&lt;&gt;"",IF(AND(B1177&gt;=_TM1,B1177&lt;=_TM2,OR(TH!L1177="1111",TH!M1177="1111")),TH!D1177,""),"")</f>
        <v/>
      </c>
      <c r="B1177" s="36">
        <f t="shared" si="58"/>
        <v>6</v>
      </c>
      <c r="C1177" s="182">
        <f t="shared" si="59"/>
        <v>42549</v>
      </c>
      <c r="D1177" s="189" t="s">
        <v>1167</v>
      </c>
      <c r="E1177" s="691">
        <v>42549</v>
      </c>
      <c r="F1177" s="286" t="s">
        <v>1028</v>
      </c>
      <c r="G1177" s="190" t="s">
        <v>1061</v>
      </c>
      <c r="H1177" s="7" t="s">
        <v>1043</v>
      </c>
      <c r="I1177" s="251"/>
      <c r="J1177" s="251"/>
      <c r="K1177" s="560">
        <v>1139604</v>
      </c>
      <c r="L1177" s="192" t="s">
        <v>258</v>
      </c>
      <c r="M1177" s="192" t="s">
        <v>367</v>
      </c>
      <c r="N1177" s="52" t="str">
        <f>IF(AND('331-CT'!$E$7=TH!H1177,OR(L1177="331",M1177="331")),"331",IF(AND(OR(L1177="131",M1177="131"),H1177='131-CT'!$E$7),"131",""))</f>
        <v/>
      </c>
      <c r="O1177" s="818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52"/>
      <c r="AB1177" s="552"/>
      <c r="AC1177" s="552"/>
    </row>
    <row r="1178" spans="1:29" s="209" customFormat="1" ht="15.75" customHeight="1">
      <c r="A1178" s="202" t="str">
        <f>IF(B1178&lt;&gt;"",IF(AND(B1178&gt;=_TM1,B1178&lt;=_TM2,OR(TH!L1178="1111",TH!M1178="1111")),TH!D1178,""),"")</f>
        <v/>
      </c>
      <c r="B1178" s="36">
        <f t="shared" si="58"/>
        <v>6</v>
      </c>
      <c r="C1178" s="182">
        <f t="shared" si="59"/>
        <v>42550</v>
      </c>
      <c r="D1178" s="189" t="s">
        <v>1168</v>
      </c>
      <c r="E1178" s="691">
        <v>42550</v>
      </c>
      <c r="F1178" s="190" t="s">
        <v>1062</v>
      </c>
      <c r="G1178" s="190" t="s">
        <v>603</v>
      </c>
      <c r="H1178" s="7" t="s">
        <v>780</v>
      </c>
      <c r="I1178" s="251">
        <v>71</v>
      </c>
      <c r="J1178" s="251">
        <v>5600</v>
      </c>
      <c r="K1178" s="38">
        <f>ROUND(I1178*J1178,0)</f>
        <v>397600</v>
      </c>
      <c r="L1178" s="192" t="s">
        <v>258</v>
      </c>
      <c r="M1178" s="192" t="s">
        <v>173</v>
      </c>
      <c r="N1178" s="52" t="str">
        <f>IF(AND('331-CT'!$E$7=TH!H1178,OR(L1178="331",M1178="331")),"331",IF(AND(OR(L1178="131",M1178="131"),H1178='131-CT'!$E$7),"131",""))</f>
        <v/>
      </c>
      <c r="O1178" s="818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52"/>
      <c r="AB1178" s="552"/>
      <c r="AC1178" s="552"/>
    </row>
    <row r="1179" spans="1:29" s="209" customFormat="1" ht="15.75" customHeight="1">
      <c r="A1179" s="202" t="str">
        <f>IF(B1179&lt;&gt;"",IF(AND(B1179&gt;=_TM1,B1179&lt;=_TM2,OR(TH!L1179="1111",TH!M1179="1111")),TH!D1179,""),"")</f>
        <v/>
      </c>
      <c r="B1179" s="36">
        <f t="shared" si="58"/>
        <v>6</v>
      </c>
      <c r="C1179" s="182">
        <f t="shared" si="59"/>
        <v>42550</v>
      </c>
      <c r="D1179" s="189" t="s">
        <v>1168</v>
      </c>
      <c r="E1179" s="189">
        <v>42550</v>
      </c>
      <c r="F1179" s="190" t="s">
        <v>1029</v>
      </c>
      <c r="G1179" s="451" t="s">
        <v>603</v>
      </c>
      <c r="H1179" s="7" t="s">
        <v>780</v>
      </c>
      <c r="I1179" s="253">
        <v>535</v>
      </c>
      <c r="J1179" s="253">
        <v>6500</v>
      </c>
      <c r="K1179" s="38">
        <f>ROUND(I1179*J1179,0)</f>
        <v>3477500</v>
      </c>
      <c r="L1179" s="192" t="s">
        <v>258</v>
      </c>
      <c r="M1179" s="192" t="s">
        <v>173</v>
      </c>
      <c r="N1179" s="52" t="str">
        <f>IF(AND('331-CT'!$E$7=TH!H1179,OR(L1179="331",M1179="331")),"331",IF(AND(OR(L1179="131",M1179="131"),H1179='131-CT'!$E$7),"131",""))</f>
        <v/>
      </c>
      <c r="O1179" s="818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52"/>
      <c r="AB1179" s="552"/>
    </row>
    <row r="1180" spans="1:29" s="209" customFormat="1" ht="15.75" customHeight="1">
      <c r="A1180" s="202" t="str">
        <f>IF(B1180&lt;&gt;"",IF(AND(B1180&gt;=_TM1,B1180&lt;=_TM2,OR(TH!L1180="1111",TH!M1180="1111")),TH!D1180,""),"")</f>
        <v/>
      </c>
      <c r="B1180" s="36">
        <f t="shared" si="58"/>
        <v>6</v>
      </c>
      <c r="C1180" s="182">
        <f t="shared" si="59"/>
        <v>42550</v>
      </c>
      <c r="D1180" s="189" t="s">
        <v>1168</v>
      </c>
      <c r="E1180" s="189">
        <v>42550</v>
      </c>
      <c r="F1180" s="190" t="s">
        <v>1063</v>
      </c>
      <c r="G1180" s="451" t="s">
        <v>603</v>
      </c>
      <c r="H1180" s="7" t="s">
        <v>780</v>
      </c>
      <c r="I1180" s="253">
        <v>333</v>
      </c>
      <c r="J1180" s="253">
        <v>5700</v>
      </c>
      <c r="K1180" s="38">
        <f>ROUND(I1180*J1180,0)</f>
        <v>1898100</v>
      </c>
      <c r="L1180" s="192" t="s">
        <v>258</v>
      </c>
      <c r="M1180" s="192" t="s">
        <v>173</v>
      </c>
      <c r="N1180" s="52" t="str">
        <f>IF(AND('331-CT'!$E$7=TH!H1180,OR(L1180="331",M1180="331")),"331",IF(AND(OR(L1180="131",M1180="131"),H1180='131-CT'!$E$7),"131",""))</f>
        <v/>
      </c>
      <c r="O1180" s="818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52"/>
      <c r="AB1180" s="552"/>
      <c r="AC1180" s="552"/>
    </row>
    <row r="1181" spans="1:29" s="209" customFormat="1" ht="15.75" customHeight="1">
      <c r="A1181" s="202" t="str">
        <f>IF(B1181&lt;&gt;"",IF(AND(B1181&gt;=_TM1,B1181&lt;=_TM2,OR(TH!L1181="1111",TH!M1181="1111")),TH!D1181,""),"")</f>
        <v/>
      </c>
      <c r="B1181" s="36">
        <f t="shared" si="58"/>
        <v>6</v>
      </c>
      <c r="C1181" s="182">
        <f t="shared" si="59"/>
        <v>42550</v>
      </c>
      <c r="D1181" s="189" t="s">
        <v>1168</v>
      </c>
      <c r="E1181" s="182">
        <v>42550</v>
      </c>
      <c r="F1181" s="187" t="s">
        <v>1028</v>
      </c>
      <c r="G1181" s="562" t="s">
        <v>603</v>
      </c>
      <c r="H1181" s="7" t="s">
        <v>780</v>
      </c>
      <c r="I1181" s="251"/>
      <c r="J1181" s="251"/>
      <c r="K1181" s="560">
        <v>577320</v>
      </c>
      <c r="L1181" s="192" t="s">
        <v>258</v>
      </c>
      <c r="M1181" s="192" t="s">
        <v>367</v>
      </c>
      <c r="N1181" s="52" t="str">
        <f>IF(AND('331-CT'!$E$7=TH!H1181,OR(L1181="331",M1181="331")),"331",IF(AND(OR(L1181="131",M1181="131"),H1181='131-CT'!$E$7),"131",""))</f>
        <v/>
      </c>
      <c r="O1181" s="818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52"/>
      <c r="AB1181" s="552"/>
    </row>
    <row r="1182" spans="1:29" s="209" customFormat="1" ht="15.75" customHeight="1">
      <c r="A1182" s="202" t="str">
        <f>IF(B1182&lt;&gt;"",IF(AND(B1182&gt;=_TM1,B1182&lt;=_TM2,OR(TH!L1182="1111",TH!M1182="1111")),TH!D1182,""),"")</f>
        <v/>
      </c>
      <c r="B1182" s="36">
        <f t="shared" si="58"/>
        <v>6</v>
      </c>
      <c r="C1182" s="182">
        <f t="shared" si="59"/>
        <v>42550</v>
      </c>
      <c r="D1182" s="189" t="s">
        <v>1169</v>
      </c>
      <c r="E1182" s="182">
        <v>42550</v>
      </c>
      <c r="F1182" s="187" t="s">
        <v>645</v>
      </c>
      <c r="G1182" s="562" t="s">
        <v>1064</v>
      </c>
      <c r="H1182" s="7" t="s">
        <v>1053</v>
      </c>
      <c r="I1182" s="251">
        <v>1055</v>
      </c>
      <c r="J1182" s="251">
        <v>13800</v>
      </c>
      <c r="K1182" s="38">
        <f>ROUND(I1182*J1182,0)</f>
        <v>14559000</v>
      </c>
      <c r="L1182" s="192" t="s">
        <v>258</v>
      </c>
      <c r="M1182" s="192" t="s">
        <v>173</v>
      </c>
      <c r="N1182" s="52" t="str">
        <f>IF(AND('331-CT'!$E$7=TH!H1182,OR(L1182="331",M1182="331")),"331",IF(AND(OR(L1182="131",M1182="131"),H1182='131-CT'!$E$7),"131",""))</f>
        <v/>
      </c>
      <c r="O1182" s="818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52"/>
      <c r="AB1182" s="552"/>
      <c r="AC1182" s="552"/>
    </row>
    <row r="1183" spans="1:29" s="209" customFormat="1" ht="15.75" customHeight="1">
      <c r="A1183" s="202" t="str">
        <f>IF(B1183&lt;&gt;"",IF(AND(B1183&gt;=_TM1,B1183&lt;=_TM2,OR(TH!L1183="1111",TH!M1183="1111")),TH!D1183,""),"")</f>
        <v/>
      </c>
      <c r="B1183" s="36">
        <f t="shared" si="58"/>
        <v>6</v>
      </c>
      <c r="C1183" s="182">
        <f t="shared" si="59"/>
        <v>42550</v>
      </c>
      <c r="D1183" s="189" t="s">
        <v>1169</v>
      </c>
      <c r="E1183" s="189">
        <v>42550</v>
      </c>
      <c r="F1183" s="190" t="s">
        <v>645</v>
      </c>
      <c r="G1183" s="451" t="s">
        <v>1064</v>
      </c>
      <c r="H1183" s="191" t="s">
        <v>1053</v>
      </c>
      <c r="I1183" s="251">
        <v>100</v>
      </c>
      <c r="J1183" s="251">
        <v>13400</v>
      </c>
      <c r="K1183" s="38">
        <f>ROUND(I1183*J1183,0)</f>
        <v>1340000</v>
      </c>
      <c r="L1183" s="192" t="s">
        <v>258</v>
      </c>
      <c r="M1183" s="192" t="s">
        <v>173</v>
      </c>
      <c r="N1183" s="52" t="str">
        <f>IF(AND('331-CT'!$E$7=TH!H1183,OR(L1183="331",M1183="331")),"331",IF(AND(OR(L1183="131",M1183="131"),H1183='131-CT'!$E$7),"131",""))</f>
        <v/>
      </c>
      <c r="O1183" s="818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52"/>
      <c r="AB1183" s="552"/>
      <c r="AC1183" s="552"/>
    </row>
    <row r="1184" spans="1:29" s="209" customFormat="1" ht="15.75" customHeight="1">
      <c r="A1184" s="202" t="str">
        <f>IF(B1184&lt;&gt;"",IF(AND(B1184&gt;=_TM1,B1184&lt;=_TM2,OR(TH!L1184="1111",TH!M1184="1111")),TH!D1184,""),"")</f>
        <v/>
      </c>
      <c r="B1184" s="36">
        <f t="shared" si="58"/>
        <v>6</v>
      </c>
      <c r="C1184" s="182">
        <f t="shared" si="59"/>
        <v>42550</v>
      </c>
      <c r="D1184" s="189" t="s">
        <v>1169</v>
      </c>
      <c r="E1184" s="189">
        <v>42550</v>
      </c>
      <c r="F1184" s="187" t="s">
        <v>693</v>
      </c>
      <c r="G1184" s="451" t="s">
        <v>1064</v>
      </c>
      <c r="H1184" s="191" t="s">
        <v>1053</v>
      </c>
      <c r="I1184" s="251">
        <v>2000</v>
      </c>
      <c r="J1184" s="251">
        <v>1300</v>
      </c>
      <c r="K1184" s="38">
        <f>ROUND(I1184*J1184,0)</f>
        <v>2600000</v>
      </c>
      <c r="L1184" s="192" t="s">
        <v>258</v>
      </c>
      <c r="M1184" s="192" t="s">
        <v>173</v>
      </c>
      <c r="N1184" s="52" t="str">
        <f>IF(AND('331-CT'!$E$7=TH!H1184,OR(L1184="331",M1184="331")),"331",IF(AND(OR(L1184="131",M1184="131"),H1184='131-CT'!$E$7),"131",""))</f>
        <v/>
      </c>
      <c r="O1184" s="818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52"/>
      <c r="AB1184" s="552"/>
      <c r="AC1184" s="552"/>
    </row>
    <row r="1185" spans="1:29" s="209" customFormat="1" ht="15.75" customHeight="1">
      <c r="A1185" s="202" t="str">
        <f>IF(B1185&lt;&gt;"",IF(AND(B1185&gt;=_TM1,B1185&lt;=_TM2,OR(TH!L1185="1111",TH!M1185="1111")),TH!D1185,""),"")</f>
        <v/>
      </c>
      <c r="B1185" s="36">
        <f t="shared" si="58"/>
        <v>6</v>
      </c>
      <c r="C1185" s="182">
        <f t="shared" si="59"/>
        <v>42550</v>
      </c>
      <c r="D1185" s="189" t="s">
        <v>1169</v>
      </c>
      <c r="E1185" s="189">
        <v>42550</v>
      </c>
      <c r="F1185" s="190" t="s">
        <v>1028</v>
      </c>
      <c r="G1185" s="451" t="s">
        <v>1064</v>
      </c>
      <c r="H1185" s="191" t="s">
        <v>1053</v>
      </c>
      <c r="I1185" s="251"/>
      <c r="J1185" s="251"/>
      <c r="K1185" s="560">
        <v>1849900</v>
      </c>
      <c r="L1185" s="192" t="s">
        <v>258</v>
      </c>
      <c r="M1185" s="192" t="s">
        <v>367</v>
      </c>
      <c r="N1185" s="52" t="str">
        <f>IF(AND('331-CT'!$E$7=TH!H1185,OR(L1185="331",M1185="331")),"331",IF(AND(OR(L1185="131",M1185="131"),H1185='131-CT'!$E$7),"131",""))</f>
        <v/>
      </c>
      <c r="O1185" s="818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52"/>
      <c r="AB1185" s="552"/>
    </row>
    <row r="1186" spans="1:29" s="209" customFormat="1" ht="15.75" customHeight="1">
      <c r="A1186" s="202" t="str">
        <f>IF(B1186&lt;&gt;"",IF(AND(B1186&gt;=_TM1,B1186&lt;=_TM2,OR(TH!L1186="1111",TH!M1186="1111")),TH!D1186,""),"")</f>
        <v/>
      </c>
      <c r="B1186" s="36">
        <f t="shared" si="58"/>
        <v>6</v>
      </c>
      <c r="C1186" s="182">
        <f t="shared" si="59"/>
        <v>42550</v>
      </c>
      <c r="D1186" s="189" t="s">
        <v>1170</v>
      </c>
      <c r="E1186" s="189">
        <v>42550</v>
      </c>
      <c r="F1186" s="190" t="s">
        <v>1244</v>
      </c>
      <c r="G1186" s="451" t="s">
        <v>604</v>
      </c>
      <c r="H1186" s="191" t="s">
        <v>557</v>
      </c>
      <c r="I1186" s="251">
        <v>200</v>
      </c>
      <c r="J1186" s="251">
        <v>9300</v>
      </c>
      <c r="K1186" s="38">
        <f>ROUND(I1186*J1186,0)</f>
        <v>1860000</v>
      </c>
      <c r="L1186" s="192" t="s">
        <v>258</v>
      </c>
      <c r="M1186" s="192" t="s">
        <v>173</v>
      </c>
      <c r="N1186" s="52" t="str">
        <f>IF(AND('331-CT'!$E$7=TH!H1186,OR(L1186="331",M1186="331")),"331",IF(AND(OR(L1186="131",M1186="131"),H1186='131-CT'!$E$7),"131",""))</f>
        <v/>
      </c>
      <c r="O1186" s="818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52"/>
      <c r="AB1186" s="552"/>
      <c r="AC1186" s="552"/>
    </row>
    <row r="1187" spans="1:29" s="209" customFormat="1" ht="15.75" customHeight="1">
      <c r="A1187" s="202" t="str">
        <f>IF(B1187&lt;&gt;"",IF(AND(B1187&gt;=_TM1,B1187&lt;=_TM2,OR(TH!L1187="1111",TH!M1187="1111")),TH!D1187,""),"")</f>
        <v/>
      </c>
      <c r="B1187" s="36">
        <f t="shared" si="58"/>
        <v>6</v>
      </c>
      <c r="C1187" s="182">
        <f t="shared" si="59"/>
        <v>42550</v>
      </c>
      <c r="D1187" s="189" t="s">
        <v>1170</v>
      </c>
      <c r="E1187" s="189">
        <v>42550</v>
      </c>
      <c r="F1187" s="190" t="s">
        <v>1026</v>
      </c>
      <c r="G1187" s="451" t="s">
        <v>604</v>
      </c>
      <c r="H1187" s="191" t="s">
        <v>557</v>
      </c>
      <c r="I1187" s="254"/>
      <c r="J1187" s="254"/>
      <c r="K1187" s="560">
        <v>186000</v>
      </c>
      <c r="L1187" s="192" t="s">
        <v>258</v>
      </c>
      <c r="M1187" s="192" t="s">
        <v>367</v>
      </c>
      <c r="N1187" s="52" t="str">
        <f>IF(AND('331-CT'!$E$7=TH!H1187,OR(L1187="331",M1187="331")),"331",IF(AND(OR(L1187="131",M1187="131"),H1187='131-CT'!$E$7),"131",""))</f>
        <v/>
      </c>
      <c r="O1187" s="818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52"/>
      <c r="AB1187" s="552"/>
    </row>
    <row r="1188" spans="1:29" s="209" customFormat="1" ht="15.75" customHeight="1">
      <c r="A1188" s="202" t="str">
        <f>IF(B1188&lt;&gt;"",IF(AND(B1188&gt;=_TM1,B1188&lt;=_TM2,OR(TH!L1188="1111",TH!M1188="1111")),TH!D1188,""),"")</f>
        <v/>
      </c>
      <c r="B1188" s="36">
        <f t="shared" si="58"/>
        <v>6</v>
      </c>
      <c r="C1188" s="182">
        <f t="shared" si="59"/>
        <v>42550</v>
      </c>
      <c r="D1188" s="189" t="s">
        <v>1171</v>
      </c>
      <c r="E1188" s="189">
        <v>42550</v>
      </c>
      <c r="F1188" s="190" t="s">
        <v>1065</v>
      </c>
      <c r="G1188" s="451" t="s">
        <v>605</v>
      </c>
      <c r="H1188" s="191" t="s">
        <v>609</v>
      </c>
      <c r="I1188" s="254">
        <v>1320</v>
      </c>
      <c r="J1188" s="254">
        <v>8600</v>
      </c>
      <c r="K1188" s="38">
        <f>ROUND(I1188*J1188,0)</f>
        <v>11352000</v>
      </c>
      <c r="L1188" s="192" t="s">
        <v>258</v>
      </c>
      <c r="M1188" s="192" t="s">
        <v>173</v>
      </c>
      <c r="N1188" s="52" t="str">
        <f>IF(AND('331-CT'!$E$7=TH!H1188,OR(L1188="331",M1188="331")),"331",IF(AND(OR(L1188="131",M1188="131"),H1188='131-CT'!$E$7),"131",""))</f>
        <v/>
      </c>
      <c r="O1188" s="818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52"/>
      <c r="AB1188" s="552"/>
      <c r="AC1188" s="552"/>
    </row>
    <row r="1189" spans="1:29" s="209" customFormat="1" ht="15.75" customHeight="1">
      <c r="A1189" s="202" t="str">
        <f>IF(B1189&lt;&gt;"",IF(AND(B1189&gt;=_TM1,B1189&lt;=_TM2,OR(TH!L1189="1111",TH!M1189="1111")),TH!D1189,""),"")</f>
        <v/>
      </c>
      <c r="B1189" s="36">
        <f t="shared" si="58"/>
        <v>6</v>
      </c>
      <c r="C1189" s="182">
        <f t="shared" si="59"/>
        <v>42550</v>
      </c>
      <c r="D1189" s="189" t="s">
        <v>1171</v>
      </c>
      <c r="E1189" s="189">
        <v>42550</v>
      </c>
      <c r="F1189" s="190" t="s">
        <v>1066</v>
      </c>
      <c r="G1189" s="451" t="s">
        <v>605</v>
      </c>
      <c r="H1189" s="191" t="s">
        <v>609</v>
      </c>
      <c r="I1189" s="251">
        <v>320</v>
      </c>
      <c r="J1189" s="251">
        <v>14500</v>
      </c>
      <c r="K1189" s="38">
        <f>ROUND(I1189*J1189,0)</f>
        <v>4640000</v>
      </c>
      <c r="L1189" s="192" t="s">
        <v>258</v>
      </c>
      <c r="M1189" s="192" t="s">
        <v>173</v>
      </c>
      <c r="N1189" s="52" t="str">
        <f>IF(AND('331-CT'!$E$7=TH!H1189,OR(L1189="331",M1189="331")),"331",IF(AND(OR(L1189="131",M1189="131"),H1189='131-CT'!$E$7),"131",""))</f>
        <v/>
      </c>
      <c r="O1189" s="818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52"/>
      <c r="AB1189" s="552"/>
      <c r="AC1189" s="552"/>
    </row>
    <row r="1190" spans="1:29" s="209" customFormat="1" ht="15.75" customHeight="1">
      <c r="A1190" s="202" t="str">
        <f>IF(B1190&lt;&gt;"",IF(AND(B1190&gt;=_TM1,B1190&lt;=_TM2,OR(TH!L1190="1111",TH!M1190="1111")),TH!D1190,""),"")</f>
        <v/>
      </c>
      <c r="B1190" s="36">
        <f t="shared" si="58"/>
        <v>6</v>
      </c>
      <c r="C1190" s="182">
        <f t="shared" si="59"/>
        <v>42550</v>
      </c>
      <c r="D1190" s="189" t="s">
        <v>1171</v>
      </c>
      <c r="E1190" s="189">
        <v>42550</v>
      </c>
      <c r="F1190" s="190" t="s">
        <v>1067</v>
      </c>
      <c r="G1190" s="451" t="s">
        <v>605</v>
      </c>
      <c r="H1190" s="191" t="s">
        <v>609</v>
      </c>
      <c r="I1190" s="252">
        <v>28</v>
      </c>
      <c r="J1190" s="252">
        <v>14500</v>
      </c>
      <c r="K1190" s="38">
        <f>ROUND(I1190*J1190,0)</f>
        <v>406000</v>
      </c>
      <c r="L1190" s="192" t="s">
        <v>258</v>
      </c>
      <c r="M1190" s="192" t="s">
        <v>173</v>
      </c>
      <c r="N1190" s="52" t="str">
        <f>IF(AND('331-CT'!$E$7=TH!H1190,OR(L1190="331",M1190="331")),"331",IF(AND(OR(L1190="131",M1190="131"),H1190='131-CT'!$E$7),"131",""))</f>
        <v/>
      </c>
      <c r="O1190" s="818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52"/>
      <c r="AB1190" s="552"/>
      <c r="AC1190" s="552"/>
    </row>
    <row r="1191" spans="1:29" s="209" customFormat="1" ht="15.75" customHeight="1">
      <c r="A1191" s="202" t="str">
        <f>IF(B1191&lt;&gt;"",IF(AND(B1191&gt;=_TM1,B1191&lt;=_TM2,OR(TH!L1191="1111",TH!M1191="1111")),TH!D1191,""),"")</f>
        <v/>
      </c>
      <c r="B1191" s="36">
        <f t="shared" si="58"/>
        <v>6</v>
      </c>
      <c r="C1191" s="182">
        <f t="shared" si="59"/>
        <v>42550</v>
      </c>
      <c r="D1191" s="189" t="s">
        <v>1171</v>
      </c>
      <c r="E1191" s="189">
        <v>42550</v>
      </c>
      <c r="F1191" s="190" t="s">
        <v>959</v>
      </c>
      <c r="G1191" s="451" t="s">
        <v>605</v>
      </c>
      <c r="H1191" s="191" t="s">
        <v>609</v>
      </c>
      <c r="I1191" s="251">
        <v>245</v>
      </c>
      <c r="J1191" s="251">
        <v>9300</v>
      </c>
      <c r="K1191" s="38">
        <f>ROUND(I1191*J1191,0)</f>
        <v>2278500</v>
      </c>
      <c r="L1191" s="192" t="s">
        <v>258</v>
      </c>
      <c r="M1191" s="192" t="s">
        <v>173</v>
      </c>
      <c r="N1191" s="52" t="str">
        <f>IF(AND('331-CT'!$E$7=TH!H1191,OR(L1191="331",M1191="331")),"331",IF(AND(OR(L1191="131",M1191="131"),H1191='131-CT'!$E$7),"131",""))</f>
        <v/>
      </c>
      <c r="O1191" s="818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52"/>
      <c r="AB1191" s="552"/>
    </row>
    <row r="1192" spans="1:29" s="209" customFormat="1" ht="15.75" customHeight="1">
      <c r="A1192" s="202" t="str">
        <f>IF(B1192&lt;&gt;"",IF(AND(B1192&gt;=_TM1,B1192&lt;=_TM2,OR(TH!L1192="1111",TH!M1192="1111")),TH!D1192,""),"")</f>
        <v/>
      </c>
      <c r="B1192" s="36">
        <f t="shared" si="58"/>
        <v>6</v>
      </c>
      <c r="C1192" s="182">
        <f t="shared" si="59"/>
        <v>42550</v>
      </c>
      <c r="D1192" s="189" t="s">
        <v>1171</v>
      </c>
      <c r="E1192" s="691">
        <v>42550</v>
      </c>
      <c r="F1192" s="190" t="s">
        <v>987</v>
      </c>
      <c r="G1192" s="190" t="s">
        <v>605</v>
      </c>
      <c r="H1192" s="191" t="s">
        <v>609</v>
      </c>
      <c r="I1192" s="251">
        <v>52</v>
      </c>
      <c r="J1192" s="251">
        <v>8800</v>
      </c>
      <c r="K1192" s="38">
        <f>ROUND(I1192*J1192,0)</f>
        <v>457600</v>
      </c>
      <c r="L1192" s="192" t="s">
        <v>258</v>
      </c>
      <c r="M1192" s="192" t="s">
        <v>173</v>
      </c>
      <c r="N1192" s="52" t="str">
        <f>IF(AND('331-CT'!$E$7=TH!H1192,OR(L1192="331",M1192="331")),"331",IF(AND(OR(L1192="131",M1192="131"),H1192='131-CT'!$E$7),"131",""))</f>
        <v/>
      </c>
      <c r="O1192" s="818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52"/>
      <c r="AB1192" s="552"/>
      <c r="AC1192" s="552"/>
    </row>
    <row r="1193" spans="1:29" s="209" customFormat="1" ht="15.75" customHeight="1">
      <c r="A1193" s="202" t="str">
        <f>IF(B1193&lt;&gt;"",IF(AND(B1193&gt;=_TM1,B1193&lt;=_TM2,OR(TH!L1193="1111",TH!M1193="1111")),TH!D1193,""),"")</f>
        <v/>
      </c>
      <c r="B1193" s="36">
        <f t="shared" si="58"/>
        <v>6</v>
      </c>
      <c r="C1193" s="182">
        <f t="shared" si="59"/>
        <v>42550</v>
      </c>
      <c r="D1193" s="189" t="s">
        <v>1171</v>
      </c>
      <c r="E1193" s="691">
        <v>42550</v>
      </c>
      <c r="F1193" s="190" t="s">
        <v>1028</v>
      </c>
      <c r="G1193" s="190" t="s">
        <v>605</v>
      </c>
      <c r="H1193" s="191" t="s">
        <v>609</v>
      </c>
      <c r="I1193" s="251"/>
      <c r="J1193" s="251"/>
      <c r="K1193" s="560">
        <v>1913410</v>
      </c>
      <c r="L1193" s="192" t="s">
        <v>258</v>
      </c>
      <c r="M1193" s="192" t="s">
        <v>367</v>
      </c>
      <c r="N1193" s="52" t="str">
        <f>IF(AND('331-CT'!$E$7=TH!H1193,OR(L1193="331",M1193="331")),"331",IF(AND(OR(L1193="131",M1193="131"),H1193='131-CT'!$E$7),"131",""))</f>
        <v/>
      </c>
      <c r="O1193" s="818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52"/>
      <c r="AB1193" s="552"/>
      <c r="AC1193" s="552"/>
    </row>
    <row r="1194" spans="1:29" s="209" customFormat="1" ht="15.75" customHeight="1">
      <c r="A1194" s="202" t="str">
        <f>IF(B1194&lt;&gt;"",IF(AND(B1194&gt;=_TM1,B1194&lt;=_TM2,OR(TH!L1194="1111",TH!M1194="1111")),TH!D1194,""),"")</f>
        <v/>
      </c>
      <c r="B1194" s="36">
        <f t="shared" si="58"/>
        <v>6</v>
      </c>
      <c r="C1194" s="182">
        <f t="shared" si="59"/>
        <v>42550</v>
      </c>
      <c r="D1194" s="189" t="s">
        <v>1172</v>
      </c>
      <c r="E1194" s="691">
        <v>42550</v>
      </c>
      <c r="F1194" s="187" t="s">
        <v>627</v>
      </c>
      <c r="G1194" s="190" t="s">
        <v>606</v>
      </c>
      <c r="H1194" s="7" t="s">
        <v>399</v>
      </c>
      <c r="I1194" s="251">
        <v>410</v>
      </c>
      <c r="J1194" s="251">
        <v>8800</v>
      </c>
      <c r="K1194" s="38">
        <f>ROUND(I1194*J1194,0)</f>
        <v>3608000</v>
      </c>
      <c r="L1194" s="192" t="s">
        <v>258</v>
      </c>
      <c r="M1194" s="192" t="s">
        <v>173</v>
      </c>
      <c r="N1194" s="52" t="str">
        <f>IF(AND('331-CT'!$E$7=TH!H1194,OR(L1194="331",M1194="331")),"331",IF(AND(OR(L1194="131",M1194="131"),H1194='131-CT'!$E$7),"131",""))</f>
        <v/>
      </c>
      <c r="O1194" s="818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52"/>
      <c r="AB1194" s="552"/>
    </row>
    <row r="1195" spans="1:29" s="209" customFormat="1" ht="15.75" customHeight="1">
      <c r="A1195" s="202" t="str">
        <f>IF(B1195&lt;&gt;"",IF(AND(B1195&gt;=_TM1,B1195&lt;=_TM2,OR(TH!L1195="1111",TH!M1195="1111")),TH!D1195,""),"")</f>
        <v/>
      </c>
      <c r="B1195" s="36">
        <f t="shared" si="58"/>
        <v>6</v>
      </c>
      <c r="C1195" s="182">
        <f t="shared" si="59"/>
        <v>42550</v>
      </c>
      <c r="D1195" s="189" t="s">
        <v>1172</v>
      </c>
      <c r="E1195" s="691">
        <v>42550</v>
      </c>
      <c r="F1195" s="190" t="s">
        <v>1028</v>
      </c>
      <c r="G1195" s="190" t="s">
        <v>606</v>
      </c>
      <c r="H1195" s="7" t="s">
        <v>399</v>
      </c>
      <c r="I1195" s="251"/>
      <c r="J1195" s="251"/>
      <c r="K1195" s="560">
        <v>360800</v>
      </c>
      <c r="L1195" s="192" t="s">
        <v>258</v>
      </c>
      <c r="M1195" s="192" t="s">
        <v>367</v>
      </c>
      <c r="N1195" s="52" t="str">
        <f>IF(AND('331-CT'!$E$7=TH!H1195,OR(L1195="331",M1195="331")),"331",IF(AND(OR(L1195="131",M1195="131"),H1195='131-CT'!$E$7),"131",""))</f>
        <v/>
      </c>
      <c r="O1195" s="818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52"/>
      <c r="AB1195" s="552"/>
      <c r="AC1195" s="552"/>
    </row>
    <row r="1196" spans="1:29" s="209" customFormat="1" ht="15.75" customHeight="1">
      <c r="A1196" s="202" t="str">
        <f>IF(B1196&lt;&gt;"",IF(AND(B1196&gt;=_TM1,B1196&lt;=_TM2,OR(TH!L1196="1111",TH!M1196="1111")),TH!D1196,""),"")</f>
        <v/>
      </c>
      <c r="B1196" s="36">
        <f t="shared" si="58"/>
        <v>6</v>
      </c>
      <c r="C1196" s="182">
        <f t="shared" si="59"/>
        <v>42550</v>
      </c>
      <c r="D1196" s="189" t="s">
        <v>1173</v>
      </c>
      <c r="E1196" s="691">
        <v>42550</v>
      </c>
      <c r="F1196" s="286" t="s">
        <v>1439</v>
      </c>
      <c r="G1196" s="190" t="s">
        <v>608</v>
      </c>
      <c r="H1196" s="7" t="s">
        <v>643</v>
      </c>
      <c r="I1196" s="251">
        <v>800</v>
      </c>
      <c r="J1196" s="251">
        <v>17000</v>
      </c>
      <c r="K1196" s="38">
        <f>ROUND(I1196*J1196,0)</f>
        <v>13600000</v>
      </c>
      <c r="L1196" s="192" t="s">
        <v>258</v>
      </c>
      <c r="M1196" s="192" t="s">
        <v>173</v>
      </c>
      <c r="N1196" s="52" t="str">
        <f>IF(AND('331-CT'!$E$7=TH!H1196,OR(L1196="331",M1196="331")),"331",IF(AND(OR(L1196="131",M1196="131"),H1196='131-CT'!$E$7),"131",""))</f>
        <v/>
      </c>
      <c r="O1196" s="818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52"/>
      <c r="AB1196" s="552"/>
    </row>
    <row r="1197" spans="1:29" s="209" customFormat="1" ht="15.75" customHeight="1">
      <c r="A1197" s="202" t="str">
        <f>IF(B1197&lt;&gt;"",IF(AND(B1197&gt;=_TM1,B1197&lt;=_TM2,OR(TH!L1197="1111",TH!M1197="1111")),TH!D1197,""),"")</f>
        <v/>
      </c>
      <c r="B1197" s="36">
        <f t="shared" si="58"/>
        <v>6</v>
      </c>
      <c r="C1197" s="182">
        <f t="shared" si="59"/>
        <v>42550</v>
      </c>
      <c r="D1197" s="189" t="s">
        <v>1173</v>
      </c>
      <c r="E1197" s="691">
        <v>42550</v>
      </c>
      <c r="F1197" s="190" t="s">
        <v>1028</v>
      </c>
      <c r="G1197" s="190" t="s">
        <v>608</v>
      </c>
      <c r="H1197" s="7" t="s">
        <v>643</v>
      </c>
      <c r="I1197" s="251"/>
      <c r="J1197" s="251"/>
      <c r="K1197" s="560">
        <v>1360000</v>
      </c>
      <c r="L1197" s="192" t="s">
        <v>258</v>
      </c>
      <c r="M1197" s="192" t="s">
        <v>367</v>
      </c>
      <c r="N1197" s="52" t="str">
        <f>IF(AND('331-CT'!$E$7=TH!H1197,OR(L1197="331",M1197="331")),"331",IF(AND(OR(L1197="131",M1197="131"),H1197='131-CT'!$E$7),"131",""))</f>
        <v/>
      </c>
      <c r="O1197" s="818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52"/>
      <c r="AB1197" s="552"/>
      <c r="AC1197" s="552"/>
    </row>
    <row r="1198" spans="1:29" s="209" customFormat="1" ht="15.75" customHeight="1">
      <c r="A1198" s="202" t="str">
        <f>IF(B1198&lt;&gt;"",IF(AND(B1198&gt;=_TM1,B1198&lt;=_TM2,OR(TH!L1198="1111",TH!M1198="1111")),TH!D1198,""),"")</f>
        <v/>
      </c>
      <c r="B1198" s="36">
        <f t="shared" si="58"/>
        <v>6</v>
      </c>
      <c r="C1198" s="182">
        <f t="shared" si="59"/>
        <v>42550</v>
      </c>
      <c r="D1198" s="189" t="s">
        <v>1174</v>
      </c>
      <c r="E1198" s="691">
        <v>42550</v>
      </c>
      <c r="F1198" s="190" t="s">
        <v>429</v>
      </c>
      <c r="G1198" s="190" t="s">
        <v>611</v>
      </c>
      <c r="H1198" s="7" t="s">
        <v>648</v>
      </c>
      <c r="I1198" s="251">
        <v>628</v>
      </c>
      <c r="J1198" s="251">
        <v>14000</v>
      </c>
      <c r="K1198" s="38">
        <f>ROUND(I1198*J1198,0)</f>
        <v>8792000</v>
      </c>
      <c r="L1198" s="192" t="s">
        <v>258</v>
      </c>
      <c r="M1198" s="192" t="s">
        <v>173</v>
      </c>
      <c r="N1198" s="52" t="str">
        <f>IF(AND('331-CT'!$E$7=TH!H1198,OR(L1198="331",M1198="331")),"331",IF(AND(OR(L1198="131",M1198="131"),H1198='131-CT'!$E$7),"131",""))</f>
        <v/>
      </c>
      <c r="O1198" s="818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52"/>
      <c r="AB1198" s="552"/>
    </row>
    <row r="1199" spans="1:29" s="209" customFormat="1" ht="15.75" customHeight="1">
      <c r="A1199" s="202" t="str">
        <f>IF(B1199&lt;&gt;"",IF(AND(B1199&gt;=_TM1,B1199&lt;=_TM2,OR(TH!L1199="1111",TH!M1199="1111")),TH!D1199,""),"")</f>
        <v/>
      </c>
      <c r="B1199" s="36">
        <f t="shared" si="58"/>
        <v>6</v>
      </c>
      <c r="C1199" s="182">
        <f t="shared" si="59"/>
        <v>42550</v>
      </c>
      <c r="D1199" s="189" t="s">
        <v>1174</v>
      </c>
      <c r="E1199" s="691">
        <v>42550</v>
      </c>
      <c r="F1199" s="187" t="s">
        <v>1028</v>
      </c>
      <c r="G1199" s="190" t="s">
        <v>611</v>
      </c>
      <c r="H1199" s="7" t="s">
        <v>648</v>
      </c>
      <c r="I1199" s="251"/>
      <c r="J1199" s="251"/>
      <c r="K1199" s="560">
        <v>879200</v>
      </c>
      <c r="L1199" s="192" t="s">
        <v>258</v>
      </c>
      <c r="M1199" s="192" t="s">
        <v>367</v>
      </c>
      <c r="N1199" s="52" t="str">
        <f>IF(AND('331-CT'!$E$7=TH!H1199,OR(L1199="331",M1199="331")),"331",IF(AND(OR(L1199="131",M1199="131"),H1199='131-CT'!$E$7),"131",""))</f>
        <v/>
      </c>
      <c r="O1199" s="818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52"/>
      <c r="AB1199" s="552"/>
      <c r="AC1199" s="552"/>
    </row>
    <row r="1200" spans="1:29" s="209" customFormat="1" ht="15.75" customHeight="1">
      <c r="A1200" s="202" t="str">
        <f>IF(B1200&lt;&gt;"",IF(AND(B1200&gt;=_TM1,B1200&lt;=_TM2,OR(TH!L1200="1111",TH!M1200="1111")),TH!D1200,""),"")</f>
        <v/>
      </c>
      <c r="B1200" s="36">
        <f t="shared" si="58"/>
        <v>6</v>
      </c>
      <c r="C1200" s="182">
        <f t="shared" si="59"/>
        <v>42550</v>
      </c>
      <c r="D1200" s="189" t="s">
        <v>1175</v>
      </c>
      <c r="E1200" s="691">
        <v>42550</v>
      </c>
      <c r="F1200" s="187" t="s">
        <v>1068</v>
      </c>
      <c r="G1200" s="190" t="s">
        <v>613</v>
      </c>
      <c r="H1200" s="7" t="s">
        <v>527</v>
      </c>
      <c r="I1200" s="251">
        <v>53</v>
      </c>
      <c r="J1200" s="251">
        <v>54530</v>
      </c>
      <c r="K1200" s="38">
        <f>ROUND(I1200*J1200,0)</f>
        <v>2890090</v>
      </c>
      <c r="L1200" s="192" t="s">
        <v>258</v>
      </c>
      <c r="M1200" s="192" t="s">
        <v>173</v>
      </c>
      <c r="N1200" s="52" t="str">
        <f>IF(AND('331-CT'!$E$7=TH!H1200,OR(L1200="331",M1200="331")),"331",IF(AND(OR(L1200="131",M1200="131"),H1200='131-CT'!$E$7),"131",""))</f>
        <v/>
      </c>
      <c r="O1200" s="818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52"/>
      <c r="AB1200" s="552"/>
      <c r="AC1200" s="552"/>
    </row>
    <row r="1201" spans="1:32" s="209" customFormat="1" ht="15.75" customHeight="1">
      <c r="A1201" s="202" t="str">
        <f>IF(B1201&lt;&gt;"",IF(AND(B1201&gt;=_TM1,B1201&lt;=_TM2,OR(TH!L1201="1111",TH!M1201="1111")),TH!D1201,""),"")</f>
        <v/>
      </c>
      <c r="B1201" s="36">
        <f t="shared" si="58"/>
        <v>6</v>
      </c>
      <c r="C1201" s="182">
        <f t="shared" si="59"/>
        <v>42550</v>
      </c>
      <c r="D1201" s="189" t="s">
        <v>1175</v>
      </c>
      <c r="E1201" s="691">
        <v>42550</v>
      </c>
      <c r="F1201" s="190" t="s">
        <v>418</v>
      </c>
      <c r="G1201" s="190" t="s">
        <v>613</v>
      </c>
      <c r="H1201" s="7" t="s">
        <v>527</v>
      </c>
      <c r="I1201" s="251">
        <v>120</v>
      </c>
      <c r="J1201" s="251">
        <v>47449</v>
      </c>
      <c r="K1201" s="38">
        <f>ROUND(I1201*J1201,0)</f>
        <v>5693880</v>
      </c>
      <c r="L1201" s="192" t="s">
        <v>258</v>
      </c>
      <c r="M1201" s="192" t="s">
        <v>173</v>
      </c>
      <c r="N1201" s="52" t="str">
        <f>IF(AND('331-CT'!$E$7=TH!H1201,OR(L1201="331",M1201="331")),"331",IF(AND(OR(L1201="131",M1201="131"),H1201='131-CT'!$E$7),"131",""))</f>
        <v/>
      </c>
      <c r="O1201" s="818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52"/>
      <c r="AB1201" s="552"/>
      <c r="AC1201" s="552"/>
    </row>
    <row r="1202" spans="1:32" s="209" customFormat="1" ht="15.75" customHeight="1">
      <c r="A1202" s="202" t="str">
        <f>IF(B1202&lt;&gt;"",IF(AND(B1202&gt;=_TM1,B1202&lt;=_TM2,OR(TH!L1202="1111",TH!M1202="1111")),TH!D1202,""),"")</f>
        <v/>
      </c>
      <c r="B1202" s="779">
        <f t="shared" si="58"/>
        <v>6</v>
      </c>
      <c r="C1202" s="780">
        <f t="shared" si="59"/>
        <v>42550</v>
      </c>
      <c r="D1202" s="189" t="s">
        <v>1175</v>
      </c>
      <c r="E1202" s="189">
        <v>42550</v>
      </c>
      <c r="F1202" s="190" t="s">
        <v>1069</v>
      </c>
      <c r="G1202" s="190" t="s">
        <v>613</v>
      </c>
      <c r="H1202" s="7" t="s">
        <v>527</v>
      </c>
      <c r="I1202" s="251">
        <v>13</v>
      </c>
      <c r="J1202" s="251">
        <v>45000</v>
      </c>
      <c r="K1202" s="38">
        <f>ROUND(I1202*J1202,0)</f>
        <v>585000</v>
      </c>
      <c r="L1202" s="192" t="s">
        <v>258</v>
      </c>
      <c r="M1202" s="192" t="s">
        <v>173</v>
      </c>
      <c r="N1202" s="52" t="str">
        <f>IF(AND('331-CT'!$E$7=TH!H1202,OR(L1202="331",M1202="331")),"331",IF(AND(OR(L1202="131",M1202="131"),H1202='131-CT'!$E$7),"131",""))</f>
        <v/>
      </c>
      <c r="O1202" s="818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52"/>
      <c r="AB1202" s="552"/>
      <c r="AC1202" s="788"/>
      <c r="AD1202" s="788"/>
      <c r="AE1202" s="788"/>
      <c r="AF1202" s="788"/>
    </row>
    <row r="1203" spans="1:32" s="209" customFormat="1" ht="15.75" customHeight="1">
      <c r="A1203" s="202" t="str">
        <f>IF(B1203&lt;&gt;"",IF(AND(B1203&gt;=_TM1,B1203&lt;=_TM2,OR(TH!L1203="1111",TH!M1203="1111")),TH!D1203,""),"")</f>
        <v/>
      </c>
      <c r="B1203" s="36">
        <f t="shared" si="58"/>
        <v>6</v>
      </c>
      <c r="C1203" s="182">
        <f t="shared" si="59"/>
        <v>42550</v>
      </c>
      <c r="D1203" s="189" t="s">
        <v>1175</v>
      </c>
      <c r="E1203" s="189">
        <v>42550</v>
      </c>
      <c r="F1203" s="190" t="s">
        <v>495</v>
      </c>
      <c r="G1203" s="190" t="s">
        <v>613</v>
      </c>
      <c r="H1203" s="7" t="s">
        <v>527</v>
      </c>
      <c r="I1203" s="251">
        <v>51</v>
      </c>
      <c r="J1203" s="251">
        <v>30237</v>
      </c>
      <c r="K1203" s="38">
        <f>ROUND(I1203*J1203,0)</f>
        <v>1542087</v>
      </c>
      <c r="L1203" s="192" t="s">
        <v>258</v>
      </c>
      <c r="M1203" s="192" t="s">
        <v>173</v>
      </c>
      <c r="N1203" s="52" t="str">
        <f>IF(AND('331-CT'!$E$7=TH!H1203,OR(L1203="331",M1203="331")),"331",IF(AND(OR(L1203="131",M1203="131"),H1203='131-CT'!$E$7),"131",""))</f>
        <v/>
      </c>
      <c r="O1203" s="818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52"/>
      <c r="AB1203" s="552"/>
      <c r="AC1203" s="552"/>
    </row>
    <row r="1204" spans="1:32" s="209" customFormat="1" ht="15.75" customHeight="1">
      <c r="A1204" s="202" t="str">
        <f>IF(B1204&lt;&gt;"",IF(AND(B1204&gt;=_TM1,B1204&lt;=_TM2,OR(TH!L1204="1111",TH!M1204="1111")),TH!D1204,""),"")</f>
        <v/>
      </c>
      <c r="B1204" s="36">
        <f t="shared" si="58"/>
        <v>6</v>
      </c>
      <c r="C1204" s="182">
        <f t="shared" si="59"/>
        <v>42550</v>
      </c>
      <c r="D1204" s="189" t="s">
        <v>1175</v>
      </c>
      <c r="E1204" s="189">
        <v>42550</v>
      </c>
      <c r="F1204" s="190" t="s">
        <v>1028</v>
      </c>
      <c r="G1204" s="190" t="s">
        <v>613</v>
      </c>
      <c r="H1204" s="7" t="s">
        <v>527</v>
      </c>
      <c r="I1204" s="251"/>
      <c r="J1204" s="251"/>
      <c r="K1204" s="560">
        <v>1071105</v>
      </c>
      <c r="L1204" s="192" t="s">
        <v>258</v>
      </c>
      <c r="M1204" s="192" t="s">
        <v>367</v>
      </c>
      <c r="N1204" s="52" t="str">
        <f>IF(AND('331-CT'!$E$7=TH!H1204,OR(L1204="331",M1204="331")),"331",IF(AND(OR(L1204="131",M1204="131"),H1204='131-CT'!$E$7),"131",""))</f>
        <v/>
      </c>
      <c r="O1204" s="818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52"/>
      <c r="AB1204" s="552"/>
      <c r="AC1204" s="552"/>
    </row>
    <row r="1205" spans="1:32" s="209" customFormat="1" ht="15.75" customHeight="1">
      <c r="A1205" s="202" t="str">
        <f>IF(B1205&lt;&gt;"",IF(AND(B1205&gt;=_TM1,B1205&lt;=_TM2,OR(TH!L1205="1111",TH!M1205="1111")),TH!D1205,""),"")</f>
        <v/>
      </c>
      <c r="B1205" s="36">
        <f t="shared" si="58"/>
        <v>6</v>
      </c>
      <c r="C1205" s="839">
        <f t="shared" si="59"/>
        <v>42551</v>
      </c>
      <c r="D1205" s="839" t="s">
        <v>332</v>
      </c>
      <c r="E1205" s="839">
        <v>42551</v>
      </c>
      <c r="F1205" s="845" t="s">
        <v>1429</v>
      </c>
      <c r="G1205" s="874"/>
      <c r="H1205" s="875"/>
      <c r="I1205" s="842"/>
      <c r="J1205" s="842"/>
      <c r="K1205" s="849">
        <v>5390000</v>
      </c>
      <c r="L1205" s="876" t="s">
        <v>83</v>
      </c>
      <c r="M1205" s="876" t="s">
        <v>261</v>
      </c>
      <c r="N1205" s="52" t="str">
        <f>IF(AND('331-CT'!$E$7=TH!H1205,OR(L1205="331",M1205="331")),"331",IF(AND(OR(L1205="131",M1205="131"),H1205='131-CT'!$E$7),"131",""))</f>
        <v/>
      </c>
      <c r="O1205" s="818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>x</v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196"/>
      <c r="AB1205" s="196"/>
      <c r="AC1205" s="196"/>
      <c r="AD1205" s="196"/>
      <c r="AE1205" s="196"/>
      <c r="AF1205" s="196"/>
    </row>
    <row r="1206" spans="1:32" s="209" customFormat="1" ht="15.75" customHeight="1">
      <c r="A1206" s="202" t="str">
        <f>IF(B1206&lt;&gt;"",IF(AND(B1206&gt;=_TM1,B1206&lt;=_TM2,OR(TH!L1206="1111",TH!M1206="1111")),TH!D1206,""),"")</f>
        <v/>
      </c>
      <c r="B1206" s="36">
        <f t="shared" si="58"/>
        <v>6</v>
      </c>
      <c r="C1206" s="839">
        <f t="shared" si="59"/>
        <v>42551</v>
      </c>
      <c r="D1206" s="839" t="s">
        <v>332</v>
      </c>
      <c r="E1206" s="839">
        <v>42551</v>
      </c>
      <c r="F1206" s="845" t="s">
        <v>1430</v>
      </c>
      <c r="G1206" s="874"/>
      <c r="H1206" s="875"/>
      <c r="I1206" s="842"/>
      <c r="J1206" s="842"/>
      <c r="K1206" s="849">
        <v>16170000</v>
      </c>
      <c r="L1206" s="876" t="s">
        <v>164</v>
      </c>
      <c r="M1206" s="876" t="s">
        <v>261</v>
      </c>
      <c r="N1206" s="52" t="str">
        <f>IF(AND('331-CT'!$E$7=TH!H1206,OR(L1206="331",M1206="331")),"331",IF(AND(OR(L1206="131",M1206="131"),H1206='131-CT'!$E$7),"131",""))</f>
        <v/>
      </c>
      <c r="O1206" s="818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196"/>
      <c r="AB1206" s="196"/>
      <c r="AC1206" s="196"/>
      <c r="AD1206" s="196"/>
      <c r="AE1206" s="196"/>
      <c r="AF1206" s="196"/>
    </row>
    <row r="1207" spans="1:32" s="209" customFormat="1" ht="15.75" customHeight="1">
      <c r="A1207" s="202" t="str">
        <f>IF(B1207&lt;&gt;"",IF(AND(B1207&gt;=_TM1,B1207&lt;=_TM2,OR(TH!L1207="1111",TH!M1207="1111")),TH!D1207,""),"")</f>
        <v/>
      </c>
      <c r="B1207" s="36">
        <f t="shared" si="58"/>
        <v>6</v>
      </c>
      <c r="C1207" s="839">
        <f t="shared" si="59"/>
        <v>42551</v>
      </c>
      <c r="D1207" s="839" t="s">
        <v>1660</v>
      </c>
      <c r="E1207" s="839">
        <v>42551</v>
      </c>
      <c r="F1207" s="845" t="str">
        <f>"Thanh toán tiền lương tháng "&amp;MONTH(E1207)&amp;"/"&amp;YEAR(E1207)</f>
        <v>Thanh toán tiền lương tháng 6/2016</v>
      </c>
      <c r="G1207" s="874"/>
      <c r="H1207" s="875" t="s">
        <v>1680</v>
      </c>
      <c r="I1207" s="842"/>
      <c r="J1207" s="842"/>
      <c r="K1207" s="849">
        <f>K1205+K1206</f>
        <v>21560000</v>
      </c>
      <c r="L1207" s="876" t="s">
        <v>261</v>
      </c>
      <c r="M1207" s="876" t="s">
        <v>47</v>
      </c>
      <c r="N1207" s="52" t="str">
        <f>IF(AND('331-CT'!$E$7=TH!H1207,OR(L1207="331",M1207="331")),"331",IF(AND(OR(L1207="131",M1207="131"),H1207='131-CT'!$E$7),"131",""))</f>
        <v/>
      </c>
      <c r="O1207" s="818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196"/>
      <c r="AB1207" s="196"/>
      <c r="AC1207" s="196"/>
      <c r="AD1207" s="196"/>
      <c r="AE1207" s="196"/>
      <c r="AF1207" s="196"/>
    </row>
    <row r="1208" spans="1:32" s="209" customFormat="1" ht="15.75" customHeight="1">
      <c r="A1208" s="202" t="str">
        <f>IF(B1208&lt;&gt;"",IF(AND(B1208&gt;=_TM1,B1208&lt;=_TM2,OR(TH!L1208="1111",TH!M1208="1111")),TH!D1208,""),"")</f>
        <v/>
      </c>
      <c r="B1208" s="36">
        <f t="shared" si="58"/>
        <v>6</v>
      </c>
      <c r="C1208" s="182">
        <f t="shared" si="59"/>
        <v>42551</v>
      </c>
      <c r="D1208" s="189" t="s">
        <v>1176</v>
      </c>
      <c r="E1208" s="189">
        <v>42551</v>
      </c>
      <c r="F1208" s="190" t="s">
        <v>651</v>
      </c>
      <c r="G1208" s="190" t="s">
        <v>614</v>
      </c>
      <c r="H1208" s="7" t="s">
        <v>783</v>
      </c>
      <c r="I1208" s="251">
        <v>220</v>
      </c>
      <c r="J1208" s="251">
        <v>5800</v>
      </c>
      <c r="K1208" s="38">
        <f>ROUND(I1208*J1208,0)</f>
        <v>1276000</v>
      </c>
      <c r="L1208" s="192" t="s">
        <v>258</v>
      </c>
      <c r="M1208" s="192" t="s">
        <v>173</v>
      </c>
      <c r="N1208" s="52" t="str">
        <f>IF(AND('331-CT'!$E$7=TH!H1208,OR(L1208="331",M1208="331")),"331",IF(AND(OR(L1208="131",M1208="131"),H1208='131-CT'!$E$7),"131",""))</f>
        <v/>
      </c>
      <c r="O1208" s="818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52"/>
      <c r="AB1208" s="552"/>
      <c r="AC1208" s="552"/>
    </row>
    <row r="1209" spans="1:32" s="209" customFormat="1" ht="15.75" customHeight="1">
      <c r="A1209" s="202" t="str">
        <f>IF(B1209&lt;&gt;"",IF(AND(B1209&gt;=_TM1,B1209&lt;=_TM2,OR(TH!L1209="1111",TH!M1209="1111")),TH!D1209,""),"")</f>
        <v/>
      </c>
      <c r="B1209" s="36">
        <f t="shared" si="58"/>
        <v>6</v>
      </c>
      <c r="C1209" s="182">
        <f t="shared" si="59"/>
        <v>42551</v>
      </c>
      <c r="D1209" s="189" t="s">
        <v>1176</v>
      </c>
      <c r="E1209" s="189">
        <v>42551</v>
      </c>
      <c r="F1209" s="190" t="s">
        <v>540</v>
      </c>
      <c r="G1209" s="190" t="s">
        <v>614</v>
      </c>
      <c r="H1209" s="7" t="s">
        <v>783</v>
      </c>
      <c r="I1209" s="251">
        <v>529</v>
      </c>
      <c r="J1209" s="251">
        <v>6400</v>
      </c>
      <c r="K1209" s="38">
        <f>ROUND(I1209*J1209,0)</f>
        <v>3385600</v>
      </c>
      <c r="L1209" s="192" t="s">
        <v>258</v>
      </c>
      <c r="M1209" s="192" t="s">
        <v>173</v>
      </c>
      <c r="N1209" s="52" t="str">
        <f>IF(AND('331-CT'!$E$7=TH!H1209,OR(L1209="331",M1209="331")),"331",IF(AND(OR(L1209="131",M1209="131"),H1209='131-CT'!$E$7),"131",""))</f>
        <v/>
      </c>
      <c r="O1209" s="818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52"/>
      <c r="AB1209" s="552"/>
      <c r="AC1209" s="552"/>
    </row>
    <row r="1210" spans="1:32" s="209" customFormat="1" ht="15.75" customHeight="1">
      <c r="A1210" s="202" t="str">
        <f>IF(B1210&lt;&gt;"",IF(AND(B1210&gt;=_TM1,B1210&lt;=_TM2,OR(TH!L1210="1111",TH!M1210="1111")),TH!D1210,""),"")</f>
        <v/>
      </c>
      <c r="B1210" s="36">
        <f t="shared" si="58"/>
        <v>6</v>
      </c>
      <c r="C1210" s="182">
        <f t="shared" si="59"/>
        <v>42551</v>
      </c>
      <c r="D1210" s="189" t="s">
        <v>1176</v>
      </c>
      <c r="E1210" s="189">
        <v>42551</v>
      </c>
      <c r="F1210" s="190" t="s">
        <v>1028</v>
      </c>
      <c r="G1210" s="190" t="s">
        <v>614</v>
      </c>
      <c r="H1210" s="7" t="s">
        <v>783</v>
      </c>
      <c r="I1210" s="251"/>
      <c r="J1210" s="251"/>
      <c r="K1210" s="560">
        <v>466160</v>
      </c>
      <c r="L1210" s="192" t="s">
        <v>258</v>
      </c>
      <c r="M1210" s="192" t="s">
        <v>367</v>
      </c>
      <c r="N1210" s="52" t="str">
        <f>IF(AND('331-CT'!$E$7=TH!H1210,OR(L1210="331",M1210="331")),"331",IF(AND(OR(L1210="131",M1210="131"),H1210='131-CT'!$E$7),"131",""))</f>
        <v/>
      </c>
      <c r="O1210" s="818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52"/>
      <c r="AB1210" s="552"/>
      <c r="AC1210" s="552"/>
    </row>
    <row r="1211" spans="1:32" s="209" customFormat="1" ht="15.75" customHeight="1">
      <c r="A1211" s="202" t="str">
        <f>IF(B1211&lt;&gt;"",IF(AND(B1211&gt;=_TM1,B1211&lt;=_TM2,OR(TH!L1211="1111",TH!M1211="1111")),TH!D1211,""),"")</f>
        <v/>
      </c>
      <c r="B1211" s="36">
        <f t="shared" si="58"/>
        <v>6</v>
      </c>
      <c r="C1211" s="182">
        <v>42551</v>
      </c>
      <c r="D1211" s="189" t="s">
        <v>332</v>
      </c>
      <c r="E1211" s="182">
        <v>42500</v>
      </c>
      <c r="F1211" s="190" t="s">
        <v>845</v>
      </c>
      <c r="G1211" s="451" t="s">
        <v>631</v>
      </c>
      <c r="H1211" s="7" t="s">
        <v>792</v>
      </c>
      <c r="I1211" s="251"/>
      <c r="J1211" s="251"/>
      <c r="K1211" s="560">
        <v>37000000</v>
      </c>
      <c r="L1211" s="192" t="s">
        <v>83</v>
      </c>
      <c r="M1211" s="192" t="s">
        <v>8</v>
      </c>
      <c r="N1211" s="52" t="str">
        <f>IF(AND('331-CT'!$E$7=TH!H1211,OR(L1211="331",M1211="331")),"331",IF(AND(OR(L1211="131",M1211="131"),H1211='131-CT'!$E$7),"131",""))</f>
        <v/>
      </c>
      <c r="O1211" s="818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>x</v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52">
        <v>2</v>
      </c>
      <c r="AB1211" s="552"/>
      <c r="AC1211" s="209" t="str">
        <f t="shared" ref="AC1211:AC1220" si="60">IF(VLOOKUP(H1211,DSKH,1,0)=H1211,"","x")</f>
        <v/>
      </c>
      <c r="AE1211" s="552"/>
      <c r="AF1211" s="552"/>
    </row>
    <row r="1212" spans="1:32" s="209" customFormat="1" ht="15.75" customHeight="1">
      <c r="A1212" s="202" t="str">
        <f>IF(B1212&lt;&gt;"",IF(AND(B1212&gt;=_TM1,B1212&lt;=_TM2,OR(TH!L1212="1111",TH!M1212="1111")),TH!D1212,""),"")</f>
        <v/>
      </c>
      <c r="B1212" s="36">
        <f t="shared" si="58"/>
        <v>6</v>
      </c>
      <c r="C1212" s="182">
        <v>42551</v>
      </c>
      <c r="D1212" s="189" t="s">
        <v>332</v>
      </c>
      <c r="E1212" s="182">
        <v>42500</v>
      </c>
      <c r="F1212" s="187" t="s">
        <v>846</v>
      </c>
      <c r="G1212" s="451" t="s">
        <v>631</v>
      </c>
      <c r="H1212" s="7" t="s">
        <v>792</v>
      </c>
      <c r="I1212" s="251"/>
      <c r="J1212" s="251"/>
      <c r="K1212" s="560">
        <v>3700000</v>
      </c>
      <c r="L1212" s="192" t="s">
        <v>9</v>
      </c>
      <c r="M1212" s="192" t="s">
        <v>8</v>
      </c>
      <c r="N1212" s="52" t="str">
        <f>IF(AND('331-CT'!$E$7=TH!H1212,OR(L1212="331",M1212="331")),"331",IF(AND(OR(L1212="131",M1212="131"),H1212='131-CT'!$E$7),"131",""))</f>
        <v/>
      </c>
      <c r="O1212" s="818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52">
        <v>2</v>
      </c>
      <c r="AB1212" s="552"/>
      <c r="AC1212" s="209" t="str">
        <f t="shared" si="60"/>
        <v/>
      </c>
      <c r="AE1212" s="552"/>
      <c r="AF1212" s="552"/>
    </row>
    <row r="1213" spans="1:32" s="209" customFormat="1" ht="15.75" customHeight="1">
      <c r="A1213" s="202" t="str">
        <f>IF(B1213&lt;&gt;"",IF(AND(B1213&gt;=_TM1,B1213&lt;=_TM2,OR(TH!L1213="1111",TH!M1213="1111")),TH!D1213,""),"")</f>
        <v/>
      </c>
      <c r="B1213" s="36">
        <f t="shared" si="58"/>
        <v>6</v>
      </c>
      <c r="C1213" s="182">
        <v>42551</v>
      </c>
      <c r="D1213" s="189" t="s">
        <v>332</v>
      </c>
      <c r="E1213" s="182">
        <v>42500</v>
      </c>
      <c r="F1213" s="187" t="s">
        <v>847</v>
      </c>
      <c r="G1213" s="451" t="s">
        <v>632</v>
      </c>
      <c r="H1213" s="7" t="s">
        <v>792</v>
      </c>
      <c r="I1213" s="251"/>
      <c r="J1213" s="251"/>
      <c r="K1213" s="560">
        <v>37000000</v>
      </c>
      <c r="L1213" s="192" t="s">
        <v>83</v>
      </c>
      <c r="M1213" s="192" t="s">
        <v>8</v>
      </c>
      <c r="N1213" s="52" t="str">
        <f>IF(AND('331-CT'!$E$7=TH!H1213,OR(L1213="331",M1213="331")),"331",IF(AND(OR(L1213="131",M1213="131"),H1213='131-CT'!$E$7),"131",""))</f>
        <v/>
      </c>
      <c r="O1213" s="818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>x</v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52">
        <v>2</v>
      </c>
      <c r="AB1213" s="552"/>
      <c r="AC1213" s="209" t="str">
        <f t="shared" si="60"/>
        <v/>
      </c>
      <c r="AE1213" s="552"/>
      <c r="AF1213" s="552"/>
    </row>
    <row r="1214" spans="1:32" s="209" customFormat="1" ht="15.75" customHeight="1">
      <c r="A1214" s="202" t="str">
        <f>IF(B1214&lt;&gt;"",IF(AND(B1214&gt;=_TM1,B1214&lt;=_TM2,OR(TH!L1214="1111",TH!M1214="1111")),TH!D1214,""),"")</f>
        <v/>
      </c>
      <c r="B1214" s="36">
        <f t="shared" si="58"/>
        <v>6</v>
      </c>
      <c r="C1214" s="182">
        <v>42551</v>
      </c>
      <c r="D1214" s="189" t="s">
        <v>332</v>
      </c>
      <c r="E1214" s="182">
        <v>42500</v>
      </c>
      <c r="F1214" s="187" t="s">
        <v>846</v>
      </c>
      <c r="G1214" s="451" t="s">
        <v>632</v>
      </c>
      <c r="H1214" s="7" t="s">
        <v>792</v>
      </c>
      <c r="I1214" s="251"/>
      <c r="J1214" s="251"/>
      <c r="K1214" s="560">
        <v>3700000</v>
      </c>
      <c r="L1214" s="192" t="s">
        <v>9</v>
      </c>
      <c r="M1214" s="192" t="s">
        <v>8</v>
      </c>
      <c r="N1214" s="52" t="str">
        <f>IF(AND('331-CT'!$E$7=TH!H1214,OR(L1214="331",M1214="331")),"331",IF(AND(OR(L1214="131",M1214="131"),H1214='131-CT'!$E$7),"131",""))</f>
        <v/>
      </c>
      <c r="O1214" s="818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52">
        <v>2</v>
      </c>
      <c r="AB1214" s="552"/>
      <c r="AC1214" s="209" t="str">
        <f t="shared" si="60"/>
        <v/>
      </c>
      <c r="AE1214" s="552"/>
      <c r="AF1214" s="552"/>
    </row>
    <row r="1215" spans="1:32" s="209" customFormat="1" ht="15.75" customHeight="1">
      <c r="A1215" s="202" t="str">
        <f>IF(B1215&lt;&gt;"",IF(AND(B1215&gt;=_TM1,B1215&lt;=_TM2,OR(TH!L1215="1111",TH!M1215="1111")),TH!D1215,""),"")</f>
        <v/>
      </c>
      <c r="B1215" s="36">
        <f t="shared" si="58"/>
        <v>6</v>
      </c>
      <c r="C1215" s="182">
        <v>42551</v>
      </c>
      <c r="D1215" s="189" t="s">
        <v>332</v>
      </c>
      <c r="E1215" s="182">
        <v>42515</v>
      </c>
      <c r="F1215" s="187" t="s">
        <v>850</v>
      </c>
      <c r="G1215" s="451" t="s">
        <v>633</v>
      </c>
      <c r="H1215" s="7" t="s">
        <v>792</v>
      </c>
      <c r="I1215" s="251"/>
      <c r="J1215" s="251"/>
      <c r="K1215" s="786">
        <v>24407700</v>
      </c>
      <c r="L1215" s="192" t="s">
        <v>83</v>
      </c>
      <c r="M1215" s="192" t="s">
        <v>8</v>
      </c>
      <c r="N1215" s="52" t="str">
        <f>IF(AND('331-CT'!$E$7=TH!H1215,OR(L1215="331",M1215="331")),"331",IF(AND(OR(L1215="131",M1215="131"),H1215='131-CT'!$E$7),"131",""))</f>
        <v/>
      </c>
      <c r="O1215" s="818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>x</v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52">
        <v>2</v>
      </c>
      <c r="AB1215" s="552"/>
      <c r="AC1215" s="209" t="str">
        <f t="shared" si="60"/>
        <v/>
      </c>
      <c r="AE1215" s="552"/>
      <c r="AF1215" s="552"/>
    </row>
    <row r="1216" spans="1:32" s="209" customFormat="1" ht="15.75" customHeight="1">
      <c r="A1216" s="202" t="str">
        <f>IF(B1216&lt;&gt;"",IF(AND(B1216&gt;=_TM1,B1216&lt;=_TM2,OR(TH!L1216="1111",TH!M1216="1111")),TH!D1216,""),"")</f>
        <v/>
      </c>
      <c r="B1216" s="36">
        <f t="shared" si="58"/>
        <v>6</v>
      </c>
      <c r="C1216" s="182">
        <v>42551</v>
      </c>
      <c r="D1216" s="189" t="s">
        <v>332</v>
      </c>
      <c r="E1216" s="182">
        <v>42515</v>
      </c>
      <c r="F1216" s="187" t="s">
        <v>851</v>
      </c>
      <c r="G1216" s="451" t="s">
        <v>633</v>
      </c>
      <c r="H1216" s="7" t="s">
        <v>792</v>
      </c>
      <c r="I1216" s="251"/>
      <c r="J1216" s="251"/>
      <c r="K1216" s="560">
        <v>2440770</v>
      </c>
      <c r="L1216" s="192" t="s">
        <v>9</v>
      </c>
      <c r="M1216" s="192" t="s">
        <v>8</v>
      </c>
      <c r="N1216" s="52" t="str">
        <f>IF(AND('331-CT'!$E$7=TH!H1216,OR(L1216="331",M1216="331")),"331",IF(AND(OR(L1216="131",M1216="131"),H1216='131-CT'!$E$7),"131",""))</f>
        <v/>
      </c>
      <c r="O1216" s="818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52">
        <v>2</v>
      </c>
      <c r="AB1216" s="552"/>
      <c r="AC1216" s="209" t="str">
        <f t="shared" si="60"/>
        <v/>
      </c>
      <c r="AE1216" s="552"/>
      <c r="AF1216" s="552"/>
    </row>
    <row r="1217" spans="1:32" s="209" customFormat="1" ht="15.75" customHeight="1">
      <c r="A1217" s="202" t="str">
        <f>IF(B1217&lt;&gt;"",IF(AND(B1217&gt;=_TM1,B1217&lt;=_TM2,OR(TH!L1217="1111",TH!M1217="1111")),TH!D1217,""),"")</f>
        <v/>
      </c>
      <c r="B1217" s="36">
        <f t="shared" si="58"/>
        <v>6</v>
      </c>
      <c r="C1217" s="182">
        <v>42551</v>
      </c>
      <c r="D1217" s="189" t="s">
        <v>332</v>
      </c>
      <c r="E1217" s="182">
        <v>42529</v>
      </c>
      <c r="F1217" s="187" t="s">
        <v>861</v>
      </c>
      <c r="G1217" s="451" t="s">
        <v>634</v>
      </c>
      <c r="H1217" s="7" t="s">
        <v>792</v>
      </c>
      <c r="I1217" s="251"/>
      <c r="J1217" s="251"/>
      <c r="K1217" s="560">
        <v>37000000</v>
      </c>
      <c r="L1217" s="192" t="s">
        <v>83</v>
      </c>
      <c r="M1217" s="192" t="s">
        <v>8</v>
      </c>
      <c r="N1217" s="52" t="str">
        <f>IF(AND('331-CT'!$E$7=TH!H1217,OR(L1217="331",M1217="331")),"331",IF(AND(OR(L1217="131",M1217="131"),H1217='131-CT'!$E$7),"131",""))</f>
        <v/>
      </c>
      <c r="O1217" s="818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>x</v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52">
        <v>2</v>
      </c>
      <c r="AB1217" s="552"/>
      <c r="AC1217" s="209" t="str">
        <f t="shared" si="60"/>
        <v/>
      </c>
      <c r="AE1217" s="552"/>
      <c r="AF1217" s="552"/>
    </row>
    <row r="1218" spans="1:32" s="209" customFormat="1" ht="15.75" customHeight="1">
      <c r="A1218" s="202" t="str">
        <f>IF(B1218&lt;&gt;"",IF(AND(B1218&gt;=_TM1,B1218&lt;=_TM2,OR(TH!L1218="1111",TH!M1218="1111")),TH!D1218,""),"")</f>
        <v/>
      </c>
      <c r="B1218" s="36">
        <f t="shared" si="58"/>
        <v>6</v>
      </c>
      <c r="C1218" s="182">
        <v>42551</v>
      </c>
      <c r="D1218" s="189" t="s">
        <v>332</v>
      </c>
      <c r="E1218" s="182">
        <v>42529</v>
      </c>
      <c r="F1218" s="187" t="s">
        <v>846</v>
      </c>
      <c r="G1218" s="451" t="s">
        <v>634</v>
      </c>
      <c r="H1218" s="7" t="s">
        <v>792</v>
      </c>
      <c r="I1218" s="251"/>
      <c r="J1218" s="251"/>
      <c r="K1218" s="560">
        <v>3700000</v>
      </c>
      <c r="L1218" s="192" t="s">
        <v>9</v>
      </c>
      <c r="M1218" s="192" t="s">
        <v>8</v>
      </c>
      <c r="N1218" s="52" t="str">
        <f>IF(AND('331-CT'!$E$7=TH!H1218,OR(L1218="331",M1218="331")),"331",IF(AND(OR(L1218="131",M1218="131"),H1218='131-CT'!$E$7),"131",""))</f>
        <v/>
      </c>
      <c r="O1218" s="818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52">
        <v>2</v>
      </c>
      <c r="AB1218" s="552"/>
      <c r="AC1218" s="209" t="str">
        <f t="shared" si="60"/>
        <v/>
      </c>
      <c r="AE1218" s="552"/>
      <c r="AF1218" s="552"/>
    </row>
    <row r="1219" spans="1:32" s="209" customFormat="1" ht="15.75" customHeight="1">
      <c r="A1219" s="202" t="str">
        <f>IF(B1219&lt;&gt;"",IF(AND(B1219&gt;=_TM1,B1219&lt;=_TM2,OR(TH!L1219="1111",TH!M1219="1111")),TH!D1219,""),"")</f>
        <v/>
      </c>
      <c r="B1219" s="36">
        <f t="shared" si="58"/>
        <v>6</v>
      </c>
      <c r="C1219" s="182">
        <v>42551</v>
      </c>
      <c r="D1219" s="189" t="s">
        <v>332</v>
      </c>
      <c r="E1219" s="182">
        <v>42536</v>
      </c>
      <c r="F1219" s="187" t="s">
        <v>862</v>
      </c>
      <c r="G1219" s="451" t="s">
        <v>635</v>
      </c>
      <c r="H1219" s="7" t="s">
        <v>792</v>
      </c>
      <c r="I1219" s="251"/>
      <c r="J1219" s="251"/>
      <c r="K1219" s="560">
        <v>9302600</v>
      </c>
      <c r="L1219" s="192" t="s">
        <v>83</v>
      </c>
      <c r="M1219" s="192" t="s">
        <v>8</v>
      </c>
      <c r="N1219" s="52" t="str">
        <f>IF(AND('331-CT'!$E$7=TH!H1219,OR(L1219="331",M1219="331")),"331",IF(AND(OR(L1219="131",M1219="131"),H1219='131-CT'!$E$7),"131",""))</f>
        <v/>
      </c>
      <c r="O1219" s="818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>x</v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52">
        <v>2</v>
      </c>
      <c r="AB1219" s="552"/>
      <c r="AC1219" s="209" t="str">
        <f t="shared" si="60"/>
        <v/>
      </c>
      <c r="AE1219" s="552"/>
      <c r="AF1219" s="552"/>
    </row>
    <row r="1220" spans="1:32" s="209" customFormat="1" ht="15.75" customHeight="1">
      <c r="A1220" s="202" t="str">
        <f>IF(B1220&lt;&gt;"",IF(AND(B1220&gt;=_TM1,B1220&lt;=_TM2,OR(TH!L1220="1111",TH!M1220="1111")),TH!D1220,""),"")</f>
        <v/>
      </c>
      <c r="B1220" s="36">
        <f t="shared" si="58"/>
        <v>6</v>
      </c>
      <c r="C1220" s="182">
        <v>42551</v>
      </c>
      <c r="D1220" s="189" t="s">
        <v>332</v>
      </c>
      <c r="E1220" s="182">
        <v>42536</v>
      </c>
      <c r="F1220" s="187" t="s">
        <v>851</v>
      </c>
      <c r="G1220" s="451" t="s">
        <v>635</v>
      </c>
      <c r="H1220" s="7" t="s">
        <v>792</v>
      </c>
      <c r="I1220" s="251"/>
      <c r="J1220" s="251"/>
      <c r="K1220" s="560">
        <v>930260</v>
      </c>
      <c r="L1220" s="192" t="s">
        <v>9</v>
      </c>
      <c r="M1220" s="192" t="s">
        <v>8</v>
      </c>
      <c r="N1220" s="52" t="str">
        <f>IF(AND('331-CT'!$E$7=TH!H1220,OR(L1220="331",M1220="331")),"331",IF(AND(OR(L1220="131",M1220="131"),H1220='131-CT'!$E$7),"131",""))</f>
        <v/>
      </c>
      <c r="O1220" s="818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52">
        <v>2</v>
      </c>
      <c r="AB1220" s="552"/>
      <c r="AC1220" s="209" t="str">
        <f t="shared" si="60"/>
        <v/>
      </c>
      <c r="AE1220" s="552"/>
      <c r="AF1220" s="552"/>
    </row>
    <row r="1221" spans="1:32" s="209" customFormat="1" ht="15.75" customHeight="1">
      <c r="A1221" s="202" t="str">
        <f>IF(B1221&lt;&gt;"",IF(AND(B1221&gt;=_TM1,B1221&lt;=_TM2,OR(TH!L1221="1111",TH!M1221="1111")),TH!D1221,""),"")</f>
        <v/>
      </c>
      <c r="B1221" s="36">
        <f t="shared" si="58"/>
        <v>6</v>
      </c>
      <c r="C1221" s="182">
        <f t="shared" ref="C1221:C1284" si="61">E1221</f>
        <v>42551</v>
      </c>
      <c r="D1221" s="189" t="s">
        <v>361</v>
      </c>
      <c r="E1221" s="182">
        <v>42551</v>
      </c>
      <c r="F1221" s="190" t="s">
        <v>1274</v>
      </c>
      <c r="G1221" s="451"/>
      <c r="H1221" s="7" t="s">
        <v>1282</v>
      </c>
      <c r="I1221" s="251"/>
      <c r="J1221" s="251"/>
      <c r="K1221" s="560">
        <f>(21*15000+4*25000+10*30000)/1.1</f>
        <v>650000</v>
      </c>
      <c r="L1221" s="192" t="s">
        <v>83</v>
      </c>
      <c r="M1221" s="192" t="s">
        <v>47</v>
      </c>
      <c r="N1221" s="52" t="str">
        <f>IF(AND('331-CT'!$E$7=TH!H1221,OR(L1221="331",M1221="331")),"331",IF(AND(OR(L1221="131",M1221="131"),H1221='131-CT'!$E$7),"131",""))</f>
        <v/>
      </c>
      <c r="O1221" s="818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>x</v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52">
        <v>3</v>
      </c>
      <c r="AB1221" s="552"/>
      <c r="AC1221" s="552"/>
    </row>
    <row r="1222" spans="1:32" s="209" customFormat="1" ht="15.75" customHeight="1">
      <c r="A1222" s="202" t="str">
        <f>IF(B1222&lt;&gt;"",IF(AND(B1222&gt;=_TM1,B1222&lt;=_TM2,OR(TH!L1222="1111",TH!M1222="1111")),TH!D1222,""),"")</f>
        <v/>
      </c>
      <c r="B1222" s="36">
        <f t="shared" si="58"/>
        <v>6</v>
      </c>
      <c r="C1222" s="182">
        <f t="shared" si="61"/>
        <v>42551</v>
      </c>
      <c r="D1222" s="189" t="s">
        <v>361</v>
      </c>
      <c r="E1222" s="182">
        <v>42551</v>
      </c>
      <c r="F1222" s="190" t="s">
        <v>1275</v>
      </c>
      <c r="G1222" s="451"/>
      <c r="H1222" s="7" t="s">
        <v>1282</v>
      </c>
      <c r="I1222" s="251"/>
      <c r="J1222" s="251"/>
      <c r="K1222" s="560">
        <v>65000</v>
      </c>
      <c r="L1222" s="192" t="s">
        <v>9</v>
      </c>
      <c r="M1222" s="192" t="s">
        <v>47</v>
      </c>
      <c r="N1222" s="52" t="str">
        <f>IF(AND('331-CT'!$E$7=TH!H1222,OR(L1222="331",M1222="331")),"331",IF(AND(OR(L1222="131",M1222="131"),H1222='131-CT'!$E$7),"131",""))</f>
        <v/>
      </c>
      <c r="O1222" s="818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52">
        <v>3</v>
      </c>
      <c r="AB1222" s="552"/>
    </row>
    <row r="1223" spans="1:32" s="209" customFormat="1" ht="15.75" customHeight="1">
      <c r="A1223" s="202" t="str">
        <f>IF(B1223&lt;&gt;"",IF(AND(B1223&gt;=_TM1,B1223&lt;=_TM2,OR(TH!L1223="1111",TH!M1223="1111")),TH!D1223,""),"")</f>
        <v/>
      </c>
      <c r="B1223" s="36">
        <f t="shared" si="58"/>
        <v>7</v>
      </c>
      <c r="C1223" s="839">
        <f t="shared" si="61"/>
        <v>42552</v>
      </c>
      <c r="D1223" s="839" t="s">
        <v>332</v>
      </c>
      <c r="E1223" s="839">
        <v>42552</v>
      </c>
      <c r="F1223" s="845" t="s">
        <v>1428</v>
      </c>
      <c r="G1223" s="841"/>
      <c r="H1223" s="7"/>
      <c r="I1223" s="842"/>
      <c r="J1223" s="842"/>
      <c r="K1223" s="849">
        <v>6250000</v>
      </c>
      <c r="L1223" s="876" t="s">
        <v>164</v>
      </c>
      <c r="M1223" s="876" t="s">
        <v>259</v>
      </c>
      <c r="N1223" s="52" t="str">
        <f>IF(AND('331-CT'!$E$7=TH!H1223,OR(L1223="331",M1223="331")),"331",IF(AND(OR(L1223="131",M1223="131"),H1223='131-CT'!$E$7),"131",""))</f>
        <v/>
      </c>
      <c r="O1223" s="818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77"/>
      <c r="AB1223" s="877"/>
      <c r="AC1223" s="877"/>
      <c r="AD1223" s="877"/>
      <c r="AE1223" s="877"/>
      <c r="AF1223" s="877"/>
    </row>
    <row r="1224" spans="1:32" s="209" customFormat="1" ht="15.75" customHeight="1">
      <c r="A1224" s="202" t="str">
        <f>IF(B1224&lt;&gt;"",IF(AND(B1224&gt;=_TM1,B1224&lt;=_TM2,OR(TH!L1224="1111",TH!M1224="1111")),TH!D1224,""),"")</f>
        <v/>
      </c>
      <c r="B1224" s="36">
        <f t="shared" si="58"/>
        <v>7</v>
      </c>
      <c r="C1224" s="182">
        <f t="shared" si="61"/>
        <v>42552</v>
      </c>
      <c r="D1224" s="182" t="s">
        <v>665</v>
      </c>
      <c r="E1224" s="189">
        <v>42552</v>
      </c>
      <c r="F1224" s="190" t="s">
        <v>666</v>
      </c>
      <c r="G1224" s="190" t="s">
        <v>330</v>
      </c>
      <c r="H1224" s="7" t="s">
        <v>615</v>
      </c>
      <c r="I1224" s="251"/>
      <c r="J1224" s="251"/>
      <c r="K1224" s="560">
        <v>6820000</v>
      </c>
      <c r="L1224" s="192" t="s">
        <v>24</v>
      </c>
      <c r="M1224" s="192" t="s">
        <v>258</v>
      </c>
      <c r="N1224" s="52" t="str">
        <f>IF(AND('331-CT'!$E$7=TH!H1224,OR(L1224="331",M1224="331")),"331",IF(AND(OR(L1224="131",M1224="131"),H1224='131-CT'!$E$7),"131",""))</f>
        <v/>
      </c>
      <c r="O1224" s="818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53"/>
      <c r="AB1224" s="552"/>
    </row>
    <row r="1225" spans="1:32" s="209" customFormat="1" ht="15.75" customHeight="1">
      <c r="A1225" s="202" t="str">
        <f>IF(B1225&lt;&gt;"",IF(AND(B1225&gt;=_TM1,B1225&lt;=_TM2,OR(TH!L1225="1111",TH!M1225="1111")),TH!D1225,""),"")</f>
        <v/>
      </c>
      <c r="B1225" s="36">
        <f t="shared" si="58"/>
        <v>7</v>
      </c>
      <c r="C1225" s="182">
        <f t="shared" si="61"/>
        <v>42552</v>
      </c>
      <c r="D1225" s="182" t="s">
        <v>665</v>
      </c>
      <c r="E1225" s="189">
        <v>42552</v>
      </c>
      <c r="F1225" s="190" t="s">
        <v>666</v>
      </c>
      <c r="G1225" s="190" t="s">
        <v>330</v>
      </c>
      <c r="H1225" s="7" t="s">
        <v>391</v>
      </c>
      <c r="I1225" s="251"/>
      <c r="J1225" s="251"/>
      <c r="K1225" s="560">
        <v>12535644</v>
      </c>
      <c r="L1225" s="192" t="s">
        <v>24</v>
      </c>
      <c r="M1225" s="192" t="s">
        <v>258</v>
      </c>
      <c r="N1225" s="52" t="str">
        <f>IF(AND('331-CT'!$E$7=TH!H1225,OR(L1225="331",M1225="331")),"331",IF(AND(OR(L1225="131",M1225="131"),H1225='131-CT'!$E$7),"131",""))</f>
        <v/>
      </c>
      <c r="O1225" s="818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53"/>
      <c r="AB1225" s="552"/>
      <c r="AC1225" s="552"/>
    </row>
    <row r="1226" spans="1:32" s="209" customFormat="1" ht="15.75" customHeight="1">
      <c r="A1226" s="202" t="str">
        <f>IF(B1226&lt;&gt;"",IF(AND(B1226&gt;=_TM1,B1226&lt;=_TM2,OR(TH!L1226="1111",TH!M1226="1111")),TH!D1226,""),"")</f>
        <v/>
      </c>
      <c r="B1226" s="36">
        <f t="shared" si="58"/>
        <v>7</v>
      </c>
      <c r="C1226" s="182">
        <f t="shared" si="61"/>
        <v>42555</v>
      </c>
      <c r="D1226" s="182" t="s">
        <v>1618</v>
      </c>
      <c r="E1226" s="189">
        <v>42555</v>
      </c>
      <c r="F1226" s="190" t="s">
        <v>754</v>
      </c>
      <c r="G1226" s="190" t="s">
        <v>330</v>
      </c>
      <c r="H1226" s="191" t="s">
        <v>675</v>
      </c>
      <c r="I1226" s="251"/>
      <c r="J1226" s="251"/>
      <c r="K1226" s="560">
        <v>8500000</v>
      </c>
      <c r="L1226" s="192" t="s">
        <v>24</v>
      </c>
      <c r="M1226" s="192" t="s">
        <v>47</v>
      </c>
      <c r="N1226" s="52" t="str">
        <f>IF(AND('331-CT'!$E$7=TH!H1226,OR(L1226="331",M1226="331")),"331",IF(AND(OR(L1226="131",M1226="131"),H1226='131-CT'!$E$7),"131",""))</f>
        <v/>
      </c>
      <c r="O1226" s="818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53"/>
      <c r="AB1226" s="552"/>
    </row>
    <row r="1227" spans="1:32" s="209" customFormat="1" ht="15.75" customHeight="1">
      <c r="A1227" s="202" t="str">
        <f>IF(B1227&lt;&gt;"",IF(AND(B1227&gt;=_TM1,B1227&lt;=_TM2,OR(TH!L1227="1111",TH!M1227="1111")),TH!D1227,""),"")</f>
        <v/>
      </c>
      <c r="B1227" s="36">
        <f t="shared" si="58"/>
        <v>7</v>
      </c>
      <c r="C1227" s="182">
        <f t="shared" si="61"/>
        <v>42555</v>
      </c>
      <c r="D1227" s="182" t="s">
        <v>669</v>
      </c>
      <c r="E1227" s="189">
        <v>42555</v>
      </c>
      <c r="F1227" s="190" t="s">
        <v>671</v>
      </c>
      <c r="G1227" s="190" t="s">
        <v>330</v>
      </c>
      <c r="H1227" s="7" t="s">
        <v>834</v>
      </c>
      <c r="I1227" s="251"/>
      <c r="J1227" s="251"/>
      <c r="K1227" s="560">
        <v>28000000</v>
      </c>
      <c r="L1227" s="192" t="s">
        <v>8</v>
      </c>
      <c r="M1227" s="192" t="s">
        <v>24</v>
      </c>
      <c r="N1227" s="52" t="str">
        <f>IF(AND('331-CT'!$E$7=TH!H1227,OR(L1227="331",M1227="331")),"331",IF(AND(OR(L1227="131",M1227="131"),H1227='131-CT'!$E$7),"131",""))</f>
        <v/>
      </c>
      <c r="O1227" s="818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53"/>
      <c r="AB1227" s="552"/>
    </row>
    <row r="1228" spans="1:32" s="209" customFormat="1" ht="15.75" customHeight="1">
      <c r="A1228" s="202" t="str">
        <f>IF(B1228&lt;&gt;"",IF(AND(B1228&gt;=_TM1,B1228&lt;=_TM2,OR(TH!L1228="1111",TH!M1228="1111")),TH!D1228,""),"")</f>
        <v/>
      </c>
      <c r="B1228" s="36">
        <f t="shared" si="58"/>
        <v>7</v>
      </c>
      <c r="C1228" s="182">
        <f t="shared" si="61"/>
        <v>42555</v>
      </c>
      <c r="D1228" s="182" t="s">
        <v>669</v>
      </c>
      <c r="E1228" s="189">
        <v>42555</v>
      </c>
      <c r="F1228" s="190" t="s">
        <v>674</v>
      </c>
      <c r="G1228" s="190" t="s">
        <v>330</v>
      </c>
      <c r="H1228" s="7"/>
      <c r="I1228" s="251"/>
      <c r="J1228" s="251"/>
      <c r="K1228" s="560">
        <v>13637</v>
      </c>
      <c r="L1228" s="561" t="s">
        <v>83</v>
      </c>
      <c r="M1228" s="561" t="s">
        <v>24</v>
      </c>
      <c r="N1228" s="52" t="str">
        <f>IF(AND('331-CT'!$E$7=TH!H1228,OR(L1228="331",M1228="331")),"331",IF(AND(OR(L1228="131",M1228="131"),H1228='131-CT'!$E$7),"131",""))</f>
        <v/>
      </c>
      <c r="O1228" s="818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>x</v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52">
        <v>3</v>
      </c>
      <c r="AB1228" s="552"/>
      <c r="AC1228" s="552"/>
    </row>
    <row r="1229" spans="1:32" s="209" customFormat="1" ht="15.75" customHeight="1">
      <c r="A1229" s="202" t="str">
        <f>IF(B1229&lt;&gt;"",IF(AND(B1229&gt;=_TM1,B1229&lt;=_TM2,OR(TH!L1229="1111",TH!M1229="1111")),TH!D1229,""),"")</f>
        <v/>
      </c>
      <c r="B1229" s="36">
        <f t="shared" si="58"/>
        <v>7</v>
      </c>
      <c r="C1229" s="182">
        <f t="shared" si="61"/>
        <v>42555</v>
      </c>
      <c r="D1229" s="182" t="s">
        <v>669</v>
      </c>
      <c r="E1229" s="189">
        <v>42555</v>
      </c>
      <c r="F1229" s="190" t="s">
        <v>794</v>
      </c>
      <c r="G1229" s="190" t="s">
        <v>330</v>
      </c>
      <c r="H1229" s="7"/>
      <c r="I1229" s="251"/>
      <c r="J1229" s="251"/>
      <c r="K1229" s="560">
        <v>1363</v>
      </c>
      <c r="L1229" s="561" t="s">
        <v>9</v>
      </c>
      <c r="M1229" s="561" t="s">
        <v>24</v>
      </c>
      <c r="N1229" s="52" t="str">
        <f>IF(AND('331-CT'!$E$7=TH!H1229,OR(L1229="331",M1229="331")),"331",IF(AND(OR(L1229="131",M1229="131"),H1229='131-CT'!$E$7),"131",""))</f>
        <v/>
      </c>
      <c r="O1229" s="818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52">
        <v>3</v>
      </c>
      <c r="AB1229" s="552"/>
    </row>
    <row r="1230" spans="1:32" s="209" customFormat="1" ht="15.75" customHeight="1">
      <c r="A1230" s="202" t="str">
        <f>IF(B1230&lt;&gt;"",IF(AND(B1230&gt;=_TM1,B1230&lt;=_TM2,OR(TH!L1230="1111",TH!M1230="1111")),TH!D1230,""),"")</f>
        <v/>
      </c>
      <c r="B1230" s="36">
        <f t="shared" si="58"/>
        <v>7</v>
      </c>
      <c r="C1230" s="182">
        <f t="shared" si="61"/>
        <v>42556</v>
      </c>
      <c r="D1230" s="182" t="s">
        <v>1622</v>
      </c>
      <c r="E1230" s="189">
        <v>42556</v>
      </c>
      <c r="F1230" s="190" t="s">
        <v>754</v>
      </c>
      <c r="G1230" s="190" t="s">
        <v>330</v>
      </c>
      <c r="H1230" s="191" t="s">
        <v>675</v>
      </c>
      <c r="I1230" s="251"/>
      <c r="J1230" s="251"/>
      <c r="K1230" s="560">
        <v>10000000</v>
      </c>
      <c r="L1230" s="192" t="s">
        <v>24</v>
      </c>
      <c r="M1230" s="192" t="s">
        <v>47</v>
      </c>
      <c r="N1230" s="52" t="str">
        <f>IF(AND('331-CT'!$E$7=TH!H1230,OR(L1230="331",M1230="331")),"331",IF(AND(OR(L1230="131",M1230="131"),H1230='131-CT'!$E$7),"131",""))</f>
        <v/>
      </c>
      <c r="O1230" s="818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53"/>
      <c r="AB1230" s="552"/>
      <c r="AC1230" s="552"/>
    </row>
    <row r="1231" spans="1:32" s="209" customFormat="1" ht="15.75" customHeight="1">
      <c r="A1231" s="202" t="str">
        <f>IF(B1231&lt;&gt;"",IF(AND(B1231&gt;=_TM1,B1231&lt;=_TM2,OR(TH!L1231="1111",TH!M1231="1111")),TH!D1231,""),"")</f>
        <v/>
      </c>
      <c r="B1231" s="36">
        <f t="shared" si="58"/>
        <v>7</v>
      </c>
      <c r="C1231" s="182">
        <f t="shared" si="61"/>
        <v>42556</v>
      </c>
      <c r="D1231" s="182" t="s">
        <v>665</v>
      </c>
      <c r="E1231" s="189">
        <v>42556</v>
      </c>
      <c r="F1231" s="190" t="s">
        <v>666</v>
      </c>
      <c r="G1231" s="190" t="s">
        <v>330</v>
      </c>
      <c r="H1231" s="7" t="s">
        <v>609</v>
      </c>
      <c r="I1231" s="251"/>
      <c r="J1231" s="251"/>
      <c r="K1231" s="560">
        <v>24116015</v>
      </c>
      <c r="L1231" s="192" t="s">
        <v>24</v>
      </c>
      <c r="M1231" s="192" t="s">
        <v>258</v>
      </c>
      <c r="N1231" s="52" t="str">
        <f>IF(AND('331-CT'!$E$7=TH!H1231,OR(L1231="331",M1231="331")),"331",IF(AND(OR(L1231="131",M1231="131"),H1231='131-CT'!$E$7),"131",""))</f>
        <v/>
      </c>
      <c r="O1231" s="818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53"/>
      <c r="AB1231" s="552"/>
    </row>
    <row r="1232" spans="1:32" s="209" customFormat="1" ht="15.75" customHeight="1">
      <c r="A1232" s="202" t="str">
        <f>IF(B1232&lt;&gt;"",IF(AND(B1232&gt;=_TM1,B1232&lt;=_TM2,OR(TH!L1232="1111",TH!M1232="1111")),TH!D1232,""),"")</f>
        <v/>
      </c>
      <c r="B1232" s="36">
        <f t="shared" si="58"/>
        <v>7</v>
      </c>
      <c r="C1232" s="182">
        <f t="shared" si="61"/>
        <v>42556</v>
      </c>
      <c r="D1232" s="182" t="s">
        <v>669</v>
      </c>
      <c r="E1232" s="189">
        <v>42556</v>
      </c>
      <c r="F1232" s="190" t="s">
        <v>671</v>
      </c>
      <c r="G1232" s="190" t="s">
        <v>330</v>
      </c>
      <c r="H1232" s="7" t="s">
        <v>1455</v>
      </c>
      <c r="I1232" s="251"/>
      <c r="J1232" s="251"/>
      <c r="K1232" s="560">
        <v>10000000</v>
      </c>
      <c r="L1232" s="192" t="s">
        <v>8</v>
      </c>
      <c r="M1232" s="192" t="s">
        <v>24</v>
      </c>
      <c r="N1232" s="52" t="str">
        <f>IF(AND('331-CT'!$E$7=TH!H1232,OR(L1232="331",M1232="331")),"331",IF(AND(OR(L1232="131",M1232="131"),H1232='131-CT'!$E$7),"131",""))</f>
        <v/>
      </c>
      <c r="O1232" s="818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52"/>
      <c r="AB1232" s="552"/>
      <c r="AC1232" s="552"/>
    </row>
    <row r="1233" spans="1:29" s="209" customFormat="1" ht="15.75" customHeight="1">
      <c r="A1233" s="202" t="str">
        <f>IF(B1233&lt;&gt;"",IF(AND(B1233&gt;=_TM1,B1233&lt;=_TM2,OR(TH!L1233="1111",TH!M1233="1111")),TH!D1233,""),"")</f>
        <v/>
      </c>
      <c r="B1233" s="36">
        <f t="shared" si="58"/>
        <v>7</v>
      </c>
      <c r="C1233" s="182">
        <f t="shared" si="61"/>
        <v>42556</v>
      </c>
      <c r="D1233" s="182" t="s">
        <v>669</v>
      </c>
      <c r="E1233" s="189">
        <v>42556</v>
      </c>
      <c r="F1233" s="190" t="s">
        <v>674</v>
      </c>
      <c r="G1233" s="190" t="s">
        <v>330</v>
      </c>
      <c r="H1233" s="7"/>
      <c r="I1233" s="251"/>
      <c r="J1233" s="251"/>
      <c r="K1233" s="560">
        <v>13637</v>
      </c>
      <c r="L1233" s="561" t="s">
        <v>83</v>
      </c>
      <c r="M1233" s="561" t="s">
        <v>24</v>
      </c>
      <c r="N1233" s="52" t="str">
        <f>IF(AND('331-CT'!$E$7=TH!H1233,OR(L1233="331",M1233="331")),"331",IF(AND(OR(L1233="131",M1233="131"),H1233='131-CT'!$E$7),"131",""))</f>
        <v/>
      </c>
      <c r="O1233" s="818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>x</v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52">
        <v>3</v>
      </c>
      <c r="AB1233" s="552"/>
    </row>
    <row r="1234" spans="1:29" s="209" customFormat="1" ht="15.75" customHeight="1">
      <c r="A1234" s="202" t="str">
        <f>IF(B1234&lt;&gt;"",IF(AND(B1234&gt;=_TM1,B1234&lt;=_TM2,OR(TH!L1234="1111",TH!M1234="1111")),TH!D1234,""),"")</f>
        <v/>
      </c>
      <c r="B1234" s="36">
        <f t="shared" si="58"/>
        <v>7</v>
      </c>
      <c r="C1234" s="182">
        <f t="shared" si="61"/>
        <v>42556</v>
      </c>
      <c r="D1234" s="182" t="s">
        <v>669</v>
      </c>
      <c r="E1234" s="189">
        <v>42556</v>
      </c>
      <c r="F1234" s="190" t="s">
        <v>794</v>
      </c>
      <c r="G1234" s="190" t="s">
        <v>330</v>
      </c>
      <c r="H1234" s="7"/>
      <c r="I1234" s="251"/>
      <c r="J1234" s="251"/>
      <c r="K1234" s="560">
        <v>1363</v>
      </c>
      <c r="L1234" s="561" t="s">
        <v>9</v>
      </c>
      <c r="M1234" s="561" t="s">
        <v>24</v>
      </c>
      <c r="N1234" s="52" t="str">
        <f>IF(AND('331-CT'!$E$7=TH!H1234,OR(L1234="331",M1234="331")),"331",IF(AND(OR(L1234="131",M1234="131"),H1234='131-CT'!$E$7),"131",""))</f>
        <v/>
      </c>
      <c r="O1234" s="818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52">
        <v>3</v>
      </c>
      <c r="AB1234" s="552"/>
      <c r="AC1234" s="552"/>
    </row>
    <row r="1235" spans="1:29" s="209" customFormat="1" ht="15.75" customHeight="1">
      <c r="A1235" s="202" t="str">
        <f>IF(B1235&lt;&gt;"",IF(AND(B1235&gt;=_TM1,B1235&lt;=_TM2,OR(TH!L1235="1111",TH!M1235="1111")),TH!D1235,""),"")</f>
        <v/>
      </c>
      <c r="B1235" s="36">
        <f t="shared" si="58"/>
        <v>7</v>
      </c>
      <c r="C1235" s="182">
        <f t="shared" si="61"/>
        <v>42556</v>
      </c>
      <c r="D1235" s="182" t="s">
        <v>669</v>
      </c>
      <c r="E1235" s="189">
        <v>42556</v>
      </c>
      <c r="F1235" s="190" t="s">
        <v>672</v>
      </c>
      <c r="G1235" s="190" t="s">
        <v>330</v>
      </c>
      <c r="H1235" s="7"/>
      <c r="I1235" s="251"/>
      <c r="J1235" s="251"/>
      <c r="K1235" s="560">
        <v>13637</v>
      </c>
      <c r="L1235" s="561" t="s">
        <v>83</v>
      </c>
      <c r="M1235" s="561" t="s">
        <v>24</v>
      </c>
      <c r="N1235" s="52" t="str">
        <f>IF(AND('331-CT'!$E$7=TH!H1235,OR(L1235="331",M1235="331")),"331",IF(AND(OR(L1235="131",M1235="131"),H1235='131-CT'!$E$7),"131",""))</f>
        <v/>
      </c>
      <c r="O1235" s="818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>x</v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52">
        <v>3</v>
      </c>
      <c r="AB1235" s="552"/>
    </row>
    <row r="1236" spans="1:29" s="209" customFormat="1" ht="15.75" customHeight="1">
      <c r="A1236" s="202" t="str">
        <f>IF(B1236&lt;&gt;"",IF(AND(B1236&gt;=_TM1,B1236&lt;=_TM2,OR(TH!L1236="1111",TH!M1236="1111")),TH!D1236,""),"")</f>
        <v/>
      </c>
      <c r="B1236" s="36">
        <f t="shared" ref="B1236:B1299" si="62">IF(C1236&lt;&gt;"",MONTH(C1236),"")</f>
        <v>7</v>
      </c>
      <c r="C1236" s="182">
        <f t="shared" si="61"/>
        <v>42556</v>
      </c>
      <c r="D1236" s="182" t="s">
        <v>669</v>
      </c>
      <c r="E1236" s="189">
        <v>42556</v>
      </c>
      <c r="F1236" s="190" t="s">
        <v>762</v>
      </c>
      <c r="G1236" s="190" t="s">
        <v>330</v>
      </c>
      <c r="H1236" s="7"/>
      <c r="I1236" s="251"/>
      <c r="J1236" s="251"/>
      <c r="K1236" s="560">
        <v>1363</v>
      </c>
      <c r="L1236" s="561" t="s">
        <v>9</v>
      </c>
      <c r="M1236" s="561" t="s">
        <v>24</v>
      </c>
      <c r="N1236" s="52" t="str">
        <f>IF(AND('331-CT'!$E$7=TH!H1236,OR(L1236="331",M1236="331")),"331",IF(AND(OR(L1236="131",M1236="131"),H1236='131-CT'!$E$7),"131",""))</f>
        <v/>
      </c>
      <c r="O1236" s="818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52">
        <v>3</v>
      </c>
      <c r="AB1236" s="552"/>
      <c r="AC1236" s="552"/>
    </row>
    <row r="1237" spans="1:29" s="209" customFormat="1" ht="15.75" customHeight="1">
      <c r="A1237" s="202" t="str">
        <f>IF(B1237&lt;&gt;"",IF(AND(B1237&gt;=_TM1,B1237&lt;=_TM2,OR(TH!L1237="1111",TH!M1237="1111")),TH!D1237,""),"")</f>
        <v/>
      </c>
      <c r="B1237" s="36">
        <f t="shared" si="62"/>
        <v>7</v>
      </c>
      <c r="C1237" s="182">
        <f t="shared" si="61"/>
        <v>42556</v>
      </c>
      <c r="D1237" s="182" t="s">
        <v>1076</v>
      </c>
      <c r="E1237" s="37">
        <v>42556</v>
      </c>
      <c r="F1237" s="190" t="s">
        <v>1443</v>
      </c>
      <c r="G1237" s="450" t="s">
        <v>616</v>
      </c>
      <c r="H1237" s="7" t="s">
        <v>399</v>
      </c>
      <c r="I1237" s="251">
        <v>498</v>
      </c>
      <c r="J1237" s="251">
        <v>10500</v>
      </c>
      <c r="K1237" s="38">
        <f>ROUND(I1237*J1237,0)</f>
        <v>5229000</v>
      </c>
      <c r="L1237" s="192" t="s">
        <v>258</v>
      </c>
      <c r="M1237" s="192" t="s">
        <v>173</v>
      </c>
      <c r="N1237" s="52" t="str">
        <f>IF(AND('331-CT'!$E$7=TH!H1237,OR(L1237="331",M1237="331")),"331",IF(AND(OR(L1237="131",M1237="131"),H1237='131-CT'!$E$7),"131",""))</f>
        <v/>
      </c>
      <c r="O1237" s="818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52"/>
      <c r="AB1237" s="552"/>
      <c r="AC1237" s="552"/>
    </row>
    <row r="1238" spans="1:29" s="209" customFormat="1" ht="15.75" customHeight="1">
      <c r="A1238" s="202" t="str">
        <f>IF(B1238&lt;&gt;"",IF(AND(B1238&gt;=_TM1,B1238&lt;=_TM2,OR(TH!L1238="1111",TH!M1238="1111")),TH!D1238,""),"")</f>
        <v/>
      </c>
      <c r="B1238" s="36">
        <f t="shared" si="62"/>
        <v>7</v>
      </c>
      <c r="C1238" s="182">
        <f t="shared" si="61"/>
        <v>42556</v>
      </c>
      <c r="D1238" s="182" t="s">
        <v>1076</v>
      </c>
      <c r="E1238" s="37">
        <v>42556</v>
      </c>
      <c r="F1238" s="40" t="s">
        <v>1254</v>
      </c>
      <c r="G1238" s="450" t="s">
        <v>616</v>
      </c>
      <c r="H1238" s="7" t="s">
        <v>399</v>
      </c>
      <c r="I1238" s="251"/>
      <c r="J1238" s="251"/>
      <c r="K1238" s="560">
        <v>522900</v>
      </c>
      <c r="L1238" s="192" t="s">
        <v>258</v>
      </c>
      <c r="M1238" s="192" t="s">
        <v>367</v>
      </c>
      <c r="N1238" s="52" t="str">
        <f>IF(AND('331-CT'!$E$7=TH!H1238,OR(L1238="331",M1238="331")),"331",IF(AND(OR(L1238="131",M1238="131"),H1238='131-CT'!$E$7),"131",""))</f>
        <v/>
      </c>
      <c r="O1238" s="818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52"/>
      <c r="AB1238" s="552"/>
      <c r="AC1238" s="552"/>
    </row>
    <row r="1239" spans="1:29" s="209" customFormat="1" ht="15.75" customHeight="1">
      <c r="A1239" s="202" t="str">
        <f>IF(B1239&lt;&gt;"",IF(AND(B1239&gt;=_TM1,B1239&lt;=_TM2,OR(TH!L1239="1111",TH!M1239="1111")),TH!D1239,""),"")</f>
        <v/>
      </c>
      <c r="B1239" s="36">
        <f t="shared" si="62"/>
        <v>7</v>
      </c>
      <c r="C1239" s="182">
        <f t="shared" si="61"/>
        <v>42557</v>
      </c>
      <c r="D1239" s="182" t="s">
        <v>665</v>
      </c>
      <c r="E1239" s="189">
        <v>42557</v>
      </c>
      <c r="F1239" s="190" t="s">
        <v>666</v>
      </c>
      <c r="G1239" s="190" t="s">
        <v>330</v>
      </c>
      <c r="H1239" s="7" t="s">
        <v>501</v>
      </c>
      <c r="I1239" s="251"/>
      <c r="J1239" s="251"/>
      <c r="K1239" s="560">
        <v>13380000</v>
      </c>
      <c r="L1239" s="192" t="s">
        <v>24</v>
      </c>
      <c r="M1239" s="192" t="s">
        <v>258</v>
      </c>
      <c r="N1239" s="52" t="str">
        <f>IF(AND('331-CT'!$E$7=TH!H1239,OR(L1239="331",M1239="331")),"331",IF(AND(OR(L1239="131",M1239="131"),H1239='131-CT'!$E$7),"131",""))</f>
        <v/>
      </c>
      <c r="O1239" s="818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53"/>
      <c r="AB1239" s="552"/>
      <c r="AC1239" s="552"/>
    </row>
    <row r="1240" spans="1:29" s="209" customFormat="1" ht="15.75" customHeight="1">
      <c r="A1240" s="202" t="str">
        <f>IF(B1240&lt;&gt;"",IF(AND(B1240&gt;=_TM1,B1240&lt;=_TM2,OR(TH!L1240="1111",TH!M1240="1111")),TH!D1240,""),"")</f>
        <v/>
      </c>
      <c r="B1240" s="36">
        <f t="shared" si="62"/>
        <v>7</v>
      </c>
      <c r="C1240" s="182">
        <f t="shared" si="61"/>
        <v>42557</v>
      </c>
      <c r="D1240" s="182" t="s">
        <v>1077</v>
      </c>
      <c r="E1240" s="37">
        <v>42557</v>
      </c>
      <c r="F1240" s="40" t="s">
        <v>1255</v>
      </c>
      <c r="G1240" s="450" t="s">
        <v>617</v>
      </c>
      <c r="H1240" s="7" t="s">
        <v>391</v>
      </c>
      <c r="I1240" s="251">
        <v>1320</v>
      </c>
      <c r="J1240" s="251">
        <v>5000</v>
      </c>
      <c r="K1240" s="38">
        <f>ROUND(I1240*J1240,0)</f>
        <v>6600000</v>
      </c>
      <c r="L1240" s="192" t="s">
        <v>258</v>
      </c>
      <c r="M1240" s="192" t="s">
        <v>173</v>
      </c>
      <c r="N1240" s="52" t="str">
        <f>IF(AND('331-CT'!$E$7=TH!H1240,OR(L1240="331",M1240="331")),"331",IF(AND(OR(L1240="131",M1240="131"),H1240='131-CT'!$E$7),"131",""))</f>
        <v/>
      </c>
      <c r="O1240" s="818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52"/>
      <c r="AB1240" s="552"/>
      <c r="AC1240" s="552"/>
    </row>
    <row r="1241" spans="1:29" s="209" customFormat="1" ht="15.75" customHeight="1">
      <c r="A1241" s="202" t="str">
        <f>IF(B1241&lt;&gt;"",IF(AND(B1241&gt;=_TM1,B1241&lt;=_TM2,OR(TH!L1241="1111",TH!M1241="1111")),TH!D1241,""),"")</f>
        <v/>
      </c>
      <c r="B1241" s="36">
        <f t="shared" si="62"/>
        <v>7</v>
      </c>
      <c r="C1241" s="182">
        <f t="shared" si="61"/>
        <v>42557</v>
      </c>
      <c r="D1241" s="182" t="s">
        <v>1077</v>
      </c>
      <c r="E1241" s="37">
        <v>42557</v>
      </c>
      <c r="F1241" s="40" t="s">
        <v>1256</v>
      </c>
      <c r="G1241" s="450" t="s">
        <v>617</v>
      </c>
      <c r="H1241" s="7" t="s">
        <v>391</v>
      </c>
      <c r="I1241" s="251">
        <v>630</v>
      </c>
      <c r="J1241" s="251">
        <v>5550</v>
      </c>
      <c r="K1241" s="38">
        <f>ROUND(I1241*J1241,0)</f>
        <v>3496500</v>
      </c>
      <c r="L1241" s="192" t="s">
        <v>258</v>
      </c>
      <c r="M1241" s="192" t="s">
        <v>173</v>
      </c>
      <c r="N1241" s="52" t="str">
        <f>IF(AND('331-CT'!$E$7=TH!H1241,OR(L1241="331",M1241="331")),"331",IF(AND(OR(L1241="131",M1241="131"),H1241='131-CT'!$E$7),"131",""))</f>
        <v/>
      </c>
      <c r="O1241" s="818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52"/>
      <c r="AB1241" s="552"/>
      <c r="AC1241" s="552"/>
    </row>
    <row r="1242" spans="1:29" s="209" customFormat="1" ht="15.75" customHeight="1">
      <c r="A1242" s="202" t="str">
        <f>IF(B1242&lt;&gt;"",IF(AND(B1242&gt;=_TM1,B1242&lt;=_TM2,OR(TH!L1242="1111",TH!M1242="1111")),TH!D1242,""),"")</f>
        <v/>
      </c>
      <c r="B1242" s="36">
        <f t="shared" si="62"/>
        <v>7</v>
      </c>
      <c r="C1242" s="182">
        <f t="shared" si="61"/>
        <v>42557</v>
      </c>
      <c r="D1242" s="182" t="s">
        <v>1077</v>
      </c>
      <c r="E1242" s="37">
        <v>42557</v>
      </c>
      <c r="F1242" s="40" t="s">
        <v>594</v>
      </c>
      <c r="G1242" s="450" t="s">
        <v>617</v>
      </c>
      <c r="H1242" s="7" t="s">
        <v>391</v>
      </c>
      <c r="I1242" s="251">
        <v>320</v>
      </c>
      <c r="J1242" s="251">
        <v>5600</v>
      </c>
      <c r="K1242" s="38">
        <f>ROUND(I1242*J1242,0)</f>
        <v>1792000</v>
      </c>
      <c r="L1242" s="192" t="s">
        <v>258</v>
      </c>
      <c r="M1242" s="192" t="s">
        <v>173</v>
      </c>
      <c r="N1242" s="52" t="str">
        <f>IF(AND('331-CT'!$E$7=TH!H1242,OR(L1242="331",M1242="331")),"331",IF(AND(OR(L1242="131",M1242="131"),H1242='131-CT'!$E$7),"131",""))</f>
        <v/>
      </c>
      <c r="O1242" s="818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52"/>
      <c r="AB1242" s="552"/>
      <c r="AC1242" s="552"/>
    </row>
    <row r="1243" spans="1:29" s="209" customFormat="1" ht="15.75" customHeight="1">
      <c r="A1243" s="202" t="str">
        <f>IF(B1243&lt;&gt;"",IF(AND(B1243&gt;=_TM1,B1243&lt;=_TM2,OR(TH!L1243="1111",TH!M1243="1111")),TH!D1243,""),"")</f>
        <v/>
      </c>
      <c r="B1243" s="36">
        <f t="shared" si="62"/>
        <v>7</v>
      </c>
      <c r="C1243" s="182">
        <f t="shared" si="61"/>
        <v>42557</v>
      </c>
      <c r="D1243" s="182" t="s">
        <v>1077</v>
      </c>
      <c r="E1243" s="37">
        <v>42557</v>
      </c>
      <c r="F1243" s="40" t="s">
        <v>1254</v>
      </c>
      <c r="G1243" s="450" t="s">
        <v>617</v>
      </c>
      <c r="H1243" s="7" t="s">
        <v>391</v>
      </c>
      <c r="I1243" s="251"/>
      <c r="J1243" s="251"/>
      <c r="K1243" s="38">
        <v>1188850</v>
      </c>
      <c r="L1243" s="192" t="s">
        <v>258</v>
      </c>
      <c r="M1243" s="192" t="s">
        <v>367</v>
      </c>
      <c r="N1243" s="52" t="str">
        <f>IF(AND('331-CT'!$E$7=TH!H1243,OR(L1243="331",M1243="331")),"331",IF(AND(OR(L1243="131",M1243="131"),H1243='131-CT'!$E$7),"131",""))</f>
        <v/>
      </c>
      <c r="O1243" s="818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52"/>
      <c r="AB1243" s="552"/>
    </row>
    <row r="1244" spans="1:29" s="209" customFormat="1" ht="15.75" customHeight="1">
      <c r="A1244" s="202" t="str">
        <f>IF(B1244&lt;&gt;"",IF(AND(B1244&gt;=_TM1,B1244&lt;=_TM2,OR(TH!L1244="1111",TH!M1244="1111")),TH!D1244,""),"")</f>
        <v/>
      </c>
      <c r="B1244" s="36">
        <f t="shared" si="62"/>
        <v>7</v>
      </c>
      <c r="C1244" s="182">
        <f t="shared" si="61"/>
        <v>42557</v>
      </c>
      <c r="D1244" s="182" t="s">
        <v>1078</v>
      </c>
      <c r="E1244" s="37">
        <v>42557</v>
      </c>
      <c r="F1244" s="40" t="s">
        <v>1257</v>
      </c>
      <c r="G1244" s="450" t="s">
        <v>618</v>
      </c>
      <c r="H1244" s="7" t="s">
        <v>780</v>
      </c>
      <c r="I1244" s="251">
        <v>230</v>
      </c>
      <c r="J1244" s="251">
        <v>6700</v>
      </c>
      <c r="K1244" s="38">
        <f>ROUND(I1244*J1244,0)</f>
        <v>1541000</v>
      </c>
      <c r="L1244" s="192" t="s">
        <v>258</v>
      </c>
      <c r="M1244" s="192" t="s">
        <v>173</v>
      </c>
      <c r="N1244" s="52" t="str">
        <f>IF(AND('331-CT'!$E$7=TH!H1244,OR(L1244="331",M1244="331")),"331",IF(AND(OR(L1244="131",M1244="131"),H1244='131-CT'!$E$7),"131",""))</f>
        <v/>
      </c>
      <c r="O1244" s="818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52"/>
      <c r="AB1244" s="552"/>
      <c r="AC1244" s="552"/>
    </row>
    <row r="1245" spans="1:29" s="209" customFormat="1" ht="15.75" customHeight="1">
      <c r="A1245" s="202" t="str">
        <f>IF(B1245&lt;&gt;"",IF(AND(B1245&gt;=_TM1,B1245&lt;=_TM2,OR(TH!L1245="1111",TH!M1245="1111")),TH!D1245,""),"")</f>
        <v/>
      </c>
      <c r="B1245" s="36">
        <f t="shared" si="62"/>
        <v>7</v>
      </c>
      <c r="C1245" s="182">
        <f t="shared" si="61"/>
        <v>42557</v>
      </c>
      <c r="D1245" s="182" t="s">
        <v>1078</v>
      </c>
      <c r="E1245" s="37">
        <v>42557</v>
      </c>
      <c r="F1245" s="40" t="s">
        <v>1254</v>
      </c>
      <c r="G1245" s="450" t="s">
        <v>618</v>
      </c>
      <c r="H1245" s="7" t="s">
        <v>780</v>
      </c>
      <c r="I1245" s="251"/>
      <c r="J1245" s="251"/>
      <c r="K1245" s="38">
        <v>154100</v>
      </c>
      <c r="L1245" s="192" t="s">
        <v>258</v>
      </c>
      <c r="M1245" s="192" t="s">
        <v>367</v>
      </c>
      <c r="N1245" s="52" t="str">
        <f>IF(AND('331-CT'!$E$7=TH!H1245,OR(L1245="331",M1245="331")),"331",IF(AND(OR(L1245="131",M1245="131"),H1245='131-CT'!$E$7),"131",""))</f>
        <v/>
      </c>
      <c r="O1245" s="818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52"/>
      <c r="AB1245" s="552"/>
      <c r="AC1245" s="552"/>
    </row>
    <row r="1246" spans="1:29" s="209" customFormat="1" ht="15.75" customHeight="1">
      <c r="A1246" s="202" t="str">
        <f>IF(B1246&lt;&gt;"",IF(AND(B1246&gt;=_TM1,B1246&lt;=_TM2,OR(TH!L1246="1111",TH!M1246="1111")),TH!D1246,""),"")</f>
        <v/>
      </c>
      <c r="B1246" s="36">
        <f t="shared" si="62"/>
        <v>7</v>
      </c>
      <c r="C1246" s="182">
        <f t="shared" si="61"/>
        <v>42558</v>
      </c>
      <c r="D1246" s="182" t="s">
        <v>665</v>
      </c>
      <c r="E1246" s="189">
        <v>42558</v>
      </c>
      <c r="F1246" s="190" t="s">
        <v>666</v>
      </c>
      <c r="G1246" s="190" t="s">
        <v>330</v>
      </c>
      <c r="H1246" s="7" t="s">
        <v>428</v>
      </c>
      <c r="I1246" s="251"/>
      <c r="J1246" s="251"/>
      <c r="K1246" s="560">
        <v>20348900</v>
      </c>
      <c r="L1246" s="192" t="s">
        <v>24</v>
      </c>
      <c r="M1246" s="192" t="s">
        <v>258</v>
      </c>
      <c r="N1246" s="52" t="str">
        <f>IF(AND('331-CT'!$E$7=TH!H1246,OR(L1246="331",M1246="331")),"331",IF(AND(OR(L1246="131",M1246="131"),H1246='131-CT'!$E$7),"131",""))</f>
        <v/>
      </c>
      <c r="O1246" s="818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53"/>
      <c r="AB1246" s="552"/>
    </row>
    <row r="1247" spans="1:29" s="209" customFormat="1" ht="15.75" customHeight="1">
      <c r="A1247" s="202" t="str">
        <f>IF(B1247&lt;&gt;"",IF(AND(B1247&gt;=_TM1,B1247&lt;=_TM2,OR(TH!L1247="1111",TH!M1247="1111")),TH!D1247,""),"")</f>
        <v/>
      </c>
      <c r="B1247" s="36">
        <f t="shared" si="62"/>
        <v>7</v>
      </c>
      <c r="C1247" s="182">
        <f t="shared" si="61"/>
        <v>42558</v>
      </c>
      <c r="D1247" s="182" t="s">
        <v>669</v>
      </c>
      <c r="E1247" s="189">
        <v>42558</v>
      </c>
      <c r="F1247" s="190" t="s">
        <v>671</v>
      </c>
      <c r="G1247" s="190" t="s">
        <v>330</v>
      </c>
      <c r="H1247" s="7" t="s">
        <v>855</v>
      </c>
      <c r="I1247" s="251"/>
      <c r="J1247" s="251"/>
      <c r="K1247" s="560">
        <v>34625550</v>
      </c>
      <c r="L1247" s="192" t="s">
        <v>8</v>
      </c>
      <c r="M1247" s="561" t="s">
        <v>24</v>
      </c>
      <c r="N1247" s="52" t="str">
        <f>IF(AND('331-CT'!$E$7=TH!H1247,OR(L1247="331",M1247="331")),"331",IF(AND(OR(L1247="131",M1247="131"),H1247='131-CT'!$E$7),"131",""))</f>
        <v/>
      </c>
      <c r="O1247" s="818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53"/>
      <c r="AB1247" s="552"/>
    </row>
    <row r="1248" spans="1:29" s="209" customFormat="1" ht="15.75" customHeight="1">
      <c r="A1248" s="202" t="str">
        <f>IF(B1248&lt;&gt;"",IF(AND(B1248&gt;=_TM1,B1248&lt;=_TM2,OR(TH!L1248="1111",TH!M1248="1111")),TH!D1248,""),"")</f>
        <v/>
      </c>
      <c r="B1248" s="36">
        <f t="shared" si="62"/>
        <v>7</v>
      </c>
      <c r="C1248" s="182">
        <f t="shared" si="61"/>
        <v>42558</v>
      </c>
      <c r="D1248" s="182" t="s">
        <v>669</v>
      </c>
      <c r="E1248" s="189">
        <v>42558</v>
      </c>
      <c r="F1248" s="190" t="s">
        <v>671</v>
      </c>
      <c r="G1248" s="190" t="s">
        <v>330</v>
      </c>
      <c r="H1248" s="7" t="s">
        <v>829</v>
      </c>
      <c r="I1248" s="251"/>
      <c r="J1248" s="251"/>
      <c r="K1248" s="560">
        <v>23200000</v>
      </c>
      <c r="L1248" s="192" t="s">
        <v>8</v>
      </c>
      <c r="M1248" s="561" t="s">
        <v>24</v>
      </c>
      <c r="N1248" s="52" t="str">
        <f>IF(AND('331-CT'!$E$7=TH!H1248,OR(L1248="331",M1248="331")),"331",IF(AND(OR(L1248="131",M1248="131"),H1248='131-CT'!$E$7),"131",""))</f>
        <v/>
      </c>
      <c r="O1248" s="818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53"/>
      <c r="AB1248" s="552"/>
      <c r="AC1248" s="552"/>
    </row>
    <row r="1249" spans="1:32" s="209" customFormat="1" ht="15.75" customHeight="1">
      <c r="A1249" s="202" t="str">
        <f>IF(B1249&lt;&gt;"",IF(AND(B1249&gt;=_TM1,B1249&lt;=_TM2,OR(TH!L1249="1111",TH!M1249="1111")),TH!D1249,""),"")</f>
        <v/>
      </c>
      <c r="B1249" s="36">
        <f t="shared" si="62"/>
        <v>7</v>
      </c>
      <c r="C1249" s="182">
        <f t="shared" si="61"/>
        <v>42558</v>
      </c>
      <c r="D1249" s="182" t="s">
        <v>669</v>
      </c>
      <c r="E1249" s="189">
        <v>42558</v>
      </c>
      <c r="F1249" s="190" t="s">
        <v>672</v>
      </c>
      <c r="G1249" s="190" t="s">
        <v>330</v>
      </c>
      <c r="H1249" s="7"/>
      <c r="I1249" s="251"/>
      <c r="J1249" s="251"/>
      <c r="K1249" s="560">
        <v>13637</v>
      </c>
      <c r="L1249" s="561" t="s">
        <v>83</v>
      </c>
      <c r="M1249" s="561" t="s">
        <v>24</v>
      </c>
      <c r="N1249" s="52" t="str">
        <f>IF(AND('331-CT'!$E$7=TH!H1249,OR(L1249="331",M1249="331")),"331",IF(AND(OR(L1249="131",M1249="131"),H1249='131-CT'!$E$7),"131",""))</f>
        <v/>
      </c>
      <c r="O1249" s="818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>x</v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52">
        <v>3</v>
      </c>
      <c r="AB1249" s="552"/>
    </row>
    <row r="1250" spans="1:32" s="209" customFormat="1" ht="15.75" customHeight="1">
      <c r="A1250" s="202" t="str">
        <f>IF(B1250&lt;&gt;"",IF(AND(B1250&gt;=_TM1,B1250&lt;=_TM2,OR(TH!L1250="1111",TH!M1250="1111")),TH!D1250,""),"")</f>
        <v/>
      </c>
      <c r="B1250" s="36">
        <f t="shared" si="62"/>
        <v>7</v>
      </c>
      <c r="C1250" s="182">
        <f t="shared" si="61"/>
        <v>42558</v>
      </c>
      <c r="D1250" s="182" t="s">
        <v>669</v>
      </c>
      <c r="E1250" s="189">
        <v>42558</v>
      </c>
      <c r="F1250" s="190" t="s">
        <v>762</v>
      </c>
      <c r="G1250" s="190" t="s">
        <v>330</v>
      </c>
      <c r="H1250" s="7"/>
      <c r="I1250" s="251"/>
      <c r="J1250" s="251"/>
      <c r="K1250" s="560">
        <v>1363</v>
      </c>
      <c r="L1250" s="561" t="s">
        <v>9</v>
      </c>
      <c r="M1250" s="561" t="s">
        <v>24</v>
      </c>
      <c r="N1250" s="52" t="str">
        <f>IF(AND('331-CT'!$E$7=TH!H1250,OR(L1250="331",M1250="331")),"331",IF(AND(OR(L1250="131",M1250="131"),H1250='131-CT'!$E$7),"131",""))</f>
        <v/>
      </c>
      <c r="O1250" s="818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52">
        <v>3</v>
      </c>
      <c r="AB1250" s="552"/>
      <c r="AC1250" s="552"/>
    </row>
    <row r="1251" spans="1:32" s="209" customFormat="1" ht="15.75" customHeight="1">
      <c r="A1251" s="202" t="str">
        <f>IF(B1251&lt;&gt;"",IF(AND(B1251&gt;=_TM1,B1251&lt;=_TM2,OR(TH!L1251="1111",TH!M1251="1111")),TH!D1251,""),"")</f>
        <v/>
      </c>
      <c r="B1251" s="36">
        <f t="shared" si="62"/>
        <v>7</v>
      </c>
      <c r="C1251" s="182">
        <f t="shared" si="61"/>
        <v>42558</v>
      </c>
      <c r="D1251" s="182" t="s">
        <v>1079</v>
      </c>
      <c r="E1251" s="37">
        <v>42558</v>
      </c>
      <c r="F1251" s="40" t="s">
        <v>1258</v>
      </c>
      <c r="G1251" s="450" t="s">
        <v>619</v>
      </c>
      <c r="H1251" s="828" t="s">
        <v>565</v>
      </c>
      <c r="I1251" s="251">
        <f>1045+500</f>
        <v>1545</v>
      </c>
      <c r="J1251" s="251">
        <v>5900</v>
      </c>
      <c r="K1251" s="38">
        <f>ROUND(I1251*J1251,0)</f>
        <v>9115500</v>
      </c>
      <c r="L1251" s="192" t="s">
        <v>258</v>
      </c>
      <c r="M1251" s="192" t="s">
        <v>173</v>
      </c>
      <c r="N1251" s="52" t="str">
        <f>IF(AND('331-CT'!$E$7=TH!H1251,OR(L1251="331",M1251="331")),"331",IF(AND(OR(L1251="131",M1251="131"),H1251='131-CT'!$E$7),"131",""))</f>
        <v/>
      </c>
      <c r="O1251" s="818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52"/>
      <c r="AB1251" s="552"/>
      <c r="AC1251" s="552"/>
    </row>
    <row r="1252" spans="1:32" s="209" customFormat="1" ht="15.75" customHeight="1">
      <c r="A1252" s="202" t="str">
        <f>IF(B1252&lt;&gt;"",IF(AND(B1252&gt;=_TM1,B1252&lt;=_TM2,OR(TH!L1252="1111",TH!M1252="1111")),TH!D1252,""),"")</f>
        <v/>
      </c>
      <c r="B1252" s="36">
        <f t="shared" si="62"/>
        <v>7</v>
      </c>
      <c r="C1252" s="182">
        <f t="shared" si="61"/>
        <v>42558</v>
      </c>
      <c r="D1252" s="182" t="s">
        <v>1079</v>
      </c>
      <c r="E1252" s="37">
        <v>42558</v>
      </c>
      <c r="F1252" s="40" t="s">
        <v>1258</v>
      </c>
      <c r="G1252" s="450" t="s">
        <v>619</v>
      </c>
      <c r="H1252" s="828" t="s">
        <v>565</v>
      </c>
      <c r="I1252" s="251">
        <v>559</v>
      </c>
      <c r="J1252" s="251">
        <v>7300</v>
      </c>
      <c r="K1252" s="38">
        <f>ROUND(I1252*J1252,0)</f>
        <v>4080700</v>
      </c>
      <c r="L1252" s="192" t="s">
        <v>258</v>
      </c>
      <c r="M1252" s="192" t="s">
        <v>173</v>
      </c>
      <c r="N1252" s="52" t="str">
        <f>IF(AND('331-CT'!$E$7=TH!H1252,OR(L1252="331",M1252="331")),"331",IF(AND(OR(L1252="131",M1252="131"),H1252='131-CT'!$E$7),"131",""))</f>
        <v/>
      </c>
      <c r="O1252" s="818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52"/>
      <c r="AB1252" s="552"/>
    </row>
    <row r="1253" spans="1:32" s="209" customFormat="1" ht="15.75" customHeight="1">
      <c r="A1253" s="202" t="str">
        <f>IF(B1253&lt;&gt;"",IF(AND(B1253&gt;=_TM1,B1253&lt;=_TM2,OR(TH!L1253="1111",TH!M1253="1111")),TH!D1253,""),"")</f>
        <v/>
      </c>
      <c r="B1253" s="36">
        <f t="shared" si="62"/>
        <v>7</v>
      </c>
      <c r="C1253" s="182">
        <f t="shared" si="61"/>
        <v>42558</v>
      </c>
      <c r="D1253" s="182" t="s">
        <v>1079</v>
      </c>
      <c r="E1253" s="37">
        <v>42558</v>
      </c>
      <c r="F1253" s="40" t="s">
        <v>1254</v>
      </c>
      <c r="G1253" s="450" t="s">
        <v>619</v>
      </c>
      <c r="H1253" s="828" t="s">
        <v>565</v>
      </c>
      <c r="I1253" s="251"/>
      <c r="J1253" s="251"/>
      <c r="K1253" s="38">
        <v>1319620</v>
      </c>
      <c r="L1253" s="192" t="s">
        <v>258</v>
      </c>
      <c r="M1253" s="192" t="s">
        <v>367</v>
      </c>
      <c r="N1253" s="52" t="str">
        <f>IF(AND('331-CT'!$E$7=TH!H1253,OR(L1253="331",M1253="331")),"331",IF(AND(OR(L1253="131",M1253="131"),H1253='131-CT'!$E$7),"131",""))</f>
        <v/>
      </c>
      <c r="O1253" s="818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52"/>
      <c r="AB1253" s="552"/>
      <c r="AC1253" s="552"/>
    </row>
    <row r="1254" spans="1:32" s="209" customFormat="1" ht="15.75" customHeight="1">
      <c r="A1254" s="202" t="str">
        <f>IF(B1254&lt;&gt;"",IF(AND(B1254&gt;=_TM1,B1254&lt;=_TM2,OR(TH!L1254="1111",TH!M1254="1111")),TH!D1254,""),"")</f>
        <v/>
      </c>
      <c r="B1254" s="36">
        <f t="shared" si="62"/>
        <v>7</v>
      </c>
      <c r="C1254" s="182">
        <f t="shared" si="61"/>
        <v>42559</v>
      </c>
      <c r="D1254" s="182" t="s">
        <v>1080</v>
      </c>
      <c r="E1254" s="37">
        <v>42559</v>
      </c>
      <c r="F1254" s="40" t="s">
        <v>988</v>
      </c>
      <c r="G1254" s="450" t="s">
        <v>620</v>
      </c>
      <c r="H1254" s="7" t="s">
        <v>797</v>
      </c>
      <c r="I1254" s="251">
        <v>548</v>
      </c>
      <c r="J1254" s="251">
        <v>6650</v>
      </c>
      <c r="K1254" s="38">
        <f>ROUND(I1254*J1254,0)</f>
        <v>3644200</v>
      </c>
      <c r="L1254" s="192" t="s">
        <v>258</v>
      </c>
      <c r="M1254" s="192" t="s">
        <v>173</v>
      </c>
      <c r="N1254" s="52" t="str">
        <f>IF(AND('331-CT'!$E$7=TH!H1254,OR(L1254="331",M1254="331")),"331",IF(AND(OR(L1254="131",M1254="131"),H1254='131-CT'!$E$7),"131",""))</f>
        <v/>
      </c>
      <c r="O1254" s="818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52"/>
      <c r="AB1254" s="552"/>
    </row>
    <row r="1255" spans="1:32" s="209" customFormat="1" ht="15.75" customHeight="1">
      <c r="A1255" s="202" t="str">
        <f>IF(B1255&lt;&gt;"",IF(AND(B1255&gt;=_TM1,B1255&lt;=_TM2,OR(TH!L1255="1111",TH!M1255="1111")),TH!D1255,""),"")</f>
        <v/>
      </c>
      <c r="B1255" s="36">
        <f t="shared" si="62"/>
        <v>7</v>
      </c>
      <c r="C1255" s="182">
        <f t="shared" si="61"/>
        <v>42559</v>
      </c>
      <c r="D1255" s="182" t="s">
        <v>1080</v>
      </c>
      <c r="E1255" s="37">
        <v>42559</v>
      </c>
      <c r="F1255" s="40" t="s">
        <v>1254</v>
      </c>
      <c r="G1255" s="450" t="s">
        <v>620</v>
      </c>
      <c r="H1255" s="7" t="s">
        <v>797</v>
      </c>
      <c r="I1255" s="251"/>
      <c r="J1255" s="251"/>
      <c r="K1255" s="38">
        <v>364420</v>
      </c>
      <c r="L1255" s="192" t="s">
        <v>258</v>
      </c>
      <c r="M1255" s="192" t="s">
        <v>367</v>
      </c>
      <c r="N1255" s="52" t="str">
        <f>IF(AND('331-CT'!$E$7=TH!H1255,OR(L1255="331",M1255="331")),"331",IF(AND(OR(L1255="131",M1255="131"),H1255='131-CT'!$E$7),"131",""))</f>
        <v/>
      </c>
      <c r="O1255" s="818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52"/>
      <c r="AB1255" s="552"/>
      <c r="AC1255" s="552"/>
    </row>
    <row r="1256" spans="1:32" s="209" customFormat="1" ht="15.75" customHeight="1">
      <c r="A1256" s="202" t="str">
        <f>IF(B1256&lt;&gt;"",IF(AND(B1256&gt;=_TM1,B1256&lt;=_TM2,OR(TH!L1256="1111",TH!M1256="1111")),TH!D1256,""),"")</f>
        <v/>
      </c>
      <c r="B1256" s="36">
        <f t="shared" si="62"/>
        <v>7</v>
      </c>
      <c r="C1256" s="182">
        <f t="shared" si="61"/>
        <v>42563</v>
      </c>
      <c r="D1256" s="182" t="s">
        <v>665</v>
      </c>
      <c r="E1256" s="189">
        <v>42563</v>
      </c>
      <c r="F1256" s="190" t="s">
        <v>666</v>
      </c>
      <c r="G1256" s="190" t="s">
        <v>330</v>
      </c>
      <c r="H1256" s="7" t="s">
        <v>785</v>
      </c>
      <c r="I1256" s="251"/>
      <c r="J1256" s="251"/>
      <c r="K1256" s="560">
        <v>4171860</v>
      </c>
      <c r="L1256" s="192" t="s">
        <v>24</v>
      </c>
      <c r="M1256" s="192" t="s">
        <v>258</v>
      </c>
      <c r="N1256" s="52" t="str">
        <f>IF(AND('331-CT'!$E$7=TH!H1256,OR(L1256="331",M1256="331")),"331",IF(AND(OR(L1256="131",M1256="131"),H1256='131-CT'!$E$7),"131",""))</f>
        <v/>
      </c>
      <c r="O1256" s="818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53"/>
      <c r="AB1256" s="552"/>
      <c r="AC1256" s="552"/>
    </row>
    <row r="1257" spans="1:32" s="209" customFormat="1" ht="15.75" customHeight="1">
      <c r="A1257" s="202" t="str">
        <f>IF(B1257&lt;&gt;"",IF(AND(B1257&gt;=_TM1,B1257&lt;=_TM2,OR(TH!L1257="1111",TH!M1257="1111")),TH!D1257,""),"")</f>
        <v/>
      </c>
      <c r="B1257" s="36">
        <f t="shared" si="62"/>
        <v>7</v>
      </c>
      <c r="C1257" s="182">
        <f t="shared" si="61"/>
        <v>42563</v>
      </c>
      <c r="D1257" s="182" t="s">
        <v>1624</v>
      </c>
      <c r="E1257" s="189">
        <v>42563</v>
      </c>
      <c r="F1257" s="190" t="s">
        <v>754</v>
      </c>
      <c r="G1257" s="190" t="s">
        <v>330</v>
      </c>
      <c r="H1257" s="191" t="s">
        <v>675</v>
      </c>
      <c r="I1257" s="251"/>
      <c r="J1257" s="251"/>
      <c r="K1257" s="560">
        <v>26000000</v>
      </c>
      <c r="L1257" s="192" t="s">
        <v>24</v>
      </c>
      <c r="M1257" s="192" t="s">
        <v>47</v>
      </c>
      <c r="N1257" s="52" t="str">
        <f>IF(AND('331-CT'!$E$7=TH!H1257,OR(L1257="331",M1257="331")),"331",IF(AND(OR(L1257="131",M1257="131"),H1257='131-CT'!$E$7),"131",""))</f>
        <v/>
      </c>
      <c r="O1257" s="818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53"/>
      <c r="AB1257" s="552"/>
    </row>
    <row r="1258" spans="1:32" s="209" customFormat="1" ht="15.75" customHeight="1">
      <c r="A1258" s="202" t="str">
        <f>IF(B1258&lt;&gt;"",IF(AND(B1258&gt;=_TM1,B1258&lt;=_TM2,OR(TH!L1258="1111",TH!M1258="1111")),TH!D1258,""),"")</f>
        <v/>
      </c>
      <c r="B1258" s="36">
        <f t="shared" si="62"/>
        <v>7</v>
      </c>
      <c r="C1258" s="182">
        <f t="shared" si="61"/>
        <v>42563</v>
      </c>
      <c r="D1258" s="182" t="s">
        <v>669</v>
      </c>
      <c r="E1258" s="189">
        <v>42563</v>
      </c>
      <c r="F1258" s="190" t="s">
        <v>671</v>
      </c>
      <c r="G1258" s="190" t="s">
        <v>330</v>
      </c>
      <c r="H1258" s="7" t="s">
        <v>1554</v>
      </c>
      <c r="I1258" s="251"/>
      <c r="J1258" s="251"/>
      <c r="K1258" s="560">
        <v>30000000</v>
      </c>
      <c r="L1258" s="192" t="s">
        <v>8</v>
      </c>
      <c r="M1258" s="561" t="s">
        <v>24</v>
      </c>
      <c r="N1258" s="52" t="str">
        <f>IF(AND('331-CT'!$E$7=TH!H1258,OR(L1258="331",M1258="331")),"331",IF(AND(OR(L1258="131",M1258="131"),H1258='131-CT'!$E$7),"131",""))</f>
        <v/>
      </c>
      <c r="O1258" s="818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53"/>
      <c r="AB1258" s="552"/>
    </row>
    <row r="1259" spans="1:32" s="788" customFormat="1" ht="15.75" customHeight="1">
      <c r="A1259" s="202" t="str">
        <f>IF(B1259&lt;&gt;"",IF(AND(B1259&gt;=_TM1,B1259&lt;=_TM2,OR(TH!L1259="1111",TH!M1259="1111")),TH!D1259,""),"")</f>
        <v/>
      </c>
      <c r="B1259" s="36">
        <f t="shared" si="62"/>
        <v>7</v>
      </c>
      <c r="C1259" s="182">
        <f t="shared" si="61"/>
        <v>42563</v>
      </c>
      <c r="D1259" s="182" t="s">
        <v>669</v>
      </c>
      <c r="E1259" s="189">
        <v>42563</v>
      </c>
      <c r="F1259" s="190" t="s">
        <v>674</v>
      </c>
      <c r="G1259" s="190" t="s">
        <v>330</v>
      </c>
      <c r="H1259" s="7"/>
      <c r="I1259" s="251"/>
      <c r="J1259" s="251"/>
      <c r="K1259" s="560">
        <v>13637</v>
      </c>
      <c r="L1259" s="561" t="s">
        <v>83</v>
      </c>
      <c r="M1259" s="561" t="s">
        <v>24</v>
      </c>
      <c r="N1259" s="52" t="str">
        <f>IF(AND('331-CT'!$E$7=TH!H1259,OR(L1259="331",M1259="331")),"331",IF(AND(OR(L1259="131",M1259="131"),H1259='131-CT'!$E$7),"131",""))</f>
        <v/>
      </c>
      <c r="O1259" s="818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>x</v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52">
        <v>3</v>
      </c>
      <c r="AB1259" s="552"/>
      <c r="AC1259" s="552"/>
      <c r="AD1259" s="209"/>
      <c r="AE1259" s="209"/>
      <c r="AF1259" s="209"/>
    </row>
    <row r="1260" spans="1:32" s="209" customFormat="1" ht="15.75" customHeight="1">
      <c r="A1260" s="202" t="str">
        <f>IF(B1260&lt;&gt;"",IF(AND(B1260&gt;=_TM1,B1260&lt;=_TM2,OR(TH!L1260="1111",TH!M1260="1111")),TH!D1260,""),"")</f>
        <v/>
      </c>
      <c r="B1260" s="36">
        <f t="shared" si="62"/>
        <v>7</v>
      </c>
      <c r="C1260" s="182">
        <f t="shared" si="61"/>
        <v>42563</v>
      </c>
      <c r="D1260" s="182" t="s">
        <v>669</v>
      </c>
      <c r="E1260" s="189">
        <v>42563</v>
      </c>
      <c r="F1260" s="190" t="s">
        <v>794</v>
      </c>
      <c r="G1260" s="190" t="s">
        <v>330</v>
      </c>
      <c r="H1260" s="7"/>
      <c r="I1260" s="251"/>
      <c r="J1260" s="251"/>
      <c r="K1260" s="560">
        <v>1363</v>
      </c>
      <c r="L1260" s="561" t="s">
        <v>9</v>
      </c>
      <c r="M1260" s="561" t="s">
        <v>24</v>
      </c>
      <c r="N1260" s="52" t="str">
        <f>IF(AND('331-CT'!$E$7=TH!H1260,OR(L1260="331",M1260="331")),"331",IF(AND(OR(L1260="131",M1260="131"),H1260='131-CT'!$E$7),"131",""))</f>
        <v/>
      </c>
      <c r="O1260" s="818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52">
        <v>3</v>
      </c>
      <c r="AB1260" s="552"/>
    </row>
    <row r="1261" spans="1:32" s="209" customFormat="1" ht="15.75" customHeight="1">
      <c r="A1261" s="202" t="str">
        <f>IF(B1261&lt;&gt;"",IF(AND(B1261&gt;=_TM1,B1261&lt;=_TM2,OR(TH!L1261="1111",TH!M1261="1111")),TH!D1261,""),"")</f>
        <v/>
      </c>
      <c r="B1261" s="36">
        <f t="shared" si="62"/>
        <v>7</v>
      </c>
      <c r="C1261" s="182">
        <f t="shared" si="61"/>
        <v>42563</v>
      </c>
      <c r="D1261" s="182" t="s">
        <v>669</v>
      </c>
      <c r="E1261" s="189">
        <v>42563</v>
      </c>
      <c r="F1261" s="190" t="s">
        <v>672</v>
      </c>
      <c r="G1261" s="190" t="s">
        <v>330</v>
      </c>
      <c r="H1261" s="7"/>
      <c r="I1261" s="251"/>
      <c r="J1261" s="251"/>
      <c r="K1261" s="560">
        <v>13637</v>
      </c>
      <c r="L1261" s="561" t="s">
        <v>83</v>
      </c>
      <c r="M1261" s="561" t="s">
        <v>24</v>
      </c>
      <c r="N1261" s="52" t="str">
        <f>IF(AND('331-CT'!$E$7=TH!H1261,OR(L1261="331",M1261="331")),"331",IF(AND(OR(L1261="131",M1261="131"),H1261='131-CT'!$E$7),"131",""))</f>
        <v/>
      </c>
      <c r="O1261" s="818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>x</v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52">
        <v>3</v>
      </c>
      <c r="AB1261" s="552"/>
      <c r="AC1261" s="552"/>
    </row>
    <row r="1262" spans="1:32" s="209" customFormat="1" ht="15.75" customHeight="1">
      <c r="A1262" s="202" t="str">
        <f>IF(B1262&lt;&gt;"",IF(AND(B1262&gt;=_TM1,B1262&lt;=_TM2,OR(TH!L1262="1111",TH!M1262="1111")),TH!D1262,""),"")</f>
        <v/>
      </c>
      <c r="B1262" s="36">
        <f t="shared" si="62"/>
        <v>7</v>
      </c>
      <c r="C1262" s="182">
        <f t="shared" si="61"/>
        <v>42563</v>
      </c>
      <c r="D1262" s="182" t="s">
        <v>669</v>
      </c>
      <c r="E1262" s="189">
        <v>42563</v>
      </c>
      <c r="F1262" s="190" t="s">
        <v>762</v>
      </c>
      <c r="G1262" s="190" t="s">
        <v>330</v>
      </c>
      <c r="H1262" s="7"/>
      <c r="I1262" s="251"/>
      <c r="J1262" s="251"/>
      <c r="K1262" s="560">
        <v>1363</v>
      </c>
      <c r="L1262" s="561" t="s">
        <v>9</v>
      </c>
      <c r="M1262" s="561" t="s">
        <v>24</v>
      </c>
      <c r="N1262" s="52" t="str">
        <f>IF(AND('331-CT'!$E$7=TH!H1262,OR(L1262="331",M1262="331")),"331",IF(AND(OR(L1262="131",M1262="131"),H1262='131-CT'!$E$7),"131",""))</f>
        <v/>
      </c>
      <c r="O1262" s="818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52">
        <v>3</v>
      </c>
      <c r="AB1262" s="552"/>
    </row>
    <row r="1263" spans="1:32" s="209" customFormat="1" ht="15.75" customHeight="1">
      <c r="A1263" s="202" t="str">
        <f>IF(B1263&lt;&gt;"",IF(AND(B1263&gt;=_TM1,B1263&lt;=_TM2,OR(TH!L1263="1111",TH!M1263="1111")),TH!D1263,""),"")</f>
        <v/>
      </c>
      <c r="B1263" s="36">
        <f t="shared" si="62"/>
        <v>7</v>
      </c>
      <c r="C1263" s="182">
        <f t="shared" si="61"/>
        <v>42563</v>
      </c>
      <c r="D1263" s="182" t="s">
        <v>1081</v>
      </c>
      <c r="E1263" s="189">
        <v>42563</v>
      </c>
      <c r="F1263" s="40" t="s">
        <v>1070</v>
      </c>
      <c r="G1263" s="450" t="s">
        <v>621</v>
      </c>
      <c r="H1263" s="191" t="s">
        <v>609</v>
      </c>
      <c r="I1263" s="251">
        <v>220</v>
      </c>
      <c r="J1263" s="251">
        <v>28000</v>
      </c>
      <c r="K1263" s="38">
        <f>ROUND(I1263*J1263,0)</f>
        <v>6160000</v>
      </c>
      <c r="L1263" s="192" t="s">
        <v>258</v>
      </c>
      <c r="M1263" s="192" t="s">
        <v>173</v>
      </c>
      <c r="N1263" s="52" t="str">
        <f>IF(AND('331-CT'!$E$7=TH!H1263,OR(L1263="331",M1263="331")),"331",IF(AND(OR(L1263="131",M1263="131"),H1263='131-CT'!$E$7),"131",""))</f>
        <v/>
      </c>
      <c r="O1263" s="818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52"/>
      <c r="AB1263" s="552"/>
      <c r="AC1263" s="552"/>
    </row>
    <row r="1264" spans="1:32" s="209" customFormat="1" ht="15.75" customHeight="1">
      <c r="A1264" s="202" t="str">
        <f>IF(B1264&lt;&gt;"",IF(AND(B1264&gt;=_TM1,B1264&lt;=_TM2,OR(TH!L1264="1111",TH!M1264="1111")),TH!D1264,""),"")</f>
        <v/>
      </c>
      <c r="B1264" s="36">
        <f t="shared" si="62"/>
        <v>7</v>
      </c>
      <c r="C1264" s="182">
        <f t="shared" si="61"/>
        <v>42563</v>
      </c>
      <c r="D1264" s="182" t="s">
        <v>1081</v>
      </c>
      <c r="E1264" s="189">
        <v>42563</v>
      </c>
      <c r="F1264" s="40" t="s">
        <v>917</v>
      </c>
      <c r="G1264" s="450" t="s">
        <v>621</v>
      </c>
      <c r="H1264" s="191" t="s">
        <v>609</v>
      </c>
      <c r="I1264" s="251">
        <v>250</v>
      </c>
      <c r="J1264" s="251">
        <v>9980</v>
      </c>
      <c r="K1264" s="38">
        <f>ROUND(I1264*J1264,0)</f>
        <v>2495000</v>
      </c>
      <c r="L1264" s="192" t="s">
        <v>258</v>
      </c>
      <c r="M1264" s="192" t="s">
        <v>173</v>
      </c>
      <c r="N1264" s="52" t="str">
        <f>IF(AND('331-CT'!$E$7=TH!H1264,OR(L1264="331",M1264="331")),"331",IF(AND(OR(L1264="131",M1264="131"),H1264='131-CT'!$E$7),"131",""))</f>
        <v/>
      </c>
      <c r="O1264" s="818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52"/>
      <c r="AB1264" s="552"/>
    </row>
    <row r="1265" spans="1:32" s="209" customFormat="1" ht="15.75" customHeight="1">
      <c r="A1265" s="202" t="str">
        <f>IF(B1265&lt;&gt;"",IF(AND(B1265&gt;=_TM1,B1265&lt;=_TM2,OR(TH!L1265="1111",TH!M1265="1111")),TH!D1265,""),"")</f>
        <v/>
      </c>
      <c r="B1265" s="36">
        <f t="shared" si="62"/>
        <v>7</v>
      </c>
      <c r="C1265" s="182">
        <f t="shared" si="61"/>
        <v>42563</v>
      </c>
      <c r="D1265" s="182" t="s">
        <v>1081</v>
      </c>
      <c r="E1265" s="189">
        <v>42563</v>
      </c>
      <c r="F1265" s="40" t="s">
        <v>1071</v>
      </c>
      <c r="G1265" s="450" t="s">
        <v>621</v>
      </c>
      <c r="H1265" s="191" t="s">
        <v>609</v>
      </c>
      <c r="I1265" s="251">
        <v>45</v>
      </c>
      <c r="J1265" s="251">
        <v>8800</v>
      </c>
      <c r="K1265" s="38">
        <f>ROUND(I1265*J1265,0)</f>
        <v>396000</v>
      </c>
      <c r="L1265" s="192" t="s">
        <v>258</v>
      </c>
      <c r="M1265" s="192" t="s">
        <v>173</v>
      </c>
      <c r="N1265" s="52" t="str">
        <f>IF(AND('331-CT'!$E$7=TH!H1265,OR(L1265="331",M1265="331")),"331",IF(AND(OR(L1265="131",M1265="131"),H1265='131-CT'!$E$7),"131",""))</f>
        <v/>
      </c>
      <c r="O1265" s="818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52"/>
      <c r="AB1265" s="552"/>
      <c r="AC1265" s="552"/>
    </row>
    <row r="1266" spans="1:32" s="209" customFormat="1" ht="15.75" customHeight="1">
      <c r="A1266" s="202" t="str">
        <f>IF(B1266&lt;&gt;"",IF(AND(B1266&gt;=_TM1,B1266&lt;=_TM2,OR(TH!L1266="1111",TH!M1266="1111")),TH!D1266,""),"")</f>
        <v/>
      </c>
      <c r="B1266" s="36">
        <f t="shared" si="62"/>
        <v>7</v>
      </c>
      <c r="C1266" s="182">
        <f t="shared" si="61"/>
        <v>42563</v>
      </c>
      <c r="D1266" s="182" t="s">
        <v>1081</v>
      </c>
      <c r="E1266" s="189">
        <v>42563</v>
      </c>
      <c r="F1266" s="40" t="s">
        <v>474</v>
      </c>
      <c r="G1266" s="450" t="s">
        <v>621</v>
      </c>
      <c r="H1266" s="191" t="s">
        <v>609</v>
      </c>
      <c r="I1266" s="251">
        <f>51+51+240+240</f>
        <v>582</v>
      </c>
      <c r="J1266" s="251">
        <v>9600</v>
      </c>
      <c r="K1266" s="38">
        <f>ROUND(I1266*J1266,0)</f>
        <v>5587200</v>
      </c>
      <c r="L1266" s="192" t="s">
        <v>258</v>
      </c>
      <c r="M1266" s="192" t="s">
        <v>173</v>
      </c>
      <c r="N1266" s="52" t="str">
        <f>IF(AND('331-CT'!$E$7=TH!H1266,OR(L1266="331",M1266="331")),"331",IF(AND(OR(L1266="131",M1266="131"),H1266='131-CT'!$E$7),"131",""))</f>
        <v/>
      </c>
      <c r="O1266" s="818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52"/>
      <c r="AB1266" s="552"/>
    </row>
    <row r="1267" spans="1:32" s="209" customFormat="1" ht="15.75" customHeight="1">
      <c r="A1267" s="202" t="str">
        <f>IF(B1267&lt;&gt;"",IF(AND(B1267&gt;=_TM1,B1267&lt;=_TM2,OR(TH!L1267="1111",TH!M1267="1111")),TH!D1267,""),"")</f>
        <v/>
      </c>
      <c r="B1267" s="36">
        <f t="shared" si="62"/>
        <v>7</v>
      </c>
      <c r="C1267" s="182">
        <f t="shared" si="61"/>
        <v>42563</v>
      </c>
      <c r="D1267" s="182" t="s">
        <v>1081</v>
      </c>
      <c r="E1267" s="189">
        <v>42563</v>
      </c>
      <c r="F1267" s="40" t="s">
        <v>1072</v>
      </c>
      <c r="G1267" s="450" t="s">
        <v>621</v>
      </c>
      <c r="H1267" s="191" t="s">
        <v>609</v>
      </c>
      <c r="I1267" s="251">
        <v>55</v>
      </c>
      <c r="J1267" s="251">
        <v>9000</v>
      </c>
      <c r="K1267" s="38">
        <f>ROUND(I1267*J1267,0)</f>
        <v>495000</v>
      </c>
      <c r="L1267" s="192" t="s">
        <v>258</v>
      </c>
      <c r="M1267" s="192" t="s">
        <v>173</v>
      </c>
      <c r="N1267" s="52" t="str">
        <f>IF(AND('331-CT'!$E$7=TH!H1267,OR(L1267="331",M1267="331")),"331",IF(AND(OR(L1267="131",M1267="131"),H1267='131-CT'!$E$7),"131",""))</f>
        <v/>
      </c>
      <c r="O1267" s="818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52"/>
      <c r="AB1267" s="552"/>
      <c r="AC1267" s="552"/>
    </row>
    <row r="1268" spans="1:32" s="209" customFormat="1" ht="15.75" customHeight="1">
      <c r="A1268" s="202" t="str">
        <f>IF(B1268&lt;&gt;"",IF(AND(B1268&gt;=_TM1,B1268&lt;=_TM2,OR(TH!L1268="1111",TH!M1268="1111")),TH!D1268,""),"")</f>
        <v/>
      </c>
      <c r="B1268" s="36">
        <f t="shared" si="62"/>
        <v>7</v>
      </c>
      <c r="C1268" s="182">
        <f t="shared" si="61"/>
        <v>42563</v>
      </c>
      <c r="D1268" s="182" t="s">
        <v>1081</v>
      </c>
      <c r="E1268" s="189">
        <v>42563</v>
      </c>
      <c r="F1268" s="40" t="s">
        <v>1254</v>
      </c>
      <c r="G1268" s="450" t="s">
        <v>621</v>
      </c>
      <c r="H1268" s="191" t="s">
        <v>609</v>
      </c>
      <c r="I1268" s="251"/>
      <c r="J1268" s="251"/>
      <c r="K1268" s="38">
        <v>1513320</v>
      </c>
      <c r="L1268" s="192" t="s">
        <v>258</v>
      </c>
      <c r="M1268" s="192" t="s">
        <v>367</v>
      </c>
      <c r="N1268" s="52" t="str">
        <f>IF(AND('331-CT'!$E$7=TH!H1268,OR(L1268="331",M1268="331")),"331",IF(AND(OR(L1268="131",M1268="131"),H1268='131-CT'!$E$7),"131",""))</f>
        <v/>
      </c>
      <c r="O1268" s="818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52"/>
      <c r="AB1268" s="552"/>
    </row>
    <row r="1269" spans="1:32" s="209" customFormat="1" ht="15.75" customHeight="1">
      <c r="A1269" s="202" t="str">
        <f>IF(B1269&lt;&gt;"",IF(AND(B1269&gt;=_TM1,B1269&lt;=_TM2,OR(TH!L1269="1111",TH!M1269="1111")),TH!D1269,""),"")</f>
        <v/>
      </c>
      <c r="B1269" s="36">
        <f t="shared" si="62"/>
        <v>7</v>
      </c>
      <c r="C1269" s="182">
        <f t="shared" si="61"/>
        <v>42563</v>
      </c>
      <c r="D1269" s="182" t="s">
        <v>1082</v>
      </c>
      <c r="E1269" s="189">
        <v>42563</v>
      </c>
      <c r="F1269" s="40" t="s">
        <v>1068</v>
      </c>
      <c r="G1269" s="450" t="s">
        <v>622</v>
      </c>
      <c r="H1269" s="191" t="s">
        <v>527</v>
      </c>
      <c r="I1269" s="251">
        <v>19</v>
      </c>
      <c r="J1269" s="251">
        <v>54530</v>
      </c>
      <c r="K1269" s="38">
        <f>ROUND(I1269*J1269,0)</f>
        <v>1036070</v>
      </c>
      <c r="L1269" s="192" t="s">
        <v>258</v>
      </c>
      <c r="M1269" s="192" t="s">
        <v>173</v>
      </c>
      <c r="N1269" s="52" t="str">
        <f>IF(AND('331-CT'!$E$7=TH!H1269,OR(L1269="331",M1269="331")),"331",IF(AND(OR(L1269="131",M1269="131"),H1269='131-CT'!$E$7),"131",""))</f>
        <v/>
      </c>
      <c r="O1269" s="818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52"/>
      <c r="AB1269" s="552"/>
      <c r="AC1269" s="552"/>
    </row>
    <row r="1270" spans="1:32" s="209" customFormat="1" ht="15.75" customHeight="1">
      <c r="A1270" s="202" t="str">
        <f>IF(B1270&lt;&gt;"",IF(AND(B1270&gt;=_TM1,B1270&lt;=_TM2,OR(TH!L1270="1111",TH!M1270="1111")),TH!D1270,""),"")</f>
        <v/>
      </c>
      <c r="B1270" s="36">
        <f t="shared" si="62"/>
        <v>7</v>
      </c>
      <c r="C1270" s="182">
        <f t="shared" si="61"/>
        <v>42563</v>
      </c>
      <c r="D1270" s="182" t="s">
        <v>1082</v>
      </c>
      <c r="E1270" s="189">
        <v>42563</v>
      </c>
      <c r="F1270" s="40" t="s">
        <v>418</v>
      </c>
      <c r="G1270" s="450" t="s">
        <v>622</v>
      </c>
      <c r="H1270" s="191" t="s">
        <v>527</v>
      </c>
      <c r="I1270" s="251">
        <v>60</v>
      </c>
      <c r="J1270" s="251">
        <v>47449</v>
      </c>
      <c r="K1270" s="38">
        <f>ROUND(I1270*J1270,0)</f>
        <v>2846940</v>
      </c>
      <c r="L1270" s="192" t="s">
        <v>258</v>
      </c>
      <c r="M1270" s="192" t="s">
        <v>173</v>
      </c>
      <c r="N1270" s="52" t="str">
        <f>IF(AND('331-CT'!$E$7=TH!H1270,OR(L1270="331",M1270="331")),"331",IF(AND(OR(L1270="131",M1270="131"),H1270='131-CT'!$E$7),"131",""))</f>
        <v/>
      </c>
      <c r="O1270" s="818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52"/>
      <c r="AB1270" s="552"/>
    </row>
    <row r="1271" spans="1:32" s="209" customFormat="1" ht="15.75" customHeight="1">
      <c r="A1271" s="202" t="str">
        <f>IF(B1271&lt;&gt;"",IF(AND(B1271&gt;=_TM1,B1271&lt;=_TM2,OR(TH!L1271="1111",TH!M1271="1111")),TH!D1271,""),"")</f>
        <v/>
      </c>
      <c r="B1271" s="36">
        <f t="shared" si="62"/>
        <v>7</v>
      </c>
      <c r="C1271" s="182">
        <f t="shared" si="61"/>
        <v>42563</v>
      </c>
      <c r="D1271" s="182" t="s">
        <v>1082</v>
      </c>
      <c r="E1271" s="189">
        <v>42563</v>
      </c>
      <c r="F1271" s="40" t="s">
        <v>1254</v>
      </c>
      <c r="G1271" s="450" t="s">
        <v>622</v>
      </c>
      <c r="H1271" s="191" t="s">
        <v>527</v>
      </c>
      <c r="I1271" s="251"/>
      <c r="J1271" s="251"/>
      <c r="K1271" s="38">
        <v>388301</v>
      </c>
      <c r="L1271" s="192" t="s">
        <v>258</v>
      </c>
      <c r="M1271" s="192" t="s">
        <v>367</v>
      </c>
      <c r="N1271" s="52" t="str">
        <f>IF(AND('331-CT'!$E$7=TH!H1271,OR(L1271="331",M1271="331")),"331",IF(AND(OR(L1271="131",M1271="131"),H1271='131-CT'!$E$7),"131",""))</f>
        <v/>
      </c>
      <c r="O1271" s="818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52"/>
      <c r="AB1271" s="552"/>
      <c r="AC1271" s="552"/>
    </row>
    <row r="1272" spans="1:32" s="209" customFormat="1" ht="15.75" customHeight="1">
      <c r="A1272" s="202" t="str">
        <f>IF(B1272&lt;&gt;"",IF(AND(B1272&gt;=_TM1,B1272&lt;=_TM2,OR(TH!L1272="1111",TH!M1272="1111")),TH!D1272,""),"")</f>
        <v/>
      </c>
      <c r="B1272" s="857">
        <f t="shared" si="62"/>
        <v>7</v>
      </c>
      <c r="C1272" s="858">
        <f t="shared" si="61"/>
        <v>42563</v>
      </c>
      <c r="D1272" s="858" t="s">
        <v>332</v>
      </c>
      <c r="E1272" s="830">
        <v>42563</v>
      </c>
      <c r="F1272" s="49" t="s">
        <v>356</v>
      </c>
      <c r="G1272" s="865" t="s">
        <v>1298</v>
      </c>
      <c r="H1272" s="833" t="s">
        <v>1299</v>
      </c>
      <c r="I1272" s="249"/>
      <c r="J1272" s="249"/>
      <c r="K1272" s="51">
        <v>15000000</v>
      </c>
      <c r="L1272" s="818" t="s">
        <v>258</v>
      </c>
      <c r="M1272" s="818" t="s">
        <v>85</v>
      </c>
      <c r="N1272" s="52" t="str">
        <f>IF(AND('331-CT'!$E$7=TH!H1272,OR(L1272="331",M1272="331")),"331",IF(AND(OR(L1272="131",M1272="131"),H1272='131-CT'!$E$7),"131",""))</f>
        <v/>
      </c>
      <c r="O1272" s="818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52"/>
      <c r="AB1272" s="860"/>
      <c r="AC1272" s="860"/>
      <c r="AD1272" s="861"/>
      <c r="AE1272" s="861"/>
      <c r="AF1272" s="861"/>
    </row>
    <row r="1273" spans="1:32" s="209" customFormat="1" ht="15.75" customHeight="1">
      <c r="A1273" s="202" t="str">
        <f>IF(B1273&lt;&gt;"",IF(AND(B1273&gt;=_TM1,B1273&lt;=_TM2,OR(TH!L1273="1111",TH!M1273="1111")),TH!D1273,""),"")</f>
        <v/>
      </c>
      <c r="B1273" s="857">
        <f t="shared" si="62"/>
        <v>7</v>
      </c>
      <c r="C1273" s="858">
        <f t="shared" si="61"/>
        <v>42563</v>
      </c>
      <c r="D1273" s="858" t="s">
        <v>332</v>
      </c>
      <c r="E1273" s="830">
        <v>42563</v>
      </c>
      <c r="F1273" s="49" t="s">
        <v>357</v>
      </c>
      <c r="G1273" s="865" t="s">
        <v>1298</v>
      </c>
      <c r="H1273" s="833" t="s">
        <v>1299</v>
      </c>
      <c r="I1273" s="249"/>
      <c r="J1273" s="249"/>
      <c r="K1273" s="51">
        <v>25000000</v>
      </c>
      <c r="L1273" s="818" t="s">
        <v>258</v>
      </c>
      <c r="M1273" s="818" t="s">
        <v>85</v>
      </c>
      <c r="N1273" s="52" t="str">
        <f>IF(AND('331-CT'!$E$7=TH!H1273,OR(L1273="331",M1273="331")),"331",IF(AND(OR(L1273="131",M1273="131"),H1273='131-CT'!$E$7),"131",""))</f>
        <v/>
      </c>
      <c r="O1273" s="818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52"/>
      <c r="AB1273" s="860"/>
      <c r="AC1273" s="860"/>
      <c r="AD1273" s="861"/>
      <c r="AE1273" s="861"/>
      <c r="AF1273" s="861"/>
    </row>
    <row r="1274" spans="1:32" s="209" customFormat="1" ht="15.75" customHeight="1">
      <c r="A1274" s="202" t="str">
        <f>IF(B1274&lt;&gt;"",IF(AND(B1274&gt;=_TM1,B1274&lt;=_TM2,OR(TH!L1274="1111",TH!M1274="1111")),TH!D1274,""),"")</f>
        <v/>
      </c>
      <c r="B1274" s="857">
        <f t="shared" si="62"/>
        <v>7</v>
      </c>
      <c r="C1274" s="858">
        <f t="shared" si="61"/>
        <v>42563</v>
      </c>
      <c r="D1274" s="858" t="s">
        <v>332</v>
      </c>
      <c r="E1274" s="830">
        <v>42563</v>
      </c>
      <c r="F1274" s="49" t="s">
        <v>358</v>
      </c>
      <c r="G1274" s="865" t="s">
        <v>1298</v>
      </c>
      <c r="H1274" s="833" t="s">
        <v>1299</v>
      </c>
      <c r="I1274" s="249"/>
      <c r="J1274" s="249"/>
      <c r="K1274" s="51">
        <v>300000000</v>
      </c>
      <c r="L1274" s="818" t="s">
        <v>258</v>
      </c>
      <c r="M1274" s="818" t="s">
        <v>85</v>
      </c>
      <c r="N1274" s="52" t="str">
        <f>IF(AND('331-CT'!$E$7=TH!H1274,OR(L1274="331",M1274="331")),"331",IF(AND(OR(L1274="131",M1274="131"),H1274='131-CT'!$E$7),"131",""))</f>
        <v/>
      </c>
      <c r="O1274" s="818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52"/>
      <c r="AB1274" s="860"/>
      <c r="AC1274" s="861"/>
      <c r="AD1274" s="861"/>
      <c r="AE1274" s="861"/>
      <c r="AF1274" s="861"/>
    </row>
    <row r="1275" spans="1:32" s="209" customFormat="1" ht="15.75" customHeight="1">
      <c r="A1275" s="202" t="str">
        <f>IF(B1275&lt;&gt;"",IF(AND(B1275&gt;=_TM1,B1275&lt;=_TM2,OR(TH!L1275="1111",TH!M1275="1111")),TH!D1275,""),"")</f>
        <v/>
      </c>
      <c r="B1275" s="857">
        <f t="shared" si="62"/>
        <v>7</v>
      </c>
      <c r="C1275" s="858">
        <f t="shared" si="61"/>
        <v>42563</v>
      </c>
      <c r="D1275" s="858" t="s">
        <v>332</v>
      </c>
      <c r="E1275" s="830">
        <v>42563</v>
      </c>
      <c r="F1275" s="49" t="s">
        <v>1301</v>
      </c>
      <c r="G1275" s="865" t="s">
        <v>1298</v>
      </c>
      <c r="H1275" s="833" t="s">
        <v>1299</v>
      </c>
      <c r="I1275" s="249"/>
      <c r="J1275" s="249"/>
      <c r="K1275" s="51">
        <v>500000000</v>
      </c>
      <c r="L1275" s="818" t="s">
        <v>258</v>
      </c>
      <c r="M1275" s="818" t="s">
        <v>85</v>
      </c>
      <c r="N1275" s="52" t="str">
        <f>IF(AND('331-CT'!$E$7=TH!H1275,OR(L1275="331",M1275="331")),"331",IF(AND(OR(L1275="131",M1275="131"),H1275='131-CT'!$E$7),"131",""))</f>
        <v/>
      </c>
      <c r="O1275" s="818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52"/>
      <c r="AB1275" s="860"/>
      <c r="AC1275" s="861"/>
      <c r="AD1275" s="861"/>
      <c r="AE1275" s="861"/>
      <c r="AF1275" s="861"/>
    </row>
    <row r="1276" spans="1:32" s="209" customFormat="1" ht="15.75" customHeight="1">
      <c r="A1276" s="202" t="str">
        <f>IF(B1276&lt;&gt;"",IF(AND(B1276&gt;=_TM1,B1276&lt;=_TM2,OR(TH!L1276="1111",TH!M1276="1111")),TH!D1276,""),"")</f>
        <v/>
      </c>
      <c r="B1276" s="857">
        <f t="shared" si="62"/>
        <v>7</v>
      </c>
      <c r="C1276" s="858">
        <f t="shared" si="61"/>
        <v>42563</v>
      </c>
      <c r="D1276" s="858" t="s">
        <v>332</v>
      </c>
      <c r="E1276" s="830">
        <v>42563</v>
      </c>
      <c r="F1276" s="49" t="s">
        <v>1300</v>
      </c>
      <c r="G1276" s="865" t="s">
        <v>1298</v>
      </c>
      <c r="H1276" s="833" t="s">
        <v>1299</v>
      </c>
      <c r="I1276" s="249"/>
      <c r="J1276" s="249"/>
      <c r="K1276" s="51">
        <v>84000000</v>
      </c>
      <c r="L1276" s="818" t="s">
        <v>258</v>
      </c>
      <c r="M1276" s="818" t="s">
        <v>367</v>
      </c>
      <c r="N1276" s="52" t="str">
        <f>IF(AND('331-CT'!$E$7=TH!H1276,OR(L1276="331",M1276="331")),"331",IF(AND(OR(L1276="131",M1276="131"),H1276='131-CT'!$E$7),"131",""))</f>
        <v/>
      </c>
      <c r="O1276" s="818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52"/>
      <c r="AB1276" s="860"/>
      <c r="AC1276" s="860"/>
      <c r="AD1276" s="861"/>
      <c r="AE1276" s="861"/>
      <c r="AF1276" s="861"/>
    </row>
    <row r="1277" spans="1:32" s="209" customFormat="1" ht="15.75" customHeight="1">
      <c r="A1277" s="202" t="str">
        <f>IF(B1277&lt;&gt;"",IF(AND(B1277&gt;=_TM1,B1277&lt;=_TM2,OR(TH!L1277="1111",TH!M1277="1111")),TH!D1277,""),"")</f>
        <v/>
      </c>
      <c r="B1277" s="857">
        <f t="shared" si="62"/>
        <v>7</v>
      </c>
      <c r="C1277" s="858">
        <f t="shared" si="61"/>
        <v>42563</v>
      </c>
      <c r="D1277" s="858" t="s">
        <v>332</v>
      </c>
      <c r="E1277" s="830">
        <v>42563</v>
      </c>
      <c r="F1277" s="49" t="s">
        <v>356</v>
      </c>
      <c r="G1277" s="865" t="s">
        <v>1298</v>
      </c>
      <c r="H1277" s="833" t="s">
        <v>1299</v>
      </c>
      <c r="I1277" s="249"/>
      <c r="J1277" s="249"/>
      <c r="K1277" s="51">
        <v>18000000</v>
      </c>
      <c r="L1277" s="818" t="s">
        <v>259</v>
      </c>
      <c r="M1277" s="818" t="s">
        <v>168</v>
      </c>
      <c r="N1277" s="52" t="str">
        <f>IF(AND('331-CT'!$E$7=TH!H1277,OR(L1277="331",M1277="331")),"331",IF(AND(OR(L1277="131",M1277="131"),H1277='131-CT'!$E$7),"131",""))</f>
        <v/>
      </c>
      <c r="O1277" s="818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52"/>
      <c r="AB1277" s="860"/>
      <c r="AC1277" s="860"/>
      <c r="AD1277" s="861"/>
      <c r="AE1277" s="861"/>
      <c r="AF1277" s="861"/>
    </row>
    <row r="1278" spans="1:32" s="209" customFormat="1" ht="15.75" customHeight="1">
      <c r="A1278" s="202" t="str">
        <f>IF(B1278&lt;&gt;"",IF(AND(B1278&gt;=_TM1,B1278&lt;=_TM2,OR(TH!L1278="1111",TH!M1278="1111")),TH!D1278,""),"")</f>
        <v/>
      </c>
      <c r="B1278" s="857">
        <f t="shared" si="62"/>
        <v>7</v>
      </c>
      <c r="C1278" s="858">
        <f t="shared" si="61"/>
        <v>42563</v>
      </c>
      <c r="D1278" s="858" t="s">
        <v>332</v>
      </c>
      <c r="E1278" s="830">
        <v>42563</v>
      </c>
      <c r="F1278" s="49" t="s">
        <v>357</v>
      </c>
      <c r="G1278" s="865" t="s">
        <v>1298</v>
      </c>
      <c r="H1278" s="833" t="s">
        <v>1299</v>
      </c>
      <c r="I1278" s="249"/>
      <c r="J1278" s="249"/>
      <c r="K1278" s="51">
        <v>27000000</v>
      </c>
      <c r="L1278" s="818" t="s">
        <v>259</v>
      </c>
      <c r="M1278" s="818" t="s">
        <v>168</v>
      </c>
      <c r="N1278" s="52" t="str">
        <f>IF(AND('331-CT'!$E$7=TH!H1278,OR(L1278="331",M1278="331")),"331",IF(AND(OR(L1278="131",M1278="131"),H1278='131-CT'!$E$7),"131",""))</f>
        <v/>
      </c>
      <c r="O1278" s="818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52"/>
      <c r="AB1278" s="860"/>
      <c r="AC1278" s="860"/>
      <c r="AD1278" s="861"/>
      <c r="AE1278" s="861"/>
      <c r="AF1278" s="861"/>
    </row>
    <row r="1279" spans="1:32" s="209" customFormat="1" ht="15.75" customHeight="1">
      <c r="A1279" s="202" t="str">
        <f>IF(B1279&lt;&gt;"",IF(AND(B1279&gt;=_TM1,B1279&lt;=_TM2,OR(TH!L1279="1111",TH!M1279="1111")),TH!D1279,""),"")</f>
        <v/>
      </c>
      <c r="B1279" s="857">
        <f t="shared" si="62"/>
        <v>7</v>
      </c>
      <c r="C1279" s="858">
        <f t="shared" si="61"/>
        <v>42563</v>
      </c>
      <c r="D1279" s="858" t="s">
        <v>332</v>
      </c>
      <c r="E1279" s="830">
        <v>42563</v>
      </c>
      <c r="F1279" s="49" t="s">
        <v>358</v>
      </c>
      <c r="G1279" s="865" t="s">
        <v>1298</v>
      </c>
      <c r="H1279" s="833" t="s">
        <v>1299</v>
      </c>
      <c r="I1279" s="249"/>
      <c r="J1279" s="249"/>
      <c r="K1279" s="51">
        <v>320000000</v>
      </c>
      <c r="L1279" s="818" t="s">
        <v>259</v>
      </c>
      <c r="M1279" s="818" t="s">
        <v>168</v>
      </c>
      <c r="N1279" s="52" t="str">
        <f>IF(AND('331-CT'!$E$7=TH!H1279,OR(L1279="331",M1279="331")),"331",IF(AND(OR(L1279="131",M1279="131"),H1279='131-CT'!$E$7),"131",""))</f>
        <v/>
      </c>
      <c r="O1279" s="818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52"/>
      <c r="AB1279" s="860"/>
      <c r="AC1279" s="861"/>
      <c r="AD1279" s="861"/>
      <c r="AE1279" s="861"/>
      <c r="AF1279" s="861"/>
    </row>
    <row r="1280" spans="1:32" s="209" customFormat="1" ht="15.75" customHeight="1">
      <c r="A1280" s="202" t="str">
        <f>IF(B1280&lt;&gt;"",IF(AND(B1280&gt;=_TM1,B1280&lt;=_TM2,OR(TH!L1280="1111",TH!M1280="1111")),TH!D1280,""),"")</f>
        <v/>
      </c>
      <c r="B1280" s="857">
        <f t="shared" si="62"/>
        <v>7</v>
      </c>
      <c r="C1280" s="858">
        <f t="shared" si="61"/>
        <v>42563</v>
      </c>
      <c r="D1280" s="858" t="s">
        <v>332</v>
      </c>
      <c r="E1280" s="830">
        <v>42563</v>
      </c>
      <c r="F1280" s="49" t="s">
        <v>1301</v>
      </c>
      <c r="G1280" s="865" t="s">
        <v>1298</v>
      </c>
      <c r="H1280" s="833" t="s">
        <v>1299</v>
      </c>
      <c r="I1280" s="249"/>
      <c r="J1280" s="249"/>
      <c r="K1280" s="51">
        <v>50000000</v>
      </c>
      <c r="L1280" s="818" t="s">
        <v>259</v>
      </c>
      <c r="M1280" s="818" t="s">
        <v>168</v>
      </c>
      <c r="N1280" s="52" t="str">
        <f>IF(AND('331-CT'!$E$7=TH!H1280,OR(L1280="331",M1280="331")),"331",IF(AND(OR(L1280="131",M1280="131"),H1280='131-CT'!$E$7),"131",""))</f>
        <v/>
      </c>
      <c r="O1280" s="818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52"/>
      <c r="AB1280" s="860"/>
      <c r="AC1280" s="861"/>
      <c r="AD1280" s="861"/>
      <c r="AE1280" s="861"/>
      <c r="AF1280" s="861"/>
    </row>
    <row r="1281" spans="1:32" s="209" customFormat="1" ht="15.75" customHeight="1">
      <c r="A1281" s="202" t="str">
        <f>IF(B1281&lt;&gt;"",IF(AND(B1281&gt;=_TM1,B1281&lt;=_TM2,OR(TH!L1281="1111",TH!M1281="1111")),TH!D1281,""),"")</f>
        <v/>
      </c>
      <c r="B1281" s="857">
        <f t="shared" si="62"/>
        <v>7</v>
      </c>
      <c r="C1281" s="858">
        <f t="shared" si="61"/>
        <v>42563</v>
      </c>
      <c r="D1281" s="858" t="s">
        <v>332</v>
      </c>
      <c r="E1281" s="830">
        <v>42563</v>
      </c>
      <c r="F1281" s="49" t="s">
        <v>1301</v>
      </c>
      <c r="G1281" s="865" t="s">
        <v>1298</v>
      </c>
      <c r="H1281" s="833" t="s">
        <v>1299</v>
      </c>
      <c r="I1281" s="249"/>
      <c r="J1281" s="249"/>
      <c r="K1281" s="51">
        <v>450000000</v>
      </c>
      <c r="L1281" s="818" t="s">
        <v>87</v>
      </c>
      <c r="M1281" s="818" t="s">
        <v>168</v>
      </c>
      <c r="N1281" s="52" t="str">
        <f>IF(AND('331-CT'!$E$7=TH!H1281,OR(L1281="331",M1281="331")),"331",IF(AND(OR(L1281="131",M1281="131"),H1281='131-CT'!$E$7),"131",""))</f>
        <v/>
      </c>
      <c r="O1281" s="818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52"/>
      <c r="AB1281" s="860"/>
      <c r="AC1281" s="861"/>
      <c r="AD1281" s="861"/>
      <c r="AE1281" s="861"/>
      <c r="AF1281" s="861"/>
    </row>
    <row r="1282" spans="1:32" s="209" customFormat="1" ht="15.75" customHeight="1">
      <c r="A1282" s="202" t="str">
        <f>IF(B1282&lt;&gt;"",IF(AND(B1282&gt;=_TM1,B1282&lt;=_TM2,OR(TH!L1282="1111",TH!M1282="1111")),TH!D1282,""),"")</f>
        <v/>
      </c>
      <c r="B1282" s="36">
        <f t="shared" si="62"/>
        <v>7</v>
      </c>
      <c r="C1282" s="182">
        <f t="shared" si="61"/>
        <v>42564</v>
      </c>
      <c r="D1282" s="182" t="s">
        <v>665</v>
      </c>
      <c r="E1282" s="189">
        <v>42564</v>
      </c>
      <c r="F1282" s="190" t="s">
        <v>666</v>
      </c>
      <c r="G1282" s="190" t="s">
        <v>330</v>
      </c>
      <c r="H1282" s="7" t="s">
        <v>785</v>
      </c>
      <c r="I1282" s="251"/>
      <c r="J1282" s="251"/>
      <c r="K1282" s="560">
        <v>3000000</v>
      </c>
      <c r="L1282" s="192" t="s">
        <v>24</v>
      </c>
      <c r="M1282" s="192" t="s">
        <v>258</v>
      </c>
      <c r="N1282" s="52" t="str">
        <f>IF(AND('331-CT'!$E$7=TH!H1282,OR(L1282="331",M1282="331")),"331",IF(AND(OR(L1282="131",M1282="131"),H1282='131-CT'!$E$7),"131",""))</f>
        <v/>
      </c>
      <c r="O1282" s="818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53"/>
      <c r="AB1282" s="552"/>
      <c r="AC1282" s="552"/>
    </row>
    <row r="1283" spans="1:32" s="209" customFormat="1" ht="15.75" customHeight="1">
      <c r="A1283" s="202" t="str">
        <f>IF(B1283&lt;&gt;"",IF(AND(B1283&gt;=_TM1,B1283&lt;=_TM2,OR(TH!L1283="1111",TH!M1283="1111")),TH!D1283,""),"")</f>
        <v/>
      </c>
      <c r="B1283" s="36">
        <f t="shared" si="62"/>
        <v>7</v>
      </c>
      <c r="C1283" s="182">
        <f t="shared" si="61"/>
        <v>42564</v>
      </c>
      <c r="D1283" s="182" t="s">
        <v>665</v>
      </c>
      <c r="E1283" s="189">
        <v>42564</v>
      </c>
      <c r="F1283" s="190" t="s">
        <v>666</v>
      </c>
      <c r="G1283" s="190" t="s">
        <v>330</v>
      </c>
      <c r="H1283" s="7" t="s">
        <v>391</v>
      </c>
      <c r="I1283" s="251"/>
      <c r="J1283" s="251"/>
      <c r="K1283" s="560">
        <v>13077350</v>
      </c>
      <c r="L1283" s="192" t="s">
        <v>24</v>
      </c>
      <c r="M1283" s="192" t="s">
        <v>258</v>
      </c>
      <c r="N1283" s="52" t="str">
        <f>IF(AND('331-CT'!$E$7=TH!H1283,OR(L1283="331",M1283="331")),"331",IF(AND(OR(L1283="131",M1283="131"),H1283='131-CT'!$E$7),"131",""))</f>
        <v/>
      </c>
      <c r="O1283" s="818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53"/>
      <c r="AB1283" s="552"/>
      <c r="AC1283" s="552"/>
    </row>
    <row r="1284" spans="1:32" s="209" customFormat="1" ht="15.75" customHeight="1">
      <c r="A1284" s="202" t="str">
        <f>IF(B1284&lt;&gt;"",IF(AND(B1284&gt;=_TM1,B1284&lt;=_TM2,OR(TH!L1284="1111",TH!M1284="1111")),TH!D1284,""),"")</f>
        <v/>
      </c>
      <c r="B1284" s="36">
        <f t="shared" si="62"/>
        <v>7</v>
      </c>
      <c r="C1284" s="182">
        <f t="shared" si="61"/>
        <v>42565</v>
      </c>
      <c r="D1284" s="182" t="s">
        <v>354</v>
      </c>
      <c r="E1284" s="189">
        <v>42565</v>
      </c>
      <c r="F1284" s="187" t="s">
        <v>776</v>
      </c>
      <c r="G1284" s="190" t="s">
        <v>330</v>
      </c>
      <c r="H1284" s="191" t="s">
        <v>675</v>
      </c>
      <c r="I1284" s="251"/>
      <c r="J1284" s="251"/>
      <c r="K1284" s="560">
        <v>16000000</v>
      </c>
      <c r="L1284" s="561" t="s">
        <v>47</v>
      </c>
      <c r="M1284" s="561" t="s">
        <v>24</v>
      </c>
      <c r="N1284" s="52" t="str">
        <f>IF(AND('331-CT'!$E$7=TH!H1284,OR(L1284="331",M1284="331")),"331",IF(AND(OR(L1284="131",M1284="131"),H1284='131-CT'!$E$7),"131",""))</f>
        <v/>
      </c>
      <c r="O1284" s="818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53"/>
      <c r="AB1284" s="552"/>
    </row>
    <row r="1285" spans="1:32" s="209" customFormat="1" ht="15.75" customHeight="1">
      <c r="A1285" s="202" t="str">
        <f>IF(B1285&lt;&gt;"",IF(AND(B1285&gt;=_TM1,B1285&lt;=_TM2,OR(TH!L1285="1111",TH!M1285="1111")),TH!D1285,""),"")</f>
        <v/>
      </c>
      <c r="B1285" s="36">
        <f t="shared" si="62"/>
        <v>7</v>
      </c>
      <c r="C1285" s="182">
        <f t="shared" ref="C1285:C1348" si="63">E1285</f>
        <v>42567</v>
      </c>
      <c r="D1285" s="182" t="s">
        <v>355</v>
      </c>
      <c r="E1285" s="189">
        <v>42567</v>
      </c>
      <c r="F1285" s="40" t="s">
        <v>666</v>
      </c>
      <c r="G1285" s="451" t="s">
        <v>1606</v>
      </c>
      <c r="H1285" s="7" t="s">
        <v>1204</v>
      </c>
      <c r="I1285" s="252"/>
      <c r="J1285" s="252"/>
      <c r="K1285" s="560">
        <v>19404539</v>
      </c>
      <c r="L1285" s="561" t="s">
        <v>47</v>
      </c>
      <c r="M1285" s="561" t="s">
        <v>258</v>
      </c>
      <c r="N1285" s="52" t="str">
        <f>IF(AND('331-CT'!$E$7=TH!H1285,OR(L1285="331",M1285="331")),"331",IF(AND(OR(L1285="131",M1285="131"),H1285='131-CT'!$E$7),"131",""))</f>
        <v/>
      </c>
      <c r="O1285" s="818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52"/>
      <c r="AB1285" s="552"/>
    </row>
    <row r="1286" spans="1:32" s="209" customFormat="1" ht="15.75" customHeight="1">
      <c r="A1286" s="202" t="str">
        <f>IF(B1286&lt;&gt;"",IF(AND(B1286&gt;=_TM1,B1286&lt;=_TM2,OR(TH!L1286="1111",TH!M1286="1111")),TH!D1286,""),"")</f>
        <v/>
      </c>
      <c r="B1286" s="36">
        <f t="shared" si="62"/>
        <v>7</v>
      </c>
      <c r="C1286" s="182">
        <f t="shared" si="63"/>
        <v>42567</v>
      </c>
      <c r="D1286" s="182" t="s">
        <v>359</v>
      </c>
      <c r="E1286" s="189">
        <v>42567</v>
      </c>
      <c r="F1286" s="40" t="s">
        <v>666</v>
      </c>
      <c r="G1286" s="451" t="s">
        <v>1609</v>
      </c>
      <c r="H1286" s="947" t="s">
        <v>788</v>
      </c>
      <c r="I1286" s="252"/>
      <c r="J1286" s="252"/>
      <c r="K1286" s="560">
        <v>10219110</v>
      </c>
      <c r="L1286" s="561" t="s">
        <v>47</v>
      </c>
      <c r="M1286" s="561" t="s">
        <v>258</v>
      </c>
      <c r="N1286" s="52" t="str">
        <f>IF(AND('331-CT'!$E$7=TH!H1286,OR(L1286="331",M1286="331")),"331",IF(AND(OR(L1286="131",M1286="131"),H1286='131-CT'!$E$7),"131",""))</f>
        <v/>
      </c>
      <c r="O1286" s="818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52"/>
      <c r="AB1286" s="552"/>
    </row>
    <row r="1287" spans="1:32" s="209" customFormat="1" ht="15.75" customHeight="1">
      <c r="A1287" s="202" t="str">
        <f>IF(B1287&lt;&gt;"",IF(AND(B1287&gt;=_TM1,B1287&lt;=_TM2,OR(TH!L1287="1111",TH!M1287="1111")),TH!D1287,""),"")</f>
        <v/>
      </c>
      <c r="B1287" s="36">
        <f t="shared" si="62"/>
        <v>7</v>
      </c>
      <c r="C1287" s="182">
        <f t="shared" si="63"/>
        <v>42572</v>
      </c>
      <c r="D1287" s="182" t="s">
        <v>1626</v>
      </c>
      <c r="E1287" s="182">
        <v>42572</v>
      </c>
      <c r="F1287" s="190" t="s">
        <v>754</v>
      </c>
      <c r="G1287" s="451" t="s">
        <v>756</v>
      </c>
      <c r="H1287" s="191" t="s">
        <v>675</v>
      </c>
      <c r="I1287" s="251"/>
      <c r="J1287" s="251"/>
      <c r="K1287" s="560">
        <v>32810000</v>
      </c>
      <c r="L1287" s="192" t="s">
        <v>24</v>
      </c>
      <c r="M1287" s="561" t="s">
        <v>47</v>
      </c>
      <c r="N1287" s="52" t="str">
        <f>IF(AND('331-CT'!$E$7=TH!H1287,OR(L1287="331",M1287="331")),"331",IF(AND(OR(L1287="131",M1287="131"),H1287='131-CT'!$E$7),"131",""))</f>
        <v/>
      </c>
      <c r="O1287" s="818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52"/>
      <c r="AB1287" s="552"/>
      <c r="AC1287" s="552"/>
      <c r="AD1287" s="552"/>
      <c r="AE1287" s="552"/>
      <c r="AF1287" s="552"/>
    </row>
    <row r="1288" spans="1:32" s="209" customFormat="1" ht="15.75" customHeight="1">
      <c r="A1288" s="202" t="str">
        <f>IF(B1288&lt;&gt;"",IF(AND(B1288&gt;=_TM1,B1288&lt;=_TM2,OR(TH!L1288="1111",TH!M1288="1111")),TH!D1288,""),"")</f>
        <v/>
      </c>
      <c r="B1288" s="36">
        <f t="shared" si="62"/>
        <v>7</v>
      </c>
      <c r="C1288" s="182">
        <f t="shared" si="63"/>
        <v>42572</v>
      </c>
      <c r="D1288" s="182" t="s">
        <v>669</v>
      </c>
      <c r="E1288" s="182">
        <v>42572</v>
      </c>
      <c r="F1288" s="187" t="s">
        <v>770</v>
      </c>
      <c r="G1288" s="448" t="s">
        <v>756</v>
      </c>
      <c r="H1288" s="191" t="s">
        <v>768</v>
      </c>
      <c r="I1288" s="251"/>
      <c r="J1288" s="251"/>
      <c r="K1288" s="560">
        <v>751688</v>
      </c>
      <c r="L1288" s="561" t="s">
        <v>81</v>
      </c>
      <c r="M1288" s="561" t="s">
        <v>24</v>
      </c>
      <c r="N1288" s="52" t="str">
        <f>IF(AND('331-CT'!$E$7=TH!H1288,OR(L1288="331",M1288="331")),"331",IF(AND(OR(L1288="131",M1288="131"),H1288='131-CT'!$E$7),"131",""))</f>
        <v/>
      </c>
      <c r="O1288" s="818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52"/>
      <c r="AB1288" s="552"/>
      <c r="AC1288" s="552"/>
      <c r="AD1288" s="552"/>
      <c r="AE1288" s="552"/>
      <c r="AF1288" s="552"/>
    </row>
    <row r="1289" spans="1:32" s="209" customFormat="1" ht="15.75" customHeight="1">
      <c r="A1289" s="202" t="str">
        <f>IF(B1289&lt;&gt;"",IF(AND(B1289&gt;=_TM1,B1289&lt;=_TM2,OR(TH!L1289="1111",TH!M1289="1111")),TH!D1289,""),"")</f>
        <v/>
      </c>
      <c r="B1289" s="36">
        <f t="shared" si="62"/>
        <v>7</v>
      </c>
      <c r="C1289" s="182">
        <f t="shared" si="63"/>
        <v>42572</v>
      </c>
      <c r="D1289" s="182" t="s">
        <v>669</v>
      </c>
      <c r="E1289" s="182">
        <v>42572</v>
      </c>
      <c r="F1289" s="187" t="s">
        <v>770</v>
      </c>
      <c r="G1289" s="448" t="s">
        <v>756</v>
      </c>
      <c r="H1289" s="191" t="s">
        <v>767</v>
      </c>
      <c r="I1289" s="251"/>
      <c r="J1289" s="251"/>
      <c r="K1289" s="560">
        <v>1336000</v>
      </c>
      <c r="L1289" s="561" t="s">
        <v>81</v>
      </c>
      <c r="M1289" s="561" t="s">
        <v>24</v>
      </c>
      <c r="N1289" s="52" t="str">
        <f>IF(AND('331-CT'!$E$7=TH!H1289,OR(L1289="331",M1289="331")),"331",IF(AND(OR(L1289="131",M1289="131"),H1289='131-CT'!$E$7),"131",""))</f>
        <v/>
      </c>
      <c r="O1289" s="818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52"/>
      <c r="AB1289" s="552"/>
      <c r="AC1289" s="552"/>
      <c r="AD1289" s="552"/>
      <c r="AE1289" s="552"/>
      <c r="AF1289" s="552"/>
    </row>
    <row r="1290" spans="1:32" s="209" customFormat="1" ht="15.75" customHeight="1">
      <c r="A1290" s="202" t="str">
        <f>IF(B1290&lt;&gt;"",IF(AND(B1290&gt;=_TM1,B1290&lt;=_TM2,OR(TH!L1290="1111",TH!M1290="1111")),TH!D1290,""),"")</f>
        <v/>
      </c>
      <c r="B1290" s="36">
        <f t="shared" si="62"/>
        <v>7</v>
      </c>
      <c r="C1290" s="182">
        <f t="shared" si="63"/>
        <v>42572</v>
      </c>
      <c r="D1290" s="182" t="s">
        <v>669</v>
      </c>
      <c r="E1290" s="182">
        <v>42572</v>
      </c>
      <c r="F1290" s="187" t="s">
        <v>769</v>
      </c>
      <c r="G1290" s="448" t="s">
        <v>756</v>
      </c>
      <c r="H1290" s="191" t="s">
        <v>763</v>
      </c>
      <c r="I1290" s="251"/>
      <c r="J1290" s="251"/>
      <c r="K1290" s="38">
        <v>16500000</v>
      </c>
      <c r="L1290" s="561" t="s">
        <v>755</v>
      </c>
      <c r="M1290" s="561" t="s">
        <v>24</v>
      </c>
      <c r="N1290" s="52" t="str">
        <f>IF(AND('331-CT'!$E$7=TH!H1290,OR(L1290="331",M1290="331")),"331",IF(AND(OR(L1290="131",M1290="131"),H1290='131-CT'!$E$7),"131",""))</f>
        <v/>
      </c>
      <c r="O1290" s="818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52"/>
      <c r="AB1290" s="552"/>
      <c r="AC1290" s="552"/>
      <c r="AD1290" s="552"/>
      <c r="AE1290" s="552"/>
      <c r="AF1290" s="552"/>
    </row>
    <row r="1291" spans="1:32" s="209" customFormat="1" ht="15.75" customHeight="1">
      <c r="A1291" s="202" t="str">
        <f>IF(B1291&lt;&gt;"",IF(AND(B1291&gt;=_TM1,B1291&lt;=_TM2,OR(TH!L1291="1111",TH!M1291="1111")),TH!D1291,""),"")</f>
        <v/>
      </c>
      <c r="B1291" s="36">
        <f t="shared" si="62"/>
        <v>7</v>
      </c>
      <c r="C1291" s="182">
        <f t="shared" si="63"/>
        <v>42572</v>
      </c>
      <c r="D1291" s="182" t="s">
        <v>669</v>
      </c>
      <c r="E1291" s="182">
        <v>42572</v>
      </c>
      <c r="F1291" s="187" t="s">
        <v>770</v>
      </c>
      <c r="G1291" s="448" t="s">
        <v>756</v>
      </c>
      <c r="H1291" s="191" t="s">
        <v>763</v>
      </c>
      <c r="I1291" s="251"/>
      <c r="J1291" s="251"/>
      <c r="K1291" s="560">
        <v>2437381</v>
      </c>
      <c r="L1291" s="561" t="s">
        <v>81</v>
      </c>
      <c r="M1291" s="561" t="s">
        <v>24</v>
      </c>
      <c r="N1291" s="52" t="str">
        <f>IF(AND('331-CT'!$E$7=TH!H1291,OR(L1291="331",M1291="331")),"331",IF(AND(OR(L1291="131",M1291="131"),H1291='131-CT'!$E$7),"131",""))</f>
        <v/>
      </c>
      <c r="O1291" s="818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52"/>
      <c r="AB1291" s="552"/>
      <c r="AC1291" s="552"/>
      <c r="AD1291" s="552"/>
      <c r="AE1291" s="552"/>
      <c r="AF1291" s="552"/>
    </row>
    <row r="1292" spans="1:32" s="209" customFormat="1" ht="15.75" customHeight="1">
      <c r="A1292" s="202" t="str">
        <f>IF(B1292&lt;&gt;"",IF(AND(B1292&gt;=_TM1,B1292&lt;=_TM2,OR(TH!L1292="1111",TH!M1292="1111")),TH!D1292,""),"")</f>
        <v/>
      </c>
      <c r="B1292" s="36">
        <f t="shared" si="62"/>
        <v>7</v>
      </c>
      <c r="C1292" s="182">
        <f t="shared" si="63"/>
        <v>42572</v>
      </c>
      <c r="D1292" s="182" t="s">
        <v>669</v>
      </c>
      <c r="E1292" s="182">
        <v>42572</v>
      </c>
      <c r="F1292" s="187" t="s">
        <v>770</v>
      </c>
      <c r="G1292" s="448" t="s">
        <v>756</v>
      </c>
      <c r="H1292" s="191" t="s">
        <v>757</v>
      </c>
      <c r="I1292" s="251"/>
      <c r="J1292" s="251"/>
      <c r="K1292" s="560">
        <v>11875175</v>
      </c>
      <c r="L1292" s="561" t="s">
        <v>81</v>
      </c>
      <c r="M1292" s="561" t="s">
        <v>24</v>
      </c>
      <c r="N1292" s="52" t="str">
        <f>IF(AND('331-CT'!$E$7=TH!H1292,OR(L1292="331",M1292="331")),"331",IF(AND(OR(L1292="131",M1292="131"),H1292='131-CT'!$E$7),"131",""))</f>
        <v/>
      </c>
      <c r="O1292" s="818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52"/>
      <c r="AB1292" s="552"/>
      <c r="AC1292" s="552"/>
      <c r="AD1292" s="552"/>
      <c r="AE1292" s="552"/>
      <c r="AF1292" s="552"/>
    </row>
    <row r="1293" spans="1:32" s="209" customFormat="1" ht="15.75" customHeight="1">
      <c r="A1293" s="202" t="str">
        <f>IF(B1293&lt;&gt;"",IF(AND(B1293&gt;=_TM1,B1293&lt;=_TM2,OR(TH!L1293="1111",TH!M1293="1111")),TH!D1293,""),"")</f>
        <v/>
      </c>
      <c r="B1293" s="36">
        <f t="shared" si="62"/>
        <v>7</v>
      </c>
      <c r="C1293" s="182">
        <f t="shared" si="63"/>
        <v>42576</v>
      </c>
      <c r="D1293" s="182" t="s">
        <v>665</v>
      </c>
      <c r="E1293" s="189">
        <v>42576</v>
      </c>
      <c r="F1293" s="190" t="s">
        <v>667</v>
      </c>
      <c r="G1293" s="190" t="s">
        <v>330</v>
      </c>
      <c r="H1293" s="7"/>
      <c r="I1293" s="251"/>
      <c r="J1293" s="251"/>
      <c r="K1293" s="560">
        <v>1903</v>
      </c>
      <c r="L1293" s="192" t="s">
        <v>24</v>
      </c>
      <c r="M1293" s="192" t="s">
        <v>40</v>
      </c>
      <c r="N1293" s="52" t="str">
        <f>IF(AND('331-CT'!$E$7=TH!H1293,OR(L1293="331",M1293="331")),"331",IF(AND(OR(L1293="131",M1293="131"),H1293='131-CT'!$E$7),"131",""))</f>
        <v/>
      </c>
      <c r="O1293" s="818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53"/>
      <c r="AB1293" s="552"/>
    </row>
    <row r="1294" spans="1:32" s="209" customFormat="1" ht="15.75" customHeight="1">
      <c r="A1294" s="202" t="str">
        <f>IF(B1294&lt;&gt;"",IF(AND(B1294&gt;=_TM1,B1294&lt;=_TM2,OR(TH!L1294="1111",TH!M1294="1111")),TH!D1294,""),"")</f>
        <v/>
      </c>
      <c r="B1294" s="36">
        <f t="shared" si="62"/>
        <v>7</v>
      </c>
      <c r="C1294" s="182">
        <f t="shared" si="63"/>
        <v>42579</v>
      </c>
      <c r="D1294" s="182" t="s">
        <v>665</v>
      </c>
      <c r="E1294" s="189">
        <v>42579</v>
      </c>
      <c r="F1294" s="190" t="s">
        <v>666</v>
      </c>
      <c r="G1294" s="190" t="s">
        <v>330</v>
      </c>
      <c r="H1294" s="7" t="s">
        <v>609</v>
      </c>
      <c r="I1294" s="251"/>
      <c r="J1294" s="251"/>
      <c r="K1294" s="560">
        <v>28028836</v>
      </c>
      <c r="L1294" s="192" t="s">
        <v>24</v>
      </c>
      <c r="M1294" s="192" t="s">
        <v>258</v>
      </c>
      <c r="N1294" s="52" t="str">
        <f>IF(AND('331-CT'!$E$7=TH!H1294,OR(L1294="331",M1294="331")),"331",IF(AND(OR(L1294="131",M1294="131"),H1294='131-CT'!$E$7),"131",""))</f>
        <v/>
      </c>
      <c r="O1294" s="818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53"/>
      <c r="AB1294" s="552"/>
      <c r="AC1294" s="552"/>
    </row>
    <row r="1295" spans="1:32" s="209" customFormat="1" ht="15.75" customHeight="1">
      <c r="A1295" s="202" t="str">
        <f>IF(B1295&lt;&gt;"",IF(AND(B1295&gt;=_TM1,B1295&lt;=_TM2,OR(TH!L1295="1111",TH!M1295="1111")),TH!D1295,""),"")</f>
        <v/>
      </c>
      <c r="B1295" s="36">
        <f t="shared" si="62"/>
        <v>7</v>
      </c>
      <c r="C1295" s="182">
        <f t="shared" si="63"/>
        <v>42580</v>
      </c>
      <c r="D1295" s="182" t="s">
        <v>1619</v>
      </c>
      <c r="E1295" s="189">
        <v>42580</v>
      </c>
      <c r="F1295" s="187" t="s">
        <v>776</v>
      </c>
      <c r="G1295" s="190" t="s">
        <v>330</v>
      </c>
      <c r="H1295" s="191" t="s">
        <v>675</v>
      </c>
      <c r="I1295" s="251"/>
      <c r="J1295" s="251"/>
      <c r="K1295" s="560">
        <v>23000000</v>
      </c>
      <c r="L1295" s="561" t="s">
        <v>47</v>
      </c>
      <c r="M1295" s="561" t="s">
        <v>24</v>
      </c>
      <c r="N1295" s="52" t="str">
        <f>IF(AND('331-CT'!$E$7=TH!H1295,OR(L1295="331",M1295="331")),"331",IF(AND(OR(L1295="131",M1295="131"),H1295='131-CT'!$E$7),"131",""))</f>
        <v/>
      </c>
      <c r="O1295" s="818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53"/>
      <c r="AB1295" s="552"/>
      <c r="AC1295" s="552"/>
    </row>
    <row r="1296" spans="1:32" s="209" customFormat="1" ht="15.75" customHeight="1">
      <c r="A1296" s="202" t="str">
        <f>IF(B1296&lt;&gt;"",IF(AND(B1296&gt;=_TM1,B1296&lt;=_TM2,OR(TH!L1296="1111",TH!M1296="1111")),TH!D1296,""),"")</f>
        <v/>
      </c>
      <c r="B1296" s="36">
        <f t="shared" si="62"/>
        <v>7</v>
      </c>
      <c r="C1296" s="182">
        <f t="shared" si="63"/>
        <v>42580</v>
      </c>
      <c r="D1296" s="182" t="s">
        <v>669</v>
      </c>
      <c r="E1296" s="189">
        <v>42580</v>
      </c>
      <c r="F1296" s="190" t="s">
        <v>671</v>
      </c>
      <c r="G1296" s="190" t="s">
        <v>330</v>
      </c>
      <c r="H1296" s="7" t="s">
        <v>1453</v>
      </c>
      <c r="I1296" s="251"/>
      <c r="J1296" s="251"/>
      <c r="K1296" s="560">
        <v>5000000</v>
      </c>
      <c r="L1296" s="192" t="s">
        <v>8</v>
      </c>
      <c r="M1296" s="561" t="s">
        <v>24</v>
      </c>
      <c r="N1296" s="52" t="str">
        <f>IF(AND('331-CT'!$E$7=TH!H1296,OR(L1296="331",M1296="331")),"331",IF(AND(OR(L1296="131",M1296="131"),H1296='131-CT'!$E$7),"131",""))</f>
        <v/>
      </c>
      <c r="O1296" s="818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53"/>
      <c r="AB1296" s="552"/>
    </row>
    <row r="1297" spans="1:32" s="209" customFormat="1" ht="15.75" customHeight="1">
      <c r="A1297" s="202" t="str">
        <f>IF(B1297&lt;&gt;"",IF(AND(B1297&gt;=_TM1,B1297&lt;=_TM2,OR(TH!L1297="1111",TH!M1297="1111")),TH!D1297,""),"")</f>
        <v/>
      </c>
      <c r="B1297" s="36">
        <f t="shared" si="62"/>
        <v>7</v>
      </c>
      <c r="C1297" s="182">
        <f t="shared" si="63"/>
        <v>42580</v>
      </c>
      <c r="D1297" s="182" t="s">
        <v>669</v>
      </c>
      <c r="E1297" s="189">
        <v>42580</v>
      </c>
      <c r="F1297" s="190" t="s">
        <v>672</v>
      </c>
      <c r="G1297" s="190" t="s">
        <v>330</v>
      </c>
      <c r="H1297" s="7"/>
      <c r="I1297" s="251"/>
      <c r="J1297" s="251"/>
      <c r="K1297" s="560">
        <v>13637</v>
      </c>
      <c r="L1297" s="561" t="s">
        <v>83</v>
      </c>
      <c r="M1297" s="561" t="s">
        <v>24</v>
      </c>
      <c r="N1297" s="52" t="str">
        <f>IF(AND('331-CT'!$E$7=TH!H1297,OR(L1297="331",M1297="331")),"331",IF(AND(OR(L1297="131",M1297="131"),H1297='131-CT'!$E$7),"131",""))</f>
        <v/>
      </c>
      <c r="O1297" s="818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>x</v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52">
        <v>3</v>
      </c>
      <c r="AB1297" s="552"/>
      <c r="AC1297" s="552"/>
    </row>
    <row r="1298" spans="1:32" s="209" customFormat="1" ht="15.75" customHeight="1">
      <c r="A1298" s="202" t="str">
        <f>IF(B1298&lt;&gt;"",IF(AND(B1298&gt;=_TM1,B1298&lt;=_TM2,OR(TH!L1298="1111",TH!M1298="1111")),TH!D1298,""),"")</f>
        <v/>
      </c>
      <c r="B1298" s="36">
        <f t="shared" si="62"/>
        <v>7</v>
      </c>
      <c r="C1298" s="182">
        <f t="shared" si="63"/>
        <v>42580</v>
      </c>
      <c r="D1298" s="182" t="s">
        <v>669</v>
      </c>
      <c r="E1298" s="189">
        <v>42580</v>
      </c>
      <c r="F1298" s="190" t="s">
        <v>762</v>
      </c>
      <c r="G1298" s="190" t="s">
        <v>330</v>
      </c>
      <c r="H1298" s="7"/>
      <c r="I1298" s="251"/>
      <c r="J1298" s="251"/>
      <c r="K1298" s="560">
        <v>1363</v>
      </c>
      <c r="L1298" s="561" t="s">
        <v>9</v>
      </c>
      <c r="M1298" s="561" t="s">
        <v>24</v>
      </c>
      <c r="N1298" s="52" t="str">
        <f>IF(AND('331-CT'!$E$7=TH!H1298,OR(L1298="331",M1298="331")),"331",IF(AND(OR(L1298="131",M1298="131"),H1298='131-CT'!$E$7),"131",""))</f>
        <v/>
      </c>
      <c r="O1298" s="818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852">
        <v>3</v>
      </c>
      <c r="AB1298" s="552"/>
    </row>
    <row r="1299" spans="1:32" s="209" customFormat="1" ht="15.75" customHeight="1">
      <c r="A1299" s="202" t="str">
        <f>IF(B1299&lt;&gt;"",IF(AND(B1299&gt;=_TM1,B1299&lt;=_TM2,OR(TH!L1299="1111",TH!M1299="1111")),TH!D1299,""),"")</f>
        <v/>
      </c>
      <c r="B1299" s="36">
        <f t="shared" si="62"/>
        <v>7</v>
      </c>
      <c r="C1299" s="182">
        <f t="shared" si="63"/>
        <v>42581</v>
      </c>
      <c r="D1299" s="182" t="s">
        <v>1182</v>
      </c>
      <c r="E1299" s="37">
        <v>42581</v>
      </c>
      <c r="F1299" s="40" t="s">
        <v>857</v>
      </c>
      <c r="G1299" s="450" t="s">
        <v>1253</v>
      </c>
      <c r="H1299" s="7" t="s">
        <v>858</v>
      </c>
      <c r="I1299" s="251">
        <v>200</v>
      </c>
      <c r="J1299" s="251">
        <v>19000</v>
      </c>
      <c r="K1299" s="38">
        <f>ROUND(I1299*J1299,0)</f>
        <v>3800000</v>
      </c>
      <c r="L1299" s="192" t="s">
        <v>160</v>
      </c>
      <c r="M1299" s="192" t="s">
        <v>8</v>
      </c>
      <c r="N1299" s="52" t="str">
        <f>IF(AND('331-CT'!$E$7=TH!H1299,OR(L1299="331",M1299="331")),"331",IF(AND(OR(L1299="131",M1299="131"),H1299='131-CT'!$E$7),"131",""))</f>
        <v/>
      </c>
      <c r="O1299" s="818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853">
        <v>3</v>
      </c>
      <c r="AB1299" s="552"/>
      <c r="AC1299" s="209" t="str">
        <f>IF(VLOOKUP(H1299,DSKH,1,0)=H1299,"","x")</f>
        <v/>
      </c>
    </row>
    <row r="1300" spans="1:32" s="209" customFormat="1" ht="15.75" customHeight="1">
      <c r="A1300" s="202" t="str">
        <f>IF(B1300&lt;&gt;"",IF(AND(B1300&gt;=_TM1,B1300&lt;=_TM2,OR(TH!L1300="1111",TH!M1300="1111")),TH!D1300,""),"")</f>
        <v/>
      </c>
      <c r="B1300" s="36">
        <f t="shared" ref="B1300:B1363" si="64">IF(C1300&lt;&gt;"",MONTH(C1300),"")</f>
        <v>7</v>
      </c>
      <c r="C1300" s="182">
        <f t="shared" si="63"/>
        <v>42581</v>
      </c>
      <c r="D1300" s="182" t="s">
        <v>1182</v>
      </c>
      <c r="E1300" s="37">
        <v>42581</v>
      </c>
      <c r="F1300" s="40" t="s">
        <v>859</v>
      </c>
      <c r="G1300" s="450" t="s">
        <v>1253</v>
      </c>
      <c r="H1300" s="7" t="s">
        <v>858</v>
      </c>
      <c r="I1300" s="251"/>
      <c r="J1300" s="251"/>
      <c r="K1300" s="560">
        <v>380000</v>
      </c>
      <c r="L1300" s="192" t="s">
        <v>9</v>
      </c>
      <c r="M1300" s="192" t="s">
        <v>8</v>
      </c>
      <c r="N1300" s="52" t="str">
        <f>IF(AND('331-CT'!$E$7=TH!H1300,OR(L1300="331",M1300="331")),"331",IF(AND(OR(L1300="131",M1300="131"),H1300='131-CT'!$E$7),"131",""))</f>
        <v/>
      </c>
      <c r="O1300" s="818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853">
        <v>3</v>
      </c>
      <c r="AB1300" s="552"/>
      <c r="AC1300" s="209" t="str">
        <f>IF(VLOOKUP(H1300,DSKH,1,0)=H1300,"","x")</f>
        <v/>
      </c>
    </row>
    <row r="1301" spans="1:32" s="209" customFormat="1" ht="15.75" customHeight="1">
      <c r="A1301" s="202" t="str">
        <f>IF(B1301&lt;&gt;"",IF(AND(B1301&gt;=_TM1,B1301&lt;=_TM2,OR(TH!L1301="1111",TH!M1301="1111")),TH!D1301,""),"")</f>
        <v/>
      </c>
      <c r="B1301" s="36">
        <f t="shared" si="64"/>
        <v>7</v>
      </c>
      <c r="C1301" s="182">
        <f t="shared" si="63"/>
        <v>42581</v>
      </c>
      <c r="D1301" s="182" t="s">
        <v>1627</v>
      </c>
      <c r="E1301" s="37">
        <v>42581</v>
      </c>
      <c r="F1301" s="187" t="s">
        <v>860</v>
      </c>
      <c r="G1301" s="450" t="s">
        <v>1253</v>
      </c>
      <c r="H1301" s="7" t="s">
        <v>858</v>
      </c>
      <c r="I1301" s="251"/>
      <c r="J1301" s="251"/>
      <c r="K1301" s="560">
        <v>4180000</v>
      </c>
      <c r="L1301" s="192" t="s">
        <v>8</v>
      </c>
      <c r="M1301" s="192" t="s">
        <v>47</v>
      </c>
      <c r="N1301" s="52" t="str">
        <f>IF(AND('331-CT'!$E$7=TH!H1301,OR(L1301="331",M1301="331")),"331",IF(AND(OR(L1301="131",M1301="131"),H1301='131-CT'!$E$7),"131",""))</f>
        <v/>
      </c>
      <c r="O1301" s="818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853"/>
      <c r="AB1301" s="552"/>
      <c r="AC1301" s="209" t="str">
        <f>IF(VLOOKUP(H1301,DSKH,1,0)=H1301,"","x")</f>
        <v/>
      </c>
    </row>
    <row r="1302" spans="1:32" s="209" customFormat="1" ht="15.75" customHeight="1">
      <c r="A1302" s="202" t="str">
        <f>IF(B1302&lt;&gt;"",IF(AND(B1302&gt;=_TM1,B1302&lt;=_TM2,OR(TH!L1302="1111",TH!M1302="1111")),TH!D1302,""),"")</f>
        <v/>
      </c>
      <c r="B1302" s="36">
        <f t="shared" si="64"/>
        <v>7</v>
      </c>
      <c r="C1302" s="839">
        <f t="shared" si="63"/>
        <v>42582</v>
      </c>
      <c r="D1302" s="839" t="s">
        <v>332</v>
      </c>
      <c r="E1302" s="839">
        <v>42582</v>
      </c>
      <c r="F1302" s="845" t="s">
        <v>1429</v>
      </c>
      <c r="G1302" s="874"/>
      <c r="H1302" s="875"/>
      <c r="I1302" s="842"/>
      <c r="J1302" s="842"/>
      <c r="K1302" s="849">
        <v>5390000</v>
      </c>
      <c r="L1302" s="876" t="s">
        <v>83</v>
      </c>
      <c r="M1302" s="876" t="s">
        <v>261</v>
      </c>
      <c r="N1302" s="52" t="str">
        <f>IF(AND('331-CT'!$E$7=TH!H1302,OR(L1302="331",M1302="331")),"331",IF(AND(OR(L1302="131",M1302="131"),H1302='131-CT'!$E$7),"131",""))</f>
        <v/>
      </c>
      <c r="O1302" s="818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>x</v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196"/>
      <c r="AB1302" s="196"/>
      <c r="AC1302" s="196"/>
      <c r="AD1302" s="196"/>
      <c r="AE1302" s="196"/>
      <c r="AF1302" s="196"/>
    </row>
    <row r="1303" spans="1:32" s="209" customFormat="1" ht="15.75" customHeight="1">
      <c r="A1303" s="202" t="str">
        <f>IF(B1303&lt;&gt;"",IF(AND(B1303&gt;=_TM1,B1303&lt;=_TM2,OR(TH!L1303="1111",TH!M1303="1111")),TH!D1303,""),"")</f>
        <v/>
      </c>
      <c r="B1303" s="36">
        <f t="shared" si="64"/>
        <v>7</v>
      </c>
      <c r="C1303" s="839">
        <f t="shared" si="63"/>
        <v>42582</v>
      </c>
      <c r="D1303" s="839" t="s">
        <v>332</v>
      </c>
      <c r="E1303" s="839">
        <v>42582</v>
      </c>
      <c r="F1303" s="845" t="s">
        <v>1430</v>
      </c>
      <c r="G1303" s="874"/>
      <c r="H1303" s="875"/>
      <c r="I1303" s="842"/>
      <c r="J1303" s="842"/>
      <c r="K1303" s="849">
        <v>16170000</v>
      </c>
      <c r="L1303" s="876" t="s">
        <v>164</v>
      </c>
      <c r="M1303" s="876" t="s">
        <v>261</v>
      </c>
      <c r="N1303" s="52" t="str">
        <f>IF(AND('331-CT'!$E$7=TH!H1303,OR(L1303="331",M1303="331")),"331",IF(AND(OR(L1303="131",M1303="131"),H1303='131-CT'!$E$7),"131",""))</f>
        <v/>
      </c>
      <c r="O1303" s="818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196"/>
      <c r="AB1303" s="196"/>
      <c r="AC1303" s="196"/>
      <c r="AD1303" s="196"/>
      <c r="AE1303" s="196"/>
      <c r="AF1303" s="196"/>
    </row>
    <row r="1304" spans="1:32" s="209" customFormat="1" ht="15.75" customHeight="1">
      <c r="A1304" s="202" t="str">
        <f>IF(B1304&lt;&gt;"",IF(AND(B1304&gt;=_TM1,B1304&lt;=_TM2,OR(TH!L1304="1111",TH!M1304="1111")),TH!D1304,""),"")</f>
        <v/>
      </c>
      <c r="B1304" s="36">
        <f t="shared" si="64"/>
        <v>7</v>
      </c>
      <c r="C1304" s="839">
        <f t="shared" si="63"/>
        <v>42582</v>
      </c>
      <c r="D1304" s="839" t="s">
        <v>1628</v>
      </c>
      <c r="E1304" s="839">
        <v>42582</v>
      </c>
      <c r="F1304" s="845" t="str">
        <f>"Thanh toán tiền lương tháng "&amp;MONTH(E1304)&amp;"/"&amp;YEAR(E1304)</f>
        <v>Thanh toán tiền lương tháng 7/2016</v>
      </c>
      <c r="G1304" s="874"/>
      <c r="H1304" s="875" t="s">
        <v>1680</v>
      </c>
      <c r="I1304" s="842"/>
      <c r="J1304" s="842"/>
      <c r="K1304" s="849">
        <f>K1302+K1303</f>
        <v>21560000</v>
      </c>
      <c r="L1304" s="876" t="s">
        <v>261</v>
      </c>
      <c r="M1304" s="876" t="s">
        <v>47</v>
      </c>
      <c r="N1304" s="52" t="str">
        <f>IF(AND('331-CT'!$E$7=TH!H1304,OR(L1304="331",M1304="331")),"331",IF(AND(OR(L1304="131",M1304="131"),H1304='131-CT'!$E$7),"131",""))</f>
        <v/>
      </c>
      <c r="O1304" s="818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196"/>
      <c r="AB1304" s="196"/>
      <c r="AC1304" s="196"/>
      <c r="AD1304" s="196"/>
      <c r="AE1304" s="196"/>
      <c r="AF1304" s="196"/>
    </row>
    <row r="1305" spans="1:32" s="209" customFormat="1" ht="15.75" customHeight="1">
      <c r="A1305" s="202" t="str">
        <f>IF(B1305&lt;&gt;"",IF(AND(B1305&gt;=_TM1,B1305&lt;=_TM2,OR(TH!L1305="1111",TH!M1305="1111")),TH!D1305,""),"")</f>
        <v/>
      </c>
      <c r="B1305" s="36">
        <f t="shared" si="64"/>
        <v>8</v>
      </c>
      <c r="C1305" s="182">
        <f t="shared" si="63"/>
        <v>42583</v>
      </c>
      <c r="D1305" s="182" t="s">
        <v>665</v>
      </c>
      <c r="E1305" s="189">
        <v>42583</v>
      </c>
      <c r="F1305" s="190" t="s">
        <v>666</v>
      </c>
      <c r="G1305" s="190" t="s">
        <v>330</v>
      </c>
      <c r="H1305" s="711" t="s">
        <v>777</v>
      </c>
      <c r="I1305" s="251"/>
      <c r="J1305" s="251"/>
      <c r="K1305" s="560">
        <v>2877820</v>
      </c>
      <c r="L1305" s="192" t="s">
        <v>24</v>
      </c>
      <c r="M1305" s="192" t="s">
        <v>258</v>
      </c>
      <c r="N1305" s="52" t="str">
        <f>IF(AND('331-CT'!$E$7=TH!H1305,OR(L1305="331",M1305="331")),"331",IF(AND(OR(L1305="131",M1305="131"),H1305='131-CT'!$E$7),"131",""))</f>
        <v>131</v>
      </c>
      <c r="O1305" s="818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853"/>
      <c r="AB1305" s="552"/>
      <c r="AC1305" s="552"/>
    </row>
    <row r="1306" spans="1:32" s="209" customFormat="1" ht="15.75" customHeight="1">
      <c r="A1306" s="202" t="str">
        <f>IF(B1306&lt;&gt;"",IF(AND(B1306&gt;=_TM1,B1306&lt;=_TM2,OR(TH!L1306="1111",TH!M1306="1111")),TH!D1306,""),"")</f>
        <v/>
      </c>
      <c r="B1306" s="36">
        <f t="shared" si="64"/>
        <v>8</v>
      </c>
      <c r="C1306" s="182">
        <f t="shared" si="63"/>
        <v>42583</v>
      </c>
      <c r="D1306" s="182" t="s">
        <v>665</v>
      </c>
      <c r="E1306" s="189">
        <v>42583</v>
      </c>
      <c r="F1306" s="190" t="s">
        <v>666</v>
      </c>
      <c r="G1306" s="190" t="s">
        <v>330</v>
      </c>
      <c r="H1306" s="7" t="s">
        <v>648</v>
      </c>
      <c r="I1306" s="251"/>
      <c r="J1306" s="251"/>
      <c r="K1306" s="560">
        <v>9671200</v>
      </c>
      <c r="L1306" s="192" t="s">
        <v>24</v>
      </c>
      <c r="M1306" s="192" t="s">
        <v>258</v>
      </c>
      <c r="N1306" s="52" t="str">
        <f>IF(AND('331-CT'!$E$7=TH!H1306,OR(L1306="331",M1306="331")),"331",IF(AND(OR(L1306="131",M1306="131"),H1306='131-CT'!$E$7),"131",""))</f>
        <v/>
      </c>
      <c r="O1306" s="818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853"/>
      <c r="AB1306" s="552"/>
    </row>
    <row r="1307" spans="1:32" s="209" customFormat="1" ht="15.75" customHeight="1">
      <c r="A1307" s="202" t="str">
        <f>IF(B1307&lt;&gt;"",IF(AND(B1307&gt;=_TM1,B1307&lt;=_TM2,OR(TH!L1307="1111",TH!M1307="1111")),TH!D1307,""),"")</f>
        <v/>
      </c>
      <c r="B1307" s="36">
        <f t="shared" si="64"/>
        <v>8</v>
      </c>
      <c r="C1307" s="182">
        <f t="shared" si="63"/>
        <v>42583</v>
      </c>
      <c r="D1307" s="182" t="s">
        <v>1629</v>
      </c>
      <c r="E1307" s="189">
        <v>42583</v>
      </c>
      <c r="F1307" s="190" t="s">
        <v>754</v>
      </c>
      <c r="G1307" s="190" t="s">
        <v>330</v>
      </c>
      <c r="H1307" s="191" t="s">
        <v>675</v>
      </c>
      <c r="I1307" s="251"/>
      <c r="J1307" s="251"/>
      <c r="K1307" s="560">
        <v>7500000</v>
      </c>
      <c r="L1307" s="192" t="s">
        <v>24</v>
      </c>
      <c r="M1307" s="192" t="s">
        <v>47</v>
      </c>
      <c r="N1307" s="52" t="str">
        <f>IF(AND('331-CT'!$E$7=TH!H1307,OR(L1307="331",M1307="331")),"331",IF(AND(OR(L1307="131",M1307="131"),H1307='131-CT'!$E$7),"131",""))</f>
        <v/>
      </c>
      <c r="O1307" s="818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853"/>
      <c r="AB1307" s="552"/>
      <c r="AC1307" s="552"/>
    </row>
    <row r="1308" spans="1:32" s="209" customFormat="1" ht="15.75" customHeight="1">
      <c r="A1308" s="202" t="str">
        <f>IF(B1308&lt;&gt;"",IF(AND(B1308&gt;=_TM1,B1308&lt;=_TM2,OR(TH!L1308="1111",TH!M1308="1111")),TH!D1308,""),"")</f>
        <v/>
      </c>
      <c r="B1308" s="36">
        <f t="shared" si="64"/>
        <v>8</v>
      </c>
      <c r="C1308" s="182">
        <f t="shared" si="63"/>
        <v>42583</v>
      </c>
      <c r="D1308" s="182" t="s">
        <v>669</v>
      </c>
      <c r="E1308" s="189">
        <v>42583</v>
      </c>
      <c r="F1308" s="190" t="s">
        <v>671</v>
      </c>
      <c r="G1308" s="190" t="s">
        <v>330</v>
      </c>
      <c r="H1308" s="7" t="s">
        <v>844</v>
      </c>
      <c r="I1308" s="251"/>
      <c r="J1308" s="251"/>
      <c r="K1308" s="560">
        <v>20000000</v>
      </c>
      <c r="L1308" s="192" t="s">
        <v>8</v>
      </c>
      <c r="M1308" s="561" t="s">
        <v>24</v>
      </c>
      <c r="N1308" s="52" t="str">
        <f>IF(AND('331-CT'!$E$7=TH!H1308,OR(L1308="331",M1308="331")),"331",IF(AND(OR(L1308="131",M1308="131"),H1308='131-CT'!$E$7),"131",""))</f>
        <v/>
      </c>
      <c r="O1308" s="818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853"/>
      <c r="AB1308" s="552"/>
    </row>
    <row r="1309" spans="1:32" s="209" customFormat="1" ht="15.75" customHeight="1">
      <c r="A1309" s="202" t="str">
        <f>IF(B1309&lt;&gt;"",IF(AND(B1309&gt;=_TM1,B1309&lt;=_TM2,OR(TH!L1309="1111",TH!M1309="1111")),TH!D1309,""),"")</f>
        <v/>
      </c>
      <c r="B1309" s="36">
        <f t="shared" si="64"/>
        <v>8</v>
      </c>
      <c r="C1309" s="182">
        <f t="shared" si="63"/>
        <v>42583</v>
      </c>
      <c r="D1309" s="182" t="s">
        <v>669</v>
      </c>
      <c r="E1309" s="189">
        <v>42583</v>
      </c>
      <c r="F1309" s="190" t="s">
        <v>672</v>
      </c>
      <c r="G1309" s="190" t="s">
        <v>330</v>
      </c>
      <c r="H1309" s="7"/>
      <c r="I1309" s="251"/>
      <c r="J1309" s="251"/>
      <c r="K1309" s="560">
        <v>13637</v>
      </c>
      <c r="L1309" s="561" t="s">
        <v>83</v>
      </c>
      <c r="M1309" s="561" t="s">
        <v>24</v>
      </c>
      <c r="N1309" s="52" t="str">
        <f>IF(AND('331-CT'!$E$7=TH!H1309,OR(L1309="331",M1309="331")),"331",IF(AND(OR(L1309="131",M1309="131"),H1309='131-CT'!$E$7),"131",""))</f>
        <v/>
      </c>
      <c r="O1309" s="818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>x</v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852">
        <v>3</v>
      </c>
      <c r="AB1309" s="552"/>
      <c r="AC1309" s="552"/>
    </row>
    <row r="1310" spans="1:32" s="209" customFormat="1" ht="15.75" customHeight="1">
      <c r="A1310" s="202" t="str">
        <f>IF(B1310&lt;&gt;"",IF(AND(B1310&gt;=_TM1,B1310&lt;=_TM2,OR(TH!L1310="1111",TH!M1310="1111")),TH!D1310,""),"")</f>
        <v/>
      </c>
      <c r="B1310" s="36">
        <f t="shared" si="64"/>
        <v>8</v>
      </c>
      <c r="C1310" s="182">
        <f t="shared" si="63"/>
        <v>42583</v>
      </c>
      <c r="D1310" s="182" t="s">
        <v>669</v>
      </c>
      <c r="E1310" s="189">
        <v>42583</v>
      </c>
      <c r="F1310" s="190" t="s">
        <v>762</v>
      </c>
      <c r="G1310" s="190" t="s">
        <v>330</v>
      </c>
      <c r="H1310" s="7"/>
      <c r="I1310" s="251"/>
      <c r="J1310" s="251"/>
      <c r="K1310" s="560">
        <v>1363</v>
      </c>
      <c r="L1310" s="561" t="s">
        <v>9</v>
      </c>
      <c r="M1310" s="561" t="s">
        <v>24</v>
      </c>
      <c r="N1310" s="52" t="str">
        <f>IF(AND('331-CT'!$E$7=TH!H1310,OR(L1310="331",M1310="331")),"331",IF(AND(OR(L1310="131",M1310="131"),H1310='131-CT'!$E$7),"131",""))</f>
        <v/>
      </c>
      <c r="O1310" s="818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852">
        <v>3</v>
      </c>
      <c r="AB1310" s="552"/>
    </row>
    <row r="1311" spans="1:32" s="209" customFormat="1" ht="15.75" customHeight="1">
      <c r="A1311" s="202" t="str">
        <f>IF(B1311&lt;&gt;"",IF(AND(B1311&gt;=_TM1,B1311&lt;=_TM2,OR(TH!L1311="1111",TH!M1311="1111")),TH!D1311,""),"")</f>
        <v/>
      </c>
      <c r="B1311" s="36">
        <f t="shared" si="64"/>
        <v>8</v>
      </c>
      <c r="C1311" s="182">
        <f t="shared" si="63"/>
        <v>42583</v>
      </c>
      <c r="D1311" s="182" t="s">
        <v>669</v>
      </c>
      <c r="E1311" s="189">
        <v>42583</v>
      </c>
      <c r="F1311" s="190" t="s">
        <v>674</v>
      </c>
      <c r="G1311" s="190" t="s">
        <v>330</v>
      </c>
      <c r="H1311" s="7"/>
      <c r="I1311" s="251"/>
      <c r="J1311" s="251"/>
      <c r="K1311" s="560">
        <v>13637</v>
      </c>
      <c r="L1311" s="561" t="s">
        <v>83</v>
      </c>
      <c r="M1311" s="561" t="s">
        <v>24</v>
      </c>
      <c r="N1311" s="52" t="str">
        <f>IF(AND('331-CT'!$E$7=TH!H1311,OR(L1311="331",M1311="331")),"331",IF(AND(OR(L1311="131",M1311="131"),H1311='131-CT'!$E$7),"131",""))</f>
        <v/>
      </c>
      <c r="O1311" s="818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>x</v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852">
        <v>3</v>
      </c>
      <c r="AB1311" s="552"/>
      <c r="AC1311" s="552"/>
    </row>
    <row r="1312" spans="1:32" s="209" customFormat="1" ht="15.75" customHeight="1">
      <c r="A1312" s="202" t="str">
        <f>IF(B1312&lt;&gt;"",IF(AND(B1312&gt;=_TM1,B1312&lt;=_TM2,OR(TH!L1312="1111",TH!M1312="1111")),TH!D1312,""),"")</f>
        <v/>
      </c>
      <c r="B1312" s="36">
        <f t="shared" si="64"/>
        <v>8</v>
      </c>
      <c r="C1312" s="182">
        <f t="shared" si="63"/>
        <v>42583</v>
      </c>
      <c r="D1312" s="182" t="s">
        <v>669</v>
      </c>
      <c r="E1312" s="189">
        <v>42583</v>
      </c>
      <c r="F1312" s="190" t="s">
        <v>794</v>
      </c>
      <c r="G1312" s="190" t="s">
        <v>330</v>
      </c>
      <c r="H1312" s="7"/>
      <c r="I1312" s="251"/>
      <c r="J1312" s="251"/>
      <c r="K1312" s="560">
        <v>1363</v>
      </c>
      <c r="L1312" s="561" t="s">
        <v>9</v>
      </c>
      <c r="M1312" s="561" t="s">
        <v>24</v>
      </c>
      <c r="N1312" s="52" t="str">
        <f>IF(AND('331-CT'!$E$7=TH!H1312,OR(L1312="331",M1312="331")),"331",IF(AND(OR(L1312="131",M1312="131"),H1312='131-CT'!$E$7),"131",""))</f>
        <v/>
      </c>
      <c r="O1312" s="818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852">
        <v>3</v>
      </c>
      <c r="AB1312" s="552"/>
    </row>
    <row r="1313" spans="1:29" s="209" customFormat="1" ht="15.75" customHeight="1">
      <c r="A1313" s="202" t="str">
        <f>IF(B1313&lt;&gt;"",IF(AND(B1313&gt;=_TM1,B1313&lt;=_TM2,OR(TH!L1313="1111",TH!M1313="1111")),TH!D1313,""),"")</f>
        <v/>
      </c>
      <c r="B1313" s="36">
        <f t="shared" si="64"/>
        <v>8</v>
      </c>
      <c r="C1313" s="182">
        <f t="shared" si="63"/>
        <v>42587</v>
      </c>
      <c r="D1313" s="182" t="s">
        <v>1639</v>
      </c>
      <c r="E1313" s="189">
        <v>42587</v>
      </c>
      <c r="F1313" s="190" t="s">
        <v>754</v>
      </c>
      <c r="G1313" s="190" t="s">
        <v>330</v>
      </c>
      <c r="H1313" s="191" t="s">
        <v>675</v>
      </c>
      <c r="I1313" s="251"/>
      <c r="J1313" s="251"/>
      <c r="K1313" s="560">
        <v>10000000</v>
      </c>
      <c r="L1313" s="192" t="s">
        <v>24</v>
      </c>
      <c r="M1313" s="192" t="s">
        <v>47</v>
      </c>
      <c r="N1313" s="52" t="str">
        <f>IF(AND('331-CT'!$E$7=TH!H1313,OR(L1313="331",M1313="331")),"331",IF(AND(OR(L1313="131",M1313="131"),H1313='131-CT'!$E$7),"131",""))</f>
        <v/>
      </c>
      <c r="O1313" s="818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853"/>
      <c r="AB1313" s="552"/>
    </row>
    <row r="1314" spans="1:29" s="209" customFormat="1" ht="15.75" customHeight="1">
      <c r="A1314" s="202" t="str">
        <f>IF(B1314&lt;&gt;"",IF(AND(B1314&gt;=_TM1,B1314&lt;=_TM2,OR(TH!L1314="1111",TH!M1314="1111")),TH!D1314,""),"")</f>
        <v/>
      </c>
      <c r="B1314" s="36">
        <f t="shared" si="64"/>
        <v>8</v>
      </c>
      <c r="C1314" s="182">
        <f t="shared" si="63"/>
        <v>42587</v>
      </c>
      <c r="D1314" s="182" t="s">
        <v>669</v>
      </c>
      <c r="E1314" s="189">
        <v>42587</v>
      </c>
      <c r="F1314" s="190" t="s">
        <v>671</v>
      </c>
      <c r="G1314" s="190" t="s">
        <v>330</v>
      </c>
      <c r="H1314" s="7" t="s">
        <v>1455</v>
      </c>
      <c r="I1314" s="251"/>
      <c r="J1314" s="251"/>
      <c r="K1314" s="560">
        <v>10000000</v>
      </c>
      <c r="L1314" s="192" t="s">
        <v>8</v>
      </c>
      <c r="M1314" s="561" t="s">
        <v>24</v>
      </c>
      <c r="N1314" s="52" t="str">
        <f>IF(AND('331-CT'!$E$7=TH!H1314,OR(L1314="331",M1314="331")),"331",IF(AND(OR(L1314="131",M1314="131"),H1314='131-CT'!$E$7),"131",""))</f>
        <v/>
      </c>
      <c r="O1314" s="818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853"/>
      <c r="AB1314" s="552"/>
      <c r="AC1314" s="552"/>
    </row>
    <row r="1315" spans="1:29" s="209" customFormat="1" ht="15.75" customHeight="1">
      <c r="A1315" s="202" t="str">
        <f>IF(B1315&lt;&gt;"",IF(AND(B1315&gt;=_TM1,B1315&lt;=_TM2,OR(TH!L1315="1111",TH!M1315="1111")),TH!D1315,""),"")</f>
        <v/>
      </c>
      <c r="B1315" s="36">
        <f t="shared" si="64"/>
        <v>8</v>
      </c>
      <c r="C1315" s="182">
        <f t="shared" si="63"/>
        <v>42587</v>
      </c>
      <c r="D1315" s="182" t="s">
        <v>669</v>
      </c>
      <c r="E1315" s="189">
        <v>42587</v>
      </c>
      <c r="F1315" s="190" t="s">
        <v>672</v>
      </c>
      <c r="G1315" s="190" t="s">
        <v>330</v>
      </c>
      <c r="H1315" s="7"/>
      <c r="I1315" s="251"/>
      <c r="J1315" s="251"/>
      <c r="K1315" s="560">
        <v>13637</v>
      </c>
      <c r="L1315" s="561" t="s">
        <v>83</v>
      </c>
      <c r="M1315" s="561" t="s">
        <v>24</v>
      </c>
      <c r="N1315" s="52" t="str">
        <f>IF(AND('331-CT'!$E$7=TH!H1315,OR(L1315="331",M1315="331")),"331",IF(AND(OR(L1315="131",M1315="131"),H1315='131-CT'!$E$7),"131",""))</f>
        <v/>
      </c>
      <c r="O1315" s="818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>x</v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852">
        <v>3</v>
      </c>
      <c r="AB1315" s="552"/>
    </row>
    <row r="1316" spans="1:29" s="209" customFormat="1" ht="15.75" customHeight="1">
      <c r="A1316" s="202" t="str">
        <f>IF(B1316&lt;&gt;"",IF(AND(B1316&gt;=_TM1,B1316&lt;=_TM2,OR(TH!L1316="1111",TH!M1316="1111")),TH!D1316,""),"")</f>
        <v/>
      </c>
      <c r="B1316" s="36">
        <f t="shared" si="64"/>
        <v>8</v>
      </c>
      <c r="C1316" s="182">
        <f t="shared" si="63"/>
        <v>42587</v>
      </c>
      <c r="D1316" s="182" t="s">
        <v>669</v>
      </c>
      <c r="E1316" s="189">
        <v>42587</v>
      </c>
      <c r="F1316" s="190" t="s">
        <v>762</v>
      </c>
      <c r="G1316" s="190" t="s">
        <v>330</v>
      </c>
      <c r="H1316" s="7"/>
      <c r="I1316" s="251"/>
      <c r="J1316" s="251"/>
      <c r="K1316" s="560">
        <v>1363</v>
      </c>
      <c r="L1316" s="561" t="s">
        <v>9</v>
      </c>
      <c r="M1316" s="561" t="s">
        <v>24</v>
      </c>
      <c r="N1316" s="52" t="str">
        <f>IF(AND('331-CT'!$E$7=TH!H1316,OR(L1316="331",M1316="331")),"331",IF(AND(OR(L1316="131",M1316="131"),H1316='131-CT'!$E$7),"131",""))</f>
        <v/>
      </c>
      <c r="O1316" s="818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852">
        <v>3</v>
      </c>
      <c r="AB1316" s="552"/>
      <c r="AC1316" s="552"/>
    </row>
    <row r="1317" spans="1:29" s="209" customFormat="1" ht="15.75" customHeight="1">
      <c r="A1317" s="202" t="str">
        <f>IF(B1317&lt;&gt;"",IF(AND(B1317&gt;=_TM1,B1317&lt;=_TM2,OR(TH!L1317="1111",TH!M1317="1111")),TH!D1317,""),"")</f>
        <v/>
      </c>
      <c r="B1317" s="36">
        <f t="shared" si="64"/>
        <v>8</v>
      </c>
      <c r="C1317" s="182">
        <f t="shared" si="63"/>
        <v>42587</v>
      </c>
      <c r="D1317" s="182" t="s">
        <v>669</v>
      </c>
      <c r="E1317" s="189">
        <v>42587</v>
      </c>
      <c r="F1317" s="190" t="s">
        <v>674</v>
      </c>
      <c r="G1317" s="190" t="s">
        <v>330</v>
      </c>
      <c r="H1317" s="7"/>
      <c r="I1317" s="251"/>
      <c r="J1317" s="251"/>
      <c r="K1317" s="560">
        <v>13637</v>
      </c>
      <c r="L1317" s="561" t="s">
        <v>83</v>
      </c>
      <c r="M1317" s="561" t="s">
        <v>24</v>
      </c>
      <c r="N1317" s="52" t="str">
        <f>IF(AND('331-CT'!$E$7=TH!H1317,OR(L1317="331",M1317="331")),"331",IF(AND(OR(L1317="131",M1317="131"),H1317='131-CT'!$E$7),"131",""))</f>
        <v/>
      </c>
      <c r="O1317" s="818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>x</v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852">
        <v>3</v>
      </c>
      <c r="AB1317" s="552"/>
    </row>
    <row r="1318" spans="1:29" s="209" customFormat="1" ht="15.75" customHeight="1">
      <c r="A1318" s="202" t="str">
        <f>IF(B1318&lt;&gt;"",IF(AND(B1318&gt;=_TM1,B1318&lt;=_TM2,OR(TH!L1318="1111",TH!M1318="1111")),TH!D1318,""),"")</f>
        <v/>
      </c>
      <c r="B1318" s="36">
        <f t="shared" si="64"/>
        <v>8</v>
      </c>
      <c r="C1318" s="182">
        <f t="shared" si="63"/>
        <v>42587</v>
      </c>
      <c r="D1318" s="182" t="s">
        <v>669</v>
      </c>
      <c r="E1318" s="189">
        <v>42587</v>
      </c>
      <c r="F1318" s="190" t="s">
        <v>794</v>
      </c>
      <c r="G1318" s="190" t="s">
        <v>330</v>
      </c>
      <c r="H1318" s="7"/>
      <c r="I1318" s="251"/>
      <c r="J1318" s="251"/>
      <c r="K1318" s="560">
        <v>1363</v>
      </c>
      <c r="L1318" s="561" t="s">
        <v>9</v>
      </c>
      <c r="M1318" s="561" t="s">
        <v>24</v>
      </c>
      <c r="N1318" s="52" t="str">
        <f>IF(AND('331-CT'!$E$7=TH!H1318,OR(L1318="331",M1318="331")),"331",IF(AND(OR(L1318="131",M1318="131"),H1318='131-CT'!$E$7),"131",""))</f>
        <v/>
      </c>
      <c r="O1318" s="818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852">
        <v>3</v>
      </c>
      <c r="AB1318" s="552"/>
      <c r="AC1318" s="552"/>
    </row>
    <row r="1319" spans="1:29" s="209" customFormat="1" ht="15.75" customHeight="1">
      <c r="A1319" s="202" t="str">
        <f>IF(B1319&lt;&gt;"",IF(AND(B1319&gt;=_TM1,B1319&lt;=_TM2,OR(TH!L1319="1111",TH!M1319="1111")),TH!D1319,""),"")</f>
        <v/>
      </c>
      <c r="B1319" s="36">
        <f t="shared" si="64"/>
        <v>8</v>
      </c>
      <c r="C1319" s="182">
        <f t="shared" si="63"/>
        <v>42588</v>
      </c>
      <c r="D1319" s="182" t="s">
        <v>1640</v>
      </c>
      <c r="E1319" s="189">
        <v>42588</v>
      </c>
      <c r="F1319" s="190" t="s">
        <v>754</v>
      </c>
      <c r="G1319" s="190" t="s">
        <v>330</v>
      </c>
      <c r="H1319" s="191" t="s">
        <v>675</v>
      </c>
      <c r="I1319" s="251"/>
      <c r="J1319" s="251"/>
      <c r="K1319" s="560">
        <v>13225000</v>
      </c>
      <c r="L1319" s="192" t="s">
        <v>24</v>
      </c>
      <c r="M1319" s="192" t="s">
        <v>47</v>
      </c>
      <c r="N1319" s="52" t="str">
        <f>IF(AND('331-CT'!$E$7=TH!H1319,OR(L1319="331",M1319="331")),"331",IF(AND(OR(L1319="131",M1319="131"),H1319='131-CT'!$E$7),"131",""))</f>
        <v/>
      </c>
      <c r="O1319" s="818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853"/>
      <c r="AB1319" s="552"/>
      <c r="AC1319" s="552"/>
    </row>
    <row r="1320" spans="1:29" s="209" customFormat="1" ht="15.75" customHeight="1">
      <c r="A1320" s="202" t="str">
        <f>IF(B1320&lt;&gt;"",IF(AND(B1320&gt;=_TM1,B1320&lt;=_TM2,OR(TH!L1320="1111",TH!M1320="1111")),TH!D1320,""),"")</f>
        <v/>
      </c>
      <c r="B1320" s="36">
        <f t="shared" si="64"/>
        <v>8</v>
      </c>
      <c r="C1320" s="182">
        <f t="shared" si="63"/>
        <v>42588</v>
      </c>
      <c r="D1320" s="182" t="s">
        <v>669</v>
      </c>
      <c r="E1320" s="189">
        <v>42588</v>
      </c>
      <c r="F1320" s="190" t="s">
        <v>671</v>
      </c>
      <c r="G1320" s="190" t="s">
        <v>330</v>
      </c>
      <c r="H1320" s="7" t="s">
        <v>1452</v>
      </c>
      <c r="I1320" s="251"/>
      <c r="J1320" s="251"/>
      <c r="K1320" s="560">
        <v>13224860</v>
      </c>
      <c r="L1320" s="192" t="s">
        <v>8</v>
      </c>
      <c r="M1320" s="561" t="s">
        <v>24</v>
      </c>
      <c r="N1320" s="52" t="str">
        <f>IF(AND('331-CT'!$E$7=TH!H1320,OR(L1320="331",M1320="331")),"331",IF(AND(OR(L1320="131",M1320="131"),H1320='131-CT'!$E$7),"131",""))</f>
        <v/>
      </c>
      <c r="O1320" s="818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853"/>
      <c r="AB1320" s="552"/>
    </row>
    <row r="1321" spans="1:29" s="209" customFormat="1" ht="15.75" customHeight="1">
      <c r="A1321" s="202" t="str">
        <f>IF(B1321&lt;&gt;"",IF(AND(B1321&gt;=_TM1,B1321&lt;=_TM2,OR(TH!L1321="1111",TH!M1321="1111")),TH!D1321,""),"")</f>
        <v/>
      </c>
      <c r="B1321" s="36">
        <f t="shared" si="64"/>
        <v>8</v>
      </c>
      <c r="C1321" s="182">
        <f t="shared" si="63"/>
        <v>42588</v>
      </c>
      <c r="D1321" s="182" t="s">
        <v>669</v>
      </c>
      <c r="E1321" s="189">
        <v>42588</v>
      </c>
      <c r="F1321" s="190" t="s">
        <v>672</v>
      </c>
      <c r="G1321" s="190" t="s">
        <v>330</v>
      </c>
      <c r="H1321" s="7"/>
      <c r="I1321" s="251"/>
      <c r="J1321" s="251"/>
      <c r="K1321" s="560">
        <v>9091</v>
      </c>
      <c r="L1321" s="561" t="s">
        <v>83</v>
      </c>
      <c r="M1321" s="561" t="s">
        <v>24</v>
      </c>
      <c r="N1321" s="52" t="str">
        <f>IF(AND('331-CT'!$E$7=TH!H1321,OR(L1321="331",M1321="331")),"331",IF(AND(OR(L1321="131",M1321="131"),H1321='131-CT'!$E$7),"131",""))</f>
        <v/>
      </c>
      <c r="O1321" s="818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>x</v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852">
        <v>3</v>
      </c>
      <c r="AB1321" s="552"/>
      <c r="AC1321" s="552"/>
    </row>
    <row r="1322" spans="1:29" s="209" customFormat="1" ht="15.75" customHeight="1">
      <c r="A1322" s="202" t="str">
        <f>IF(B1322&lt;&gt;"",IF(AND(B1322&gt;=_TM1,B1322&lt;=_TM2,OR(TH!L1322="1111",TH!M1322="1111")),TH!D1322,""),"")</f>
        <v/>
      </c>
      <c r="B1322" s="36">
        <f t="shared" si="64"/>
        <v>8</v>
      </c>
      <c r="C1322" s="182">
        <f t="shared" si="63"/>
        <v>42588</v>
      </c>
      <c r="D1322" s="182" t="s">
        <v>669</v>
      </c>
      <c r="E1322" s="189">
        <v>42588</v>
      </c>
      <c r="F1322" s="190" t="s">
        <v>762</v>
      </c>
      <c r="G1322" s="190" t="s">
        <v>330</v>
      </c>
      <c r="H1322" s="7"/>
      <c r="I1322" s="251"/>
      <c r="J1322" s="251"/>
      <c r="K1322" s="560">
        <v>909</v>
      </c>
      <c r="L1322" s="561" t="s">
        <v>9</v>
      </c>
      <c r="M1322" s="561" t="s">
        <v>24</v>
      </c>
      <c r="N1322" s="52" t="str">
        <f>IF(AND('331-CT'!$E$7=TH!H1322,OR(L1322="331",M1322="331")),"331",IF(AND(OR(L1322="131",M1322="131"),H1322='131-CT'!$E$7),"131",""))</f>
        <v/>
      </c>
      <c r="O1322" s="818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852">
        <v>3</v>
      </c>
      <c r="AB1322" s="552"/>
    </row>
    <row r="1323" spans="1:29" s="209" customFormat="1" ht="15.75" customHeight="1">
      <c r="A1323" s="202" t="str">
        <f>IF(B1323&lt;&gt;"",IF(AND(B1323&gt;=_TM1,B1323&lt;=_TM2,OR(TH!L1323="1111",TH!M1323="1111")),TH!D1323,""),"")</f>
        <v/>
      </c>
      <c r="B1323" s="36">
        <f t="shared" si="64"/>
        <v>8</v>
      </c>
      <c r="C1323" s="182">
        <f t="shared" si="63"/>
        <v>42588</v>
      </c>
      <c r="D1323" s="182" t="s">
        <v>669</v>
      </c>
      <c r="E1323" s="189">
        <v>42588</v>
      </c>
      <c r="F1323" s="190" t="s">
        <v>674</v>
      </c>
      <c r="G1323" s="190" t="s">
        <v>330</v>
      </c>
      <c r="H1323" s="7"/>
      <c r="I1323" s="251"/>
      <c r="J1323" s="251"/>
      <c r="K1323" s="560">
        <v>13637</v>
      </c>
      <c r="L1323" s="561" t="s">
        <v>83</v>
      </c>
      <c r="M1323" s="561" t="s">
        <v>24</v>
      </c>
      <c r="N1323" s="52" t="str">
        <f>IF(AND('331-CT'!$E$7=TH!H1323,OR(L1323="331",M1323="331")),"331",IF(AND(OR(L1323="131",M1323="131"),H1323='131-CT'!$E$7),"131",""))</f>
        <v/>
      </c>
      <c r="O1323" s="818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>x</v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852">
        <v>3</v>
      </c>
      <c r="AB1323" s="552"/>
      <c r="AC1323" s="552"/>
    </row>
    <row r="1324" spans="1:29" s="209" customFormat="1" ht="15.75" customHeight="1">
      <c r="A1324" s="202" t="str">
        <f>IF(B1324&lt;&gt;"",IF(AND(B1324&gt;=_TM1,B1324&lt;=_TM2,OR(TH!L1324="1111",TH!M1324="1111")),TH!D1324,""),"")</f>
        <v/>
      </c>
      <c r="B1324" s="36">
        <f t="shared" si="64"/>
        <v>8</v>
      </c>
      <c r="C1324" s="182">
        <f t="shared" si="63"/>
        <v>42588</v>
      </c>
      <c r="D1324" s="182" t="s">
        <v>669</v>
      </c>
      <c r="E1324" s="189">
        <v>42588</v>
      </c>
      <c r="F1324" s="190" t="s">
        <v>794</v>
      </c>
      <c r="G1324" s="190" t="s">
        <v>330</v>
      </c>
      <c r="H1324" s="7"/>
      <c r="I1324" s="251"/>
      <c r="J1324" s="251"/>
      <c r="K1324" s="560">
        <v>1363</v>
      </c>
      <c r="L1324" s="561" t="s">
        <v>9</v>
      </c>
      <c r="M1324" s="561" t="s">
        <v>24</v>
      </c>
      <c r="N1324" s="52" t="str">
        <f>IF(AND('331-CT'!$E$7=TH!H1324,OR(L1324="331",M1324="331")),"331",IF(AND(OR(L1324="131",M1324="131"),H1324='131-CT'!$E$7),"131",""))</f>
        <v/>
      </c>
      <c r="O1324" s="818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852">
        <v>3</v>
      </c>
      <c r="AB1324" s="552"/>
    </row>
    <row r="1325" spans="1:29" s="209" customFormat="1" ht="15.75" customHeight="1">
      <c r="A1325" s="202" t="str">
        <f>IF(B1325&lt;&gt;"",IF(AND(B1325&gt;=_TM1,B1325&lt;=_TM2,OR(TH!L1325="1111",TH!M1325="1111")),TH!D1325,""),"")</f>
        <v/>
      </c>
      <c r="B1325" s="36">
        <f t="shared" si="64"/>
        <v>8</v>
      </c>
      <c r="C1325" s="182">
        <f t="shared" si="63"/>
        <v>42593</v>
      </c>
      <c r="D1325" s="182" t="s">
        <v>665</v>
      </c>
      <c r="E1325" s="189">
        <v>42593</v>
      </c>
      <c r="F1325" s="190" t="s">
        <v>666</v>
      </c>
      <c r="G1325" s="190" t="s">
        <v>330</v>
      </c>
      <c r="H1325" s="7" t="s">
        <v>783</v>
      </c>
      <c r="I1325" s="251"/>
      <c r="J1325" s="251"/>
      <c r="K1325" s="560">
        <v>5127760</v>
      </c>
      <c r="L1325" s="192" t="s">
        <v>24</v>
      </c>
      <c r="M1325" s="192" t="s">
        <v>258</v>
      </c>
      <c r="N1325" s="52" t="str">
        <f>IF(AND('331-CT'!$E$7=TH!H1325,OR(L1325="331",M1325="331")),"331",IF(AND(OR(L1325="131",M1325="131"),H1325='131-CT'!$E$7),"131",""))</f>
        <v/>
      </c>
      <c r="O1325" s="818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53"/>
      <c r="AB1325" s="552"/>
    </row>
    <row r="1326" spans="1:29" s="209" customFormat="1" ht="15.75" customHeight="1">
      <c r="A1326" s="202" t="str">
        <f>IF(B1326&lt;&gt;"",IF(AND(B1326&gt;=_TM1,B1326&lt;=_TM2,OR(TH!L1326="1111",TH!M1326="1111")),TH!D1326,""),"")</f>
        <v/>
      </c>
      <c r="B1326" s="36">
        <f t="shared" si="64"/>
        <v>8</v>
      </c>
      <c r="C1326" s="182">
        <f t="shared" si="63"/>
        <v>42593</v>
      </c>
      <c r="D1326" s="182" t="s">
        <v>665</v>
      </c>
      <c r="E1326" s="189">
        <v>42593</v>
      </c>
      <c r="F1326" s="190" t="s">
        <v>666</v>
      </c>
      <c r="G1326" s="190" t="s">
        <v>330</v>
      </c>
      <c r="H1326" s="7" t="s">
        <v>609</v>
      </c>
      <c r="I1326" s="251"/>
      <c r="J1326" s="251"/>
      <c r="K1326" s="560">
        <v>45974390</v>
      </c>
      <c r="L1326" s="192" t="s">
        <v>24</v>
      </c>
      <c r="M1326" s="192" t="s">
        <v>258</v>
      </c>
      <c r="N1326" s="52" t="str">
        <f>IF(AND('331-CT'!$E$7=TH!H1326,OR(L1326="331",M1326="331")),"331",IF(AND(OR(L1326="131",M1326="131"),H1326='131-CT'!$E$7),"131",""))</f>
        <v/>
      </c>
      <c r="O1326" s="818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53"/>
      <c r="AB1326" s="552"/>
      <c r="AC1326" s="552"/>
    </row>
    <row r="1327" spans="1:29" s="209" customFormat="1" ht="15.75" customHeight="1">
      <c r="A1327" s="202" t="str">
        <f>IF(B1327&lt;&gt;"",IF(AND(B1327&gt;=_TM1,B1327&lt;=_TM2,OR(TH!L1327="1111",TH!M1327="1111")),TH!D1327,""),"")</f>
        <v/>
      </c>
      <c r="B1327" s="36">
        <f t="shared" si="64"/>
        <v>8</v>
      </c>
      <c r="C1327" s="182">
        <f t="shared" si="63"/>
        <v>42593</v>
      </c>
      <c r="D1327" s="182" t="s">
        <v>1641</v>
      </c>
      <c r="E1327" s="189">
        <v>42593</v>
      </c>
      <c r="F1327" s="190" t="s">
        <v>754</v>
      </c>
      <c r="G1327" s="190" t="s">
        <v>1287</v>
      </c>
      <c r="H1327" s="191" t="s">
        <v>675</v>
      </c>
      <c r="I1327" s="251"/>
      <c r="J1327" s="251"/>
      <c r="K1327" s="560">
        <v>1000000</v>
      </c>
      <c r="L1327" s="192" t="s">
        <v>24</v>
      </c>
      <c r="M1327" s="192" t="s">
        <v>47</v>
      </c>
      <c r="N1327" s="52" t="str">
        <f>IF(AND('331-CT'!$E$7=TH!H1327,OR(L1327="331",M1327="331")),"331",IF(AND(OR(L1327="131",M1327="131"),H1327='131-CT'!$E$7),"131",""))</f>
        <v/>
      </c>
      <c r="O1327" s="818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>x</v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53"/>
      <c r="AB1327" s="552"/>
      <c r="AC1327" s="552"/>
    </row>
    <row r="1328" spans="1:29" s="209" customFormat="1" ht="15.75" customHeight="1">
      <c r="A1328" s="202" t="str">
        <f>IF(B1328&lt;&gt;"",IF(AND(B1328&gt;=_TM1,B1328&lt;=_TM2,OR(TH!L1328="1111",TH!M1328="1111")),TH!D1328,""),"")</f>
        <v/>
      </c>
      <c r="B1328" s="36">
        <f t="shared" si="64"/>
        <v>8</v>
      </c>
      <c r="C1328" s="182">
        <f t="shared" si="63"/>
        <v>42594</v>
      </c>
      <c r="D1328" s="182" t="s">
        <v>1620</v>
      </c>
      <c r="E1328" s="189">
        <v>42594</v>
      </c>
      <c r="F1328" s="187" t="s">
        <v>776</v>
      </c>
      <c r="G1328" s="190" t="s">
        <v>330</v>
      </c>
      <c r="H1328" s="191" t="s">
        <v>675</v>
      </c>
      <c r="I1328" s="251"/>
      <c r="J1328" s="251"/>
      <c r="K1328" s="560">
        <v>46300000</v>
      </c>
      <c r="L1328" s="561" t="s">
        <v>47</v>
      </c>
      <c r="M1328" s="561" t="s">
        <v>24</v>
      </c>
      <c r="N1328" s="52" t="str">
        <f>IF(AND('331-CT'!$E$7=TH!H1328,OR(L1328="331",M1328="331")),"331",IF(AND(OR(L1328="131",M1328="131"),H1328='131-CT'!$E$7),"131",""))</f>
        <v/>
      </c>
      <c r="O1328" s="818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53"/>
      <c r="AB1328" s="552"/>
      <c r="AC1328" s="552"/>
    </row>
    <row r="1329" spans="1:32" s="209" customFormat="1" ht="15.75" customHeight="1">
      <c r="A1329" s="202" t="str">
        <f>IF(B1329&lt;&gt;"",IF(AND(B1329&gt;=_TM1,B1329&lt;=_TM2,OR(TH!L1329="1111",TH!M1329="1111")),TH!D1329,""),"")</f>
        <v/>
      </c>
      <c r="B1329" s="36">
        <f t="shared" si="64"/>
        <v>8</v>
      </c>
      <c r="C1329" s="182">
        <f t="shared" si="63"/>
        <v>42594</v>
      </c>
      <c r="D1329" s="182" t="s">
        <v>669</v>
      </c>
      <c r="E1329" s="189">
        <v>42594</v>
      </c>
      <c r="F1329" s="190" t="s">
        <v>671</v>
      </c>
      <c r="G1329" s="190" t="s">
        <v>330</v>
      </c>
      <c r="H1329" s="7" t="s">
        <v>1453</v>
      </c>
      <c r="I1329" s="251"/>
      <c r="J1329" s="251"/>
      <c r="K1329" s="560">
        <v>5000000</v>
      </c>
      <c r="L1329" s="192" t="s">
        <v>8</v>
      </c>
      <c r="M1329" s="561" t="s">
        <v>24</v>
      </c>
      <c r="N1329" s="52" t="str">
        <f>IF(AND('331-CT'!$E$7=TH!H1329,OR(L1329="331",M1329="331")),"331",IF(AND(OR(L1329="131",M1329="131"),H1329='131-CT'!$E$7),"131",""))</f>
        <v/>
      </c>
      <c r="O1329" s="818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53"/>
      <c r="AB1329" s="552"/>
    </row>
    <row r="1330" spans="1:32" s="209" customFormat="1" ht="15.75" customHeight="1">
      <c r="A1330" s="202" t="str">
        <f>IF(B1330&lt;&gt;"",IF(AND(B1330&gt;=_TM1,B1330&lt;=_TM2,OR(TH!L1330="1111",TH!M1330="1111")),TH!D1330,""),"")</f>
        <v/>
      </c>
      <c r="B1330" s="36">
        <f t="shared" si="64"/>
        <v>8</v>
      </c>
      <c r="C1330" s="182">
        <f t="shared" si="63"/>
        <v>42594</v>
      </c>
      <c r="D1330" s="182" t="s">
        <v>669</v>
      </c>
      <c r="E1330" s="189">
        <v>42594</v>
      </c>
      <c r="F1330" s="190" t="s">
        <v>672</v>
      </c>
      <c r="G1330" s="190" t="s">
        <v>330</v>
      </c>
      <c r="H1330" s="7"/>
      <c r="I1330" s="251"/>
      <c r="J1330" s="251"/>
      <c r="K1330" s="560">
        <v>13637</v>
      </c>
      <c r="L1330" s="561" t="s">
        <v>83</v>
      </c>
      <c r="M1330" s="561" t="s">
        <v>24</v>
      </c>
      <c r="N1330" s="52" t="str">
        <f>IF(AND('331-CT'!$E$7=TH!H1330,OR(L1330="331",M1330="331")),"331",IF(AND(OR(L1330="131",M1330="131"),H1330='131-CT'!$E$7),"131",""))</f>
        <v/>
      </c>
      <c r="O1330" s="818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>x</v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52">
        <v>3</v>
      </c>
      <c r="AB1330" s="552"/>
      <c r="AC1330" s="552"/>
    </row>
    <row r="1331" spans="1:32" s="209" customFormat="1" ht="15.75" customHeight="1">
      <c r="A1331" s="202" t="str">
        <f>IF(B1331&lt;&gt;"",IF(AND(B1331&gt;=_TM1,B1331&lt;=_TM2,OR(TH!L1331="1111",TH!M1331="1111")),TH!D1331,""),"")</f>
        <v/>
      </c>
      <c r="B1331" s="36">
        <f t="shared" si="64"/>
        <v>8</v>
      </c>
      <c r="C1331" s="182">
        <f t="shared" si="63"/>
        <v>42594</v>
      </c>
      <c r="D1331" s="182" t="s">
        <v>669</v>
      </c>
      <c r="E1331" s="189">
        <v>42594</v>
      </c>
      <c r="F1331" s="190" t="s">
        <v>762</v>
      </c>
      <c r="G1331" s="190" t="s">
        <v>330</v>
      </c>
      <c r="H1331" s="7"/>
      <c r="I1331" s="251"/>
      <c r="J1331" s="251"/>
      <c r="K1331" s="560">
        <v>1363</v>
      </c>
      <c r="L1331" s="561" t="s">
        <v>9</v>
      </c>
      <c r="M1331" s="561" t="s">
        <v>24</v>
      </c>
      <c r="N1331" s="52" t="str">
        <f>IF(AND('331-CT'!$E$7=TH!H1331,OR(L1331="331",M1331="331")),"331",IF(AND(OR(L1331="131",M1331="131"),H1331='131-CT'!$E$7),"131",""))</f>
        <v/>
      </c>
      <c r="O1331" s="818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52">
        <v>3</v>
      </c>
      <c r="AB1331" s="552"/>
    </row>
    <row r="1332" spans="1:32" s="209" customFormat="1" ht="15.75" customHeight="1">
      <c r="A1332" s="202" t="str">
        <f>IF(B1332&lt;&gt;"",IF(AND(B1332&gt;=_TM1,B1332&lt;=_TM2,OR(TH!L1332="1111",TH!M1332="1111")),TH!D1332,""),"")</f>
        <v/>
      </c>
      <c r="B1332" s="36">
        <f t="shared" si="64"/>
        <v>8</v>
      </c>
      <c r="C1332" s="182">
        <f t="shared" si="63"/>
        <v>42595</v>
      </c>
      <c r="D1332" s="182" t="s">
        <v>665</v>
      </c>
      <c r="E1332" s="189">
        <v>42595</v>
      </c>
      <c r="F1332" s="190" t="s">
        <v>666</v>
      </c>
      <c r="G1332" s="190" t="s">
        <v>330</v>
      </c>
      <c r="H1332" s="7" t="s">
        <v>391</v>
      </c>
      <c r="I1332" s="251"/>
      <c r="J1332" s="251"/>
      <c r="K1332" s="560">
        <v>13518120</v>
      </c>
      <c r="L1332" s="192" t="s">
        <v>24</v>
      </c>
      <c r="M1332" s="192" t="s">
        <v>258</v>
      </c>
      <c r="N1332" s="52" t="str">
        <f>IF(AND('331-CT'!$E$7=TH!H1332,OR(L1332="331",M1332="331")),"331",IF(AND(OR(L1332="131",M1332="131"),H1332='131-CT'!$E$7),"131",""))</f>
        <v/>
      </c>
      <c r="O1332" s="818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53"/>
      <c r="AB1332" s="552"/>
      <c r="AC1332" s="552"/>
    </row>
    <row r="1333" spans="1:32" s="209" customFormat="1" ht="15.75" customHeight="1">
      <c r="A1333" s="202" t="str">
        <f>IF(B1333&lt;&gt;"",IF(AND(B1333&gt;=_TM1,B1333&lt;=_TM2,OR(TH!L1333="1111",TH!M1333="1111")),TH!D1333,""),"")</f>
        <v/>
      </c>
      <c r="B1333" s="36">
        <f t="shared" si="64"/>
        <v>8</v>
      </c>
      <c r="C1333" s="182">
        <f t="shared" si="63"/>
        <v>42597</v>
      </c>
      <c r="D1333" s="182" t="s">
        <v>1642</v>
      </c>
      <c r="E1333" s="182">
        <v>42597</v>
      </c>
      <c r="F1333" s="190" t="s">
        <v>754</v>
      </c>
      <c r="G1333" s="451" t="s">
        <v>756</v>
      </c>
      <c r="H1333" s="191" t="s">
        <v>1280</v>
      </c>
      <c r="I1333" s="251"/>
      <c r="J1333" s="251"/>
      <c r="K1333" s="560">
        <v>2020000000</v>
      </c>
      <c r="L1333" s="192" t="s">
        <v>24</v>
      </c>
      <c r="M1333" s="561" t="s">
        <v>47</v>
      </c>
      <c r="N1333" s="52" t="str">
        <f>IF(AND('331-CT'!$E$7=TH!H1333,OR(L1333="331",M1333="331")),"331",IF(AND(OR(L1333="131",M1333="131"),H1333='131-CT'!$E$7),"131",""))</f>
        <v/>
      </c>
      <c r="O1333" s="818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52"/>
      <c r="AB1333" s="552"/>
      <c r="AC1333" s="552"/>
      <c r="AD1333" s="552"/>
      <c r="AE1333" s="552"/>
      <c r="AF1333" s="552"/>
    </row>
    <row r="1334" spans="1:32" s="209" customFormat="1" ht="15.75" customHeight="1">
      <c r="A1334" s="202" t="str">
        <f>IF(B1334&lt;&gt;"",IF(AND(B1334&gt;=_TM1,B1334&lt;=_TM2,OR(TH!L1334="1111",TH!M1334="1111")),TH!D1334,""),"")</f>
        <v/>
      </c>
      <c r="B1334" s="36">
        <f t="shared" si="64"/>
        <v>8</v>
      </c>
      <c r="C1334" s="182">
        <f t="shared" si="63"/>
        <v>42597</v>
      </c>
      <c r="D1334" s="182" t="s">
        <v>669</v>
      </c>
      <c r="E1334" s="182">
        <v>42597</v>
      </c>
      <c r="F1334" s="187" t="s">
        <v>1281</v>
      </c>
      <c r="G1334" s="448" t="s">
        <v>756</v>
      </c>
      <c r="H1334" s="191" t="s">
        <v>767</v>
      </c>
      <c r="I1334" s="251"/>
      <c r="J1334" s="251"/>
      <c r="K1334" s="560">
        <v>200000000</v>
      </c>
      <c r="L1334" s="561" t="s">
        <v>755</v>
      </c>
      <c r="M1334" s="561" t="s">
        <v>24</v>
      </c>
      <c r="N1334" s="52" t="str">
        <f>IF(AND('331-CT'!$E$7=TH!H1334,OR(L1334="331",M1334="331")),"331",IF(AND(OR(L1334="131",M1334="131"),H1334='131-CT'!$E$7),"131",""))</f>
        <v/>
      </c>
      <c r="O1334" s="818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52"/>
      <c r="AB1334" s="552"/>
      <c r="AC1334" s="552"/>
      <c r="AD1334" s="552"/>
      <c r="AE1334" s="552"/>
      <c r="AF1334" s="552"/>
    </row>
    <row r="1335" spans="1:32" s="209" customFormat="1" ht="15.75" customHeight="1">
      <c r="A1335" s="202" t="str">
        <f>IF(B1335&lt;&gt;"",IF(AND(B1335&gt;=_TM1,B1335&lt;=_TM2,OR(TH!L1335="1111",TH!M1335="1111")),TH!D1335,""),"")</f>
        <v/>
      </c>
      <c r="B1335" s="36">
        <f t="shared" si="64"/>
        <v>8</v>
      </c>
      <c r="C1335" s="182">
        <f t="shared" si="63"/>
        <v>42597</v>
      </c>
      <c r="D1335" s="182" t="s">
        <v>669</v>
      </c>
      <c r="E1335" s="182">
        <v>42597</v>
      </c>
      <c r="F1335" s="187" t="s">
        <v>770</v>
      </c>
      <c r="G1335" s="448" t="s">
        <v>756</v>
      </c>
      <c r="H1335" s="191" t="s">
        <v>767</v>
      </c>
      <c r="I1335" s="251"/>
      <c r="J1335" s="251"/>
      <c r="K1335" s="560">
        <v>1377778</v>
      </c>
      <c r="L1335" s="561" t="s">
        <v>81</v>
      </c>
      <c r="M1335" s="561" t="s">
        <v>24</v>
      </c>
      <c r="N1335" s="52" t="str">
        <f>IF(AND('331-CT'!$E$7=TH!H1335,OR(L1335="331",M1335="331")),"331",IF(AND(OR(L1335="131",M1335="131"),H1335='131-CT'!$E$7),"131",""))</f>
        <v/>
      </c>
      <c r="O1335" s="818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52"/>
      <c r="AB1335" s="552"/>
      <c r="AC1335" s="552"/>
      <c r="AD1335" s="552"/>
      <c r="AE1335" s="552"/>
      <c r="AF1335" s="552"/>
    </row>
    <row r="1336" spans="1:32" s="209" customFormat="1" ht="15.75" customHeight="1">
      <c r="A1336" s="202" t="str">
        <f>IF(B1336&lt;&gt;"",IF(AND(B1336&gt;=_TM1,B1336&lt;=_TM2,OR(TH!L1336="1111",TH!M1336="1111")),TH!D1336,""),"")</f>
        <v/>
      </c>
      <c r="B1336" s="36">
        <f t="shared" si="64"/>
        <v>8</v>
      </c>
      <c r="C1336" s="182">
        <f t="shared" si="63"/>
        <v>42597</v>
      </c>
      <c r="D1336" s="182" t="s">
        <v>669</v>
      </c>
      <c r="E1336" s="182">
        <v>42597</v>
      </c>
      <c r="F1336" s="187" t="s">
        <v>1281</v>
      </c>
      <c r="G1336" s="448" t="s">
        <v>756</v>
      </c>
      <c r="H1336" s="191" t="s">
        <v>768</v>
      </c>
      <c r="I1336" s="251"/>
      <c r="J1336" s="251"/>
      <c r="K1336" s="560">
        <v>100000000</v>
      </c>
      <c r="L1336" s="561" t="s">
        <v>755</v>
      </c>
      <c r="M1336" s="561" t="s">
        <v>24</v>
      </c>
      <c r="N1336" s="52" t="str">
        <f>IF(AND('331-CT'!$E$7=TH!H1336,OR(L1336="331",M1336="331")),"331",IF(AND(OR(L1336="131",M1336="131"),H1336='131-CT'!$E$7),"131",""))</f>
        <v/>
      </c>
      <c r="O1336" s="818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52"/>
      <c r="AB1336" s="552"/>
      <c r="AC1336" s="552"/>
      <c r="AD1336" s="552"/>
      <c r="AE1336" s="552"/>
      <c r="AF1336" s="552"/>
    </row>
    <row r="1337" spans="1:32" s="209" customFormat="1" ht="15.75" customHeight="1">
      <c r="A1337" s="202" t="str">
        <f>IF(B1337&lt;&gt;"",IF(AND(B1337&gt;=_TM1,B1337&lt;=_TM2,OR(TH!L1337="1111",TH!M1337="1111")),TH!D1337,""),"")</f>
        <v/>
      </c>
      <c r="B1337" s="36">
        <f t="shared" si="64"/>
        <v>8</v>
      </c>
      <c r="C1337" s="182">
        <f t="shared" si="63"/>
        <v>42597</v>
      </c>
      <c r="D1337" s="182" t="s">
        <v>669</v>
      </c>
      <c r="E1337" s="182">
        <v>42597</v>
      </c>
      <c r="F1337" s="187" t="s">
        <v>770</v>
      </c>
      <c r="G1337" s="448" t="s">
        <v>756</v>
      </c>
      <c r="H1337" s="191" t="s">
        <v>768</v>
      </c>
      <c r="I1337" s="251"/>
      <c r="J1337" s="251"/>
      <c r="K1337" s="560">
        <v>775000</v>
      </c>
      <c r="L1337" s="561" t="s">
        <v>81</v>
      </c>
      <c r="M1337" s="561" t="s">
        <v>24</v>
      </c>
      <c r="N1337" s="52" t="str">
        <f>IF(AND('331-CT'!$E$7=TH!H1337,OR(L1337="331",M1337="331")),"331",IF(AND(OR(L1337="131",M1337="131"),H1337='131-CT'!$E$7),"131",""))</f>
        <v/>
      </c>
      <c r="O1337" s="818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52"/>
      <c r="AB1337" s="552"/>
      <c r="AC1337" s="552"/>
      <c r="AD1337" s="552"/>
      <c r="AE1337" s="552"/>
      <c r="AF1337" s="552"/>
    </row>
    <row r="1338" spans="1:32" s="209" customFormat="1" ht="15.75" customHeight="1">
      <c r="A1338" s="202" t="str">
        <f>IF(B1338&lt;&gt;"",IF(AND(B1338&gt;=_TM1,B1338&lt;=_TM2,OR(TH!L1338="1111",TH!M1338="1111")),TH!D1338,""),"")</f>
        <v/>
      </c>
      <c r="B1338" s="36">
        <f t="shared" si="64"/>
        <v>8</v>
      </c>
      <c r="C1338" s="182">
        <f t="shared" si="63"/>
        <v>42597</v>
      </c>
      <c r="D1338" s="182" t="s">
        <v>669</v>
      </c>
      <c r="E1338" s="182">
        <v>42597</v>
      </c>
      <c r="F1338" s="187" t="s">
        <v>1281</v>
      </c>
      <c r="G1338" s="448" t="s">
        <v>756</v>
      </c>
      <c r="H1338" s="191" t="s">
        <v>1279</v>
      </c>
      <c r="I1338" s="251"/>
      <c r="J1338" s="251"/>
      <c r="K1338" s="560">
        <v>99149000</v>
      </c>
      <c r="L1338" s="561" t="s">
        <v>755</v>
      </c>
      <c r="M1338" s="561" t="s">
        <v>24</v>
      </c>
      <c r="N1338" s="52" t="str">
        <f>IF(AND('331-CT'!$E$7=TH!H1338,OR(L1338="331",M1338="331")),"331",IF(AND(OR(L1338="131",M1338="131"),H1338='131-CT'!$E$7),"131",""))</f>
        <v/>
      </c>
      <c r="O1338" s="818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52"/>
      <c r="AB1338" s="552"/>
      <c r="AC1338" s="552"/>
      <c r="AD1338" s="552"/>
      <c r="AE1338" s="552"/>
      <c r="AF1338" s="552"/>
    </row>
    <row r="1339" spans="1:32" s="209" customFormat="1" ht="15.75" customHeight="1">
      <c r="A1339" s="202" t="str">
        <f>IF(B1339&lt;&gt;"",IF(AND(B1339&gt;=_TM1,B1339&lt;=_TM2,OR(TH!L1339="1111",TH!M1339="1111")),TH!D1339,""),"")</f>
        <v/>
      </c>
      <c r="B1339" s="36">
        <f t="shared" si="64"/>
        <v>8</v>
      </c>
      <c r="C1339" s="182">
        <f t="shared" si="63"/>
        <v>42597</v>
      </c>
      <c r="D1339" s="182" t="s">
        <v>669</v>
      </c>
      <c r="E1339" s="182">
        <v>42597</v>
      </c>
      <c r="F1339" s="187" t="s">
        <v>770</v>
      </c>
      <c r="G1339" s="448" t="s">
        <v>756</v>
      </c>
      <c r="H1339" s="191" t="s">
        <v>1279</v>
      </c>
      <c r="I1339" s="251"/>
      <c r="J1339" s="251"/>
      <c r="K1339" s="560">
        <v>1211821</v>
      </c>
      <c r="L1339" s="561" t="s">
        <v>81</v>
      </c>
      <c r="M1339" s="561" t="s">
        <v>24</v>
      </c>
      <c r="N1339" s="52" t="str">
        <f>IF(AND('331-CT'!$E$7=TH!H1339,OR(L1339="331",M1339="331")),"331",IF(AND(OR(L1339="131",M1339="131"),H1339='131-CT'!$E$7),"131",""))</f>
        <v/>
      </c>
      <c r="O1339" s="818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52"/>
      <c r="AB1339" s="552"/>
      <c r="AC1339" s="552"/>
      <c r="AD1339" s="552"/>
      <c r="AE1339" s="552"/>
      <c r="AF1339" s="552"/>
    </row>
    <row r="1340" spans="1:32" s="209" customFormat="1" ht="15.75" customHeight="1">
      <c r="A1340" s="202" t="str">
        <f>IF(B1340&lt;&gt;"",IF(AND(B1340&gt;=_TM1,B1340&lt;=_TM2,OR(TH!L1340="1111",TH!M1340="1111")),TH!D1340,""),"")</f>
        <v/>
      </c>
      <c r="B1340" s="36">
        <f t="shared" si="64"/>
        <v>8</v>
      </c>
      <c r="C1340" s="182">
        <f t="shared" si="63"/>
        <v>42597</v>
      </c>
      <c r="D1340" s="182" t="s">
        <v>669</v>
      </c>
      <c r="E1340" s="182">
        <v>42597</v>
      </c>
      <c r="F1340" s="187" t="s">
        <v>1281</v>
      </c>
      <c r="G1340" s="448" t="s">
        <v>756</v>
      </c>
      <c r="H1340" s="191" t="s">
        <v>757</v>
      </c>
      <c r="I1340" s="251"/>
      <c r="J1340" s="251"/>
      <c r="K1340" s="560">
        <v>1334153000</v>
      </c>
      <c r="L1340" s="561" t="s">
        <v>755</v>
      </c>
      <c r="M1340" s="561" t="s">
        <v>24</v>
      </c>
      <c r="N1340" s="52" t="str">
        <f>IF(AND('331-CT'!$E$7=TH!H1340,OR(L1340="331",M1340="331")),"331",IF(AND(OR(L1340="131",M1340="131"),H1340='131-CT'!$E$7),"131",""))</f>
        <v/>
      </c>
      <c r="O1340" s="818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52"/>
      <c r="AB1340" s="552"/>
      <c r="AC1340" s="552"/>
      <c r="AD1340" s="552"/>
      <c r="AE1340" s="552"/>
      <c r="AF1340" s="552"/>
    </row>
    <row r="1341" spans="1:32" s="209" customFormat="1" ht="15.75" customHeight="1">
      <c r="A1341" s="202" t="str">
        <f>IF(B1341&lt;&gt;"",IF(AND(B1341&gt;=_TM1,B1341&lt;=_TM2,OR(TH!L1341="1111",TH!M1341="1111")),TH!D1341,""),"")</f>
        <v/>
      </c>
      <c r="B1341" s="36">
        <f t="shared" si="64"/>
        <v>8</v>
      </c>
      <c r="C1341" s="182">
        <f t="shared" si="63"/>
        <v>42597</v>
      </c>
      <c r="D1341" s="182" t="s">
        <v>669</v>
      </c>
      <c r="E1341" s="182">
        <v>42597</v>
      </c>
      <c r="F1341" s="187" t="s">
        <v>770</v>
      </c>
      <c r="G1341" s="448" t="s">
        <v>756</v>
      </c>
      <c r="H1341" s="191" t="s">
        <v>757</v>
      </c>
      <c r="I1341" s="251"/>
      <c r="J1341" s="251"/>
      <c r="K1341" s="560">
        <v>12062967</v>
      </c>
      <c r="L1341" s="561" t="s">
        <v>81</v>
      </c>
      <c r="M1341" s="561" t="s">
        <v>24</v>
      </c>
      <c r="N1341" s="52" t="str">
        <f>IF(AND('331-CT'!$E$7=TH!H1341,OR(L1341="331",M1341="331")),"331",IF(AND(OR(L1341="131",M1341="131"),H1341='131-CT'!$E$7),"131",""))</f>
        <v/>
      </c>
      <c r="O1341" s="818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52"/>
      <c r="AB1341" s="552"/>
      <c r="AC1341" s="552"/>
      <c r="AD1341" s="552"/>
      <c r="AE1341" s="552"/>
      <c r="AF1341" s="552"/>
    </row>
    <row r="1342" spans="1:32" s="209" customFormat="1" ht="15.75" customHeight="1">
      <c r="A1342" s="202" t="str">
        <f>IF(B1342&lt;&gt;"",IF(AND(B1342&gt;=_TM1,B1342&lt;=_TM2,OR(TH!L1342="1111",TH!M1342="1111")),TH!D1342,""),"")</f>
        <v/>
      </c>
      <c r="B1342" s="36">
        <f t="shared" si="64"/>
        <v>8</v>
      </c>
      <c r="C1342" s="182">
        <f t="shared" si="63"/>
        <v>42597</v>
      </c>
      <c r="D1342" s="182" t="s">
        <v>669</v>
      </c>
      <c r="E1342" s="182">
        <v>42597</v>
      </c>
      <c r="F1342" s="187" t="s">
        <v>1281</v>
      </c>
      <c r="G1342" s="448" t="s">
        <v>756</v>
      </c>
      <c r="H1342" s="191" t="s">
        <v>763</v>
      </c>
      <c r="I1342" s="251"/>
      <c r="J1342" s="251"/>
      <c r="K1342" s="560">
        <v>264000000</v>
      </c>
      <c r="L1342" s="561" t="s">
        <v>755</v>
      </c>
      <c r="M1342" s="561" t="s">
        <v>24</v>
      </c>
      <c r="N1342" s="52" t="str">
        <f>IF(AND('331-CT'!$E$7=TH!H1342,OR(L1342="331",M1342="331")),"331",IF(AND(OR(L1342="131",M1342="131"),H1342='131-CT'!$E$7),"131",""))</f>
        <v/>
      </c>
      <c r="O1342" s="818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52"/>
      <c r="AB1342" s="552"/>
      <c r="AC1342" s="552"/>
      <c r="AD1342" s="552"/>
      <c r="AE1342" s="552"/>
      <c r="AF1342" s="552"/>
    </row>
    <row r="1343" spans="1:32" s="209" customFormat="1" ht="15.75" customHeight="1">
      <c r="A1343" s="202" t="str">
        <f>IF(B1343&lt;&gt;"",IF(AND(B1343&gt;=_TM1,B1343&lt;=_TM2,OR(TH!L1343="1111",TH!M1343="1111")),TH!D1343,""),"")</f>
        <v/>
      </c>
      <c r="B1343" s="36">
        <f t="shared" si="64"/>
        <v>8</v>
      </c>
      <c r="C1343" s="182">
        <f t="shared" si="63"/>
        <v>42597</v>
      </c>
      <c r="D1343" s="182" t="s">
        <v>669</v>
      </c>
      <c r="E1343" s="182">
        <v>42597</v>
      </c>
      <c r="F1343" s="187" t="s">
        <v>770</v>
      </c>
      <c r="G1343" s="448" t="s">
        <v>756</v>
      </c>
      <c r="H1343" s="191" t="s">
        <v>763</v>
      </c>
      <c r="I1343" s="251"/>
      <c r="J1343" s="251"/>
      <c r="K1343" s="560">
        <v>2427906</v>
      </c>
      <c r="L1343" s="561" t="s">
        <v>81</v>
      </c>
      <c r="M1343" s="561" t="s">
        <v>24</v>
      </c>
      <c r="N1343" s="52" t="str">
        <f>IF(AND('331-CT'!$E$7=TH!H1343,OR(L1343="331",M1343="331")),"331",IF(AND(OR(L1343="131",M1343="131"),H1343='131-CT'!$E$7),"131",""))</f>
        <v/>
      </c>
      <c r="O1343" s="818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52"/>
      <c r="AB1343" s="552"/>
      <c r="AC1343" s="552"/>
      <c r="AD1343" s="552"/>
      <c r="AE1343" s="552"/>
      <c r="AF1343" s="552"/>
    </row>
    <row r="1344" spans="1:32" s="209" customFormat="1" ht="15.75" customHeight="1">
      <c r="A1344" s="202" t="str">
        <f>IF(B1344&lt;&gt;"",IF(AND(B1344&gt;=_TM1,B1344&lt;=_TM2,OR(TH!L1344="1111",TH!M1344="1111")),TH!D1344,""),"")</f>
        <v/>
      </c>
      <c r="B1344" s="36">
        <f t="shared" si="64"/>
        <v>8</v>
      </c>
      <c r="C1344" s="182">
        <f t="shared" si="63"/>
        <v>42597</v>
      </c>
      <c r="D1344" s="182" t="s">
        <v>1621</v>
      </c>
      <c r="E1344" s="189">
        <v>42597</v>
      </c>
      <c r="F1344" s="187" t="s">
        <v>776</v>
      </c>
      <c r="G1344" s="190" t="s">
        <v>330</v>
      </c>
      <c r="H1344" s="191" t="s">
        <v>675</v>
      </c>
      <c r="I1344" s="251"/>
      <c r="J1344" s="251"/>
      <c r="K1344" s="560">
        <v>13500000</v>
      </c>
      <c r="L1344" s="561" t="s">
        <v>47</v>
      </c>
      <c r="M1344" s="561" t="s">
        <v>24</v>
      </c>
      <c r="N1344" s="52" t="str">
        <f>IF(AND('331-CT'!$E$7=TH!H1344,OR(L1344="331",M1344="331")),"331",IF(AND(OR(L1344="131",M1344="131"),H1344='131-CT'!$E$7),"131",""))</f>
        <v/>
      </c>
      <c r="O1344" s="818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53"/>
      <c r="AB1344" s="552"/>
    </row>
    <row r="1345" spans="1:32" s="209" customFormat="1" ht="15.75" customHeight="1">
      <c r="A1345" s="202" t="str">
        <f>IF(B1345&lt;&gt;"",IF(AND(B1345&gt;=_TM1,B1345&lt;=_TM2,OR(TH!L1345="1111",TH!M1345="1111")),TH!D1345,""),"")</f>
        <v/>
      </c>
      <c r="B1345" s="36">
        <f t="shared" si="64"/>
        <v>8</v>
      </c>
      <c r="C1345" s="182">
        <f t="shared" si="63"/>
        <v>42600</v>
      </c>
      <c r="D1345" s="182" t="s">
        <v>669</v>
      </c>
      <c r="E1345" s="189">
        <v>42600</v>
      </c>
      <c r="F1345" s="187" t="s">
        <v>1288</v>
      </c>
      <c r="G1345" s="190" t="s">
        <v>1287</v>
      </c>
      <c r="H1345" s="191"/>
      <c r="I1345" s="251"/>
      <c r="J1345" s="251"/>
      <c r="K1345" s="560">
        <v>9546</v>
      </c>
      <c r="L1345" s="561" t="s">
        <v>83</v>
      </c>
      <c r="M1345" s="561" t="s">
        <v>24</v>
      </c>
      <c r="N1345" s="52" t="str">
        <f>IF(AND('331-CT'!$E$7=TH!H1345,OR(L1345="331",M1345="331")),"331",IF(AND(OR(L1345="131",M1345="131"),H1345='131-CT'!$E$7),"131",""))</f>
        <v/>
      </c>
      <c r="O1345" s="818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>x</v>
      </c>
      <c r="V1345" s="52" t="str">
        <f>IF(OR(TH!L1345=TH!$V$7,M1345=TH!$V$7),"x","")</f>
        <v>x</v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53">
        <v>3</v>
      </c>
      <c r="AB1345" s="552"/>
      <c r="AC1345" s="552"/>
    </row>
    <row r="1346" spans="1:32" s="209" customFormat="1" ht="15.75" customHeight="1">
      <c r="A1346" s="202" t="str">
        <f>IF(B1346&lt;&gt;"",IF(AND(B1346&gt;=_TM1,B1346&lt;=_TM2,OR(TH!L1346="1111",TH!M1346="1111")),TH!D1346,""),"")</f>
        <v/>
      </c>
      <c r="B1346" s="36">
        <f t="shared" si="64"/>
        <v>8</v>
      </c>
      <c r="C1346" s="182">
        <f t="shared" si="63"/>
        <v>42600</v>
      </c>
      <c r="D1346" s="182" t="s">
        <v>669</v>
      </c>
      <c r="E1346" s="189">
        <v>42600</v>
      </c>
      <c r="F1346" s="187" t="s">
        <v>1289</v>
      </c>
      <c r="G1346" s="190" t="s">
        <v>1287</v>
      </c>
      <c r="H1346" s="191"/>
      <c r="I1346" s="251"/>
      <c r="J1346" s="251"/>
      <c r="K1346" s="560">
        <v>954</v>
      </c>
      <c r="L1346" s="561" t="s">
        <v>9</v>
      </c>
      <c r="M1346" s="561" t="s">
        <v>24</v>
      </c>
      <c r="N1346" s="52" t="str">
        <f>IF(AND('331-CT'!$E$7=TH!H1346,OR(L1346="331",M1346="331")),"331",IF(AND(OR(L1346="131",M1346="131"),H1346='131-CT'!$E$7),"131",""))</f>
        <v/>
      </c>
      <c r="O1346" s="818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>x</v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53">
        <v>3</v>
      </c>
      <c r="AB1346" s="552"/>
      <c r="AC1346" s="552"/>
    </row>
    <row r="1347" spans="1:32" s="209" customFormat="1" ht="15.75" customHeight="1">
      <c r="A1347" s="202" t="str">
        <f>IF(B1347&lt;&gt;"",IF(AND(B1347&gt;=_TM1,B1347&lt;=_TM2,OR(TH!L1347="1111",TH!M1347="1111")),TH!D1347,""),"")</f>
        <v/>
      </c>
      <c r="B1347" s="36">
        <f t="shared" si="64"/>
        <v>8</v>
      </c>
      <c r="C1347" s="182">
        <f t="shared" si="63"/>
        <v>42600</v>
      </c>
      <c r="D1347" s="182" t="s">
        <v>669</v>
      </c>
      <c r="E1347" s="189">
        <v>42600</v>
      </c>
      <c r="F1347" s="187" t="s">
        <v>1290</v>
      </c>
      <c r="G1347" s="190" t="s">
        <v>1287</v>
      </c>
      <c r="H1347" s="191" t="s">
        <v>1291</v>
      </c>
      <c r="I1347" s="251"/>
      <c r="J1347" s="251"/>
      <c r="K1347" s="560">
        <v>2400000000</v>
      </c>
      <c r="L1347" s="561" t="s">
        <v>24</v>
      </c>
      <c r="M1347" s="561" t="s">
        <v>759</v>
      </c>
      <c r="N1347" s="52" t="str">
        <f>IF(AND('331-CT'!$E$7=TH!H1347,OR(L1347="331",M1347="331")),"331",IF(AND(OR(L1347="131",M1347="131"),H1347='131-CT'!$E$7),"131",""))</f>
        <v/>
      </c>
      <c r="O1347" s="818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>x</v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53"/>
      <c r="AB1347" s="552"/>
      <c r="AC1347" s="552"/>
    </row>
    <row r="1348" spans="1:32" s="209" customFormat="1" ht="15.75" customHeight="1">
      <c r="A1348" s="202" t="str">
        <f>IF(B1348&lt;&gt;"",IF(AND(B1348&gt;=_TM1,B1348&lt;=_TM2,OR(TH!L1348="1111",TH!M1348="1111")),TH!D1348,""),"")</f>
        <v/>
      </c>
      <c r="B1348" s="36">
        <f t="shared" si="64"/>
        <v>8</v>
      </c>
      <c r="C1348" s="182">
        <f t="shared" si="63"/>
        <v>42600</v>
      </c>
      <c r="D1348" s="182" t="s">
        <v>1623</v>
      </c>
      <c r="E1348" s="189">
        <v>42600</v>
      </c>
      <c r="F1348" s="187" t="s">
        <v>776</v>
      </c>
      <c r="G1348" s="190" t="s">
        <v>1287</v>
      </c>
      <c r="H1348" s="191" t="s">
        <v>673</v>
      </c>
      <c r="I1348" s="251"/>
      <c r="J1348" s="251"/>
      <c r="K1348" s="560">
        <v>2400000000</v>
      </c>
      <c r="L1348" s="561" t="s">
        <v>47</v>
      </c>
      <c r="M1348" s="561" t="s">
        <v>24</v>
      </c>
      <c r="N1348" s="52" t="str">
        <f>IF(AND('331-CT'!$E$7=TH!H1348,OR(L1348="331",M1348="331")),"331",IF(AND(OR(L1348="131",M1348="131"),H1348='131-CT'!$E$7),"131",""))</f>
        <v/>
      </c>
      <c r="O1348" s="818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>x</v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53"/>
      <c r="AB1348" s="552"/>
      <c r="AC1348" s="552"/>
    </row>
    <row r="1349" spans="1:32" s="209" customFormat="1" ht="15.75" customHeight="1">
      <c r="A1349" s="202" t="str">
        <f>IF(B1349&lt;&gt;"",IF(AND(B1349&gt;=_TM1,B1349&lt;=_TM2,OR(TH!L1349="1111",TH!M1349="1111")),TH!D1349,""),"")</f>
        <v/>
      </c>
      <c r="B1349" s="36">
        <f t="shared" si="64"/>
        <v>8</v>
      </c>
      <c r="C1349" s="182">
        <f t="shared" ref="C1349:C1412" si="65">E1349</f>
        <v>42600</v>
      </c>
      <c r="D1349" s="182" t="s">
        <v>669</v>
      </c>
      <c r="E1349" s="189">
        <v>42600</v>
      </c>
      <c r="F1349" s="187" t="s">
        <v>1292</v>
      </c>
      <c r="G1349" s="190" t="s">
        <v>1287</v>
      </c>
      <c r="H1349" s="191"/>
      <c r="I1349" s="251"/>
      <c r="J1349" s="251"/>
      <c r="K1349" s="560">
        <v>218182</v>
      </c>
      <c r="L1349" s="561" t="s">
        <v>83</v>
      </c>
      <c r="M1349" s="561" t="s">
        <v>24</v>
      </c>
      <c r="N1349" s="52" t="str">
        <f>IF(AND('331-CT'!$E$7=TH!H1349,OR(L1349="331",M1349="331")),"331",IF(AND(OR(L1349="131",M1349="131"),H1349='131-CT'!$E$7),"131",""))</f>
        <v/>
      </c>
      <c r="O1349" s="818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>x</v>
      </c>
      <c r="V1349" s="52" t="str">
        <f>IF(OR(TH!L1349=TH!$V$7,M1349=TH!$V$7),"x","")</f>
        <v>x</v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53">
        <v>3</v>
      </c>
      <c r="AB1349" s="552"/>
      <c r="AC1349" s="552"/>
    </row>
    <row r="1350" spans="1:32" s="209" customFormat="1" ht="15.75" customHeight="1">
      <c r="A1350" s="202" t="str">
        <f>IF(B1350&lt;&gt;"",IF(AND(B1350&gt;=_TM1,B1350&lt;=_TM2,OR(TH!L1350="1111",TH!M1350="1111")),TH!D1350,""),"")</f>
        <v/>
      </c>
      <c r="B1350" s="36">
        <f t="shared" si="64"/>
        <v>8</v>
      </c>
      <c r="C1350" s="182">
        <f t="shared" si="65"/>
        <v>42600</v>
      </c>
      <c r="D1350" s="182" t="s">
        <v>669</v>
      </c>
      <c r="E1350" s="189">
        <v>42600</v>
      </c>
      <c r="F1350" s="187" t="s">
        <v>1293</v>
      </c>
      <c r="G1350" s="190" t="s">
        <v>1287</v>
      </c>
      <c r="H1350" s="191"/>
      <c r="I1350" s="251"/>
      <c r="J1350" s="251"/>
      <c r="K1350" s="560">
        <v>21818</v>
      </c>
      <c r="L1350" s="561" t="s">
        <v>9</v>
      </c>
      <c r="M1350" s="561" t="s">
        <v>24</v>
      </c>
      <c r="N1350" s="52" t="str">
        <f>IF(AND('331-CT'!$E$7=TH!H1350,OR(L1350="331",M1350="331")),"331",IF(AND(OR(L1350="131",M1350="131"),H1350='131-CT'!$E$7),"131",""))</f>
        <v/>
      </c>
      <c r="O1350" s="818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>x</v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53">
        <v>3</v>
      </c>
      <c r="AB1350" s="552"/>
      <c r="AC1350" s="552"/>
    </row>
    <row r="1351" spans="1:32" s="209" customFormat="1" ht="15.75" customHeight="1">
      <c r="A1351" s="202" t="str">
        <f>IF(B1351&lt;&gt;"",IF(AND(B1351&gt;=_TM1,B1351&lt;=_TM2,OR(TH!L1351="1111",TH!M1351="1111")),TH!D1351,""),"")</f>
        <v/>
      </c>
      <c r="B1351" s="36">
        <f t="shared" si="64"/>
        <v>8</v>
      </c>
      <c r="C1351" s="182">
        <f t="shared" si="65"/>
        <v>42601</v>
      </c>
      <c r="D1351" s="182" t="s">
        <v>1625</v>
      </c>
      <c r="E1351" s="182">
        <v>42601</v>
      </c>
      <c r="F1351" s="187" t="s">
        <v>776</v>
      </c>
      <c r="G1351" s="448" t="s">
        <v>756</v>
      </c>
      <c r="H1351" s="191" t="s">
        <v>675</v>
      </c>
      <c r="I1351" s="251"/>
      <c r="J1351" s="251"/>
      <c r="K1351" s="560">
        <v>4500000</v>
      </c>
      <c r="L1351" s="561" t="s">
        <v>47</v>
      </c>
      <c r="M1351" s="561" t="s">
        <v>24</v>
      </c>
      <c r="N1351" s="52" t="str">
        <f>IF(AND('331-CT'!$E$7=TH!H1351,OR(L1351="331",M1351="331")),"331",IF(AND(OR(L1351="131",M1351="131"),H1351='131-CT'!$E$7),"131",""))</f>
        <v/>
      </c>
      <c r="O1351" s="818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52"/>
      <c r="AB1351" s="552"/>
      <c r="AC1351" s="552"/>
      <c r="AD1351" s="552"/>
      <c r="AE1351" s="552"/>
      <c r="AF1351" s="552"/>
    </row>
    <row r="1352" spans="1:32" s="209" customFormat="1" ht="15.75" customHeight="1">
      <c r="A1352" s="202" t="str">
        <f>IF(B1352&lt;&gt;"",IF(AND(B1352&gt;=_TM1,B1352&lt;=_TM2,OR(TH!L1352="1111",TH!M1352="1111")),TH!D1352,""),"")</f>
        <v/>
      </c>
      <c r="B1352" s="36">
        <f t="shared" si="64"/>
        <v>8</v>
      </c>
      <c r="C1352" s="182">
        <f t="shared" si="65"/>
        <v>42604</v>
      </c>
      <c r="D1352" s="182" t="s">
        <v>1185</v>
      </c>
      <c r="E1352" s="182">
        <v>42604</v>
      </c>
      <c r="F1352" s="190" t="s">
        <v>1245</v>
      </c>
      <c r="G1352" s="448" t="s">
        <v>1246</v>
      </c>
      <c r="H1352" s="7" t="s">
        <v>855</v>
      </c>
      <c r="I1352" s="251">
        <v>806</v>
      </c>
      <c r="J1352" s="251">
        <v>7600</v>
      </c>
      <c r="K1352" s="38">
        <f>ROUND(I1352*J1352,0)</f>
        <v>6125600</v>
      </c>
      <c r="L1352" s="192" t="s">
        <v>158</v>
      </c>
      <c r="M1352" s="192" t="s">
        <v>8</v>
      </c>
      <c r="N1352" s="52" t="str">
        <f>IF(AND('331-CT'!$E$7=TH!H1352,OR(L1352="331",M1352="331")),"331",IF(AND(OR(L1352="131",M1352="131"),H1352='131-CT'!$E$7),"131",""))</f>
        <v/>
      </c>
      <c r="O1352" s="818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53">
        <v>3</v>
      </c>
      <c r="AB1352" s="552"/>
      <c r="AC1352" s="209" t="str">
        <f>IF(VLOOKUP(H1352,DSKH,1,0)=H1352,"","x")</f>
        <v/>
      </c>
    </row>
    <row r="1353" spans="1:32" s="209" customFormat="1" ht="15.75" customHeight="1">
      <c r="A1353" s="202" t="str">
        <f>IF(B1353&lt;&gt;"",IF(AND(B1353&gt;=_TM1,B1353&lt;=_TM2,OR(TH!L1353="1111",TH!M1353="1111")),TH!D1353,""),"")</f>
        <v/>
      </c>
      <c r="B1353" s="36">
        <f t="shared" si="64"/>
        <v>8</v>
      </c>
      <c r="C1353" s="182">
        <f t="shared" si="65"/>
        <v>42604</v>
      </c>
      <c r="D1353" s="182" t="s">
        <v>1185</v>
      </c>
      <c r="E1353" s="182">
        <v>42604</v>
      </c>
      <c r="F1353" s="187" t="s">
        <v>1247</v>
      </c>
      <c r="G1353" s="448" t="s">
        <v>1246</v>
      </c>
      <c r="H1353" s="7" t="s">
        <v>855</v>
      </c>
      <c r="I1353" s="251">
        <v>6282</v>
      </c>
      <c r="J1353" s="251">
        <v>9200</v>
      </c>
      <c r="K1353" s="38">
        <f>ROUND(I1353*J1353,0)</f>
        <v>57794400</v>
      </c>
      <c r="L1353" s="192" t="s">
        <v>158</v>
      </c>
      <c r="M1353" s="192" t="s">
        <v>8</v>
      </c>
      <c r="N1353" s="52" t="str">
        <f>IF(AND('331-CT'!$E$7=TH!H1353,OR(L1353="331",M1353="331")),"331",IF(AND(OR(L1353="131",M1353="131"),H1353='131-CT'!$E$7),"131",""))</f>
        <v/>
      </c>
      <c r="O1353" s="818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53">
        <v>3</v>
      </c>
      <c r="AB1353" s="552"/>
      <c r="AC1353" s="209" t="str">
        <f>IF(VLOOKUP(H1353,DSKH,1,0)=H1353,"","x")</f>
        <v/>
      </c>
    </row>
    <row r="1354" spans="1:32" s="209" customFormat="1" ht="15.75" customHeight="1">
      <c r="A1354" s="202" t="str">
        <f>IF(B1354&lt;&gt;"",IF(AND(B1354&gt;=_TM1,B1354&lt;=_TM2,OR(TH!L1354="1111",TH!M1354="1111")),TH!D1354,""),"")</f>
        <v/>
      </c>
      <c r="B1354" s="36">
        <f t="shared" si="64"/>
        <v>8</v>
      </c>
      <c r="C1354" s="182">
        <f t="shared" si="65"/>
        <v>42604</v>
      </c>
      <c r="D1354" s="182" t="s">
        <v>1185</v>
      </c>
      <c r="E1354" s="182">
        <v>42604</v>
      </c>
      <c r="F1354" s="187" t="s">
        <v>1248</v>
      </c>
      <c r="G1354" s="448" t="s">
        <v>1246</v>
      </c>
      <c r="H1354" s="7" t="s">
        <v>855</v>
      </c>
      <c r="I1354" s="251">
        <v>4325</v>
      </c>
      <c r="J1354" s="251">
        <v>8500</v>
      </c>
      <c r="K1354" s="38">
        <f>ROUND(I1354*J1354,0)</f>
        <v>36762500</v>
      </c>
      <c r="L1354" s="192" t="s">
        <v>158</v>
      </c>
      <c r="M1354" s="192" t="s">
        <v>8</v>
      </c>
      <c r="N1354" s="52" t="str">
        <f>IF(AND('331-CT'!$E$7=TH!H1354,OR(L1354="331",M1354="331")),"331",IF(AND(OR(L1354="131",M1354="131"),H1354='131-CT'!$E$7),"131",""))</f>
        <v/>
      </c>
      <c r="O1354" s="818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53">
        <v>3</v>
      </c>
      <c r="AB1354" s="552"/>
      <c r="AC1354" s="209" t="str">
        <f>IF(VLOOKUP(H1354,DSKH,1,0)=H1354,"","x")</f>
        <v/>
      </c>
    </row>
    <row r="1355" spans="1:32" s="209" customFormat="1" ht="15.75" customHeight="1">
      <c r="A1355" s="202" t="str">
        <f>IF(B1355&lt;&gt;"",IF(AND(B1355&gt;=_TM1,B1355&lt;=_TM2,OR(TH!L1355="1111",TH!M1355="1111")),TH!D1355,""),"")</f>
        <v/>
      </c>
      <c r="B1355" s="36">
        <f t="shared" si="64"/>
        <v>8</v>
      </c>
      <c r="C1355" s="182">
        <f t="shared" si="65"/>
        <v>42604</v>
      </c>
      <c r="D1355" s="182" t="s">
        <v>1185</v>
      </c>
      <c r="E1355" s="182">
        <v>42604</v>
      </c>
      <c r="F1355" s="187" t="s">
        <v>856</v>
      </c>
      <c r="G1355" s="448" t="s">
        <v>1246</v>
      </c>
      <c r="H1355" s="7" t="s">
        <v>855</v>
      </c>
      <c r="I1355" s="251"/>
      <c r="J1355" s="251"/>
      <c r="K1355" s="560">
        <v>10068250</v>
      </c>
      <c r="L1355" s="192" t="s">
        <v>9</v>
      </c>
      <c r="M1355" s="192" t="s">
        <v>8</v>
      </c>
      <c r="N1355" s="52" t="str">
        <f>IF(AND('331-CT'!$E$7=TH!H1355,OR(L1355="331",M1355="331")),"331",IF(AND(OR(L1355="131",M1355="131"),H1355='131-CT'!$E$7),"131",""))</f>
        <v/>
      </c>
      <c r="O1355" s="818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53">
        <v>3</v>
      </c>
      <c r="AB1355" s="552"/>
      <c r="AC1355" s="209" t="str">
        <f>IF(VLOOKUP(H1355,DSKH,1,0)=H1355,"","x")</f>
        <v/>
      </c>
    </row>
    <row r="1356" spans="1:32" s="209" customFormat="1" ht="15.75" customHeight="1">
      <c r="A1356" s="202" t="str">
        <f>IF(B1356&lt;&gt;"",IF(AND(B1356&gt;=_TM1,B1356&lt;=_TM2,OR(TH!L1356="1111",TH!M1356="1111")),TH!D1356,""),"")</f>
        <v/>
      </c>
      <c r="B1356" s="36">
        <f t="shared" si="64"/>
        <v>8</v>
      </c>
      <c r="C1356" s="182">
        <f t="shared" si="65"/>
        <v>42604</v>
      </c>
      <c r="D1356" s="182" t="s">
        <v>1083</v>
      </c>
      <c r="E1356" s="37">
        <v>42604</v>
      </c>
      <c r="F1356" s="190" t="s">
        <v>429</v>
      </c>
      <c r="G1356" s="451" t="s">
        <v>1259</v>
      </c>
      <c r="H1356" s="7" t="s">
        <v>648</v>
      </c>
      <c r="I1356" s="251">
        <v>489</v>
      </c>
      <c r="J1356" s="251">
        <v>14000</v>
      </c>
      <c r="K1356" s="38">
        <f>ROUND(I1356*J1356,0)</f>
        <v>6846000</v>
      </c>
      <c r="L1356" s="192" t="s">
        <v>258</v>
      </c>
      <c r="M1356" s="192" t="s">
        <v>173</v>
      </c>
      <c r="N1356" s="52" t="str">
        <f>IF(AND('331-CT'!$E$7=TH!H1356,OR(L1356="331",M1356="331")),"331",IF(AND(OR(L1356="131",M1356="131"),H1356='131-CT'!$E$7),"131",""))</f>
        <v/>
      </c>
      <c r="O1356" s="818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52"/>
      <c r="AB1356" s="552"/>
    </row>
    <row r="1357" spans="1:32" s="209" customFormat="1" ht="15.75" customHeight="1">
      <c r="A1357" s="202" t="str">
        <f>IF(B1357&lt;&gt;"",IF(AND(B1357&gt;=_TM1,B1357&lt;=_TM2,OR(TH!L1357="1111",TH!M1357="1111")),TH!D1357,""),"")</f>
        <v/>
      </c>
      <c r="B1357" s="36">
        <f t="shared" si="64"/>
        <v>8</v>
      </c>
      <c r="C1357" s="182">
        <f t="shared" si="65"/>
        <v>42604</v>
      </c>
      <c r="D1357" s="182" t="s">
        <v>1083</v>
      </c>
      <c r="E1357" s="37">
        <v>42604</v>
      </c>
      <c r="F1357" s="40" t="s">
        <v>1254</v>
      </c>
      <c r="G1357" s="451" t="s">
        <v>1259</v>
      </c>
      <c r="H1357" s="7" t="s">
        <v>648</v>
      </c>
      <c r="I1357" s="251"/>
      <c r="J1357" s="251"/>
      <c r="K1357" s="38">
        <v>684600</v>
      </c>
      <c r="L1357" s="192" t="s">
        <v>258</v>
      </c>
      <c r="M1357" s="192" t="s">
        <v>367</v>
      </c>
      <c r="N1357" s="52" t="str">
        <f>IF(AND('331-CT'!$E$7=TH!H1357,OR(L1357="331",M1357="331")),"331",IF(AND(OR(L1357="131",M1357="131"),H1357='131-CT'!$E$7),"131",""))</f>
        <v/>
      </c>
      <c r="O1357" s="818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52"/>
      <c r="AB1357" s="552"/>
      <c r="AC1357" s="552"/>
    </row>
    <row r="1358" spans="1:32" s="209" customFormat="1" ht="15.75" customHeight="1">
      <c r="A1358" s="202" t="str">
        <f>IF(B1358&lt;&gt;"",IF(AND(B1358&gt;=_TM1,B1358&lt;=_TM2,OR(TH!L1358="1111",TH!M1358="1111")),TH!D1358,""),"")</f>
        <v/>
      </c>
      <c r="B1358" s="36">
        <f t="shared" si="64"/>
        <v>8</v>
      </c>
      <c r="C1358" s="182">
        <f t="shared" si="65"/>
        <v>42605</v>
      </c>
      <c r="D1358" s="182" t="s">
        <v>665</v>
      </c>
      <c r="E1358" s="189">
        <v>42605</v>
      </c>
      <c r="F1358" s="190" t="s">
        <v>666</v>
      </c>
      <c r="G1358" s="190" t="s">
        <v>330</v>
      </c>
      <c r="H1358" s="7" t="s">
        <v>780</v>
      </c>
      <c r="I1358" s="251"/>
      <c r="J1358" s="251"/>
      <c r="K1358" s="560">
        <v>1695000</v>
      </c>
      <c r="L1358" s="192" t="s">
        <v>24</v>
      </c>
      <c r="M1358" s="192" t="s">
        <v>258</v>
      </c>
      <c r="N1358" s="52" t="str">
        <f>IF(AND('331-CT'!$E$7=TH!H1358,OR(L1358="331",M1358="331")),"331",IF(AND(OR(L1358="131",M1358="131"),H1358='131-CT'!$E$7),"131",""))</f>
        <v/>
      </c>
      <c r="O1358" s="818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53"/>
      <c r="AB1358" s="552"/>
    </row>
    <row r="1359" spans="1:32" s="209" customFormat="1" ht="15.75" customHeight="1">
      <c r="A1359" s="202" t="str">
        <f>IF(B1359&lt;&gt;"",IF(AND(B1359&gt;=_TM1,B1359&lt;=_TM2,OR(TH!L1359="1111",TH!M1359="1111")),TH!D1359,""),"")</f>
        <v/>
      </c>
      <c r="B1359" s="36">
        <f t="shared" si="64"/>
        <v>8</v>
      </c>
      <c r="C1359" s="182">
        <f t="shared" si="65"/>
        <v>42605</v>
      </c>
      <c r="D1359" s="182" t="s">
        <v>665</v>
      </c>
      <c r="E1359" s="189">
        <v>42605</v>
      </c>
      <c r="F1359" s="190" t="s">
        <v>666</v>
      </c>
      <c r="G1359" s="190" t="s">
        <v>330</v>
      </c>
      <c r="H1359" s="7" t="s">
        <v>780</v>
      </c>
      <c r="I1359" s="251"/>
      <c r="J1359" s="251"/>
      <c r="K1359" s="560">
        <v>16193430</v>
      </c>
      <c r="L1359" s="192" t="s">
        <v>24</v>
      </c>
      <c r="M1359" s="192" t="s">
        <v>258</v>
      </c>
      <c r="N1359" s="52" t="str">
        <f>IF(AND('331-CT'!$E$7=TH!H1359,OR(L1359="331",M1359="331")),"331",IF(AND(OR(L1359="131",M1359="131"),H1359='131-CT'!$E$7),"131",""))</f>
        <v/>
      </c>
      <c r="O1359" s="818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53"/>
      <c r="AB1359" s="552"/>
    </row>
    <row r="1360" spans="1:32" s="209" customFormat="1" ht="15.75" customHeight="1">
      <c r="A1360" s="202" t="str">
        <f>IF(B1360&lt;&gt;"",IF(AND(B1360&gt;=_TM1,B1360&lt;=_TM2,OR(TH!L1360="1111",TH!M1360="1111")),TH!D1360,""),"")</f>
        <v/>
      </c>
      <c r="B1360" s="36">
        <f t="shared" si="64"/>
        <v>8</v>
      </c>
      <c r="C1360" s="182">
        <f t="shared" si="65"/>
        <v>42605</v>
      </c>
      <c r="D1360" s="182" t="s">
        <v>665</v>
      </c>
      <c r="E1360" s="189">
        <v>42605</v>
      </c>
      <c r="F1360" s="190" t="s">
        <v>666</v>
      </c>
      <c r="G1360" s="190" t="s">
        <v>330</v>
      </c>
      <c r="H1360" s="7" t="s">
        <v>780</v>
      </c>
      <c r="I1360" s="251"/>
      <c r="J1360" s="251"/>
      <c r="K1360" s="560">
        <v>20986900</v>
      </c>
      <c r="L1360" s="192" t="s">
        <v>24</v>
      </c>
      <c r="M1360" s="192" t="s">
        <v>258</v>
      </c>
      <c r="N1360" s="52" t="str">
        <f>IF(AND('331-CT'!$E$7=TH!H1360,OR(L1360="331",M1360="331")),"331",IF(AND(OR(L1360="131",M1360="131"),H1360='131-CT'!$E$7),"131",""))</f>
        <v/>
      </c>
      <c r="O1360" s="818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53"/>
      <c r="AB1360" s="552"/>
      <c r="AC1360" s="552"/>
    </row>
    <row r="1361" spans="1:32" s="209" customFormat="1" ht="15.75" customHeight="1">
      <c r="A1361" s="202" t="str">
        <f>IF(B1361&lt;&gt;"",IF(AND(B1361&gt;=_TM1,B1361&lt;=_TM2,OR(TH!L1361="1111",TH!M1361="1111")),TH!D1361,""),"")</f>
        <v/>
      </c>
      <c r="B1361" s="36">
        <f t="shared" si="64"/>
        <v>8</v>
      </c>
      <c r="C1361" s="182">
        <f t="shared" si="65"/>
        <v>42605</v>
      </c>
      <c r="D1361" s="182" t="s">
        <v>1084</v>
      </c>
      <c r="E1361" s="37">
        <v>42605</v>
      </c>
      <c r="F1361" s="40" t="s">
        <v>1262</v>
      </c>
      <c r="G1361" s="451" t="s">
        <v>1260</v>
      </c>
      <c r="H1361" s="191" t="s">
        <v>1261</v>
      </c>
      <c r="I1361" s="251">
        <v>1714</v>
      </c>
      <c r="J1361" s="251">
        <v>1530</v>
      </c>
      <c r="K1361" s="38">
        <f>ROUND(I1361*J1361,0)</f>
        <v>2622420</v>
      </c>
      <c r="L1361" s="192" t="s">
        <v>258</v>
      </c>
      <c r="M1361" s="192" t="s">
        <v>173</v>
      </c>
      <c r="N1361" s="52" t="str">
        <f>IF(AND('331-CT'!$E$7=TH!H1361,OR(L1361="331",M1361="331")),"331",IF(AND(OR(L1361="131",M1361="131"),H1361='131-CT'!$E$7),"131",""))</f>
        <v/>
      </c>
      <c r="O1361" s="818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52"/>
      <c r="AB1361" s="552"/>
    </row>
    <row r="1362" spans="1:32" s="209" customFormat="1" ht="15.75" customHeight="1">
      <c r="A1362" s="202" t="str">
        <f>IF(B1362&lt;&gt;"",IF(AND(B1362&gt;=_TM1,B1362&lt;=_TM2,OR(TH!L1362="1111",TH!M1362="1111")),TH!D1362,""),"")</f>
        <v/>
      </c>
      <c r="B1362" s="36">
        <f t="shared" si="64"/>
        <v>8</v>
      </c>
      <c r="C1362" s="182">
        <f t="shared" si="65"/>
        <v>42605</v>
      </c>
      <c r="D1362" s="182" t="s">
        <v>1084</v>
      </c>
      <c r="E1362" s="37">
        <v>42605</v>
      </c>
      <c r="F1362" s="40" t="s">
        <v>1263</v>
      </c>
      <c r="G1362" s="451" t="s">
        <v>1260</v>
      </c>
      <c r="H1362" s="191" t="s">
        <v>1261</v>
      </c>
      <c r="I1362" s="251">
        <v>218</v>
      </c>
      <c r="J1362" s="251">
        <v>10240</v>
      </c>
      <c r="K1362" s="38">
        <f>ROUND(I1362*J1362,0)</f>
        <v>2232320</v>
      </c>
      <c r="L1362" s="192" t="s">
        <v>258</v>
      </c>
      <c r="M1362" s="192" t="s">
        <v>173</v>
      </c>
      <c r="N1362" s="52" t="str">
        <f>IF(AND('331-CT'!$E$7=TH!H1362,OR(L1362="331",M1362="331")),"331",IF(AND(OR(L1362="131",M1362="131"),H1362='131-CT'!$E$7),"131",""))</f>
        <v/>
      </c>
      <c r="O1362" s="818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52"/>
      <c r="AB1362" s="552"/>
      <c r="AC1362" s="552"/>
    </row>
    <row r="1363" spans="1:32" s="209" customFormat="1" ht="15.75" customHeight="1">
      <c r="A1363" s="202" t="str">
        <f>IF(B1363&lt;&gt;"",IF(AND(B1363&gt;=_TM1,B1363&lt;=_TM2,OR(TH!L1363="1111",TH!M1363="1111")),TH!D1363,""),"")</f>
        <v/>
      </c>
      <c r="B1363" s="36">
        <f t="shared" si="64"/>
        <v>8</v>
      </c>
      <c r="C1363" s="182">
        <f t="shared" si="65"/>
        <v>42605</v>
      </c>
      <c r="D1363" s="182" t="s">
        <v>1084</v>
      </c>
      <c r="E1363" s="37">
        <v>42605</v>
      </c>
      <c r="F1363" s="40" t="s">
        <v>1254</v>
      </c>
      <c r="G1363" s="451" t="s">
        <v>1260</v>
      </c>
      <c r="H1363" s="191" t="s">
        <v>1261</v>
      </c>
      <c r="I1363" s="251"/>
      <c r="J1363" s="251"/>
      <c r="K1363" s="38">
        <v>485474</v>
      </c>
      <c r="L1363" s="192" t="s">
        <v>258</v>
      </c>
      <c r="M1363" s="192" t="s">
        <v>367</v>
      </c>
      <c r="N1363" s="52" t="str">
        <f>IF(AND('331-CT'!$E$7=TH!H1363,OR(L1363="331",M1363="331")),"331",IF(AND(OR(L1363="131",M1363="131"),H1363='131-CT'!$E$7),"131",""))</f>
        <v/>
      </c>
      <c r="O1363" s="818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52"/>
      <c r="AB1363" s="552"/>
      <c r="AC1363" s="552"/>
    </row>
    <row r="1364" spans="1:32" s="209" customFormat="1" ht="15.75" customHeight="1">
      <c r="A1364" s="202" t="str">
        <f>IF(B1364&lt;&gt;"",IF(AND(B1364&gt;=_TM1,B1364&lt;=_TM2,OR(TH!L1364="1111",TH!M1364="1111")),TH!D1364,""),"")</f>
        <v/>
      </c>
      <c r="B1364" s="36">
        <f t="shared" ref="B1364:B1427" si="66">IF(C1364&lt;&gt;"",MONTH(C1364),"")</f>
        <v>8</v>
      </c>
      <c r="C1364" s="182">
        <f t="shared" si="65"/>
        <v>42606</v>
      </c>
      <c r="D1364" s="182" t="s">
        <v>1630</v>
      </c>
      <c r="E1364" s="189">
        <v>42606</v>
      </c>
      <c r="F1364" s="187" t="s">
        <v>776</v>
      </c>
      <c r="G1364" s="190" t="s">
        <v>330</v>
      </c>
      <c r="H1364" s="191" t="s">
        <v>675</v>
      </c>
      <c r="I1364" s="251"/>
      <c r="J1364" s="251"/>
      <c r="K1364" s="560">
        <v>8800000</v>
      </c>
      <c r="L1364" s="561" t="s">
        <v>47</v>
      </c>
      <c r="M1364" s="561" t="s">
        <v>24</v>
      </c>
      <c r="N1364" s="52" t="str">
        <f>IF(AND('331-CT'!$E$7=TH!H1364,OR(L1364="331",M1364="331")),"331",IF(AND(OR(L1364="131",M1364="131"),H1364='131-CT'!$E$7),"131",""))</f>
        <v/>
      </c>
      <c r="O1364" s="818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53"/>
      <c r="AB1364" s="552"/>
      <c r="AC1364" s="552"/>
    </row>
    <row r="1365" spans="1:32" s="209" customFormat="1" ht="15.75" customHeight="1">
      <c r="A1365" s="202" t="str">
        <f>IF(B1365&lt;&gt;"",IF(AND(B1365&gt;=_TM1,B1365&lt;=_TM2,OR(TH!L1365="1111",TH!M1365="1111")),TH!D1365,""),"")</f>
        <v/>
      </c>
      <c r="B1365" s="36">
        <f t="shared" si="66"/>
        <v>8</v>
      </c>
      <c r="C1365" s="182">
        <f t="shared" si="65"/>
        <v>42606</v>
      </c>
      <c r="D1365" s="182" t="s">
        <v>669</v>
      </c>
      <c r="E1365" s="189">
        <v>42606</v>
      </c>
      <c r="F1365" s="190" t="s">
        <v>671</v>
      </c>
      <c r="G1365" s="190" t="s">
        <v>330</v>
      </c>
      <c r="H1365" s="7" t="s">
        <v>844</v>
      </c>
      <c r="I1365" s="251"/>
      <c r="J1365" s="251"/>
      <c r="K1365" s="560">
        <v>30000000</v>
      </c>
      <c r="L1365" s="192" t="s">
        <v>8</v>
      </c>
      <c r="M1365" s="561" t="s">
        <v>24</v>
      </c>
      <c r="N1365" s="52" t="str">
        <f>IF(AND('331-CT'!$E$7=TH!H1365,OR(L1365="331",M1365="331")),"331",IF(AND(OR(L1365="131",M1365="131"),H1365='131-CT'!$E$7),"131",""))</f>
        <v/>
      </c>
      <c r="O1365" s="818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53"/>
      <c r="AB1365" s="552"/>
    </row>
    <row r="1366" spans="1:32" s="209" customFormat="1" ht="15.75" customHeight="1">
      <c r="A1366" s="202" t="str">
        <f>IF(B1366&lt;&gt;"",IF(AND(B1366&gt;=_TM1,B1366&lt;=_TM2,OR(TH!L1366="1111",TH!M1366="1111")),TH!D1366,""),"")</f>
        <v/>
      </c>
      <c r="B1366" s="36">
        <f t="shared" si="66"/>
        <v>8</v>
      </c>
      <c r="C1366" s="182">
        <f t="shared" si="65"/>
        <v>42606</v>
      </c>
      <c r="D1366" s="182" t="s">
        <v>669</v>
      </c>
      <c r="E1366" s="189">
        <v>42606</v>
      </c>
      <c r="F1366" s="190" t="s">
        <v>672</v>
      </c>
      <c r="G1366" s="190" t="s">
        <v>330</v>
      </c>
      <c r="H1366" s="7"/>
      <c r="I1366" s="251"/>
      <c r="J1366" s="251"/>
      <c r="K1366" s="560">
        <v>13637</v>
      </c>
      <c r="L1366" s="561" t="s">
        <v>83</v>
      </c>
      <c r="M1366" s="561" t="s">
        <v>24</v>
      </c>
      <c r="N1366" s="52" t="str">
        <f>IF(AND('331-CT'!$E$7=TH!H1366,OR(L1366="331",M1366="331")),"331",IF(AND(OR(L1366="131",M1366="131"),H1366='131-CT'!$E$7),"131",""))</f>
        <v/>
      </c>
      <c r="O1366" s="818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>x</v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52">
        <v>3</v>
      </c>
      <c r="AB1366" s="552"/>
      <c r="AC1366" s="552"/>
    </row>
    <row r="1367" spans="1:32" s="209" customFormat="1" ht="15.75" customHeight="1">
      <c r="A1367" s="202" t="str">
        <f>IF(B1367&lt;&gt;"",IF(AND(B1367&gt;=_TM1,B1367&lt;=_TM2,OR(TH!L1367="1111",TH!M1367="1111")),TH!D1367,""),"")</f>
        <v/>
      </c>
      <c r="B1367" s="36">
        <f t="shared" si="66"/>
        <v>8</v>
      </c>
      <c r="C1367" s="182">
        <f t="shared" si="65"/>
        <v>42606</v>
      </c>
      <c r="D1367" s="182" t="s">
        <v>669</v>
      </c>
      <c r="E1367" s="189">
        <v>42606</v>
      </c>
      <c r="F1367" s="190" t="s">
        <v>762</v>
      </c>
      <c r="G1367" s="190" t="s">
        <v>330</v>
      </c>
      <c r="H1367" s="7"/>
      <c r="I1367" s="251"/>
      <c r="J1367" s="251"/>
      <c r="K1367" s="560">
        <v>1363</v>
      </c>
      <c r="L1367" s="561" t="s">
        <v>9</v>
      </c>
      <c r="M1367" s="561" t="s">
        <v>24</v>
      </c>
      <c r="N1367" s="52" t="str">
        <f>IF(AND('331-CT'!$E$7=TH!H1367,OR(L1367="331",M1367="331")),"331",IF(AND(OR(L1367="131",M1367="131"),H1367='131-CT'!$E$7),"131",""))</f>
        <v/>
      </c>
      <c r="O1367" s="818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52">
        <v>3</v>
      </c>
      <c r="AB1367" s="552"/>
    </row>
    <row r="1368" spans="1:32" s="209" customFormat="1" ht="15.75" customHeight="1">
      <c r="A1368" s="202" t="str">
        <f>IF(B1368&lt;&gt;"",IF(AND(B1368&gt;=_TM1,B1368&lt;=_TM2,OR(TH!L1368="1111",TH!M1368="1111")),TH!D1368,""),"")</f>
        <v/>
      </c>
      <c r="B1368" s="36">
        <f t="shared" si="66"/>
        <v>8</v>
      </c>
      <c r="C1368" s="182">
        <f t="shared" si="65"/>
        <v>42606</v>
      </c>
      <c r="D1368" s="182" t="s">
        <v>669</v>
      </c>
      <c r="E1368" s="189">
        <v>42606</v>
      </c>
      <c r="F1368" s="187" t="s">
        <v>1290</v>
      </c>
      <c r="G1368" s="190" t="s">
        <v>1287</v>
      </c>
      <c r="H1368" s="191" t="s">
        <v>1294</v>
      </c>
      <c r="I1368" s="251"/>
      <c r="J1368" s="251"/>
      <c r="K1368" s="560">
        <v>100000000</v>
      </c>
      <c r="L1368" s="561" t="s">
        <v>24</v>
      </c>
      <c r="M1368" s="561" t="s">
        <v>759</v>
      </c>
      <c r="N1368" s="52" t="str">
        <f>IF(AND('331-CT'!$E$7=TH!H1368,OR(L1368="331",M1368="331")),"331",IF(AND(OR(L1368="131",M1368="131"),H1368='131-CT'!$E$7),"131",""))</f>
        <v/>
      </c>
      <c r="O1368" s="818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>x</v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53"/>
      <c r="AB1368" s="552"/>
      <c r="AC1368" s="552"/>
    </row>
    <row r="1369" spans="1:32" s="209" customFormat="1" ht="15.75" customHeight="1">
      <c r="A1369" s="202" t="str">
        <f>IF(B1369&lt;&gt;"",IF(AND(B1369&gt;=_TM1,B1369&lt;=_TM2,OR(TH!L1369="1111",TH!M1369="1111")),TH!D1369,""),"")</f>
        <v/>
      </c>
      <c r="B1369" s="36">
        <f t="shared" si="66"/>
        <v>8</v>
      </c>
      <c r="C1369" s="182">
        <f t="shared" si="65"/>
        <v>42606</v>
      </c>
      <c r="D1369" s="182" t="s">
        <v>669</v>
      </c>
      <c r="E1369" s="189">
        <v>42606</v>
      </c>
      <c r="F1369" s="187" t="s">
        <v>672</v>
      </c>
      <c r="G1369" s="190" t="s">
        <v>1287</v>
      </c>
      <c r="H1369" s="191"/>
      <c r="I1369" s="251"/>
      <c r="J1369" s="251"/>
      <c r="K1369" s="560">
        <v>63637</v>
      </c>
      <c r="L1369" s="561" t="s">
        <v>83</v>
      </c>
      <c r="M1369" s="561" t="s">
        <v>24</v>
      </c>
      <c r="N1369" s="52" t="str">
        <f>IF(AND('331-CT'!$E$7=TH!H1369,OR(L1369="331",M1369="331")),"331",IF(AND(OR(L1369="131",M1369="131"),H1369='131-CT'!$E$7),"131",""))</f>
        <v/>
      </c>
      <c r="O1369" s="818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>x</v>
      </c>
      <c r="V1369" s="52" t="str">
        <f>IF(OR(TH!L1369=TH!$V$7,M1369=TH!$V$7),"x","")</f>
        <v>x</v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53">
        <v>3</v>
      </c>
      <c r="AB1369" s="552"/>
      <c r="AC1369" s="552"/>
    </row>
    <row r="1370" spans="1:32" s="209" customFormat="1" ht="15.75" customHeight="1">
      <c r="A1370" s="202" t="str">
        <f>IF(B1370&lt;&gt;"",IF(AND(B1370&gt;=_TM1,B1370&lt;=_TM2,OR(TH!L1370="1111",TH!M1370="1111")),TH!D1370,""),"")</f>
        <v/>
      </c>
      <c r="B1370" s="36">
        <f t="shared" si="66"/>
        <v>8</v>
      </c>
      <c r="C1370" s="182">
        <f t="shared" si="65"/>
        <v>42606</v>
      </c>
      <c r="D1370" s="182" t="s">
        <v>669</v>
      </c>
      <c r="E1370" s="189">
        <v>42606</v>
      </c>
      <c r="F1370" s="190" t="s">
        <v>762</v>
      </c>
      <c r="G1370" s="190" t="s">
        <v>1287</v>
      </c>
      <c r="H1370" s="191"/>
      <c r="I1370" s="251"/>
      <c r="J1370" s="251"/>
      <c r="K1370" s="560">
        <v>6363</v>
      </c>
      <c r="L1370" s="561" t="s">
        <v>9</v>
      </c>
      <c r="M1370" s="561" t="s">
        <v>24</v>
      </c>
      <c r="N1370" s="52" t="str">
        <f>IF(AND('331-CT'!$E$7=TH!H1370,OR(L1370="331",M1370="331")),"331",IF(AND(OR(L1370="131",M1370="131"),H1370='131-CT'!$E$7),"131",""))</f>
        <v/>
      </c>
      <c r="O1370" s="818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>x</v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53">
        <v>3</v>
      </c>
      <c r="AB1370" s="552"/>
      <c r="AC1370" s="552"/>
    </row>
    <row r="1371" spans="1:32" s="209" customFormat="1" ht="15.75" customHeight="1">
      <c r="A1371" s="202" t="str">
        <f>IF(B1371&lt;&gt;"",IF(AND(B1371&gt;=_TM1,B1371&lt;=_TM2,OR(TH!L1371="1111",TH!M1371="1111")),TH!D1371,""),"")</f>
        <v/>
      </c>
      <c r="B1371" s="36">
        <f t="shared" si="66"/>
        <v>8</v>
      </c>
      <c r="C1371" s="182">
        <f t="shared" si="65"/>
        <v>42606</v>
      </c>
      <c r="D1371" s="182" t="s">
        <v>1631</v>
      </c>
      <c r="E1371" s="189">
        <v>42606</v>
      </c>
      <c r="F1371" s="187" t="s">
        <v>776</v>
      </c>
      <c r="G1371" s="190" t="s">
        <v>1287</v>
      </c>
      <c r="H1371" s="191" t="s">
        <v>675</v>
      </c>
      <c r="I1371" s="251"/>
      <c r="J1371" s="251"/>
      <c r="K1371" s="560">
        <v>100000000</v>
      </c>
      <c r="L1371" s="561" t="s">
        <v>47</v>
      </c>
      <c r="M1371" s="561" t="s">
        <v>24</v>
      </c>
      <c r="N1371" s="52" t="str">
        <f>IF(AND('331-CT'!$E$7=TH!H1371,OR(L1371="331",M1371="331")),"331",IF(AND(OR(L1371="131",M1371="131"),H1371='131-CT'!$E$7),"131",""))</f>
        <v/>
      </c>
      <c r="O1371" s="818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>x</v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53"/>
      <c r="AB1371" s="552"/>
      <c r="AC1371" s="552"/>
    </row>
    <row r="1372" spans="1:32" s="209" customFormat="1" ht="15.75" customHeight="1">
      <c r="A1372" s="202" t="str">
        <f>IF(B1372&lt;&gt;"",IF(AND(B1372&gt;=_TM1,B1372&lt;=_TM2,OR(TH!L1372="1111",TH!M1372="1111")),TH!D1372,""),"")</f>
        <v/>
      </c>
      <c r="B1372" s="36">
        <f t="shared" si="66"/>
        <v>8</v>
      </c>
      <c r="C1372" s="182">
        <f t="shared" si="65"/>
        <v>42606</v>
      </c>
      <c r="D1372" s="182" t="s">
        <v>669</v>
      </c>
      <c r="E1372" s="189">
        <v>42606</v>
      </c>
      <c r="F1372" s="187" t="s">
        <v>1292</v>
      </c>
      <c r="G1372" s="190" t="s">
        <v>1287</v>
      </c>
      <c r="H1372" s="191"/>
      <c r="I1372" s="251"/>
      <c r="J1372" s="251"/>
      <c r="K1372" s="560">
        <v>9091</v>
      </c>
      <c r="L1372" s="561" t="s">
        <v>83</v>
      </c>
      <c r="M1372" s="561" t="s">
        <v>24</v>
      </c>
      <c r="N1372" s="52" t="str">
        <f>IF(AND('331-CT'!$E$7=TH!H1372,OR(L1372="331",M1372="331")),"331",IF(AND(OR(L1372="131",M1372="131"),H1372='131-CT'!$E$7),"131",""))</f>
        <v/>
      </c>
      <c r="O1372" s="818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>x</v>
      </c>
      <c r="V1372" s="52" t="str">
        <f>IF(OR(TH!L1372=TH!$V$7,M1372=TH!$V$7),"x","")</f>
        <v>x</v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53">
        <v>3</v>
      </c>
      <c r="AB1372" s="552"/>
      <c r="AC1372" s="552"/>
    </row>
    <row r="1373" spans="1:32" s="209" customFormat="1" ht="15.75" customHeight="1">
      <c r="A1373" s="202" t="str">
        <f>IF(B1373&lt;&gt;"",IF(AND(B1373&gt;=_TM1,B1373&lt;=_TM2,OR(TH!L1373="1111",TH!M1373="1111")),TH!D1373,""),"")</f>
        <v/>
      </c>
      <c r="B1373" s="36">
        <f t="shared" si="66"/>
        <v>8</v>
      </c>
      <c r="C1373" s="182">
        <f t="shared" si="65"/>
        <v>42606</v>
      </c>
      <c r="D1373" s="182" t="s">
        <v>669</v>
      </c>
      <c r="E1373" s="189">
        <v>42606</v>
      </c>
      <c r="F1373" s="187" t="s">
        <v>1293</v>
      </c>
      <c r="G1373" s="190" t="s">
        <v>1287</v>
      </c>
      <c r="H1373" s="191"/>
      <c r="I1373" s="251"/>
      <c r="J1373" s="251"/>
      <c r="K1373" s="560">
        <v>909</v>
      </c>
      <c r="L1373" s="561" t="s">
        <v>9</v>
      </c>
      <c r="M1373" s="561" t="s">
        <v>24</v>
      </c>
      <c r="N1373" s="52" t="str">
        <f>IF(AND('331-CT'!$E$7=TH!H1373,OR(L1373="331",M1373="331")),"331",IF(AND(OR(L1373="131",M1373="131"),H1373='131-CT'!$E$7),"131",""))</f>
        <v/>
      </c>
      <c r="O1373" s="818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>x</v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53">
        <v>3</v>
      </c>
      <c r="AB1373" s="552"/>
      <c r="AC1373" s="552"/>
    </row>
    <row r="1374" spans="1:32" s="209" customFormat="1" ht="15.75" customHeight="1">
      <c r="A1374" s="202" t="str">
        <f>IF(B1374&lt;&gt;"",IF(AND(B1374&gt;=_TM1,B1374&lt;=_TM2,OR(TH!L1374="1111",TH!M1374="1111")),TH!D1374,""),"")</f>
        <v/>
      </c>
      <c r="B1374" s="36">
        <f t="shared" si="66"/>
        <v>8</v>
      </c>
      <c r="C1374" s="182">
        <f t="shared" si="65"/>
        <v>42607</v>
      </c>
      <c r="D1374" s="182" t="s">
        <v>665</v>
      </c>
      <c r="E1374" s="189">
        <v>42607</v>
      </c>
      <c r="F1374" s="190" t="s">
        <v>667</v>
      </c>
      <c r="G1374" s="190" t="s">
        <v>330</v>
      </c>
      <c r="H1374" s="7"/>
      <c r="I1374" s="251"/>
      <c r="J1374" s="251"/>
      <c r="K1374" s="560">
        <v>2027</v>
      </c>
      <c r="L1374" s="192" t="s">
        <v>24</v>
      </c>
      <c r="M1374" s="192" t="s">
        <v>40</v>
      </c>
      <c r="N1374" s="52" t="str">
        <f>IF(AND('331-CT'!$E$7=TH!H1374,OR(L1374="331",M1374="331")),"331",IF(AND(OR(L1374="131",M1374="131"),H1374='131-CT'!$E$7),"131",""))</f>
        <v/>
      </c>
      <c r="O1374" s="818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53"/>
      <c r="AB1374" s="552"/>
    </row>
    <row r="1375" spans="1:32" s="209" customFormat="1" ht="15.75" customHeight="1">
      <c r="A1375" s="202" t="str">
        <f>IF(B1375&lt;&gt;"",IF(AND(B1375&gt;=_TM1,B1375&lt;=_TM2,OR(TH!L1375="1111",TH!M1375="1111")),TH!D1375,""),"")</f>
        <v/>
      </c>
      <c r="B1375" s="36">
        <f t="shared" si="66"/>
        <v>8</v>
      </c>
      <c r="C1375" s="182">
        <f t="shared" si="65"/>
        <v>42608</v>
      </c>
      <c r="D1375" s="182" t="s">
        <v>669</v>
      </c>
      <c r="E1375" s="182">
        <v>42608</v>
      </c>
      <c r="F1375" s="187" t="s">
        <v>771</v>
      </c>
      <c r="G1375" s="448" t="s">
        <v>756</v>
      </c>
      <c r="H1375" s="191"/>
      <c r="I1375" s="251"/>
      <c r="J1375" s="251"/>
      <c r="K1375" s="560">
        <v>50000</v>
      </c>
      <c r="L1375" s="561" t="s">
        <v>83</v>
      </c>
      <c r="M1375" s="561" t="s">
        <v>24</v>
      </c>
      <c r="N1375" s="52" t="str">
        <f>IF(AND('331-CT'!$E$7=TH!H1375,OR(L1375="331",M1375="331")),"331",IF(AND(OR(L1375="131",M1375="131"),H1375='131-CT'!$E$7),"131",""))</f>
        <v/>
      </c>
      <c r="O1375" s="818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>x</v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52">
        <v>3</v>
      </c>
      <c r="AB1375" s="552"/>
      <c r="AC1375" s="552"/>
      <c r="AD1375" s="552"/>
      <c r="AE1375" s="552"/>
      <c r="AF1375" s="552"/>
    </row>
    <row r="1376" spans="1:32" s="209" customFormat="1" ht="15.75" customHeight="1">
      <c r="A1376" s="202" t="str">
        <f>IF(B1376&lt;&gt;"",IF(AND(B1376&gt;=_TM1,B1376&lt;=_TM2,OR(TH!L1376="1111",TH!M1376="1111")),TH!D1376,""),"")</f>
        <v/>
      </c>
      <c r="B1376" s="36">
        <f t="shared" si="66"/>
        <v>8</v>
      </c>
      <c r="C1376" s="182">
        <f t="shared" si="65"/>
        <v>42608</v>
      </c>
      <c r="D1376" s="182" t="s">
        <v>669</v>
      </c>
      <c r="E1376" s="182">
        <v>42608</v>
      </c>
      <c r="F1376" s="187" t="s">
        <v>772</v>
      </c>
      <c r="G1376" s="448" t="s">
        <v>756</v>
      </c>
      <c r="H1376" s="191"/>
      <c r="I1376" s="251"/>
      <c r="J1376" s="251"/>
      <c r="K1376" s="560">
        <v>5000</v>
      </c>
      <c r="L1376" s="561" t="s">
        <v>9</v>
      </c>
      <c r="M1376" s="561" t="s">
        <v>24</v>
      </c>
      <c r="N1376" s="52" t="str">
        <f>IF(AND('331-CT'!$E$7=TH!H1376,OR(L1376="331",M1376="331")),"331",IF(AND(OR(L1376="131",M1376="131"),H1376='131-CT'!$E$7),"131",""))</f>
        <v/>
      </c>
      <c r="O1376" s="818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52">
        <v>3</v>
      </c>
      <c r="AB1376" s="552"/>
      <c r="AC1376" s="552"/>
      <c r="AD1376" s="552"/>
      <c r="AE1376" s="552"/>
      <c r="AF1376" s="552"/>
    </row>
    <row r="1377" spans="1:32" s="209" customFormat="1" ht="15.75" customHeight="1">
      <c r="A1377" s="202" t="str">
        <f>IF(B1377&lt;&gt;"",IF(AND(B1377&gt;=_TM1,B1377&lt;=_TM2,OR(TH!L1377="1111",TH!M1377="1111")),TH!D1377,""),"")</f>
        <v/>
      </c>
      <c r="B1377" s="36">
        <f t="shared" si="66"/>
        <v>8</v>
      </c>
      <c r="C1377" s="182">
        <f t="shared" si="65"/>
        <v>42608</v>
      </c>
      <c r="D1377" s="182" t="s">
        <v>1632</v>
      </c>
      <c r="E1377" s="182">
        <v>42608</v>
      </c>
      <c r="F1377" s="187" t="s">
        <v>776</v>
      </c>
      <c r="G1377" s="448" t="s">
        <v>756</v>
      </c>
      <c r="H1377" s="191" t="s">
        <v>675</v>
      </c>
      <c r="I1377" s="251"/>
      <c r="J1377" s="251"/>
      <c r="K1377" s="560">
        <v>525207</v>
      </c>
      <c r="L1377" s="561" t="s">
        <v>47</v>
      </c>
      <c r="M1377" s="561" t="s">
        <v>24</v>
      </c>
      <c r="N1377" s="52" t="str">
        <f>IF(AND('331-CT'!$E$7=TH!H1377,OR(L1377="331",M1377="331")),"331",IF(AND(OR(L1377="131",M1377="131"),H1377='131-CT'!$E$7),"131",""))</f>
        <v/>
      </c>
      <c r="O1377" s="818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52"/>
      <c r="AB1377" s="552"/>
      <c r="AC1377" s="552"/>
      <c r="AD1377" s="552"/>
      <c r="AE1377" s="552"/>
      <c r="AF1377" s="552"/>
    </row>
    <row r="1378" spans="1:32" s="209" customFormat="1" ht="15.75" customHeight="1">
      <c r="A1378" s="202" t="str">
        <f>IF(B1378&lt;&gt;"",IF(AND(B1378&gt;=_TM1,B1378&lt;=_TM2,OR(TH!L1378="1111",TH!M1378="1111")),TH!D1378,""),"")</f>
        <v/>
      </c>
      <c r="B1378" s="36">
        <f t="shared" si="66"/>
        <v>8</v>
      </c>
      <c r="C1378" s="182">
        <f t="shared" si="65"/>
        <v>42608</v>
      </c>
      <c r="D1378" s="182" t="s">
        <v>1186</v>
      </c>
      <c r="E1378" s="182">
        <v>42608</v>
      </c>
      <c r="F1378" s="187" t="s">
        <v>1247</v>
      </c>
      <c r="G1378" s="448" t="s">
        <v>1249</v>
      </c>
      <c r="H1378" s="7" t="s">
        <v>855</v>
      </c>
      <c r="I1378" s="251">
        <v>1215</v>
      </c>
      <c r="J1378" s="251">
        <v>9200</v>
      </c>
      <c r="K1378" s="38">
        <f>ROUND(I1378*J1378,0)</f>
        <v>11178000</v>
      </c>
      <c r="L1378" s="192" t="s">
        <v>158</v>
      </c>
      <c r="M1378" s="192" t="s">
        <v>8</v>
      </c>
      <c r="N1378" s="52" t="str">
        <f>IF(AND('331-CT'!$E$7=TH!H1378,OR(L1378="331",M1378="331")),"331",IF(AND(OR(L1378="131",M1378="131"),H1378='131-CT'!$E$7),"131",""))</f>
        <v/>
      </c>
      <c r="O1378" s="818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53">
        <v>3</v>
      </c>
      <c r="AB1378" s="552"/>
      <c r="AC1378" s="209" t="str">
        <f>IF(VLOOKUP(H1378,DSKH,1,0)=H1378,"","x")</f>
        <v/>
      </c>
    </row>
    <row r="1379" spans="1:32" s="209" customFormat="1" ht="15.75" customHeight="1">
      <c r="A1379" s="202" t="str">
        <f>IF(B1379&lt;&gt;"",IF(AND(B1379&gt;=_TM1,B1379&lt;=_TM2,OR(TH!L1379="1111",TH!M1379="1111")),TH!D1379,""),"")</f>
        <v/>
      </c>
      <c r="B1379" s="36">
        <f t="shared" si="66"/>
        <v>8</v>
      </c>
      <c r="C1379" s="182">
        <f t="shared" si="65"/>
        <v>42608</v>
      </c>
      <c r="D1379" s="182" t="s">
        <v>1186</v>
      </c>
      <c r="E1379" s="182">
        <v>42608</v>
      </c>
      <c r="F1379" s="187" t="s">
        <v>1250</v>
      </c>
      <c r="G1379" s="448" t="s">
        <v>1249</v>
      </c>
      <c r="H1379" s="7" t="s">
        <v>855</v>
      </c>
      <c r="I1379" s="251">
        <v>3085</v>
      </c>
      <c r="J1379" s="251">
        <v>9200</v>
      </c>
      <c r="K1379" s="38">
        <f>ROUND(I1379*J1379,0)</f>
        <v>28382000</v>
      </c>
      <c r="L1379" s="192" t="s">
        <v>158</v>
      </c>
      <c r="M1379" s="192" t="s">
        <v>8</v>
      </c>
      <c r="N1379" s="52" t="str">
        <f>IF(AND('331-CT'!$E$7=TH!H1379,OR(L1379="331",M1379="331")),"331",IF(AND(OR(L1379="131",M1379="131"),H1379='131-CT'!$E$7),"131",""))</f>
        <v/>
      </c>
      <c r="O1379" s="818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53">
        <v>3</v>
      </c>
      <c r="AB1379" s="552"/>
      <c r="AC1379" s="209" t="str">
        <f>IF(VLOOKUP(H1379,DSKH,1,0)=H1379,"","x")</f>
        <v/>
      </c>
    </row>
    <row r="1380" spans="1:32" s="209" customFormat="1" ht="15.75" customHeight="1">
      <c r="A1380" s="202" t="str">
        <f>IF(B1380&lt;&gt;"",IF(AND(B1380&gt;=_TM1,B1380&lt;=_TM2,OR(TH!L1380="1111",TH!M1380="1111")),TH!D1380,""),"")</f>
        <v/>
      </c>
      <c r="B1380" s="36">
        <f t="shared" si="66"/>
        <v>8</v>
      </c>
      <c r="C1380" s="182">
        <f t="shared" si="65"/>
        <v>42608</v>
      </c>
      <c r="D1380" s="182" t="s">
        <v>1186</v>
      </c>
      <c r="E1380" s="182">
        <v>42608</v>
      </c>
      <c r="F1380" s="187" t="s">
        <v>856</v>
      </c>
      <c r="G1380" s="448" t="s">
        <v>1249</v>
      </c>
      <c r="H1380" s="7" t="s">
        <v>855</v>
      </c>
      <c r="I1380" s="251"/>
      <c r="J1380" s="251"/>
      <c r="K1380" s="560">
        <v>3956000</v>
      </c>
      <c r="L1380" s="192" t="s">
        <v>9</v>
      </c>
      <c r="M1380" s="192" t="s">
        <v>8</v>
      </c>
      <c r="N1380" s="52" t="str">
        <f>IF(AND('331-CT'!$E$7=TH!H1380,OR(L1380="331",M1380="331")),"331",IF(AND(OR(L1380="131",M1380="131"),H1380='131-CT'!$E$7),"131",""))</f>
        <v/>
      </c>
      <c r="O1380" s="818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53">
        <v>3</v>
      </c>
      <c r="AB1380" s="552"/>
      <c r="AC1380" s="209" t="str">
        <f>IF(VLOOKUP(H1380,DSKH,1,0)=H1380,"","x")</f>
        <v/>
      </c>
    </row>
    <row r="1381" spans="1:32" s="209" customFormat="1" ht="15.75" customHeight="1">
      <c r="A1381" s="202" t="str">
        <f>IF(B1381&lt;&gt;"",IF(AND(B1381&gt;=_TM1,B1381&lt;=_TM2,OR(TH!L1381="1111",TH!M1381="1111")),TH!D1381,""),"")</f>
        <v/>
      </c>
      <c r="B1381" s="36">
        <f t="shared" si="66"/>
        <v>8</v>
      </c>
      <c r="C1381" s="182">
        <f t="shared" si="65"/>
        <v>42612</v>
      </c>
      <c r="D1381" s="182" t="s">
        <v>665</v>
      </c>
      <c r="E1381" s="189">
        <v>42612</v>
      </c>
      <c r="F1381" s="190" t="s">
        <v>666</v>
      </c>
      <c r="G1381" s="190" t="s">
        <v>330</v>
      </c>
      <c r="H1381" s="711" t="s">
        <v>777</v>
      </c>
      <c r="I1381" s="251"/>
      <c r="J1381" s="251"/>
      <c r="K1381" s="560">
        <v>2333100</v>
      </c>
      <c r="L1381" s="192" t="s">
        <v>24</v>
      </c>
      <c r="M1381" s="192" t="s">
        <v>258</v>
      </c>
      <c r="N1381" s="52" t="str">
        <f>IF(AND('331-CT'!$E$7=TH!H1381,OR(L1381="331",M1381="331")),"331",IF(AND(OR(L1381="131",M1381="131"),H1381='131-CT'!$E$7),"131",""))</f>
        <v>131</v>
      </c>
      <c r="O1381" s="818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53"/>
      <c r="AB1381" s="552"/>
      <c r="AC1381" s="552"/>
    </row>
    <row r="1382" spans="1:32" s="209" customFormat="1" ht="15.75" customHeight="1">
      <c r="A1382" s="202" t="str">
        <f>IF(B1382&lt;&gt;"",IF(AND(B1382&gt;=_TM1,B1382&lt;=_TM2,OR(TH!L1382="1111",TH!M1382="1111")),TH!D1382,""),"")</f>
        <v/>
      </c>
      <c r="B1382" s="36">
        <f t="shared" si="66"/>
        <v>8</v>
      </c>
      <c r="C1382" s="182">
        <f t="shared" si="65"/>
        <v>42612</v>
      </c>
      <c r="D1382" s="182" t="s">
        <v>1085</v>
      </c>
      <c r="E1382" s="37">
        <v>42612</v>
      </c>
      <c r="F1382" s="40" t="s">
        <v>1255</v>
      </c>
      <c r="G1382" s="451" t="s">
        <v>1264</v>
      </c>
      <c r="H1382" s="7" t="s">
        <v>391</v>
      </c>
      <c r="I1382" s="251">
        <v>819</v>
      </c>
      <c r="J1382" s="251">
        <v>5000</v>
      </c>
      <c r="K1382" s="38">
        <f>ROUND(I1382*J1382,0)</f>
        <v>4095000</v>
      </c>
      <c r="L1382" s="192" t="s">
        <v>258</v>
      </c>
      <c r="M1382" s="192" t="s">
        <v>173</v>
      </c>
      <c r="N1382" s="52" t="str">
        <f>IF(AND('331-CT'!$E$7=TH!H1382,OR(L1382="331",M1382="331")),"331",IF(AND(OR(L1382="131",M1382="131"),H1382='131-CT'!$E$7),"131",""))</f>
        <v/>
      </c>
      <c r="O1382" s="818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52"/>
      <c r="AB1382" s="552"/>
    </row>
    <row r="1383" spans="1:32" s="209" customFormat="1" ht="15.75" customHeight="1">
      <c r="A1383" s="202" t="str">
        <f>IF(B1383&lt;&gt;"",IF(AND(B1383&gt;=_TM1,B1383&lt;=_TM2,OR(TH!L1383="1111",TH!M1383="1111")),TH!D1383,""),"")</f>
        <v/>
      </c>
      <c r="B1383" s="36">
        <f t="shared" si="66"/>
        <v>8</v>
      </c>
      <c r="C1383" s="182">
        <f t="shared" si="65"/>
        <v>42612</v>
      </c>
      <c r="D1383" s="182" t="s">
        <v>1085</v>
      </c>
      <c r="E1383" s="37">
        <v>42612</v>
      </c>
      <c r="F1383" s="40" t="s">
        <v>1256</v>
      </c>
      <c r="G1383" s="451" t="s">
        <v>1264</v>
      </c>
      <c r="H1383" s="7" t="s">
        <v>391</v>
      </c>
      <c r="I1383" s="251">
        <v>610</v>
      </c>
      <c r="J1383" s="251">
        <v>5550</v>
      </c>
      <c r="K1383" s="38">
        <f>ROUND(I1383*J1383,0)</f>
        <v>3385500</v>
      </c>
      <c r="L1383" s="192" t="s">
        <v>258</v>
      </c>
      <c r="M1383" s="192" t="s">
        <v>173</v>
      </c>
      <c r="N1383" s="52" t="str">
        <f>IF(AND('331-CT'!$E$7=TH!H1383,OR(L1383="331",M1383="331")),"331",IF(AND(OR(L1383="131",M1383="131"),H1383='131-CT'!$E$7),"131",""))</f>
        <v/>
      </c>
      <c r="O1383" s="818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52"/>
      <c r="AB1383" s="552"/>
      <c r="AC1383" s="552"/>
    </row>
    <row r="1384" spans="1:32" s="209" customFormat="1" ht="15.75" customHeight="1">
      <c r="A1384" s="202" t="str">
        <f>IF(B1384&lt;&gt;"",IF(AND(B1384&gt;=_TM1,B1384&lt;=_TM2,OR(TH!L1384="1111",TH!M1384="1111")),TH!D1384,""),"")</f>
        <v/>
      </c>
      <c r="B1384" s="36">
        <f t="shared" si="66"/>
        <v>8</v>
      </c>
      <c r="C1384" s="182">
        <f t="shared" si="65"/>
        <v>42612</v>
      </c>
      <c r="D1384" s="182" t="s">
        <v>1085</v>
      </c>
      <c r="E1384" s="37">
        <v>42612</v>
      </c>
      <c r="F1384" s="40" t="s">
        <v>441</v>
      </c>
      <c r="G1384" s="451" t="s">
        <v>1264</v>
      </c>
      <c r="H1384" s="7" t="s">
        <v>391</v>
      </c>
      <c r="I1384" s="251">
        <v>599</v>
      </c>
      <c r="J1384" s="251">
        <v>9700</v>
      </c>
      <c r="K1384" s="38">
        <f>ROUND(I1384*J1384,0)</f>
        <v>5810300</v>
      </c>
      <c r="L1384" s="192" t="s">
        <v>258</v>
      </c>
      <c r="M1384" s="192" t="s">
        <v>173</v>
      </c>
      <c r="N1384" s="52" t="str">
        <f>IF(AND('331-CT'!$E$7=TH!H1384,OR(L1384="331",M1384="331")),"331",IF(AND(OR(L1384="131",M1384="131"),H1384='131-CT'!$E$7),"131",""))</f>
        <v/>
      </c>
      <c r="O1384" s="818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52"/>
      <c r="AB1384" s="552"/>
      <c r="AC1384" s="552"/>
    </row>
    <row r="1385" spans="1:32" s="209" customFormat="1" ht="15.75" customHeight="1">
      <c r="A1385" s="202" t="str">
        <f>IF(B1385&lt;&gt;"",IF(AND(B1385&gt;=_TM1,B1385&lt;=_TM2,OR(TH!L1385="1111",TH!M1385="1111")),TH!D1385,""),"")</f>
        <v/>
      </c>
      <c r="B1385" s="36">
        <f t="shared" si="66"/>
        <v>8</v>
      </c>
      <c r="C1385" s="182">
        <f t="shared" si="65"/>
        <v>42612</v>
      </c>
      <c r="D1385" s="182" t="s">
        <v>1085</v>
      </c>
      <c r="E1385" s="37">
        <v>42612</v>
      </c>
      <c r="F1385" s="40" t="s">
        <v>454</v>
      </c>
      <c r="G1385" s="451" t="s">
        <v>1264</v>
      </c>
      <c r="H1385" s="7" t="s">
        <v>391</v>
      </c>
      <c r="I1385" s="251">
        <v>305</v>
      </c>
      <c r="J1385" s="251">
        <v>10670</v>
      </c>
      <c r="K1385" s="38">
        <f>ROUND(I1385*J1385,0)</f>
        <v>3254350</v>
      </c>
      <c r="L1385" s="192" t="s">
        <v>258</v>
      </c>
      <c r="M1385" s="192" t="s">
        <v>173</v>
      </c>
      <c r="N1385" s="52" t="str">
        <f>IF(AND('331-CT'!$E$7=TH!H1385,OR(L1385="331",M1385="331")),"331",IF(AND(OR(L1385="131",M1385="131"),H1385='131-CT'!$E$7),"131",""))</f>
        <v/>
      </c>
      <c r="O1385" s="818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52"/>
      <c r="AB1385" s="552"/>
    </row>
    <row r="1386" spans="1:32" s="209" customFormat="1" ht="15.75" customHeight="1">
      <c r="A1386" s="202" t="str">
        <f>IF(B1386&lt;&gt;"",IF(AND(B1386&gt;=_TM1,B1386&lt;=_TM2,OR(TH!L1386="1111",TH!M1386="1111")),TH!D1386,""),"")</f>
        <v/>
      </c>
      <c r="B1386" s="36">
        <f t="shared" si="66"/>
        <v>8</v>
      </c>
      <c r="C1386" s="182">
        <f t="shared" si="65"/>
        <v>42612</v>
      </c>
      <c r="D1386" s="182" t="s">
        <v>1085</v>
      </c>
      <c r="E1386" s="37">
        <v>42612</v>
      </c>
      <c r="F1386" s="40" t="s">
        <v>1254</v>
      </c>
      <c r="G1386" s="451" t="s">
        <v>1264</v>
      </c>
      <c r="H1386" s="7" t="s">
        <v>391</v>
      </c>
      <c r="I1386" s="251"/>
      <c r="J1386" s="251"/>
      <c r="K1386" s="38">
        <v>1654515</v>
      </c>
      <c r="L1386" s="192" t="s">
        <v>258</v>
      </c>
      <c r="M1386" s="192" t="s">
        <v>367</v>
      </c>
      <c r="N1386" s="52" t="str">
        <f>IF(AND('331-CT'!$E$7=TH!H1386,OR(L1386="331",M1386="331")),"331",IF(AND(OR(L1386="131",M1386="131"),H1386='131-CT'!$E$7),"131",""))</f>
        <v/>
      </c>
      <c r="O1386" s="818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52"/>
      <c r="AB1386" s="552"/>
      <c r="AC1386" s="552"/>
    </row>
    <row r="1387" spans="1:32" s="209" customFormat="1" ht="15.75" customHeight="1">
      <c r="A1387" s="202" t="str">
        <f>IF(B1387&lt;&gt;"",IF(AND(B1387&gt;=_TM1,B1387&lt;=_TM2,OR(TH!L1387="1111",TH!M1387="1111")),TH!D1387,""),"")</f>
        <v/>
      </c>
      <c r="B1387" s="36">
        <f t="shared" si="66"/>
        <v>8</v>
      </c>
      <c r="C1387" s="182">
        <f t="shared" si="65"/>
        <v>42612</v>
      </c>
      <c r="D1387" s="182" t="s">
        <v>1086</v>
      </c>
      <c r="E1387" s="37">
        <v>42612</v>
      </c>
      <c r="F1387" s="190" t="s">
        <v>1446</v>
      </c>
      <c r="G1387" s="451" t="s">
        <v>1265</v>
      </c>
      <c r="H1387" s="191" t="s">
        <v>615</v>
      </c>
      <c r="I1387" s="251">
        <v>100</v>
      </c>
      <c r="J1387" s="251">
        <v>18300</v>
      </c>
      <c r="K1387" s="38">
        <f>ROUND(I1387*J1387,0)</f>
        <v>1830000</v>
      </c>
      <c r="L1387" s="192" t="s">
        <v>258</v>
      </c>
      <c r="M1387" s="192" t="s">
        <v>173</v>
      </c>
      <c r="N1387" s="52" t="str">
        <f>IF(AND('331-CT'!$E$7=TH!H1387,OR(L1387="331",M1387="331")),"331",IF(AND(OR(L1387="131",M1387="131"),H1387='131-CT'!$E$7),"131",""))</f>
        <v/>
      </c>
      <c r="O1387" s="818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52"/>
      <c r="AB1387" s="552"/>
      <c r="AC1387" s="552"/>
    </row>
    <row r="1388" spans="1:32" s="209" customFormat="1" ht="15.75" customHeight="1">
      <c r="A1388" s="202" t="str">
        <f>IF(B1388&lt;&gt;"",IF(AND(B1388&gt;=_TM1,B1388&lt;=_TM2,OR(TH!L1388="1111",TH!M1388="1111")),TH!D1388,""),"")</f>
        <v/>
      </c>
      <c r="B1388" s="36">
        <f t="shared" si="66"/>
        <v>8</v>
      </c>
      <c r="C1388" s="182">
        <f t="shared" si="65"/>
        <v>42612</v>
      </c>
      <c r="D1388" s="182" t="s">
        <v>1086</v>
      </c>
      <c r="E1388" s="37">
        <v>42612</v>
      </c>
      <c r="F1388" s="40" t="s">
        <v>1254</v>
      </c>
      <c r="G1388" s="451" t="s">
        <v>1265</v>
      </c>
      <c r="H1388" s="191" t="s">
        <v>615</v>
      </c>
      <c r="I1388" s="251"/>
      <c r="J1388" s="251"/>
      <c r="K1388" s="38">
        <v>183000</v>
      </c>
      <c r="L1388" s="192" t="s">
        <v>258</v>
      </c>
      <c r="M1388" s="192" t="s">
        <v>367</v>
      </c>
      <c r="N1388" s="52" t="str">
        <f>IF(AND('331-CT'!$E$7=TH!H1388,OR(L1388="331",M1388="331")),"331",IF(AND(OR(L1388="131",M1388="131"),H1388='131-CT'!$E$7),"131",""))</f>
        <v/>
      </c>
      <c r="O1388" s="818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52"/>
      <c r="AB1388" s="552"/>
      <c r="AC1388" s="552"/>
    </row>
    <row r="1389" spans="1:32" s="209" customFormat="1" ht="15.75" customHeight="1">
      <c r="A1389" s="202" t="str">
        <f>IF(B1389&lt;&gt;"",IF(AND(B1389&gt;=_TM1,B1389&lt;=_TM2,OR(TH!L1389="1111",TH!M1389="1111")),TH!D1389,""),"")</f>
        <v/>
      </c>
      <c r="B1389" s="36">
        <f t="shared" si="66"/>
        <v>8</v>
      </c>
      <c r="C1389" s="182">
        <f t="shared" si="65"/>
        <v>42612</v>
      </c>
      <c r="D1389" s="182" t="s">
        <v>1087</v>
      </c>
      <c r="E1389" s="37">
        <v>42612</v>
      </c>
      <c r="F1389" s="190" t="s">
        <v>1446</v>
      </c>
      <c r="G1389" s="451" t="s">
        <v>1265</v>
      </c>
      <c r="H1389" s="191" t="s">
        <v>615</v>
      </c>
      <c r="I1389" s="251">
        <v>100</v>
      </c>
      <c r="J1389" s="251">
        <v>18300</v>
      </c>
      <c r="K1389" s="38">
        <f>ROUND(I1389*J1389,0)</f>
        <v>1830000</v>
      </c>
      <c r="L1389" s="192" t="s">
        <v>258</v>
      </c>
      <c r="M1389" s="192" t="s">
        <v>173</v>
      </c>
      <c r="N1389" s="52" t="str">
        <f>IF(AND('331-CT'!$E$7=TH!H1389,OR(L1389="331",M1389="331")),"331",IF(AND(OR(L1389="131",M1389="131"),H1389='131-CT'!$E$7),"131",""))</f>
        <v/>
      </c>
      <c r="O1389" s="818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52"/>
      <c r="AB1389" s="552"/>
      <c r="AC1389" s="552"/>
    </row>
    <row r="1390" spans="1:32" s="209" customFormat="1" ht="15.75" customHeight="1">
      <c r="A1390" s="202" t="str">
        <f>IF(B1390&lt;&gt;"",IF(AND(B1390&gt;=_TM1,B1390&lt;=_TM2,OR(TH!L1390="1111",TH!M1390="1111")),TH!D1390,""),"")</f>
        <v/>
      </c>
      <c r="B1390" s="36">
        <f t="shared" si="66"/>
        <v>8</v>
      </c>
      <c r="C1390" s="182">
        <f t="shared" si="65"/>
        <v>42612</v>
      </c>
      <c r="D1390" s="182" t="s">
        <v>1087</v>
      </c>
      <c r="E1390" s="37">
        <v>42612</v>
      </c>
      <c r="F1390" s="40" t="s">
        <v>1254</v>
      </c>
      <c r="G1390" s="451" t="s">
        <v>1265</v>
      </c>
      <c r="H1390" s="191" t="s">
        <v>615</v>
      </c>
      <c r="I1390" s="251"/>
      <c r="J1390" s="251"/>
      <c r="K1390" s="38">
        <v>183000</v>
      </c>
      <c r="L1390" s="192" t="s">
        <v>258</v>
      </c>
      <c r="M1390" s="192" t="s">
        <v>367</v>
      </c>
      <c r="N1390" s="52" t="str">
        <f>IF(AND('331-CT'!$E$7=TH!H1390,OR(L1390="331",M1390="331")),"331",IF(AND(OR(L1390="131",M1390="131"),H1390='131-CT'!$E$7),"131",""))</f>
        <v/>
      </c>
      <c r="O1390" s="818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52"/>
      <c r="AB1390" s="552"/>
      <c r="AC1390" s="552"/>
    </row>
    <row r="1391" spans="1:32" s="209" customFormat="1" ht="15.75" customHeight="1">
      <c r="A1391" s="202" t="str">
        <f>IF(B1391&lt;&gt;"",IF(AND(B1391&gt;=_TM1,B1391&lt;=_TM2,OR(TH!L1391="1111",TH!M1391="1111")),TH!D1391,""),"")</f>
        <v/>
      </c>
      <c r="B1391" s="36">
        <f t="shared" si="66"/>
        <v>8</v>
      </c>
      <c r="C1391" s="839">
        <f t="shared" si="65"/>
        <v>42613</v>
      </c>
      <c r="D1391" s="839" t="s">
        <v>332</v>
      </c>
      <c r="E1391" s="839">
        <v>42613</v>
      </c>
      <c r="F1391" s="845" t="s">
        <v>1429</v>
      </c>
      <c r="G1391" s="874"/>
      <c r="H1391" s="875"/>
      <c r="I1391" s="842"/>
      <c r="J1391" s="842"/>
      <c r="K1391" s="849">
        <v>5405000</v>
      </c>
      <c r="L1391" s="876" t="s">
        <v>83</v>
      </c>
      <c r="M1391" s="876" t="s">
        <v>261</v>
      </c>
      <c r="N1391" s="52" t="str">
        <f>IF(AND('331-CT'!$E$7=TH!H1391,OR(L1391="331",M1391="331")),"331",IF(AND(OR(L1391="131",M1391="131"),H1391='131-CT'!$E$7),"131",""))</f>
        <v/>
      </c>
      <c r="O1391" s="818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>x</v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196"/>
      <c r="AB1391" s="196"/>
      <c r="AC1391" s="196"/>
      <c r="AD1391" s="196"/>
      <c r="AE1391" s="196"/>
      <c r="AF1391" s="196"/>
    </row>
    <row r="1392" spans="1:32" s="209" customFormat="1" ht="15.75" customHeight="1">
      <c r="A1392" s="202" t="str">
        <f>IF(B1392&lt;&gt;"",IF(AND(B1392&gt;=_TM1,B1392&lt;=_TM2,OR(TH!L1392="1111",TH!M1392="1111")),TH!D1392,""),"")</f>
        <v/>
      </c>
      <c r="B1392" s="36">
        <f t="shared" si="66"/>
        <v>8</v>
      </c>
      <c r="C1392" s="839">
        <f t="shared" si="65"/>
        <v>42613</v>
      </c>
      <c r="D1392" s="839" t="s">
        <v>332</v>
      </c>
      <c r="E1392" s="839">
        <v>42613</v>
      </c>
      <c r="F1392" s="845" t="s">
        <v>1430</v>
      </c>
      <c r="G1392" s="874"/>
      <c r="H1392" s="875"/>
      <c r="I1392" s="842"/>
      <c r="J1392" s="842"/>
      <c r="K1392" s="849">
        <v>16215000</v>
      </c>
      <c r="L1392" s="876" t="s">
        <v>164</v>
      </c>
      <c r="M1392" s="876" t="s">
        <v>261</v>
      </c>
      <c r="N1392" s="52" t="str">
        <f>IF(AND('331-CT'!$E$7=TH!H1392,OR(L1392="331",M1392="331")),"331",IF(AND(OR(L1392="131",M1392="131"),H1392='131-CT'!$E$7),"131",""))</f>
        <v/>
      </c>
      <c r="O1392" s="818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196"/>
      <c r="AB1392" s="196"/>
      <c r="AC1392" s="196"/>
      <c r="AD1392" s="196"/>
      <c r="AE1392" s="196"/>
      <c r="AF1392" s="196"/>
    </row>
    <row r="1393" spans="1:32" s="209" customFormat="1" ht="15.75" customHeight="1">
      <c r="A1393" s="202" t="str">
        <f>IF(B1393&lt;&gt;"",IF(AND(B1393&gt;=_TM1,B1393&lt;=_TM2,OR(TH!L1393="1111",TH!M1393="1111")),TH!D1393,""),"")</f>
        <v/>
      </c>
      <c r="B1393" s="36">
        <f t="shared" si="66"/>
        <v>8</v>
      </c>
      <c r="C1393" s="839">
        <f t="shared" si="65"/>
        <v>42613</v>
      </c>
      <c r="D1393" s="839" t="s">
        <v>1643</v>
      </c>
      <c r="E1393" s="839">
        <v>42613</v>
      </c>
      <c r="F1393" s="845" t="str">
        <f>"Thanh toán tiền lương tháng "&amp;MONTH(E1393)&amp;"/"&amp;YEAR(E1393)</f>
        <v>Thanh toán tiền lương tháng 8/2016</v>
      </c>
      <c r="G1393" s="874"/>
      <c r="H1393" s="875" t="s">
        <v>1680</v>
      </c>
      <c r="I1393" s="842"/>
      <c r="J1393" s="842"/>
      <c r="K1393" s="849">
        <f>K1391+K1392</f>
        <v>21620000</v>
      </c>
      <c r="L1393" s="876" t="s">
        <v>261</v>
      </c>
      <c r="M1393" s="876" t="s">
        <v>47</v>
      </c>
      <c r="N1393" s="52" t="str">
        <f>IF(AND('331-CT'!$E$7=TH!H1393,OR(L1393="331",M1393="331")),"331",IF(AND(OR(L1393="131",M1393="131"),H1393='131-CT'!$E$7),"131",""))</f>
        <v/>
      </c>
      <c r="O1393" s="818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196"/>
      <c r="AB1393" s="196"/>
      <c r="AC1393" s="196"/>
      <c r="AD1393" s="196"/>
      <c r="AE1393" s="196"/>
      <c r="AF1393" s="196"/>
    </row>
    <row r="1394" spans="1:32" s="209" customFormat="1" ht="15.75" customHeight="1">
      <c r="A1394" s="202" t="str">
        <f>IF(B1394&lt;&gt;"",IF(AND(B1394&gt;=_TM1,B1394&lt;=_TM2,OR(TH!L1394="1111",TH!M1394="1111")),TH!D1394,""),"")</f>
        <v/>
      </c>
      <c r="B1394" s="36">
        <f t="shared" si="66"/>
        <v>8</v>
      </c>
      <c r="C1394" s="182">
        <f t="shared" si="65"/>
        <v>42613</v>
      </c>
      <c r="D1394" s="182" t="s">
        <v>669</v>
      </c>
      <c r="E1394" s="189">
        <v>42613</v>
      </c>
      <c r="F1394" s="187" t="s">
        <v>667</v>
      </c>
      <c r="G1394" s="190" t="s">
        <v>1287</v>
      </c>
      <c r="H1394" s="191"/>
      <c r="I1394" s="251"/>
      <c r="J1394" s="251"/>
      <c r="K1394" s="560">
        <v>500</v>
      </c>
      <c r="L1394" s="561" t="s">
        <v>24</v>
      </c>
      <c r="M1394" s="561" t="s">
        <v>40</v>
      </c>
      <c r="N1394" s="52" t="str">
        <f>IF(AND('331-CT'!$E$7=TH!H1394,OR(L1394="331",M1394="331")),"331",IF(AND(OR(L1394="131",M1394="131"),H1394='131-CT'!$E$7),"131",""))</f>
        <v/>
      </c>
      <c r="O1394" s="818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>x</v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53"/>
      <c r="AB1394" s="552"/>
      <c r="AC1394" s="552"/>
    </row>
    <row r="1395" spans="1:32" s="209" customFormat="1" ht="15.75" customHeight="1">
      <c r="A1395" s="202" t="str">
        <f>IF(B1395&lt;&gt;"",IF(AND(B1395&gt;=_TM1,B1395&lt;=_TM2,OR(TH!L1395="1111",TH!M1395="1111")),TH!D1395,""),"")</f>
        <v/>
      </c>
      <c r="B1395" s="36">
        <f t="shared" si="66"/>
        <v>8</v>
      </c>
      <c r="C1395" s="182">
        <f t="shared" si="65"/>
        <v>42613</v>
      </c>
      <c r="D1395" s="182" t="s">
        <v>1187</v>
      </c>
      <c r="E1395" s="182">
        <v>42613</v>
      </c>
      <c r="F1395" s="187" t="s">
        <v>1248</v>
      </c>
      <c r="G1395" s="448" t="s">
        <v>1251</v>
      </c>
      <c r="H1395" s="7" t="s">
        <v>855</v>
      </c>
      <c r="I1395" s="251">
        <v>6919</v>
      </c>
      <c r="J1395" s="251">
        <v>8500</v>
      </c>
      <c r="K1395" s="38">
        <f>ROUND(I1395*J1395,0)</f>
        <v>58811500</v>
      </c>
      <c r="L1395" s="192" t="s">
        <v>158</v>
      </c>
      <c r="M1395" s="192" t="s">
        <v>8</v>
      </c>
      <c r="N1395" s="52" t="str">
        <f>IF(AND('331-CT'!$E$7=TH!H1395,OR(L1395="331",M1395="331")),"331",IF(AND(OR(L1395="131",M1395="131"),H1395='131-CT'!$E$7),"131",""))</f>
        <v/>
      </c>
      <c r="O1395" s="818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53">
        <v>3</v>
      </c>
      <c r="AB1395" s="552"/>
      <c r="AC1395" s="209" t="str">
        <f>IF(VLOOKUP(H1395,DSKH,1,0)=H1395,"","x")</f>
        <v/>
      </c>
    </row>
    <row r="1396" spans="1:32" s="209" customFormat="1" ht="15.75" customHeight="1">
      <c r="A1396" s="202" t="str">
        <f>IF(B1396&lt;&gt;"",IF(AND(B1396&gt;=_TM1,B1396&lt;=_TM2,OR(TH!L1396="1111",TH!M1396="1111")),TH!D1396,""),"")</f>
        <v/>
      </c>
      <c r="B1396" s="36">
        <f t="shared" si="66"/>
        <v>8</v>
      </c>
      <c r="C1396" s="182">
        <f t="shared" si="65"/>
        <v>42613</v>
      </c>
      <c r="D1396" s="182" t="s">
        <v>1187</v>
      </c>
      <c r="E1396" s="182">
        <v>42613</v>
      </c>
      <c r="F1396" s="187" t="s">
        <v>856</v>
      </c>
      <c r="G1396" s="448" t="s">
        <v>1251</v>
      </c>
      <c r="H1396" s="7" t="s">
        <v>855</v>
      </c>
      <c r="I1396" s="251"/>
      <c r="J1396" s="251"/>
      <c r="K1396" s="560">
        <v>5881150</v>
      </c>
      <c r="L1396" s="192" t="s">
        <v>9</v>
      </c>
      <c r="M1396" s="192" t="s">
        <v>8</v>
      </c>
      <c r="N1396" s="52" t="str">
        <f>IF(AND('331-CT'!$E$7=TH!H1396,OR(L1396="331",M1396="331")),"331",IF(AND(OR(L1396="131",M1396="131"),H1396='131-CT'!$E$7),"131",""))</f>
        <v/>
      </c>
      <c r="O1396" s="818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53">
        <v>3</v>
      </c>
      <c r="AB1396" s="552"/>
      <c r="AC1396" s="209" t="str">
        <f>IF(VLOOKUP(H1396,DSKH,1,0)=H1396,"","x")</f>
        <v/>
      </c>
    </row>
    <row r="1397" spans="1:32" s="209" customFormat="1" ht="15.75" customHeight="1">
      <c r="A1397" s="202" t="str">
        <f>IF(B1397&lt;&gt;"",IF(AND(B1397&gt;=_TM1,B1397&lt;=_TM2,OR(TH!L1397="1111",TH!M1397="1111")),TH!D1397,""),"")</f>
        <v/>
      </c>
      <c r="B1397" s="36">
        <f t="shared" si="66"/>
        <v>9</v>
      </c>
      <c r="C1397" s="182">
        <f t="shared" si="65"/>
        <v>42614</v>
      </c>
      <c r="D1397" s="182" t="s">
        <v>1183</v>
      </c>
      <c r="E1397" s="37">
        <v>42614</v>
      </c>
      <c r="F1397" s="40" t="s">
        <v>857</v>
      </c>
      <c r="G1397" s="450" t="s">
        <v>1252</v>
      </c>
      <c r="H1397" s="7" t="s">
        <v>858</v>
      </c>
      <c r="I1397" s="251">
        <v>800</v>
      </c>
      <c r="J1397" s="251">
        <v>19000</v>
      </c>
      <c r="K1397" s="38">
        <f>ROUND(I1397*J1397,0)</f>
        <v>15200000</v>
      </c>
      <c r="L1397" s="192" t="s">
        <v>160</v>
      </c>
      <c r="M1397" s="192" t="s">
        <v>8</v>
      </c>
      <c r="N1397" s="52" t="str">
        <f>IF(AND('331-CT'!$E$7=TH!H1397,OR(L1397="331",M1397="331")),"331",IF(AND(OR(L1397="131",M1397="131"),H1397='131-CT'!$E$7),"131",""))</f>
        <v/>
      </c>
      <c r="O1397" s="818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53">
        <v>3</v>
      </c>
      <c r="AB1397" s="552"/>
      <c r="AC1397" s="209" t="str">
        <f>IF(VLOOKUP(H1397,DSKH,1,0)=H1397,"","x")</f>
        <v/>
      </c>
    </row>
    <row r="1398" spans="1:32" s="209" customFormat="1" ht="15.75" customHeight="1">
      <c r="A1398" s="202" t="str">
        <f>IF(B1398&lt;&gt;"",IF(AND(B1398&gt;=_TM1,B1398&lt;=_TM2,OR(TH!L1398="1111",TH!M1398="1111")),TH!D1398,""),"")</f>
        <v/>
      </c>
      <c r="B1398" s="36">
        <f t="shared" si="66"/>
        <v>9</v>
      </c>
      <c r="C1398" s="182">
        <f t="shared" si="65"/>
        <v>42614</v>
      </c>
      <c r="D1398" s="182" t="s">
        <v>1183</v>
      </c>
      <c r="E1398" s="37">
        <v>42614</v>
      </c>
      <c r="F1398" s="40" t="s">
        <v>859</v>
      </c>
      <c r="G1398" s="450" t="s">
        <v>1252</v>
      </c>
      <c r="H1398" s="7" t="s">
        <v>858</v>
      </c>
      <c r="I1398" s="251"/>
      <c r="J1398" s="251"/>
      <c r="K1398" s="560">
        <v>1520000</v>
      </c>
      <c r="L1398" s="192" t="s">
        <v>9</v>
      </c>
      <c r="M1398" s="192" t="s">
        <v>8</v>
      </c>
      <c r="N1398" s="52" t="str">
        <f>IF(AND('331-CT'!$E$7=TH!H1398,OR(L1398="331",M1398="331")),"331",IF(AND(OR(L1398="131",M1398="131"),H1398='131-CT'!$E$7),"131",""))</f>
        <v/>
      </c>
      <c r="O1398" s="818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53">
        <v>3</v>
      </c>
      <c r="AB1398" s="552"/>
      <c r="AC1398" s="209" t="str">
        <f>IF(VLOOKUP(H1398,DSKH,1,0)=H1398,"","x")</f>
        <v/>
      </c>
    </row>
    <row r="1399" spans="1:32" s="209" customFormat="1" ht="15.75" customHeight="1">
      <c r="A1399" s="202" t="str">
        <f>IF(B1399&lt;&gt;"",IF(AND(B1399&gt;=_TM1,B1399&lt;=_TM2,OR(TH!L1399="1111",TH!M1399="1111")),TH!D1399,""),"")</f>
        <v/>
      </c>
      <c r="B1399" s="36">
        <f t="shared" si="66"/>
        <v>9</v>
      </c>
      <c r="C1399" s="182">
        <f t="shared" si="65"/>
        <v>42614</v>
      </c>
      <c r="D1399" s="182" t="s">
        <v>1644</v>
      </c>
      <c r="E1399" s="37">
        <v>42614</v>
      </c>
      <c r="F1399" s="187" t="s">
        <v>860</v>
      </c>
      <c r="G1399" s="450" t="s">
        <v>1252</v>
      </c>
      <c r="H1399" s="7" t="s">
        <v>858</v>
      </c>
      <c r="I1399" s="251"/>
      <c r="J1399" s="251"/>
      <c r="K1399" s="560">
        <v>16720000</v>
      </c>
      <c r="L1399" s="192" t="s">
        <v>8</v>
      </c>
      <c r="M1399" s="192" t="s">
        <v>47</v>
      </c>
      <c r="N1399" s="52" t="str">
        <f>IF(AND('331-CT'!$E$7=TH!H1399,OR(L1399="331",M1399="331")),"331",IF(AND(OR(L1399="131",M1399="131"),H1399='131-CT'!$E$7),"131",""))</f>
        <v/>
      </c>
      <c r="O1399" s="818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53"/>
      <c r="AB1399" s="552"/>
      <c r="AC1399" s="209" t="str">
        <f>IF(VLOOKUP(H1399,DSKH,1,0)=H1399,"","x")</f>
        <v/>
      </c>
    </row>
    <row r="1400" spans="1:32" s="209" customFormat="1" ht="15.75" customHeight="1">
      <c r="A1400" s="202" t="str">
        <f>IF(B1400&lt;&gt;"",IF(AND(B1400&gt;=_TM1,B1400&lt;=_TM2,OR(TH!L1400="1111",TH!M1400="1111")),TH!D1400,""),"")</f>
        <v/>
      </c>
      <c r="B1400" s="36">
        <f t="shared" si="66"/>
        <v>9</v>
      </c>
      <c r="C1400" s="182">
        <f t="shared" si="65"/>
        <v>42620</v>
      </c>
      <c r="D1400" s="182" t="s">
        <v>1633</v>
      </c>
      <c r="E1400" s="189">
        <v>42620</v>
      </c>
      <c r="F1400" s="187" t="s">
        <v>776</v>
      </c>
      <c r="G1400" s="190" t="s">
        <v>330</v>
      </c>
      <c r="H1400" s="191" t="s">
        <v>675</v>
      </c>
      <c r="I1400" s="251"/>
      <c r="J1400" s="251"/>
      <c r="K1400" s="560">
        <v>2300000</v>
      </c>
      <c r="L1400" s="561" t="s">
        <v>47</v>
      </c>
      <c r="M1400" s="561" t="s">
        <v>24</v>
      </c>
      <c r="N1400" s="52" t="str">
        <f>IF(AND('331-CT'!$E$7=TH!H1400,OR(L1400="331",M1400="331")),"331",IF(AND(OR(L1400="131",M1400="131"),H1400='131-CT'!$E$7),"131",""))</f>
        <v/>
      </c>
      <c r="O1400" s="818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53"/>
      <c r="AB1400" s="552"/>
    </row>
    <row r="1401" spans="1:32" s="209" customFormat="1" ht="15.75" customHeight="1">
      <c r="A1401" s="202" t="str">
        <f>IF(B1401&lt;&gt;"",IF(AND(B1401&gt;=_TM1,B1401&lt;=_TM2,OR(TH!L1401="1111",TH!M1401="1111")),TH!D1401,""),"")</f>
        <v/>
      </c>
      <c r="B1401" s="36">
        <f t="shared" si="66"/>
        <v>9</v>
      </c>
      <c r="C1401" s="182">
        <f t="shared" si="65"/>
        <v>42625</v>
      </c>
      <c r="D1401" s="182" t="s">
        <v>1646</v>
      </c>
      <c r="E1401" s="189">
        <v>42625</v>
      </c>
      <c r="F1401" s="190" t="s">
        <v>754</v>
      </c>
      <c r="G1401" s="190" t="s">
        <v>330</v>
      </c>
      <c r="H1401" s="7" t="s">
        <v>673</v>
      </c>
      <c r="I1401" s="251"/>
      <c r="J1401" s="251"/>
      <c r="K1401" s="560">
        <v>14000000</v>
      </c>
      <c r="L1401" s="192" t="s">
        <v>24</v>
      </c>
      <c r="M1401" s="192" t="s">
        <v>47</v>
      </c>
      <c r="N1401" s="52" t="str">
        <f>IF(AND('331-CT'!$E$7=TH!H1401,OR(L1401="331",M1401="331")),"331",IF(AND(OR(L1401="131",M1401="131"),H1401='131-CT'!$E$7),"131",""))</f>
        <v/>
      </c>
      <c r="O1401" s="818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53"/>
      <c r="AB1401" s="552"/>
      <c r="AC1401" s="552"/>
    </row>
    <row r="1402" spans="1:32" s="209" customFormat="1" ht="15.75" customHeight="1">
      <c r="A1402" s="202" t="str">
        <f>IF(B1402&lt;&gt;"",IF(AND(B1402&gt;=_TM1,B1402&lt;=_TM2,OR(TH!L1402="1111",TH!M1402="1111")),TH!D1402,""),"")</f>
        <v/>
      </c>
      <c r="B1402" s="36">
        <f t="shared" si="66"/>
        <v>9</v>
      </c>
      <c r="C1402" s="182">
        <f t="shared" si="65"/>
        <v>42625</v>
      </c>
      <c r="D1402" s="182" t="s">
        <v>1646</v>
      </c>
      <c r="E1402" s="189">
        <v>42625</v>
      </c>
      <c r="F1402" s="190" t="s">
        <v>754</v>
      </c>
      <c r="G1402" s="190" t="s">
        <v>330</v>
      </c>
      <c r="H1402" s="191" t="s">
        <v>675</v>
      </c>
      <c r="I1402" s="251"/>
      <c r="J1402" s="251"/>
      <c r="K1402" s="560">
        <v>6000000</v>
      </c>
      <c r="L1402" s="192" t="s">
        <v>24</v>
      </c>
      <c r="M1402" s="192" t="s">
        <v>47</v>
      </c>
      <c r="N1402" s="52" t="str">
        <f>IF(AND('331-CT'!$E$7=TH!H1402,OR(L1402="331",M1402="331")),"331",IF(AND(OR(L1402="131",M1402="131"),H1402='131-CT'!$E$7),"131",""))</f>
        <v/>
      </c>
      <c r="O1402" s="818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53"/>
      <c r="AB1402" s="552"/>
    </row>
    <row r="1403" spans="1:32" s="209" customFormat="1" ht="15.75" customHeight="1">
      <c r="A1403" s="202" t="str">
        <f>IF(B1403&lt;&gt;"",IF(AND(B1403&gt;=_TM1,B1403&lt;=_TM2,OR(TH!L1403="1111",TH!M1403="1111")),TH!D1403,""),"")</f>
        <v/>
      </c>
      <c r="B1403" s="36">
        <f t="shared" si="66"/>
        <v>9</v>
      </c>
      <c r="C1403" s="182">
        <f t="shared" si="65"/>
        <v>42625</v>
      </c>
      <c r="D1403" s="182" t="s">
        <v>669</v>
      </c>
      <c r="E1403" s="189">
        <v>42625</v>
      </c>
      <c r="F1403" s="190" t="s">
        <v>671</v>
      </c>
      <c r="G1403" s="190" t="s">
        <v>330</v>
      </c>
      <c r="H1403" s="7" t="s">
        <v>1453</v>
      </c>
      <c r="I1403" s="251"/>
      <c r="J1403" s="251"/>
      <c r="K1403" s="560">
        <v>10000000</v>
      </c>
      <c r="L1403" s="192" t="s">
        <v>8</v>
      </c>
      <c r="M1403" s="561" t="s">
        <v>24</v>
      </c>
      <c r="N1403" s="52" t="str">
        <f>IF(AND('331-CT'!$E$7=TH!H1403,OR(L1403="331",M1403="331")),"331",IF(AND(OR(L1403="131",M1403="131"),H1403='131-CT'!$E$7),"131",""))</f>
        <v/>
      </c>
      <c r="O1403" s="818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53"/>
      <c r="AB1403" s="552"/>
      <c r="AC1403" s="552"/>
    </row>
    <row r="1404" spans="1:32" s="209" customFormat="1" ht="15.75" customHeight="1">
      <c r="A1404" s="202" t="str">
        <f>IF(B1404&lt;&gt;"",IF(AND(B1404&gt;=_TM1,B1404&lt;=_TM2,OR(TH!L1404="1111",TH!M1404="1111")),TH!D1404,""),"")</f>
        <v/>
      </c>
      <c r="B1404" s="36">
        <f t="shared" si="66"/>
        <v>9</v>
      </c>
      <c r="C1404" s="182">
        <f t="shared" si="65"/>
        <v>42625</v>
      </c>
      <c r="D1404" s="182" t="s">
        <v>669</v>
      </c>
      <c r="E1404" s="189">
        <v>42625</v>
      </c>
      <c r="F1404" s="190" t="s">
        <v>671</v>
      </c>
      <c r="G1404" s="190" t="s">
        <v>330</v>
      </c>
      <c r="H1404" s="7" t="s">
        <v>1452</v>
      </c>
      <c r="I1404" s="251"/>
      <c r="J1404" s="251"/>
      <c r="K1404" s="560">
        <v>10000000</v>
      </c>
      <c r="L1404" s="192" t="s">
        <v>8</v>
      </c>
      <c r="M1404" s="561" t="s">
        <v>24</v>
      </c>
      <c r="N1404" s="52" t="str">
        <f>IF(AND('331-CT'!$E$7=TH!H1404,OR(L1404="331",M1404="331")),"331",IF(AND(OR(L1404="131",M1404="131"),H1404='131-CT'!$E$7),"131",""))</f>
        <v/>
      </c>
      <c r="O1404" s="818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53"/>
      <c r="AB1404" s="552"/>
      <c r="AC1404" s="552"/>
    </row>
    <row r="1405" spans="1:32" s="209" customFormat="1" ht="15.75" customHeight="1">
      <c r="A1405" s="202" t="str">
        <f>IF(B1405&lt;&gt;"",IF(AND(B1405&gt;=_TM1,B1405&lt;=_TM2,OR(TH!L1405="1111",TH!M1405="1111")),TH!D1405,""),"")</f>
        <v/>
      </c>
      <c r="B1405" s="36">
        <f t="shared" si="66"/>
        <v>9</v>
      </c>
      <c r="C1405" s="182">
        <f t="shared" si="65"/>
        <v>42625</v>
      </c>
      <c r="D1405" s="182" t="s">
        <v>669</v>
      </c>
      <c r="E1405" s="189">
        <v>42625</v>
      </c>
      <c r="F1405" s="190" t="s">
        <v>672</v>
      </c>
      <c r="G1405" s="190" t="s">
        <v>330</v>
      </c>
      <c r="H1405" s="7"/>
      <c r="I1405" s="251"/>
      <c r="J1405" s="251"/>
      <c r="K1405" s="560">
        <v>13637</v>
      </c>
      <c r="L1405" s="561" t="s">
        <v>83</v>
      </c>
      <c r="M1405" s="561" t="s">
        <v>24</v>
      </c>
      <c r="N1405" s="52" t="str">
        <f>IF(AND('331-CT'!$E$7=TH!H1405,OR(L1405="331",M1405="331")),"331",IF(AND(OR(L1405="131",M1405="131"),H1405='131-CT'!$E$7),"131",""))</f>
        <v/>
      </c>
      <c r="O1405" s="818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>x</v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52">
        <v>3</v>
      </c>
      <c r="AB1405" s="552"/>
    </row>
    <row r="1406" spans="1:32" s="209" customFormat="1" ht="15.75" customHeight="1">
      <c r="A1406" s="202" t="str">
        <f>IF(B1406&lt;&gt;"",IF(AND(B1406&gt;=_TM1,B1406&lt;=_TM2,OR(TH!L1406="1111",TH!M1406="1111")),TH!D1406,""),"")</f>
        <v/>
      </c>
      <c r="B1406" s="36">
        <f t="shared" si="66"/>
        <v>9</v>
      </c>
      <c r="C1406" s="182">
        <f t="shared" si="65"/>
        <v>42625</v>
      </c>
      <c r="D1406" s="182" t="s">
        <v>669</v>
      </c>
      <c r="E1406" s="189">
        <v>42625</v>
      </c>
      <c r="F1406" s="190" t="s">
        <v>762</v>
      </c>
      <c r="G1406" s="190" t="s">
        <v>330</v>
      </c>
      <c r="H1406" s="7"/>
      <c r="I1406" s="251"/>
      <c r="J1406" s="251"/>
      <c r="K1406" s="560">
        <v>1363</v>
      </c>
      <c r="L1406" s="561" t="s">
        <v>9</v>
      </c>
      <c r="M1406" s="561" t="s">
        <v>24</v>
      </c>
      <c r="N1406" s="52" t="str">
        <f>IF(AND('331-CT'!$E$7=TH!H1406,OR(L1406="331",M1406="331")),"331",IF(AND(OR(L1406="131",M1406="131"),H1406='131-CT'!$E$7),"131",""))</f>
        <v/>
      </c>
      <c r="O1406" s="818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52">
        <v>3</v>
      </c>
      <c r="AB1406" s="552"/>
      <c r="AC1406" s="552"/>
    </row>
    <row r="1407" spans="1:32" s="209" customFormat="1" ht="15.75" customHeight="1">
      <c r="A1407" s="202" t="str">
        <f>IF(B1407&lt;&gt;"",IF(AND(B1407&gt;=_TM1,B1407&lt;=_TM2,OR(TH!L1407="1111",TH!M1407="1111")),TH!D1407,""),"")</f>
        <v/>
      </c>
      <c r="B1407" s="36">
        <f t="shared" si="66"/>
        <v>9</v>
      </c>
      <c r="C1407" s="182">
        <f t="shared" si="65"/>
        <v>42625</v>
      </c>
      <c r="D1407" s="182" t="s">
        <v>669</v>
      </c>
      <c r="E1407" s="189">
        <v>42625</v>
      </c>
      <c r="F1407" s="190" t="s">
        <v>674</v>
      </c>
      <c r="G1407" s="190" t="s">
        <v>330</v>
      </c>
      <c r="H1407" s="7"/>
      <c r="I1407" s="251"/>
      <c r="J1407" s="251"/>
      <c r="K1407" s="560">
        <v>13637</v>
      </c>
      <c r="L1407" s="561" t="s">
        <v>83</v>
      </c>
      <c r="M1407" s="561" t="s">
        <v>24</v>
      </c>
      <c r="N1407" s="52" t="str">
        <f>IF(AND('331-CT'!$E$7=TH!H1407,OR(L1407="331",M1407="331")),"331",IF(AND(OR(L1407="131",M1407="131"),H1407='131-CT'!$E$7),"131",""))</f>
        <v/>
      </c>
      <c r="O1407" s="818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>x</v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52">
        <v>3</v>
      </c>
      <c r="AB1407" s="552"/>
    </row>
    <row r="1408" spans="1:32" s="209" customFormat="1" ht="15.75" customHeight="1">
      <c r="A1408" s="202" t="str">
        <f>IF(B1408&lt;&gt;"",IF(AND(B1408&gt;=_TM1,B1408&lt;=_TM2,OR(TH!L1408="1111",TH!M1408="1111")),TH!D1408,""),"")</f>
        <v/>
      </c>
      <c r="B1408" s="36">
        <f t="shared" si="66"/>
        <v>9</v>
      </c>
      <c r="C1408" s="182">
        <f t="shared" si="65"/>
        <v>42625</v>
      </c>
      <c r="D1408" s="182" t="s">
        <v>669</v>
      </c>
      <c r="E1408" s="189">
        <v>42625</v>
      </c>
      <c r="F1408" s="190" t="s">
        <v>794</v>
      </c>
      <c r="G1408" s="190" t="s">
        <v>330</v>
      </c>
      <c r="H1408" s="7"/>
      <c r="I1408" s="251"/>
      <c r="J1408" s="251"/>
      <c r="K1408" s="560">
        <v>1363</v>
      </c>
      <c r="L1408" s="561" t="s">
        <v>9</v>
      </c>
      <c r="M1408" s="561" t="s">
        <v>24</v>
      </c>
      <c r="N1408" s="52" t="str">
        <f>IF(AND('331-CT'!$E$7=TH!H1408,OR(L1408="331",M1408="331")),"331",IF(AND(OR(L1408="131",M1408="131"),H1408='131-CT'!$E$7),"131",""))</f>
        <v/>
      </c>
      <c r="O1408" s="818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52">
        <v>3</v>
      </c>
      <c r="AB1408" s="552"/>
      <c r="AC1408" s="552"/>
    </row>
    <row r="1409" spans="1:29" s="209" customFormat="1" ht="15.75" customHeight="1">
      <c r="A1409" s="202" t="str">
        <f>IF(B1409&lt;&gt;"",IF(AND(B1409&gt;=_TM1,B1409&lt;=_TM2,OR(TH!L1409="1111",TH!M1409="1111")),TH!D1409,""),"")</f>
        <v/>
      </c>
      <c r="B1409" s="36">
        <f t="shared" si="66"/>
        <v>9</v>
      </c>
      <c r="C1409" s="182">
        <f t="shared" si="65"/>
        <v>42626</v>
      </c>
      <c r="D1409" s="182" t="s">
        <v>669</v>
      </c>
      <c r="E1409" s="189">
        <v>42626</v>
      </c>
      <c r="F1409" s="187" t="s">
        <v>1290</v>
      </c>
      <c r="G1409" s="190" t="s">
        <v>1287</v>
      </c>
      <c r="H1409" s="191" t="s">
        <v>1295</v>
      </c>
      <c r="I1409" s="251"/>
      <c r="J1409" s="251"/>
      <c r="K1409" s="560">
        <v>100000000</v>
      </c>
      <c r="L1409" s="561" t="s">
        <v>24</v>
      </c>
      <c r="M1409" s="561" t="s">
        <v>759</v>
      </c>
      <c r="N1409" s="52" t="str">
        <f>IF(AND('331-CT'!$E$7=TH!H1409,OR(L1409="331",M1409="331")),"331",IF(AND(OR(L1409="131",M1409="131"),H1409='131-CT'!$E$7),"131",""))</f>
        <v/>
      </c>
      <c r="O1409" s="818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>x</v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53"/>
      <c r="AB1409" s="552"/>
      <c r="AC1409" s="552"/>
    </row>
    <row r="1410" spans="1:29" s="209" customFormat="1" ht="15.75" customHeight="1">
      <c r="A1410" s="202" t="str">
        <f>IF(B1410&lt;&gt;"",IF(AND(B1410&gt;=_TM1,B1410&lt;=_TM2,OR(TH!L1410="1111",TH!M1410="1111")),TH!D1410,""),"")</f>
        <v/>
      </c>
      <c r="B1410" s="36">
        <f t="shared" si="66"/>
        <v>9</v>
      </c>
      <c r="C1410" s="182">
        <f t="shared" si="65"/>
        <v>42626</v>
      </c>
      <c r="D1410" s="182" t="s">
        <v>669</v>
      </c>
      <c r="E1410" s="189">
        <v>42626</v>
      </c>
      <c r="F1410" s="187" t="s">
        <v>671</v>
      </c>
      <c r="G1410" s="190" t="s">
        <v>1287</v>
      </c>
      <c r="H1410" s="191"/>
      <c r="I1410" s="251"/>
      <c r="J1410" s="251"/>
      <c r="K1410" s="560">
        <v>100000000</v>
      </c>
      <c r="L1410" s="561" t="s">
        <v>8</v>
      </c>
      <c r="M1410" s="561" t="s">
        <v>24</v>
      </c>
      <c r="N1410" s="52" t="str">
        <f>IF(AND('331-CT'!$E$7=TH!H1410,OR(L1410="331",M1410="331")),"331",IF(AND(OR(L1410="131",M1410="131"),H1410='131-CT'!$E$7),"131",""))</f>
        <v/>
      </c>
      <c r="O1410" s="818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>x</v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53"/>
      <c r="AB1410" s="552"/>
      <c r="AC1410" s="552"/>
    </row>
    <row r="1411" spans="1:29" s="209" customFormat="1" ht="15.75" customHeight="1">
      <c r="A1411" s="202" t="str">
        <f>IF(B1411&lt;&gt;"",IF(AND(B1411&gt;=_TM1,B1411&lt;=_TM2,OR(TH!L1411="1111",TH!M1411="1111")),TH!D1411,""),"")</f>
        <v/>
      </c>
      <c r="B1411" s="36">
        <f t="shared" si="66"/>
        <v>9</v>
      </c>
      <c r="C1411" s="182">
        <f t="shared" si="65"/>
        <v>42626</v>
      </c>
      <c r="D1411" s="182" t="s">
        <v>669</v>
      </c>
      <c r="E1411" s="189">
        <v>42626</v>
      </c>
      <c r="F1411" s="187" t="s">
        <v>672</v>
      </c>
      <c r="G1411" s="190" t="s">
        <v>1287</v>
      </c>
      <c r="H1411" s="191"/>
      <c r="I1411" s="251"/>
      <c r="J1411" s="251"/>
      <c r="K1411" s="560">
        <v>68860</v>
      </c>
      <c r="L1411" s="561" t="s">
        <v>83</v>
      </c>
      <c r="M1411" s="561" t="s">
        <v>24</v>
      </c>
      <c r="N1411" s="52" t="str">
        <f>IF(AND('331-CT'!$E$7=TH!H1411,OR(L1411="331",M1411="331")),"331",IF(AND(OR(L1411="131",M1411="131"),H1411='131-CT'!$E$7),"131",""))</f>
        <v/>
      </c>
      <c r="O1411" s="818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>x</v>
      </c>
      <c r="V1411" s="52" t="str">
        <f>IF(OR(TH!L1411=TH!$V$7,M1411=TH!$V$7),"x","")</f>
        <v>x</v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53">
        <v>3</v>
      </c>
      <c r="AB1411" s="552"/>
      <c r="AC1411" s="552"/>
    </row>
    <row r="1412" spans="1:29" s="209" customFormat="1" ht="15.75" customHeight="1">
      <c r="A1412" s="202" t="str">
        <f>IF(B1412&lt;&gt;"",IF(AND(B1412&gt;=_TM1,B1412&lt;=_TM2,OR(TH!L1412="1111",TH!M1412="1111")),TH!D1412,""),"")</f>
        <v/>
      </c>
      <c r="B1412" s="36">
        <f t="shared" si="66"/>
        <v>9</v>
      </c>
      <c r="C1412" s="182">
        <f t="shared" si="65"/>
        <v>42626</v>
      </c>
      <c r="D1412" s="182" t="s">
        <v>669</v>
      </c>
      <c r="E1412" s="189">
        <v>42626</v>
      </c>
      <c r="F1412" s="190" t="s">
        <v>762</v>
      </c>
      <c r="G1412" s="190" t="s">
        <v>1287</v>
      </c>
      <c r="H1412" s="191"/>
      <c r="I1412" s="251"/>
      <c r="J1412" s="251"/>
      <c r="K1412" s="560">
        <v>6886</v>
      </c>
      <c r="L1412" s="561" t="s">
        <v>9</v>
      </c>
      <c r="M1412" s="561" t="s">
        <v>24</v>
      </c>
      <c r="N1412" s="52" t="str">
        <f>IF(AND('331-CT'!$E$7=TH!H1412,OR(L1412="331",M1412="331")),"331",IF(AND(OR(L1412="131",M1412="131"),H1412='131-CT'!$E$7),"131",""))</f>
        <v/>
      </c>
      <c r="O1412" s="818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>x</v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53">
        <v>3</v>
      </c>
      <c r="AB1412" s="552"/>
      <c r="AC1412" s="552"/>
    </row>
    <row r="1413" spans="1:29" s="209" customFormat="1" ht="15.75" customHeight="1">
      <c r="A1413" s="202" t="str">
        <f>IF(B1413&lt;&gt;"",IF(AND(B1413&gt;=_TM1,B1413&lt;=_TM2,OR(TH!L1413="1111",TH!M1413="1111")),TH!D1413,""),"")</f>
        <v/>
      </c>
      <c r="B1413" s="36">
        <f t="shared" si="66"/>
        <v>9</v>
      </c>
      <c r="C1413" s="182">
        <f t="shared" ref="C1413:C1476" si="67">E1413</f>
        <v>42627</v>
      </c>
      <c r="D1413" s="182" t="s">
        <v>1088</v>
      </c>
      <c r="E1413" s="37">
        <v>42627</v>
      </c>
      <c r="F1413" s="40" t="s">
        <v>610</v>
      </c>
      <c r="G1413" s="451" t="s">
        <v>1266</v>
      </c>
      <c r="H1413" s="191" t="s">
        <v>612</v>
      </c>
      <c r="I1413" s="251">
        <v>153</v>
      </c>
      <c r="J1413" s="251">
        <v>22750</v>
      </c>
      <c r="K1413" s="38">
        <f>ROUND(I1413*J1413,0)</f>
        <v>3480750</v>
      </c>
      <c r="L1413" s="192" t="s">
        <v>258</v>
      </c>
      <c r="M1413" s="192" t="s">
        <v>173</v>
      </c>
      <c r="N1413" s="52" t="str">
        <f>IF(AND('331-CT'!$E$7=TH!H1413,OR(L1413="331",M1413="331")),"331",IF(AND(OR(L1413="131",M1413="131"),H1413='131-CT'!$E$7),"131",""))</f>
        <v/>
      </c>
      <c r="O1413" s="818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52"/>
      <c r="AB1413" s="552"/>
    </row>
    <row r="1414" spans="1:29" s="209" customFormat="1" ht="15.75" customHeight="1">
      <c r="A1414" s="202" t="str">
        <f>IF(B1414&lt;&gt;"",IF(AND(B1414&gt;=_TM1,B1414&lt;=_TM2,OR(TH!L1414="1111",TH!M1414="1111")),TH!D1414,""),"")</f>
        <v/>
      </c>
      <c r="B1414" s="36">
        <f t="shared" si="66"/>
        <v>9</v>
      </c>
      <c r="C1414" s="182">
        <f t="shared" si="67"/>
        <v>42627</v>
      </c>
      <c r="D1414" s="182" t="s">
        <v>1088</v>
      </c>
      <c r="E1414" s="37">
        <v>42627</v>
      </c>
      <c r="F1414" s="40" t="s">
        <v>1254</v>
      </c>
      <c r="G1414" s="451" t="s">
        <v>1266</v>
      </c>
      <c r="H1414" s="191" t="s">
        <v>612</v>
      </c>
      <c r="I1414" s="251"/>
      <c r="J1414" s="251"/>
      <c r="K1414" s="38">
        <v>348075</v>
      </c>
      <c r="L1414" s="192" t="s">
        <v>258</v>
      </c>
      <c r="M1414" s="192" t="s">
        <v>367</v>
      </c>
      <c r="N1414" s="52" t="str">
        <f>IF(AND('331-CT'!$E$7=TH!H1414,OR(L1414="331",M1414="331")),"331",IF(AND(OR(L1414="131",M1414="131"),H1414='131-CT'!$E$7),"131",""))</f>
        <v/>
      </c>
      <c r="O1414" s="818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52"/>
      <c r="AB1414" s="552"/>
      <c r="AC1414" s="552"/>
    </row>
    <row r="1415" spans="1:29" s="209" customFormat="1" ht="15.75" customHeight="1">
      <c r="A1415" s="202" t="str">
        <f>IF(B1415&lt;&gt;"",IF(AND(B1415&gt;=_TM1,B1415&lt;=_TM2,OR(TH!L1415="1111",TH!M1415="1111")),TH!D1415,""),"")</f>
        <v/>
      </c>
      <c r="B1415" s="36">
        <f t="shared" si="66"/>
        <v>9</v>
      </c>
      <c r="C1415" s="182">
        <f t="shared" si="67"/>
        <v>42627</v>
      </c>
      <c r="D1415" s="182" t="s">
        <v>1089</v>
      </c>
      <c r="E1415" s="37">
        <v>42627</v>
      </c>
      <c r="F1415" s="40" t="s">
        <v>972</v>
      </c>
      <c r="G1415" s="451" t="s">
        <v>1267</v>
      </c>
      <c r="H1415" s="191" t="s">
        <v>1268</v>
      </c>
      <c r="I1415" s="251">
        <v>205</v>
      </c>
      <c r="J1415" s="251">
        <v>13200</v>
      </c>
      <c r="K1415" s="38">
        <f>ROUND(I1415*J1415,0)</f>
        <v>2706000</v>
      </c>
      <c r="L1415" s="192" t="s">
        <v>258</v>
      </c>
      <c r="M1415" s="192" t="s">
        <v>173</v>
      </c>
      <c r="N1415" s="52" t="str">
        <f>IF(AND('331-CT'!$E$7=TH!H1415,OR(L1415="331",M1415="331")),"331",IF(AND(OR(L1415="131",M1415="131"),H1415='131-CT'!$E$7),"131",""))</f>
        <v/>
      </c>
      <c r="O1415" s="818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52"/>
      <c r="AB1415" s="552"/>
    </row>
    <row r="1416" spans="1:29" s="209" customFormat="1" ht="15.75" customHeight="1">
      <c r="A1416" s="202" t="str">
        <f>IF(B1416&lt;&gt;"",IF(AND(B1416&gt;=_TM1,B1416&lt;=_TM2,OR(TH!L1416="1111",TH!M1416="1111")),TH!D1416,""),"")</f>
        <v/>
      </c>
      <c r="B1416" s="36">
        <f t="shared" si="66"/>
        <v>9</v>
      </c>
      <c r="C1416" s="182">
        <f t="shared" si="67"/>
        <v>42627</v>
      </c>
      <c r="D1416" s="182" t="s">
        <v>1089</v>
      </c>
      <c r="E1416" s="37">
        <v>42627</v>
      </c>
      <c r="F1416" s="40" t="s">
        <v>1254</v>
      </c>
      <c r="G1416" s="451" t="s">
        <v>1267</v>
      </c>
      <c r="H1416" s="191" t="s">
        <v>1268</v>
      </c>
      <c r="I1416" s="251"/>
      <c r="J1416" s="251"/>
      <c r="K1416" s="38">
        <v>270600</v>
      </c>
      <c r="L1416" s="192" t="s">
        <v>258</v>
      </c>
      <c r="M1416" s="192" t="s">
        <v>367</v>
      </c>
      <c r="N1416" s="52" t="str">
        <f>IF(AND('331-CT'!$E$7=TH!H1416,OR(L1416="331",M1416="331")),"331",IF(AND(OR(L1416="131",M1416="131"),H1416='131-CT'!$E$7),"131",""))</f>
        <v/>
      </c>
      <c r="O1416" s="818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52"/>
      <c r="AB1416" s="552"/>
      <c r="AC1416" s="552"/>
    </row>
    <row r="1417" spans="1:29" s="209" customFormat="1" ht="15.75" customHeight="1">
      <c r="A1417" s="202" t="str">
        <f>IF(B1417&lt;&gt;"",IF(AND(B1417&gt;=_TM1,B1417&lt;=_TM2,OR(TH!L1417="1111",TH!M1417="1111")),TH!D1417,""),"")</f>
        <v/>
      </c>
      <c r="B1417" s="36">
        <f t="shared" si="66"/>
        <v>9</v>
      </c>
      <c r="C1417" s="182">
        <f t="shared" si="67"/>
        <v>42628</v>
      </c>
      <c r="D1417" s="182" t="s">
        <v>1188</v>
      </c>
      <c r="E1417" s="189">
        <v>42628</v>
      </c>
      <c r="F1417" s="40" t="s">
        <v>1247</v>
      </c>
      <c r="G1417" s="451" t="s">
        <v>1522</v>
      </c>
      <c r="H1417" s="7" t="s">
        <v>855</v>
      </c>
      <c r="I1417" s="252">
        <v>2626</v>
      </c>
      <c r="J1417" s="252">
        <v>9200</v>
      </c>
      <c r="K1417" s="38">
        <f>ROUND(I1417*J1417,0)</f>
        <v>24159200</v>
      </c>
      <c r="L1417" s="192" t="s">
        <v>158</v>
      </c>
      <c r="M1417" s="192" t="s">
        <v>8</v>
      </c>
      <c r="N1417" s="52" t="str">
        <f>IF(AND('331-CT'!$E$7=TH!H1417,OR(L1417="331",M1417="331")),"331",IF(AND(OR(L1417="131",M1417="131"),H1417='131-CT'!$E$7),"131",""))</f>
        <v/>
      </c>
      <c r="O1417" s="818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751">
        <v>4</v>
      </c>
      <c r="AB1417" s="552"/>
      <c r="AC1417" s="552"/>
    </row>
    <row r="1418" spans="1:29" s="209" customFormat="1" ht="15.75" customHeight="1">
      <c r="A1418" s="202" t="str">
        <f>IF(B1418&lt;&gt;"",IF(AND(B1418&gt;=_TM1,B1418&lt;=_TM2,OR(TH!L1418="1111",TH!M1418="1111")),TH!D1418,""),"")</f>
        <v/>
      </c>
      <c r="B1418" s="36">
        <f t="shared" si="66"/>
        <v>9</v>
      </c>
      <c r="C1418" s="182">
        <f t="shared" si="67"/>
        <v>42628</v>
      </c>
      <c r="D1418" s="182" t="s">
        <v>1188</v>
      </c>
      <c r="E1418" s="189">
        <v>42628</v>
      </c>
      <c r="F1418" s="40" t="s">
        <v>1248</v>
      </c>
      <c r="G1418" s="451" t="s">
        <v>1522</v>
      </c>
      <c r="H1418" s="7" t="s">
        <v>855</v>
      </c>
      <c r="I1418" s="252">
        <v>2657</v>
      </c>
      <c r="J1418" s="252">
        <v>8500</v>
      </c>
      <c r="K1418" s="38">
        <f>ROUND(I1418*J1418,0)</f>
        <v>22584500</v>
      </c>
      <c r="L1418" s="192" t="s">
        <v>158</v>
      </c>
      <c r="M1418" s="192" t="s">
        <v>8</v>
      </c>
      <c r="N1418" s="52" t="str">
        <f>IF(AND('331-CT'!$E$7=TH!H1418,OR(L1418="331",M1418="331")),"331",IF(AND(OR(L1418="131",M1418="131"),H1418='131-CT'!$E$7),"131",""))</f>
        <v/>
      </c>
      <c r="O1418" s="818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751">
        <v>4</v>
      </c>
      <c r="AB1418" s="552"/>
      <c r="AC1418" s="552"/>
    </row>
    <row r="1419" spans="1:29" s="209" customFormat="1" ht="15.75" customHeight="1">
      <c r="A1419" s="202" t="str">
        <f>IF(B1419&lt;&gt;"",IF(AND(B1419&gt;=_TM1,B1419&lt;=_TM2,OR(TH!L1419="1111",TH!M1419="1111")),TH!D1419,""),"")</f>
        <v/>
      </c>
      <c r="B1419" s="36">
        <f t="shared" si="66"/>
        <v>9</v>
      </c>
      <c r="C1419" s="182">
        <f t="shared" si="67"/>
        <v>42628</v>
      </c>
      <c r="D1419" s="182" t="s">
        <v>1188</v>
      </c>
      <c r="E1419" s="189">
        <v>42628</v>
      </c>
      <c r="F1419" s="190" t="s">
        <v>1245</v>
      </c>
      <c r="G1419" s="451" t="s">
        <v>1522</v>
      </c>
      <c r="H1419" s="7" t="s">
        <v>855</v>
      </c>
      <c r="I1419" s="252">
        <v>6042</v>
      </c>
      <c r="J1419" s="252">
        <v>7600</v>
      </c>
      <c r="K1419" s="38">
        <f>ROUND(I1419*J1419,0)</f>
        <v>45919200</v>
      </c>
      <c r="L1419" s="192" t="s">
        <v>158</v>
      </c>
      <c r="M1419" s="192" t="s">
        <v>8</v>
      </c>
      <c r="N1419" s="52" t="str">
        <f>IF(AND('331-CT'!$E$7=TH!H1419,OR(L1419="331",M1419="331")),"331",IF(AND(OR(L1419="131",M1419="131"),H1419='131-CT'!$E$7),"131",""))</f>
        <v/>
      </c>
      <c r="O1419" s="818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751">
        <v>4</v>
      </c>
      <c r="AB1419" s="552"/>
      <c r="AC1419" s="552"/>
    </row>
    <row r="1420" spans="1:29" s="209" customFormat="1" ht="15.75" customHeight="1">
      <c r="A1420" s="202" t="str">
        <f>IF(B1420&lt;&gt;"",IF(AND(B1420&gt;=_TM1,B1420&lt;=_TM2,OR(TH!L1420="1111",TH!M1420="1111")),TH!D1420,""),"")</f>
        <v/>
      </c>
      <c r="B1420" s="36">
        <f t="shared" si="66"/>
        <v>9</v>
      </c>
      <c r="C1420" s="182">
        <f t="shared" si="67"/>
        <v>42628</v>
      </c>
      <c r="D1420" s="182" t="s">
        <v>1188</v>
      </c>
      <c r="E1420" s="189">
        <v>42628</v>
      </c>
      <c r="F1420" s="40" t="s">
        <v>684</v>
      </c>
      <c r="G1420" s="451" t="s">
        <v>1522</v>
      </c>
      <c r="H1420" s="7" t="s">
        <v>855</v>
      </c>
      <c r="I1420" s="252"/>
      <c r="J1420" s="252"/>
      <c r="K1420" s="38">
        <v>9266290</v>
      </c>
      <c r="L1420" s="192" t="s">
        <v>9</v>
      </c>
      <c r="M1420" s="192" t="s">
        <v>8</v>
      </c>
      <c r="N1420" s="52" t="str">
        <f>IF(AND('331-CT'!$E$7=TH!H1420,OR(L1420="331",M1420="331")),"331",IF(AND(OR(L1420="131",M1420="131"),H1420='131-CT'!$E$7),"131",""))</f>
        <v/>
      </c>
      <c r="O1420" s="818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751">
        <v>4</v>
      </c>
      <c r="AB1420" s="552"/>
    </row>
    <row r="1421" spans="1:29" s="209" customFormat="1" ht="15.75" customHeight="1">
      <c r="A1421" s="202" t="str">
        <f>IF(B1421&lt;&gt;"",IF(AND(B1421&gt;=_TM1,B1421&lt;=_TM2,OR(TH!L1421="1111",TH!M1421="1111")),TH!D1421,""),"")</f>
        <v/>
      </c>
      <c r="B1421" s="36">
        <f t="shared" si="66"/>
        <v>9</v>
      </c>
      <c r="C1421" s="182">
        <f t="shared" si="67"/>
        <v>42629</v>
      </c>
      <c r="D1421" s="182" t="s">
        <v>665</v>
      </c>
      <c r="E1421" s="189">
        <v>42629</v>
      </c>
      <c r="F1421" s="190" t="s">
        <v>666</v>
      </c>
      <c r="G1421" s="190" t="s">
        <v>330</v>
      </c>
      <c r="H1421" s="7" t="s">
        <v>391</v>
      </c>
      <c r="I1421" s="251"/>
      <c r="J1421" s="251"/>
      <c r="K1421" s="560">
        <v>17956325</v>
      </c>
      <c r="L1421" s="192" t="s">
        <v>24</v>
      </c>
      <c r="M1421" s="192" t="s">
        <v>258</v>
      </c>
      <c r="N1421" s="52" t="str">
        <f>IF(AND('331-CT'!$E$7=TH!H1421,OR(L1421="331",M1421="331")),"331",IF(AND(OR(L1421="131",M1421="131"),H1421='131-CT'!$E$7),"131",""))</f>
        <v/>
      </c>
      <c r="O1421" s="818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53"/>
      <c r="AB1421" s="552"/>
      <c r="AC1421" s="552"/>
    </row>
    <row r="1422" spans="1:29" s="209" customFormat="1" ht="15.75" customHeight="1">
      <c r="A1422" s="202" t="str">
        <f>IF(B1422&lt;&gt;"",IF(AND(B1422&gt;=_TM1,B1422&lt;=_TM2,OR(TH!L1422="1111",TH!M1422="1111")),TH!D1422,""),"")</f>
        <v/>
      </c>
      <c r="B1422" s="36">
        <f t="shared" si="66"/>
        <v>9</v>
      </c>
      <c r="C1422" s="182">
        <f t="shared" si="67"/>
        <v>42630</v>
      </c>
      <c r="D1422" s="182" t="s">
        <v>1634</v>
      </c>
      <c r="E1422" s="189">
        <v>42630</v>
      </c>
      <c r="F1422" s="187" t="s">
        <v>776</v>
      </c>
      <c r="G1422" s="190" t="s">
        <v>330</v>
      </c>
      <c r="H1422" s="191" t="s">
        <v>675</v>
      </c>
      <c r="I1422" s="251"/>
      <c r="J1422" s="251"/>
      <c r="K1422" s="560">
        <v>18000000</v>
      </c>
      <c r="L1422" s="561" t="s">
        <v>47</v>
      </c>
      <c r="M1422" s="561" t="s">
        <v>24</v>
      </c>
      <c r="N1422" s="52" t="str">
        <f>IF(AND('331-CT'!$E$7=TH!H1422,OR(L1422="331",M1422="331")),"331",IF(AND(OR(L1422="131",M1422="131"),H1422='131-CT'!$E$7),"131",""))</f>
        <v/>
      </c>
      <c r="O1422" s="818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53"/>
      <c r="AB1422" s="552"/>
    </row>
    <row r="1423" spans="1:29" s="209" customFormat="1" ht="15.75" customHeight="1">
      <c r="A1423" s="202" t="str">
        <f>IF(B1423&lt;&gt;"",IF(AND(B1423&gt;=_TM1,B1423&lt;=_TM2,OR(TH!L1423="1111",TH!M1423="1111")),TH!D1423,""),"")</f>
        <v/>
      </c>
      <c r="B1423" s="36">
        <f t="shared" si="66"/>
        <v>9</v>
      </c>
      <c r="C1423" s="182">
        <f t="shared" si="67"/>
        <v>42632</v>
      </c>
      <c r="D1423" s="182" t="s">
        <v>665</v>
      </c>
      <c r="E1423" s="189">
        <v>42632</v>
      </c>
      <c r="F1423" s="190" t="s">
        <v>666</v>
      </c>
      <c r="G1423" s="190" t="s">
        <v>330</v>
      </c>
      <c r="H1423" s="191" t="s">
        <v>1268</v>
      </c>
      <c r="I1423" s="251"/>
      <c r="J1423" s="251"/>
      <c r="K1423" s="560">
        <v>2976600</v>
      </c>
      <c r="L1423" s="192" t="s">
        <v>24</v>
      </c>
      <c r="M1423" s="192" t="s">
        <v>258</v>
      </c>
      <c r="N1423" s="52" t="str">
        <f>IF(AND('331-CT'!$E$7=TH!H1423,OR(L1423="331",M1423="331")),"331",IF(AND(OR(L1423="131",M1423="131"),H1423='131-CT'!$E$7),"131",""))</f>
        <v/>
      </c>
      <c r="O1423" s="818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53"/>
      <c r="AB1423" s="552"/>
    </row>
    <row r="1424" spans="1:29" s="209" customFormat="1" ht="15.75" customHeight="1">
      <c r="A1424" s="202" t="str">
        <f>IF(B1424&lt;&gt;"",IF(AND(B1424&gt;=_TM1,B1424&lt;=_TM2,OR(TH!L1424="1111",TH!M1424="1111")),TH!D1424,""),"")</f>
        <v/>
      </c>
      <c r="B1424" s="36">
        <f t="shared" si="66"/>
        <v>9</v>
      </c>
      <c r="C1424" s="182">
        <f t="shared" si="67"/>
        <v>42632</v>
      </c>
      <c r="D1424" s="182" t="s">
        <v>1090</v>
      </c>
      <c r="E1424" s="189">
        <v>42632</v>
      </c>
      <c r="F1424" s="190" t="s">
        <v>1443</v>
      </c>
      <c r="G1424" s="451" t="s">
        <v>1269</v>
      </c>
      <c r="H1424" s="7" t="s">
        <v>399</v>
      </c>
      <c r="I1424" s="251">
        <v>300</v>
      </c>
      <c r="J1424" s="251">
        <v>10500</v>
      </c>
      <c r="K1424" s="38">
        <f>ROUND(I1424*J1424,0)</f>
        <v>3150000</v>
      </c>
      <c r="L1424" s="192" t="s">
        <v>258</v>
      </c>
      <c r="M1424" s="192" t="s">
        <v>173</v>
      </c>
      <c r="N1424" s="52" t="str">
        <f>IF(AND('331-CT'!$E$7=TH!H1424,OR(L1424="331",M1424="331")),"331",IF(AND(OR(L1424="131",M1424="131"),H1424='131-CT'!$E$7),"131",""))</f>
        <v/>
      </c>
      <c r="O1424" s="818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52"/>
      <c r="AB1424" s="552"/>
    </row>
    <row r="1425" spans="1:29" s="209" customFormat="1" ht="15.75" customHeight="1">
      <c r="A1425" s="202" t="str">
        <f>IF(B1425&lt;&gt;"",IF(AND(B1425&gt;=_TM1,B1425&lt;=_TM2,OR(TH!L1425="1111",TH!M1425="1111")),TH!D1425,""),"")</f>
        <v/>
      </c>
      <c r="B1425" s="36">
        <f t="shared" si="66"/>
        <v>9</v>
      </c>
      <c r="C1425" s="182">
        <f t="shared" si="67"/>
        <v>42632</v>
      </c>
      <c r="D1425" s="182" t="s">
        <v>1090</v>
      </c>
      <c r="E1425" s="189">
        <v>42632</v>
      </c>
      <c r="F1425" s="40" t="s">
        <v>1254</v>
      </c>
      <c r="G1425" s="451" t="s">
        <v>1269</v>
      </c>
      <c r="H1425" s="7" t="s">
        <v>399</v>
      </c>
      <c r="I1425" s="251"/>
      <c r="J1425" s="251"/>
      <c r="K1425" s="38">
        <v>315000</v>
      </c>
      <c r="L1425" s="192" t="s">
        <v>258</v>
      </c>
      <c r="M1425" s="192" t="s">
        <v>367</v>
      </c>
      <c r="N1425" s="52" t="str">
        <f>IF(AND('331-CT'!$E$7=TH!H1425,OR(L1425="331",M1425="331")),"331",IF(AND(OR(L1425="131",M1425="131"),H1425='131-CT'!$E$7),"131",""))</f>
        <v/>
      </c>
      <c r="O1425" s="818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52"/>
      <c r="AB1425" s="552"/>
      <c r="AC1425" s="552"/>
    </row>
    <row r="1426" spans="1:29" s="209" customFormat="1" ht="15.75" customHeight="1">
      <c r="A1426" s="202" t="str">
        <f>IF(B1426&lt;&gt;"",IF(AND(B1426&gt;=_TM1,B1426&lt;=_TM2,OR(TH!L1426="1111",TH!M1426="1111")),TH!D1426,""),"")</f>
        <v/>
      </c>
      <c r="B1426" s="36">
        <f t="shared" si="66"/>
        <v>9</v>
      </c>
      <c r="C1426" s="182">
        <f t="shared" si="67"/>
        <v>42633</v>
      </c>
      <c r="D1426" s="182" t="s">
        <v>665</v>
      </c>
      <c r="E1426" s="189">
        <v>42633</v>
      </c>
      <c r="F1426" s="190" t="s">
        <v>666</v>
      </c>
      <c r="G1426" s="190" t="s">
        <v>330</v>
      </c>
      <c r="H1426" s="7" t="s">
        <v>648</v>
      </c>
      <c r="I1426" s="251"/>
      <c r="J1426" s="251"/>
      <c r="K1426" s="560">
        <v>7530600</v>
      </c>
      <c r="L1426" s="192" t="s">
        <v>24</v>
      </c>
      <c r="M1426" s="192" t="s">
        <v>258</v>
      </c>
      <c r="N1426" s="52" t="str">
        <f>IF(AND('331-CT'!$E$7=TH!H1426,OR(L1426="331",M1426="331")),"331",IF(AND(OR(L1426="131",M1426="131"),H1426='131-CT'!$E$7),"131",""))</f>
        <v/>
      </c>
      <c r="O1426" s="818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53"/>
      <c r="AB1426" s="552"/>
      <c r="AC1426" s="552"/>
    </row>
    <row r="1427" spans="1:29" s="209" customFormat="1" ht="15.75" customHeight="1">
      <c r="A1427" s="202" t="str">
        <f>IF(B1427&lt;&gt;"",IF(AND(B1427&gt;=_TM1,B1427&lt;=_TM2,OR(TH!L1427="1111",TH!M1427="1111")),TH!D1427,""),"")</f>
        <v/>
      </c>
      <c r="B1427" s="36">
        <f t="shared" si="66"/>
        <v>9</v>
      </c>
      <c r="C1427" s="182">
        <f t="shared" si="67"/>
        <v>42633</v>
      </c>
      <c r="D1427" s="182" t="s">
        <v>1635</v>
      </c>
      <c r="E1427" s="189">
        <v>42633</v>
      </c>
      <c r="F1427" s="187" t="s">
        <v>776</v>
      </c>
      <c r="G1427" s="190" t="s">
        <v>330</v>
      </c>
      <c r="H1427" s="191" t="s">
        <v>675</v>
      </c>
      <c r="I1427" s="251"/>
      <c r="J1427" s="251"/>
      <c r="K1427" s="560">
        <v>3000000</v>
      </c>
      <c r="L1427" s="561" t="s">
        <v>47</v>
      </c>
      <c r="M1427" s="561" t="s">
        <v>24</v>
      </c>
      <c r="N1427" s="52" t="str">
        <f>IF(AND('331-CT'!$E$7=TH!H1427,OR(L1427="331",M1427="331")),"331",IF(AND(OR(L1427="131",M1427="131"),H1427='131-CT'!$E$7),"131",""))</f>
        <v/>
      </c>
      <c r="O1427" s="818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53"/>
      <c r="AB1427" s="552"/>
      <c r="AC1427" s="552"/>
    </row>
    <row r="1428" spans="1:29" s="209" customFormat="1" ht="15.75" customHeight="1">
      <c r="A1428" s="202" t="str">
        <f>IF(B1428&lt;&gt;"",IF(AND(B1428&gt;=_TM1,B1428&lt;=_TM2,OR(TH!L1428="1111",TH!M1428="1111")),TH!D1428,""),"")</f>
        <v/>
      </c>
      <c r="B1428" s="36">
        <f t="shared" ref="B1428:B1491" si="68">IF(C1428&lt;&gt;"",MONTH(C1428),"")</f>
        <v>9</v>
      </c>
      <c r="C1428" s="182">
        <f t="shared" si="67"/>
        <v>42633</v>
      </c>
      <c r="D1428" s="182" t="s">
        <v>1647</v>
      </c>
      <c r="E1428" s="189">
        <v>42633</v>
      </c>
      <c r="F1428" s="187" t="s">
        <v>754</v>
      </c>
      <c r="G1428" s="190" t="s">
        <v>1287</v>
      </c>
      <c r="H1428" s="191" t="s">
        <v>675</v>
      </c>
      <c r="I1428" s="251"/>
      <c r="J1428" s="251"/>
      <c r="K1428" s="560">
        <v>15500000</v>
      </c>
      <c r="L1428" s="561" t="s">
        <v>24</v>
      </c>
      <c r="M1428" s="561" t="s">
        <v>47</v>
      </c>
      <c r="N1428" s="52" t="str">
        <f>IF(AND('331-CT'!$E$7=TH!H1428,OR(L1428="331",M1428="331")),"331",IF(AND(OR(L1428="131",M1428="131"),H1428='131-CT'!$E$7),"131",""))</f>
        <v/>
      </c>
      <c r="O1428" s="818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>x</v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53"/>
      <c r="AB1428" s="552"/>
      <c r="AC1428" s="552"/>
    </row>
    <row r="1429" spans="1:29" s="209" customFormat="1" ht="15.75" customHeight="1">
      <c r="A1429" s="202" t="str">
        <f>IF(B1429&lt;&gt;"",IF(AND(B1429&gt;=_TM1,B1429&lt;=_TM2,OR(TH!L1429="1111",TH!M1429="1111")),TH!D1429,""),"")</f>
        <v/>
      </c>
      <c r="B1429" s="36">
        <f t="shared" si="68"/>
        <v>9</v>
      </c>
      <c r="C1429" s="182">
        <f t="shared" si="67"/>
        <v>42633</v>
      </c>
      <c r="D1429" s="182" t="s">
        <v>669</v>
      </c>
      <c r="E1429" s="189">
        <v>42633</v>
      </c>
      <c r="F1429" s="187" t="s">
        <v>1296</v>
      </c>
      <c r="G1429" s="190" t="s">
        <v>1287</v>
      </c>
      <c r="H1429" s="191" t="s">
        <v>1291</v>
      </c>
      <c r="I1429" s="251"/>
      <c r="J1429" s="251"/>
      <c r="K1429" s="560">
        <v>14300000</v>
      </c>
      <c r="L1429" s="561" t="s">
        <v>81</v>
      </c>
      <c r="M1429" s="561" t="s">
        <v>24</v>
      </c>
      <c r="N1429" s="52" t="str">
        <f>IF(AND('331-CT'!$E$7=TH!H1429,OR(L1429="331",M1429="331")),"331",IF(AND(OR(L1429="131",M1429="131"),H1429='131-CT'!$E$7),"131",""))</f>
        <v/>
      </c>
      <c r="O1429" s="818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>x</v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53"/>
      <c r="AB1429" s="552"/>
      <c r="AC1429" s="552"/>
    </row>
    <row r="1430" spans="1:29" s="209" customFormat="1" ht="15.75" customHeight="1">
      <c r="A1430" s="202" t="str">
        <f>IF(B1430&lt;&gt;"",IF(AND(B1430&gt;=_TM1,B1430&lt;=_TM2,OR(TH!L1430="1111",TH!M1430="1111")),TH!D1430,""),"")</f>
        <v/>
      </c>
      <c r="B1430" s="36">
        <f t="shared" si="68"/>
        <v>9</v>
      </c>
      <c r="C1430" s="182">
        <f t="shared" si="67"/>
        <v>42633</v>
      </c>
      <c r="D1430" s="182" t="s">
        <v>669</v>
      </c>
      <c r="E1430" s="189">
        <v>42633</v>
      </c>
      <c r="F1430" s="187" t="s">
        <v>1296</v>
      </c>
      <c r="G1430" s="190" t="s">
        <v>1287</v>
      </c>
      <c r="H1430" s="191" t="s">
        <v>1294</v>
      </c>
      <c r="I1430" s="251"/>
      <c r="J1430" s="251"/>
      <c r="K1430" s="560">
        <v>975000</v>
      </c>
      <c r="L1430" s="561" t="s">
        <v>81</v>
      </c>
      <c r="M1430" s="561" t="s">
        <v>24</v>
      </c>
      <c r="N1430" s="52" t="str">
        <f>IF(AND('331-CT'!$E$7=TH!H1430,OR(L1430="331",M1430="331")),"331",IF(AND(OR(L1430="131",M1430="131"),H1430='131-CT'!$E$7),"131",""))</f>
        <v/>
      </c>
      <c r="O1430" s="818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>x</v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53"/>
      <c r="AB1430" s="552"/>
      <c r="AC1430" s="552"/>
    </row>
    <row r="1431" spans="1:29" s="209" customFormat="1" ht="15.75" customHeight="1">
      <c r="A1431" s="202" t="str">
        <f>IF(B1431&lt;&gt;"",IF(AND(B1431&gt;=_TM1,B1431&lt;=_TM2,OR(TH!L1431="1111",TH!M1431="1111")),TH!D1431,""),"")</f>
        <v/>
      </c>
      <c r="B1431" s="36">
        <f t="shared" si="68"/>
        <v>9</v>
      </c>
      <c r="C1431" s="182">
        <f t="shared" si="67"/>
        <v>42633</v>
      </c>
      <c r="D1431" s="182" t="s">
        <v>669</v>
      </c>
      <c r="E1431" s="189">
        <v>42633</v>
      </c>
      <c r="F1431" s="187" t="s">
        <v>1296</v>
      </c>
      <c r="G1431" s="190" t="s">
        <v>1287</v>
      </c>
      <c r="H1431" s="191" t="s">
        <v>1295</v>
      </c>
      <c r="I1431" s="251"/>
      <c r="J1431" s="251"/>
      <c r="K1431" s="560">
        <v>136764</v>
      </c>
      <c r="L1431" s="561" t="s">
        <v>81</v>
      </c>
      <c r="M1431" s="561" t="s">
        <v>24</v>
      </c>
      <c r="N1431" s="52" t="str">
        <f>IF(AND('331-CT'!$E$7=TH!H1431,OR(L1431="331",M1431="331")),"331",IF(AND(OR(L1431="131",M1431="131"),H1431='131-CT'!$E$7),"131",""))</f>
        <v/>
      </c>
      <c r="O1431" s="818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>x</v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53"/>
      <c r="AB1431" s="552"/>
      <c r="AC1431" s="552"/>
    </row>
    <row r="1432" spans="1:29" s="209" customFormat="1" ht="15.75" customHeight="1">
      <c r="A1432" s="202" t="str">
        <f>IF(B1432&lt;&gt;"",IF(AND(B1432&gt;=_TM1,B1432&lt;=_TM2,OR(TH!L1432="1111",TH!M1432="1111")),TH!D1432,""),"")</f>
        <v/>
      </c>
      <c r="B1432" s="36">
        <f t="shared" si="68"/>
        <v>9</v>
      </c>
      <c r="C1432" s="182">
        <f t="shared" si="67"/>
        <v>42634</v>
      </c>
      <c r="D1432" s="182" t="s">
        <v>1649</v>
      </c>
      <c r="E1432" s="189">
        <v>42634</v>
      </c>
      <c r="F1432" s="190" t="s">
        <v>754</v>
      </c>
      <c r="G1432" s="190" t="s">
        <v>330</v>
      </c>
      <c r="H1432" s="191" t="s">
        <v>675</v>
      </c>
      <c r="I1432" s="251"/>
      <c r="J1432" s="251"/>
      <c r="K1432" s="560">
        <v>2500000</v>
      </c>
      <c r="L1432" s="192" t="s">
        <v>24</v>
      </c>
      <c r="M1432" s="192" t="s">
        <v>47</v>
      </c>
      <c r="N1432" s="52" t="str">
        <f>IF(AND('331-CT'!$E$7=TH!H1432,OR(L1432="331",M1432="331")),"331",IF(AND(OR(L1432="131",M1432="131"),H1432='131-CT'!$E$7),"131",""))</f>
        <v/>
      </c>
      <c r="O1432" s="818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53"/>
      <c r="AB1432" s="552"/>
    </row>
    <row r="1433" spans="1:29" s="209" customFormat="1" ht="15.75" customHeight="1">
      <c r="A1433" s="202" t="str">
        <f>IF(B1433&lt;&gt;"",IF(AND(B1433&gt;=_TM1,B1433&lt;=_TM2,OR(TH!L1433="1111",TH!M1433="1111")),TH!D1433,""),"")</f>
        <v/>
      </c>
      <c r="B1433" s="36">
        <f t="shared" si="68"/>
        <v>9</v>
      </c>
      <c r="C1433" s="182">
        <f t="shared" si="67"/>
        <v>42634</v>
      </c>
      <c r="D1433" s="182" t="s">
        <v>669</v>
      </c>
      <c r="E1433" s="189">
        <v>42634</v>
      </c>
      <c r="F1433" s="190" t="s">
        <v>671</v>
      </c>
      <c r="G1433" s="190" t="s">
        <v>330</v>
      </c>
      <c r="H1433" s="7" t="s">
        <v>1453</v>
      </c>
      <c r="I1433" s="251"/>
      <c r="J1433" s="251"/>
      <c r="K1433" s="560">
        <v>10000000</v>
      </c>
      <c r="L1433" s="192" t="s">
        <v>8</v>
      </c>
      <c r="M1433" s="561" t="s">
        <v>24</v>
      </c>
      <c r="N1433" s="52" t="str">
        <f>IF(AND('331-CT'!$E$7=TH!H1433,OR(L1433="331",M1433="331")),"331",IF(AND(OR(L1433="131",M1433="131"),H1433='131-CT'!$E$7),"131",""))</f>
        <v/>
      </c>
      <c r="O1433" s="818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53"/>
      <c r="AB1433" s="552"/>
    </row>
    <row r="1434" spans="1:29" s="209" customFormat="1" ht="15.75" customHeight="1">
      <c r="A1434" s="202" t="str">
        <f>IF(B1434&lt;&gt;"",IF(AND(B1434&gt;=_TM1,B1434&lt;=_TM2,OR(TH!L1434="1111",TH!M1434="1111")),TH!D1434,""),"")</f>
        <v/>
      </c>
      <c r="B1434" s="36">
        <f t="shared" si="68"/>
        <v>9</v>
      </c>
      <c r="C1434" s="182">
        <f t="shared" si="67"/>
        <v>42634</v>
      </c>
      <c r="D1434" s="182" t="s">
        <v>669</v>
      </c>
      <c r="E1434" s="189">
        <v>42634</v>
      </c>
      <c r="F1434" s="190" t="s">
        <v>672</v>
      </c>
      <c r="G1434" s="190" t="s">
        <v>330</v>
      </c>
      <c r="H1434" s="7"/>
      <c r="I1434" s="251"/>
      <c r="J1434" s="251"/>
      <c r="K1434" s="560">
        <v>13637</v>
      </c>
      <c r="L1434" s="561" t="s">
        <v>83</v>
      </c>
      <c r="M1434" s="561" t="s">
        <v>24</v>
      </c>
      <c r="N1434" s="52" t="str">
        <f>IF(AND('331-CT'!$E$7=TH!H1434,OR(L1434="331",M1434="331")),"331",IF(AND(OR(L1434="131",M1434="131"),H1434='131-CT'!$E$7),"131",""))</f>
        <v/>
      </c>
      <c r="O1434" s="818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>x</v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52">
        <v>3</v>
      </c>
      <c r="AB1434" s="552"/>
      <c r="AC1434" s="552"/>
    </row>
    <row r="1435" spans="1:29" s="209" customFormat="1" ht="15.75" customHeight="1">
      <c r="A1435" s="202" t="str">
        <f>IF(B1435&lt;&gt;"",IF(AND(B1435&gt;=_TM1,B1435&lt;=_TM2,OR(TH!L1435="1111",TH!M1435="1111")),TH!D1435,""),"")</f>
        <v/>
      </c>
      <c r="B1435" s="36">
        <f t="shared" si="68"/>
        <v>9</v>
      </c>
      <c r="C1435" s="182">
        <f t="shared" si="67"/>
        <v>42634</v>
      </c>
      <c r="D1435" s="182" t="s">
        <v>669</v>
      </c>
      <c r="E1435" s="189">
        <v>42634</v>
      </c>
      <c r="F1435" s="190" t="s">
        <v>762</v>
      </c>
      <c r="G1435" s="190" t="s">
        <v>330</v>
      </c>
      <c r="H1435" s="7"/>
      <c r="I1435" s="251"/>
      <c r="J1435" s="251"/>
      <c r="K1435" s="560">
        <v>1363</v>
      </c>
      <c r="L1435" s="561" t="s">
        <v>9</v>
      </c>
      <c r="M1435" s="561" t="s">
        <v>24</v>
      </c>
      <c r="N1435" s="52" t="str">
        <f>IF(AND('331-CT'!$E$7=TH!H1435,OR(L1435="331",M1435="331")),"331",IF(AND(OR(L1435="131",M1435="131"),H1435='131-CT'!$E$7),"131",""))</f>
        <v/>
      </c>
      <c r="O1435" s="818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52">
        <v>3</v>
      </c>
      <c r="AB1435" s="552"/>
    </row>
    <row r="1436" spans="1:29" s="209" customFormat="1" ht="15.75" customHeight="1">
      <c r="A1436" s="202" t="str">
        <f>IF(B1436&lt;&gt;"",IF(AND(B1436&gt;=_TM1,B1436&lt;=_TM2,OR(TH!L1436="1111",TH!M1436="1111")),TH!D1436,""),"")</f>
        <v/>
      </c>
      <c r="B1436" s="36">
        <f t="shared" si="68"/>
        <v>9</v>
      </c>
      <c r="C1436" s="182">
        <f t="shared" si="67"/>
        <v>42634</v>
      </c>
      <c r="D1436" s="182" t="s">
        <v>669</v>
      </c>
      <c r="E1436" s="189">
        <v>42634</v>
      </c>
      <c r="F1436" s="190" t="s">
        <v>674</v>
      </c>
      <c r="G1436" s="190" t="s">
        <v>330</v>
      </c>
      <c r="H1436" s="7"/>
      <c r="I1436" s="251"/>
      <c r="J1436" s="251"/>
      <c r="K1436" s="560">
        <v>13637</v>
      </c>
      <c r="L1436" s="561" t="s">
        <v>83</v>
      </c>
      <c r="M1436" s="561" t="s">
        <v>24</v>
      </c>
      <c r="N1436" s="52" t="str">
        <f>IF(AND('331-CT'!$E$7=TH!H1436,OR(L1436="331",M1436="331")),"331",IF(AND(OR(L1436="131",M1436="131"),H1436='131-CT'!$E$7),"131",""))</f>
        <v/>
      </c>
      <c r="O1436" s="818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>x</v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52">
        <v>3</v>
      </c>
      <c r="AB1436" s="552"/>
      <c r="AC1436" s="552"/>
    </row>
    <row r="1437" spans="1:29" s="209" customFormat="1" ht="15.75" customHeight="1">
      <c r="A1437" s="202" t="str">
        <f>IF(B1437&lt;&gt;"",IF(AND(B1437&gt;=_TM1,B1437&lt;=_TM2,OR(TH!L1437="1111",TH!M1437="1111")),TH!D1437,""),"")</f>
        <v/>
      </c>
      <c r="B1437" s="36">
        <f t="shared" si="68"/>
        <v>9</v>
      </c>
      <c r="C1437" s="182">
        <f t="shared" si="67"/>
        <v>42634</v>
      </c>
      <c r="D1437" s="182" t="s">
        <v>669</v>
      </c>
      <c r="E1437" s="189">
        <v>42634</v>
      </c>
      <c r="F1437" s="190" t="s">
        <v>794</v>
      </c>
      <c r="G1437" s="190" t="s">
        <v>330</v>
      </c>
      <c r="H1437" s="7"/>
      <c r="I1437" s="251"/>
      <c r="J1437" s="251"/>
      <c r="K1437" s="560">
        <v>1363</v>
      </c>
      <c r="L1437" s="561" t="s">
        <v>9</v>
      </c>
      <c r="M1437" s="561" t="s">
        <v>24</v>
      </c>
      <c r="N1437" s="52" t="str">
        <f>IF(AND('331-CT'!$E$7=TH!H1437,OR(L1437="331",M1437="331")),"331",IF(AND(OR(L1437="131",M1437="131"),H1437='131-CT'!$E$7),"131",""))</f>
        <v/>
      </c>
      <c r="O1437" s="818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52">
        <v>3</v>
      </c>
      <c r="AB1437" s="552"/>
    </row>
    <row r="1438" spans="1:29" s="209" customFormat="1" ht="15.75" customHeight="1">
      <c r="A1438" s="202" t="str">
        <f>IF(B1438&lt;&gt;"",IF(AND(B1438&gt;=_TM1,B1438&lt;=_TM2,OR(TH!L1438="1111",TH!M1438="1111")),TH!D1438,""),"")</f>
        <v/>
      </c>
      <c r="B1438" s="36">
        <f t="shared" si="68"/>
        <v>9</v>
      </c>
      <c r="C1438" s="182">
        <f t="shared" si="67"/>
        <v>42635</v>
      </c>
      <c r="D1438" s="182" t="s">
        <v>1651</v>
      </c>
      <c r="E1438" s="189">
        <v>42635</v>
      </c>
      <c r="F1438" s="190" t="s">
        <v>754</v>
      </c>
      <c r="G1438" s="190" t="s">
        <v>330</v>
      </c>
      <c r="H1438" s="7" t="s">
        <v>1282</v>
      </c>
      <c r="I1438" s="251"/>
      <c r="J1438" s="251"/>
      <c r="K1438" s="560">
        <v>10000000</v>
      </c>
      <c r="L1438" s="192" t="s">
        <v>24</v>
      </c>
      <c r="M1438" s="192" t="s">
        <v>47</v>
      </c>
      <c r="N1438" s="52" t="str">
        <f>IF(AND('331-CT'!$E$7=TH!H1438,OR(L1438="331",M1438="331")),"331",IF(AND(OR(L1438="131",M1438="131"),H1438='131-CT'!$E$7),"131",""))</f>
        <v/>
      </c>
      <c r="O1438" s="818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53"/>
      <c r="AB1438" s="552"/>
      <c r="AC1438" s="552"/>
    </row>
    <row r="1439" spans="1:29" s="209" customFormat="1" ht="15.75" customHeight="1">
      <c r="A1439" s="202" t="str">
        <f>IF(B1439&lt;&gt;"",IF(AND(B1439&gt;=_TM1,B1439&lt;=_TM2,OR(TH!L1439="1111",TH!M1439="1111")),TH!D1439,""),"")</f>
        <v/>
      </c>
      <c r="B1439" s="36">
        <f t="shared" si="68"/>
        <v>9</v>
      </c>
      <c r="C1439" s="182">
        <f t="shared" si="67"/>
        <v>42635</v>
      </c>
      <c r="D1439" s="182" t="s">
        <v>669</v>
      </c>
      <c r="E1439" s="189">
        <v>42635</v>
      </c>
      <c r="F1439" s="190" t="s">
        <v>671</v>
      </c>
      <c r="G1439" s="190" t="s">
        <v>330</v>
      </c>
      <c r="H1439" s="7" t="s">
        <v>1452</v>
      </c>
      <c r="I1439" s="251"/>
      <c r="J1439" s="251"/>
      <c r="K1439" s="560">
        <v>10000000</v>
      </c>
      <c r="L1439" s="192" t="s">
        <v>8</v>
      </c>
      <c r="M1439" s="561" t="s">
        <v>24</v>
      </c>
      <c r="N1439" s="52" t="str">
        <f>IF(AND('331-CT'!$E$7=TH!H1439,OR(L1439="331",M1439="331")),"331",IF(AND(OR(L1439="131",M1439="131"),H1439='131-CT'!$E$7),"131",""))</f>
        <v/>
      </c>
      <c r="O1439" s="818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53"/>
      <c r="AB1439" s="552"/>
      <c r="AC1439" s="552"/>
    </row>
    <row r="1440" spans="1:29" s="209" customFormat="1" ht="15.75" customHeight="1">
      <c r="A1440" s="202" t="str">
        <f>IF(B1440&lt;&gt;"",IF(AND(B1440&gt;=_TM1,B1440&lt;=_TM2,OR(TH!L1440="1111",TH!M1440="1111")),TH!D1440,""),"")</f>
        <v/>
      </c>
      <c r="B1440" s="36">
        <f t="shared" si="68"/>
        <v>9</v>
      </c>
      <c r="C1440" s="182">
        <f t="shared" si="67"/>
        <v>42635</v>
      </c>
      <c r="D1440" s="182" t="s">
        <v>669</v>
      </c>
      <c r="E1440" s="189">
        <v>42635</v>
      </c>
      <c r="F1440" s="190" t="s">
        <v>672</v>
      </c>
      <c r="G1440" s="190" t="s">
        <v>330</v>
      </c>
      <c r="H1440" s="7"/>
      <c r="I1440" s="251"/>
      <c r="J1440" s="251"/>
      <c r="K1440" s="560">
        <v>9091</v>
      </c>
      <c r="L1440" s="561" t="s">
        <v>83</v>
      </c>
      <c r="M1440" s="561" t="s">
        <v>24</v>
      </c>
      <c r="N1440" s="52" t="str">
        <f>IF(AND('331-CT'!$E$7=TH!H1440,OR(L1440="331",M1440="331")),"331",IF(AND(OR(L1440="131",M1440="131"),H1440='131-CT'!$E$7),"131",""))</f>
        <v/>
      </c>
      <c r="O1440" s="818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>x</v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52">
        <v>3</v>
      </c>
      <c r="AB1440" s="552"/>
    </row>
    <row r="1441" spans="1:32" s="209" customFormat="1" ht="15.75" customHeight="1">
      <c r="A1441" s="202" t="str">
        <f>IF(B1441&lt;&gt;"",IF(AND(B1441&gt;=_TM1,B1441&lt;=_TM2,OR(TH!L1441="1111",TH!M1441="1111")),TH!D1441,""),"")</f>
        <v/>
      </c>
      <c r="B1441" s="36">
        <f t="shared" si="68"/>
        <v>9</v>
      </c>
      <c r="C1441" s="182">
        <f t="shared" si="67"/>
        <v>42635</v>
      </c>
      <c r="D1441" s="182" t="s">
        <v>669</v>
      </c>
      <c r="E1441" s="189">
        <v>42635</v>
      </c>
      <c r="F1441" s="190" t="s">
        <v>762</v>
      </c>
      <c r="G1441" s="190" t="s">
        <v>330</v>
      </c>
      <c r="H1441" s="7"/>
      <c r="I1441" s="251"/>
      <c r="J1441" s="251"/>
      <c r="K1441" s="560">
        <v>909</v>
      </c>
      <c r="L1441" s="561" t="s">
        <v>9</v>
      </c>
      <c r="M1441" s="561" t="s">
        <v>24</v>
      </c>
      <c r="N1441" s="52" t="str">
        <f>IF(AND('331-CT'!$E$7=TH!H1441,OR(L1441="331",M1441="331")),"331",IF(AND(OR(L1441="131",M1441="131"),H1441='131-CT'!$E$7),"131",""))</f>
        <v/>
      </c>
      <c r="O1441" s="818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852">
        <v>3</v>
      </c>
      <c r="AB1441" s="552"/>
      <c r="AC1441" s="552"/>
    </row>
    <row r="1442" spans="1:32" s="209" customFormat="1" ht="15.75" customHeight="1">
      <c r="A1442" s="202" t="str">
        <f>IF(B1442&lt;&gt;"",IF(AND(B1442&gt;=_TM1,B1442&lt;=_TM2,OR(TH!L1442="1111",TH!M1442="1111")),TH!D1442,""),"")</f>
        <v/>
      </c>
      <c r="B1442" s="36">
        <f t="shared" si="68"/>
        <v>9</v>
      </c>
      <c r="C1442" s="182">
        <f t="shared" si="67"/>
        <v>42635</v>
      </c>
      <c r="D1442" s="182" t="s">
        <v>669</v>
      </c>
      <c r="E1442" s="189">
        <v>42635</v>
      </c>
      <c r="F1442" s="190" t="s">
        <v>674</v>
      </c>
      <c r="G1442" s="190" t="s">
        <v>330</v>
      </c>
      <c r="H1442" s="7"/>
      <c r="I1442" s="668"/>
      <c r="J1442" s="668"/>
      <c r="K1442" s="560">
        <v>13637</v>
      </c>
      <c r="L1442" s="561" t="s">
        <v>83</v>
      </c>
      <c r="M1442" s="561" t="s">
        <v>24</v>
      </c>
      <c r="N1442" s="52" t="str">
        <f>IF(AND('331-CT'!$E$7=TH!H1442,OR(L1442="331",M1442="331")),"331",IF(AND(OR(L1442="131",M1442="131"),H1442='131-CT'!$E$7),"131",""))</f>
        <v/>
      </c>
      <c r="O1442" s="818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>x</v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852">
        <v>3</v>
      </c>
      <c r="AB1442" s="552"/>
    </row>
    <row r="1443" spans="1:32" s="209" customFormat="1" ht="15.75" customHeight="1">
      <c r="A1443" s="202" t="str">
        <f>IF(B1443&lt;&gt;"",IF(AND(B1443&gt;=_TM1,B1443&lt;=_TM2,OR(TH!L1443="1111",TH!M1443="1111")),TH!D1443,""),"")</f>
        <v/>
      </c>
      <c r="B1443" s="36">
        <f t="shared" si="68"/>
        <v>9</v>
      </c>
      <c r="C1443" s="182">
        <f t="shared" si="67"/>
        <v>42635</v>
      </c>
      <c r="D1443" s="182" t="s">
        <v>669</v>
      </c>
      <c r="E1443" s="189">
        <v>42635</v>
      </c>
      <c r="F1443" s="190" t="s">
        <v>794</v>
      </c>
      <c r="G1443" s="190" t="s">
        <v>330</v>
      </c>
      <c r="H1443" s="7"/>
      <c r="I1443" s="668"/>
      <c r="J1443" s="668"/>
      <c r="K1443" s="560">
        <v>1363</v>
      </c>
      <c r="L1443" s="561" t="s">
        <v>9</v>
      </c>
      <c r="M1443" s="561" t="s">
        <v>24</v>
      </c>
      <c r="N1443" s="52" t="str">
        <f>IF(AND('331-CT'!$E$7=TH!H1443,OR(L1443="331",M1443="331")),"331",IF(AND(OR(L1443="131",M1443="131"),H1443='131-CT'!$E$7),"131",""))</f>
        <v/>
      </c>
      <c r="O1443" s="818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852">
        <v>3</v>
      </c>
      <c r="AB1443" s="552"/>
      <c r="AC1443" s="552"/>
    </row>
    <row r="1444" spans="1:32" s="209" customFormat="1" ht="15.75" customHeight="1">
      <c r="A1444" s="202" t="str">
        <f>IF(B1444&lt;&gt;"",IF(AND(B1444&gt;=_TM1,B1444&lt;=_TM2,OR(TH!L1444="1111",TH!M1444="1111")),TH!D1444,""),"")</f>
        <v/>
      </c>
      <c r="B1444" s="36">
        <f t="shared" si="68"/>
        <v>9</v>
      </c>
      <c r="C1444" s="182">
        <f t="shared" si="67"/>
        <v>42635</v>
      </c>
      <c r="D1444" s="182" t="s">
        <v>1091</v>
      </c>
      <c r="E1444" s="189">
        <v>42635</v>
      </c>
      <c r="F1444" s="40" t="s">
        <v>680</v>
      </c>
      <c r="G1444" s="451" t="s">
        <v>1270</v>
      </c>
      <c r="H1444" s="191" t="s">
        <v>777</v>
      </c>
      <c r="I1444" s="668">
        <v>319</v>
      </c>
      <c r="J1444" s="668">
        <v>9300</v>
      </c>
      <c r="K1444" s="38">
        <f>ROUND(I1444*J1444,0)</f>
        <v>2966700</v>
      </c>
      <c r="L1444" s="192" t="s">
        <v>258</v>
      </c>
      <c r="M1444" s="192" t="s">
        <v>173</v>
      </c>
      <c r="N1444" s="52" t="str">
        <f>IF(AND('331-CT'!$E$7=TH!H1444,OR(L1444="331",M1444="331")),"331",IF(AND(OR(L1444="131",M1444="131"),H1444='131-CT'!$E$7),"131",""))</f>
        <v>131</v>
      </c>
      <c r="O1444" s="818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852"/>
      <c r="AB1444" s="552"/>
    </row>
    <row r="1445" spans="1:32" s="209" customFormat="1" ht="15.75" customHeight="1">
      <c r="A1445" s="202" t="str">
        <f>IF(B1445&lt;&gt;"",IF(AND(B1445&gt;=_TM1,B1445&lt;=_TM2,OR(TH!L1445="1111",TH!M1445="1111")),TH!D1445,""),"")</f>
        <v/>
      </c>
      <c r="B1445" s="36">
        <f t="shared" si="68"/>
        <v>9</v>
      </c>
      <c r="C1445" s="182">
        <f t="shared" si="67"/>
        <v>42635</v>
      </c>
      <c r="D1445" s="182" t="s">
        <v>1091</v>
      </c>
      <c r="E1445" s="189">
        <v>42635</v>
      </c>
      <c r="F1445" s="40" t="s">
        <v>525</v>
      </c>
      <c r="G1445" s="451" t="s">
        <v>1270</v>
      </c>
      <c r="H1445" s="191" t="s">
        <v>777</v>
      </c>
      <c r="I1445" s="668"/>
      <c r="J1445" s="668"/>
      <c r="K1445" s="38">
        <v>296670</v>
      </c>
      <c r="L1445" s="192" t="s">
        <v>258</v>
      </c>
      <c r="M1445" s="192" t="s">
        <v>367</v>
      </c>
      <c r="N1445" s="52" t="str">
        <f>IF(AND('331-CT'!$E$7=TH!H1445,OR(L1445="331",M1445="331")),"331",IF(AND(OR(L1445="131",M1445="131"),H1445='131-CT'!$E$7),"131",""))</f>
        <v>131</v>
      </c>
      <c r="O1445" s="818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852"/>
      <c r="AB1445" s="552"/>
      <c r="AC1445" s="552"/>
    </row>
    <row r="1446" spans="1:32" s="209" customFormat="1" ht="15.75" customHeight="1">
      <c r="A1446" s="202" t="str">
        <f>IF(B1446&lt;&gt;"",IF(AND(B1446&gt;=_TM1,B1446&lt;=_TM2,OR(TH!L1446="1111",TH!M1446="1111")),TH!D1446,""),"")</f>
        <v/>
      </c>
      <c r="B1446" s="36">
        <f t="shared" si="68"/>
        <v>9</v>
      </c>
      <c r="C1446" s="182">
        <f t="shared" si="67"/>
        <v>42637</v>
      </c>
      <c r="D1446" s="182" t="s">
        <v>665</v>
      </c>
      <c r="E1446" s="189">
        <v>42637</v>
      </c>
      <c r="F1446" s="190" t="s">
        <v>667</v>
      </c>
      <c r="G1446" s="190" t="s">
        <v>330</v>
      </c>
      <c r="H1446" s="7"/>
      <c r="I1446" s="668"/>
      <c r="J1446" s="668"/>
      <c r="K1446" s="560">
        <v>358</v>
      </c>
      <c r="L1446" s="192" t="s">
        <v>24</v>
      </c>
      <c r="M1446" s="192" t="s">
        <v>40</v>
      </c>
      <c r="N1446" s="52" t="str">
        <f>IF(AND('331-CT'!$E$7=TH!H1446,OR(L1446="331",M1446="331")),"331",IF(AND(OR(L1446="131",M1446="131"),H1446='131-CT'!$E$7),"131",""))</f>
        <v/>
      </c>
      <c r="O1446" s="818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853"/>
      <c r="AB1446" s="552"/>
    </row>
    <row r="1447" spans="1:32" s="209" customFormat="1" ht="15.75" customHeight="1">
      <c r="A1447" s="202" t="str">
        <f>IF(B1447&lt;&gt;"",IF(AND(B1447&gt;=_TM1,B1447&lt;=_TM2,OR(TH!L1447="1111",TH!M1447="1111")),TH!D1447,""),"")</f>
        <v/>
      </c>
      <c r="B1447" s="36">
        <f t="shared" si="68"/>
        <v>9</v>
      </c>
      <c r="C1447" s="182">
        <f t="shared" si="67"/>
        <v>42637</v>
      </c>
      <c r="D1447" s="182" t="s">
        <v>1189</v>
      </c>
      <c r="E1447" s="189">
        <v>42637</v>
      </c>
      <c r="F1447" s="190" t="s">
        <v>1245</v>
      </c>
      <c r="G1447" s="451" t="s">
        <v>1521</v>
      </c>
      <c r="H1447" s="7" t="s">
        <v>855</v>
      </c>
      <c r="I1447" s="674">
        <v>1191</v>
      </c>
      <c r="J1447" s="674">
        <v>8200</v>
      </c>
      <c r="K1447" s="38">
        <f>ROUND(I1447*J1447,0)</f>
        <v>9766200</v>
      </c>
      <c r="L1447" s="192" t="s">
        <v>158</v>
      </c>
      <c r="M1447" s="192" t="s">
        <v>8</v>
      </c>
      <c r="N1447" s="52" t="str">
        <f>IF(AND('331-CT'!$E$7=TH!H1447,OR(L1447="331",M1447="331")),"331",IF(AND(OR(L1447="131",M1447="131"),H1447='131-CT'!$E$7),"131",""))</f>
        <v/>
      </c>
      <c r="O1447" s="818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751">
        <v>4</v>
      </c>
      <c r="AB1447" s="552"/>
      <c r="AC1447" s="552"/>
    </row>
    <row r="1448" spans="1:32" s="209" customFormat="1" ht="15.75" customHeight="1">
      <c r="A1448" s="202" t="str">
        <f>IF(B1448&lt;&gt;"",IF(AND(B1448&gt;=_TM1,B1448&lt;=_TM2,OR(TH!L1448="1111",TH!M1448="1111")),TH!D1448,""),"")</f>
        <v/>
      </c>
      <c r="B1448" s="36">
        <f t="shared" si="68"/>
        <v>9</v>
      </c>
      <c r="C1448" s="182">
        <f t="shared" si="67"/>
        <v>42637</v>
      </c>
      <c r="D1448" s="182" t="s">
        <v>1189</v>
      </c>
      <c r="E1448" s="189">
        <v>42637</v>
      </c>
      <c r="F1448" s="40" t="s">
        <v>1248</v>
      </c>
      <c r="G1448" s="451" t="s">
        <v>1521</v>
      </c>
      <c r="H1448" s="7" t="s">
        <v>855</v>
      </c>
      <c r="I1448" s="674">
        <v>67</v>
      </c>
      <c r="J1448" s="674">
        <v>8500</v>
      </c>
      <c r="K1448" s="38">
        <f>ROUND(I1448*J1448,0)</f>
        <v>569500</v>
      </c>
      <c r="L1448" s="192" t="s">
        <v>158</v>
      </c>
      <c r="M1448" s="192" t="s">
        <v>8</v>
      </c>
      <c r="N1448" s="52" t="str">
        <f>IF(AND('331-CT'!$E$7=TH!H1448,OR(L1448="331",M1448="331")),"331",IF(AND(OR(L1448="131",M1448="131"),H1448='131-CT'!$E$7),"131",""))</f>
        <v/>
      </c>
      <c r="O1448" s="818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751">
        <v>4</v>
      </c>
      <c r="AB1448" s="552"/>
      <c r="AC1448" s="552"/>
    </row>
    <row r="1449" spans="1:32" s="209" customFormat="1" ht="15.75" customHeight="1">
      <c r="A1449" s="202" t="str">
        <f>IF(B1449&lt;&gt;"",IF(AND(B1449&gt;=_TM1,B1449&lt;=_TM2,OR(TH!L1449="1111",TH!M1449="1111")),TH!D1449,""),"")</f>
        <v/>
      </c>
      <c r="B1449" s="36">
        <f t="shared" si="68"/>
        <v>9</v>
      </c>
      <c r="C1449" s="182">
        <f t="shared" si="67"/>
        <v>42637</v>
      </c>
      <c r="D1449" s="182" t="s">
        <v>1189</v>
      </c>
      <c r="E1449" s="189">
        <v>42637</v>
      </c>
      <c r="F1449" s="40" t="s">
        <v>684</v>
      </c>
      <c r="G1449" s="451" t="s">
        <v>1521</v>
      </c>
      <c r="H1449" s="7" t="s">
        <v>855</v>
      </c>
      <c r="I1449" s="674"/>
      <c r="J1449" s="674"/>
      <c r="K1449" s="38">
        <v>1033570</v>
      </c>
      <c r="L1449" s="192" t="s">
        <v>9</v>
      </c>
      <c r="M1449" s="192" t="s">
        <v>8</v>
      </c>
      <c r="N1449" s="52" t="str">
        <f>IF(AND('331-CT'!$E$7=TH!H1449,OR(L1449="331",M1449="331")),"331",IF(AND(OR(L1449="131",M1449="131"),H1449='131-CT'!$E$7),"131",""))</f>
        <v/>
      </c>
      <c r="O1449" s="818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751">
        <v>4</v>
      </c>
      <c r="AB1449" s="552"/>
    </row>
    <row r="1450" spans="1:32" s="209" customFormat="1" ht="15.75" customHeight="1">
      <c r="A1450" s="202" t="str">
        <f>IF(B1450&lt;&gt;"",IF(AND(B1450&gt;=_TM1,B1450&lt;=_TM2,OR(TH!L1450="1111",TH!M1450="1111")),TH!D1450,""),"")</f>
        <v/>
      </c>
      <c r="B1450" s="36">
        <f t="shared" si="68"/>
        <v>9</v>
      </c>
      <c r="C1450" s="182">
        <f t="shared" si="67"/>
        <v>42642</v>
      </c>
      <c r="D1450" s="182" t="s">
        <v>665</v>
      </c>
      <c r="E1450" s="189">
        <v>42642</v>
      </c>
      <c r="F1450" s="190" t="s">
        <v>666</v>
      </c>
      <c r="G1450" s="190" t="s">
        <v>330</v>
      </c>
      <c r="H1450" s="7" t="s">
        <v>615</v>
      </c>
      <c r="I1450" s="668"/>
      <c r="J1450" s="668"/>
      <c r="K1450" s="560">
        <v>2013000</v>
      </c>
      <c r="L1450" s="192" t="s">
        <v>24</v>
      </c>
      <c r="M1450" s="192" t="s">
        <v>258</v>
      </c>
      <c r="N1450" s="52" t="str">
        <f>IF(AND('331-CT'!$E$7=TH!H1450,OR(L1450="331",M1450="331")),"331",IF(AND(OR(L1450="131",M1450="131"),H1450='131-CT'!$E$7),"131",""))</f>
        <v/>
      </c>
      <c r="O1450" s="818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853"/>
      <c r="AB1450" s="552"/>
      <c r="AC1450" s="552"/>
    </row>
    <row r="1451" spans="1:32" s="209" customFormat="1" ht="15.75" customHeight="1">
      <c r="A1451" s="202" t="str">
        <f>IF(B1451&lt;&gt;"",IF(AND(B1451&gt;=_TM1,B1451&lt;=_TM2,OR(TH!L1451="1111",TH!M1451="1111")),TH!D1451,""),"")</f>
        <v/>
      </c>
      <c r="B1451" s="36">
        <f t="shared" si="68"/>
        <v>9</v>
      </c>
      <c r="C1451" s="182">
        <f t="shared" si="67"/>
        <v>42642</v>
      </c>
      <c r="D1451" s="182" t="s">
        <v>665</v>
      </c>
      <c r="E1451" s="189">
        <v>42642</v>
      </c>
      <c r="F1451" s="190" t="s">
        <v>666</v>
      </c>
      <c r="G1451" s="190" t="s">
        <v>330</v>
      </c>
      <c r="H1451" s="7" t="s">
        <v>780</v>
      </c>
      <c r="I1451" s="668"/>
      <c r="J1451" s="668"/>
      <c r="K1451" s="560">
        <v>15298800</v>
      </c>
      <c r="L1451" s="192" t="s">
        <v>24</v>
      </c>
      <c r="M1451" s="192" t="s">
        <v>258</v>
      </c>
      <c r="N1451" s="52" t="str">
        <f>IF(AND('331-CT'!$E$7=TH!H1451,OR(L1451="331",M1451="331")),"331",IF(AND(OR(L1451="131",M1451="131"),H1451='131-CT'!$E$7),"131",""))</f>
        <v/>
      </c>
      <c r="O1451" s="818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853"/>
      <c r="AB1451" s="552"/>
    </row>
    <row r="1452" spans="1:32" s="209" customFormat="1" ht="15.75" customHeight="1">
      <c r="A1452" s="202" t="str">
        <f>IF(B1452&lt;&gt;"",IF(AND(B1452&gt;=_TM1,B1452&lt;=_TM2,OR(TH!L1452="1111",TH!M1452="1111")),TH!D1452,""),"")</f>
        <v/>
      </c>
      <c r="B1452" s="36">
        <f t="shared" si="68"/>
        <v>9</v>
      </c>
      <c r="C1452" s="182">
        <f t="shared" si="67"/>
        <v>42642</v>
      </c>
      <c r="D1452" s="182" t="s">
        <v>1636</v>
      </c>
      <c r="E1452" s="189">
        <v>42642</v>
      </c>
      <c r="F1452" s="187" t="s">
        <v>776</v>
      </c>
      <c r="G1452" s="190" t="s">
        <v>330</v>
      </c>
      <c r="H1452" s="191" t="s">
        <v>675</v>
      </c>
      <c r="I1452" s="668"/>
      <c r="J1452" s="668"/>
      <c r="K1452" s="560">
        <v>17000000</v>
      </c>
      <c r="L1452" s="561" t="s">
        <v>47</v>
      </c>
      <c r="M1452" s="561" t="s">
        <v>24</v>
      </c>
      <c r="N1452" s="52" t="str">
        <f>IF(AND('331-CT'!$E$7=TH!H1452,OR(L1452="331",M1452="331")),"331",IF(AND(OR(L1452="131",M1452="131"),H1452='131-CT'!$E$7),"131",""))</f>
        <v/>
      </c>
      <c r="O1452" s="818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853"/>
      <c r="AB1452" s="552"/>
      <c r="AC1452" s="552"/>
    </row>
    <row r="1453" spans="1:32" s="209" customFormat="1" ht="15.75" customHeight="1">
      <c r="A1453" s="202" t="str">
        <f>IF(B1453&lt;&gt;"",IF(AND(B1453&gt;=_TM1,B1453&lt;=_TM2,OR(TH!L1453="1111",TH!M1453="1111")),TH!D1453,""),"")</f>
        <v/>
      </c>
      <c r="B1453" s="36">
        <f t="shared" si="68"/>
        <v>9</v>
      </c>
      <c r="C1453" s="182">
        <f t="shared" si="67"/>
        <v>42642</v>
      </c>
      <c r="D1453" s="189" t="s">
        <v>1184</v>
      </c>
      <c r="E1453" s="37">
        <v>42642</v>
      </c>
      <c r="F1453" s="40" t="s">
        <v>857</v>
      </c>
      <c r="G1453" s="450" t="s">
        <v>1524</v>
      </c>
      <c r="H1453" s="7" t="s">
        <v>858</v>
      </c>
      <c r="I1453" s="668">
        <v>600</v>
      </c>
      <c r="J1453" s="668">
        <v>19000</v>
      </c>
      <c r="K1453" s="38">
        <f>ROUND(I1453*J1453,0)</f>
        <v>11400000</v>
      </c>
      <c r="L1453" s="192" t="s">
        <v>160</v>
      </c>
      <c r="M1453" s="192" t="s">
        <v>8</v>
      </c>
      <c r="N1453" s="52" t="str">
        <f>IF(AND('331-CT'!$E$7=TH!H1453,OR(L1453="331",M1453="331")),"331",IF(AND(OR(L1453="131",M1453="131"),H1453='131-CT'!$E$7),"131",""))</f>
        <v/>
      </c>
      <c r="O1453" s="818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751">
        <v>4</v>
      </c>
      <c r="AB1453" s="552"/>
      <c r="AC1453" s="209" t="str">
        <f>IF(VLOOKUP(H1453,DSKH,1,0)=H1453,"","x")</f>
        <v/>
      </c>
    </row>
    <row r="1454" spans="1:32" s="209" customFormat="1" ht="15.75" customHeight="1">
      <c r="A1454" s="202" t="str">
        <f>IF(B1454&lt;&gt;"",IF(AND(B1454&gt;=_TM1,B1454&lt;=_TM2,OR(TH!L1454="1111",TH!M1454="1111")),TH!D1454,""),"")</f>
        <v/>
      </c>
      <c r="B1454" s="36">
        <f t="shared" si="68"/>
        <v>9</v>
      </c>
      <c r="C1454" s="182">
        <f t="shared" si="67"/>
        <v>42642</v>
      </c>
      <c r="D1454" s="189" t="s">
        <v>1184</v>
      </c>
      <c r="E1454" s="37">
        <v>42642</v>
      </c>
      <c r="F1454" s="40" t="s">
        <v>859</v>
      </c>
      <c r="G1454" s="450" t="s">
        <v>1524</v>
      </c>
      <c r="H1454" s="7" t="s">
        <v>858</v>
      </c>
      <c r="I1454" s="668"/>
      <c r="J1454" s="668"/>
      <c r="K1454" s="560">
        <v>1140000</v>
      </c>
      <c r="L1454" s="192" t="s">
        <v>9</v>
      </c>
      <c r="M1454" s="192" t="s">
        <v>8</v>
      </c>
      <c r="N1454" s="52" t="str">
        <f>IF(AND('331-CT'!$E$7=TH!H1454,OR(L1454="331",M1454="331")),"331",IF(AND(OR(L1454="131",M1454="131"),H1454='131-CT'!$E$7),"131",""))</f>
        <v/>
      </c>
      <c r="O1454" s="818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751">
        <v>4</v>
      </c>
      <c r="AB1454" s="552"/>
      <c r="AC1454" s="209" t="str">
        <f>IF(VLOOKUP(H1454,DSKH,1,0)=H1454,"","x")</f>
        <v/>
      </c>
    </row>
    <row r="1455" spans="1:32" s="209" customFormat="1" ht="15.75" customHeight="1">
      <c r="A1455" s="202" t="str">
        <f>IF(B1455&lt;&gt;"",IF(AND(B1455&gt;=_TM1,B1455&lt;=_TM2,OR(TH!L1455="1111",TH!M1455="1111")),TH!D1455,""),"")</f>
        <v/>
      </c>
      <c r="B1455" s="36">
        <f t="shared" si="68"/>
        <v>9</v>
      </c>
      <c r="C1455" s="182">
        <f t="shared" si="67"/>
        <v>42642</v>
      </c>
      <c r="D1455" s="189" t="s">
        <v>1654</v>
      </c>
      <c r="E1455" s="37">
        <v>42642</v>
      </c>
      <c r="F1455" s="187" t="s">
        <v>860</v>
      </c>
      <c r="G1455" s="450" t="s">
        <v>1524</v>
      </c>
      <c r="H1455" s="7" t="s">
        <v>858</v>
      </c>
      <c r="I1455" s="668"/>
      <c r="J1455" s="668"/>
      <c r="K1455" s="560">
        <v>12540000</v>
      </c>
      <c r="L1455" s="192" t="s">
        <v>8</v>
      </c>
      <c r="M1455" s="192" t="s">
        <v>47</v>
      </c>
      <c r="N1455" s="52" t="str">
        <f>IF(AND('331-CT'!$E$7=TH!H1455,OR(L1455="331",M1455="331")),"331",IF(AND(OR(L1455="131",M1455="131"),H1455='131-CT'!$E$7),"131",""))</f>
        <v/>
      </c>
      <c r="O1455" s="818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853"/>
      <c r="AB1455" s="552"/>
      <c r="AC1455" s="209" t="str">
        <f>IF(VLOOKUP(H1455,DSKH,1,0)=H1455,"","x")</f>
        <v/>
      </c>
    </row>
    <row r="1456" spans="1:32" s="209" customFormat="1" ht="15.75" customHeight="1">
      <c r="A1456" s="202" t="str">
        <f>IF(B1456&lt;&gt;"",IF(AND(B1456&gt;=_TM1,B1456&lt;=_TM2,OR(TH!L1456="1111",TH!M1456="1111")),TH!D1456,""),"")</f>
        <v/>
      </c>
      <c r="B1456" s="36">
        <f t="shared" si="68"/>
        <v>9</v>
      </c>
      <c r="C1456" s="839">
        <f t="shared" si="67"/>
        <v>42643</v>
      </c>
      <c r="D1456" s="839" t="s">
        <v>332</v>
      </c>
      <c r="E1456" s="839">
        <v>42643</v>
      </c>
      <c r="F1456" s="845" t="s">
        <v>1429</v>
      </c>
      <c r="G1456" s="874"/>
      <c r="H1456" s="875"/>
      <c r="I1456" s="951"/>
      <c r="J1456" s="951"/>
      <c r="K1456" s="849">
        <v>5375000</v>
      </c>
      <c r="L1456" s="876" t="s">
        <v>83</v>
      </c>
      <c r="M1456" s="876" t="s">
        <v>261</v>
      </c>
      <c r="N1456" s="52" t="str">
        <f>IF(AND('331-CT'!$E$7=TH!H1456,OR(L1456="331",M1456="331")),"331",IF(AND(OR(L1456="131",M1456="131"),H1456='131-CT'!$E$7),"131",""))</f>
        <v/>
      </c>
      <c r="O1456" s="818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>x</v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196"/>
      <c r="AB1456" s="196"/>
      <c r="AC1456" s="196"/>
      <c r="AD1456" s="196"/>
      <c r="AE1456" s="196"/>
      <c r="AF1456" s="196"/>
    </row>
    <row r="1457" spans="1:32" s="209" customFormat="1" ht="15.75" customHeight="1">
      <c r="A1457" s="202" t="str">
        <f>IF(B1457&lt;&gt;"",IF(AND(B1457&gt;=_TM1,B1457&lt;=_TM2,OR(TH!L1457="1111",TH!M1457="1111")),TH!D1457,""),"")</f>
        <v/>
      </c>
      <c r="B1457" s="36">
        <f t="shared" si="68"/>
        <v>9</v>
      </c>
      <c r="C1457" s="839">
        <f t="shared" si="67"/>
        <v>42643</v>
      </c>
      <c r="D1457" s="839" t="s">
        <v>332</v>
      </c>
      <c r="E1457" s="839">
        <v>42643</v>
      </c>
      <c r="F1457" s="845" t="s">
        <v>1430</v>
      </c>
      <c r="G1457" s="874"/>
      <c r="H1457" s="875"/>
      <c r="I1457" s="951"/>
      <c r="J1457" s="951"/>
      <c r="K1457" s="849">
        <v>16125000</v>
      </c>
      <c r="L1457" s="876" t="s">
        <v>164</v>
      </c>
      <c r="M1457" s="876" t="s">
        <v>261</v>
      </c>
      <c r="N1457" s="52" t="str">
        <f>IF(AND('331-CT'!$E$7=TH!H1457,OR(L1457="331",M1457="331")),"331",IF(AND(OR(L1457="131",M1457="131"),H1457='131-CT'!$E$7),"131",""))</f>
        <v/>
      </c>
      <c r="O1457" s="818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196"/>
      <c r="AB1457" s="196"/>
      <c r="AC1457" s="196"/>
      <c r="AD1457" s="196"/>
      <c r="AE1457" s="196"/>
      <c r="AF1457" s="196"/>
    </row>
    <row r="1458" spans="1:32" s="209" customFormat="1" ht="15.75" customHeight="1">
      <c r="A1458" s="202" t="str">
        <f>IF(B1458&lt;&gt;"",IF(AND(B1458&gt;=_TM1,B1458&lt;=_TM2,OR(TH!L1458="1111",TH!M1458="1111")),TH!D1458,""),"")</f>
        <v/>
      </c>
      <c r="B1458" s="36">
        <f t="shared" si="68"/>
        <v>9</v>
      </c>
      <c r="C1458" s="839">
        <f t="shared" si="67"/>
        <v>42643</v>
      </c>
      <c r="D1458" s="839" t="s">
        <v>1655</v>
      </c>
      <c r="E1458" s="839">
        <v>42643</v>
      </c>
      <c r="F1458" s="845" t="str">
        <f>"Thanh toán tiền lương tháng "&amp;MONTH(E1458)&amp;"/"&amp;YEAR(E1458)</f>
        <v>Thanh toán tiền lương tháng 9/2016</v>
      </c>
      <c r="G1458" s="874"/>
      <c r="H1458" s="875" t="s">
        <v>1680</v>
      </c>
      <c r="I1458" s="951"/>
      <c r="J1458" s="951"/>
      <c r="K1458" s="849">
        <f>K1456+K1457</f>
        <v>21500000</v>
      </c>
      <c r="L1458" s="876" t="s">
        <v>261</v>
      </c>
      <c r="M1458" s="876" t="s">
        <v>47</v>
      </c>
      <c r="N1458" s="52" t="str">
        <f>IF(AND('331-CT'!$E$7=TH!H1458,OR(L1458="331",M1458="331")),"331",IF(AND(OR(L1458="131",M1458="131"),H1458='131-CT'!$E$7),"131",""))</f>
        <v/>
      </c>
      <c r="O1458" s="818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196"/>
      <c r="AB1458" s="196"/>
      <c r="AC1458" s="196"/>
      <c r="AD1458" s="196"/>
      <c r="AE1458" s="196"/>
      <c r="AF1458" s="196"/>
    </row>
    <row r="1459" spans="1:32" s="209" customFormat="1" ht="15.75" customHeight="1">
      <c r="A1459" s="202" t="str">
        <f>IF(B1459&lt;&gt;"",IF(AND(B1459&gt;=_TM1,B1459&lt;=_TM2,OR(TH!L1459="1111",TH!M1459="1111")),TH!D1459,""),"")</f>
        <v/>
      </c>
      <c r="B1459" s="36">
        <f t="shared" si="68"/>
        <v>9</v>
      </c>
      <c r="C1459" s="182">
        <f t="shared" si="67"/>
        <v>42643</v>
      </c>
      <c r="D1459" s="182" t="s">
        <v>669</v>
      </c>
      <c r="E1459" s="189">
        <v>42643</v>
      </c>
      <c r="F1459" s="187" t="s">
        <v>667</v>
      </c>
      <c r="G1459" s="190" t="s">
        <v>1287</v>
      </c>
      <c r="H1459" s="191"/>
      <c r="I1459" s="668"/>
      <c r="J1459" s="668"/>
      <c r="K1459" s="560">
        <v>500</v>
      </c>
      <c r="L1459" s="561" t="s">
        <v>24</v>
      </c>
      <c r="M1459" s="561" t="s">
        <v>40</v>
      </c>
      <c r="N1459" s="52" t="str">
        <f>IF(AND('331-CT'!$E$7=TH!H1459,OR(L1459="331",M1459="331")),"331",IF(AND(OR(L1459="131",M1459="131"),H1459='131-CT'!$E$7),"131",""))</f>
        <v/>
      </c>
      <c r="O1459" s="818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>x</v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853"/>
      <c r="AB1459" s="552"/>
    </row>
    <row r="1460" spans="1:32" s="209" customFormat="1" ht="15.75" customHeight="1">
      <c r="A1460" s="202" t="str">
        <f>IF(B1460&lt;&gt;"",IF(AND(B1460&gt;=_TM1,B1460&lt;=_TM2,OR(TH!L1460="1111",TH!M1460="1111")),TH!D1460,""),"")</f>
        <v/>
      </c>
      <c r="B1460" s="36">
        <f t="shared" si="68"/>
        <v>9</v>
      </c>
      <c r="C1460" s="182">
        <f t="shared" si="67"/>
        <v>42643</v>
      </c>
      <c r="D1460" s="182" t="s">
        <v>1190</v>
      </c>
      <c r="E1460" s="182">
        <v>42643</v>
      </c>
      <c r="F1460" s="190" t="s">
        <v>676</v>
      </c>
      <c r="G1460" s="448" t="s">
        <v>1286</v>
      </c>
      <c r="H1460" s="7" t="s">
        <v>824</v>
      </c>
      <c r="I1460" s="668">
        <v>38250</v>
      </c>
      <c r="J1460" s="668">
        <v>7300</v>
      </c>
      <c r="K1460" s="38">
        <f>ROUND(I1460*J1460,0)</f>
        <v>279225000</v>
      </c>
      <c r="L1460" s="192" t="s">
        <v>158</v>
      </c>
      <c r="M1460" s="192" t="s">
        <v>8</v>
      </c>
      <c r="N1460" s="52" t="str">
        <f>IF(AND('331-CT'!$E$7=TH!H1460,OR(L1460="331",M1460="331")),"331",IF(AND(OR(L1460="131",M1460="131"),H1460='131-CT'!$E$7),"131",""))</f>
        <v/>
      </c>
      <c r="O1460" s="818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853">
        <v>3</v>
      </c>
      <c r="AB1460" s="552"/>
      <c r="AC1460" s="209" t="str">
        <f>IF(VLOOKUP(H1460,DSKH,1,0)=H1460,"","x")</f>
        <v/>
      </c>
    </row>
    <row r="1461" spans="1:32" s="209" customFormat="1" ht="15.75" customHeight="1">
      <c r="A1461" s="202" t="str">
        <f>IF(B1461&lt;&gt;"",IF(AND(B1461&gt;=_TM1,B1461&lt;=_TM2,OR(TH!L1461="1111",TH!M1461="1111")),TH!D1461,""),"")</f>
        <v/>
      </c>
      <c r="B1461" s="36">
        <f t="shared" si="68"/>
        <v>9</v>
      </c>
      <c r="C1461" s="182">
        <f t="shared" si="67"/>
        <v>42643</v>
      </c>
      <c r="D1461" s="182" t="s">
        <v>1188</v>
      </c>
      <c r="E1461" s="182">
        <v>42643</v>
      </c>
      <c r="F1461" s="187" t="s">
        <v>684</v>
      </c>
      <c r="G1461" s="448" t="s">
        <v>1286</v>
      </c>
      <c r="H1461" s="7" t="s">
        <v>824</v>
      </c>
      <c r="I1461" s="668"/>
      <c r="J1461" s="668"/>
      <c r="K1461" s="560">
        <v>27922500</v>
      </c>
      <c r="L1461" s="192" t="s">
        <v>9</v>
      </c>
      <c r="M1461" s="192" t="s">
        <v>8</v>
      </c>
      <c r="N1461" s="52" t="str">
        <f>IF(AND('331-CT'!$E$7=TH!H1461,OR(L1461="331",M1461="331")),"331",IF(AND(OR(L1461="131",M1461="131"),H1461='131-CT'!$E$7),"131",""))</f>
        <v/>
      </c>
      <c r="O1461" s="818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853">
        <v>3</v>
      </c>
      <c r="AB1461" s="552"/>
      <c r="AC1461" s="209" t="str">
        <f>IF(VLOOKUP(H1461,DSKH,1,0)=H1461,"","x")</f>
        <v/>
      </c>
    </row>
    <row r="1462" spans="1:32" s="209" customFormat="1" ht="15.75" customHeight="1">
      <c r="A1462" s="202" t="str">
        <f>IF(B1462&lt;&gt;"",IF(AND(B1462&gt;=_TM1,B1462&lt;=_TM2,OR(TH!L1462="1111",TH!M1462="1111")),TH!D1462,""),"")</f>
        <v/>
      </c>
      <c r="B1462" s="36">
        <f t="shared" si="68"/>
        <v>9</v>
      </c>
      <c r="C1462" s="182">
        <f t="shared" si="67"/>
        <v>42643</v>
      </c>
      <c r="D1462" s="189" t="s">
        <v>1545</v>
      </c>
      <c r="E1462" s="182">
        <v>42643</v>
      </c>
      <c r="F1462" s="187" t="s">
        <v>813</v>
      </c>
      <c r="G1462" s="451" t="s">
        <v>1523</v>
      </c>
      <c r="H1462" s="712" t="s">
        <v>686</v>
      </c>
      <c r="I1462" s="668">
        <v>150</v>
      </c>
      <c r="J1462" s="903">
        <v>19545</v>
      </c>
      <c r="K1462" s="38">
        <f>ROUND(I1462*J1462,0)</f>
        <v>2931750</v>
      </c>
      <c r="L1462" s="192" t="s">
        <v>160</v>
      </c>
      <c r="M1462" s="192" t="s">
        <v>8</v>
      </c>
      <c r="N1462" s="52" t="str">
        <f>IF(AND('331-CT'!$E$7=TH!H1462,OR(L1462="331",M1462="331")),"331",IF(AND(OR(L1462="131",M1462="131"),H1462='131-CT'!$E$7),"131",""))</f>
        <v/>
      </c>
      <c r="O1462" s="818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751">
        <v>4</v>
      </c>
      <c r="AB1462" s="552"/>
      <c r="AC1462" s="209" t="str">
        <f>IF(VLOOKUP(H1462,DSKH,1,0)=H1462,"","x")</f>
        <v/>
      </c>
      <c r="AE1462" s="552"/>
      <c r="AF1462" s="552"/>
    </row>
    <row r="1463" spans="1:32" s="209" customFormat="1" ht="15.75" customHeight="1">
      <c r="A1463" s="202" t="str">
        <f>IF(B1463&lt;&gt;"",IF(AND(B1463&gt;=_TM1,B1463&lt;=_TM2,OR(TH!L1463="1111",TH!M1463="1111")),TH!D1463,""),"")</f>
        <v/>
      </c>
      <c r="B1463" s="36">
        <f t="shared" si="68"/>
        <v>9</v>
      </c>
      <c r="C1463" s="182">
        <f t="shared" si="67"/>
        <v>42643</v>
      </c>
      <c r="D1463" s="189" t="s">
        <v>1545</v>
      </c>
      <c r="E1463" s="182">
        <v>42643</v>
      </c>
      <c r="F1463" s="190" t="s">
        <v>814</v>
      </c>
      <c r="G1463" s="451" t="s">
        <v>1523</v>
      </c>
      <c r="H1463" s="712" t="s">
        <v>686</v>
      </c>
      <c r="I1463" s="668"/>
      <c r="J1463" s="251"/>
      <c r="K1463" s="560">
        <v>293175</v>
      </c>
      <c r="L1463" s="192" t="s">
        <v>9</v>
      </c>
      <c r="M1463" s="192" t="s">
        <v>8</v>
      </c>
      <c r="N1463" s="52" t="str">
        <f>IF(AND('331-CT'!$E$7=TH!H1463,OR(L1463="331",M1463="331")),"331",IF(AND(OR(L1463="131",M1463="131"),H1463='131-CT'!$E$7),"131",""))</f>
        <v/>
      </c>
      <c r="O1463" s="818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751">
        <v>4</v>
      </c>
      <c r="AB1463" s="552"/>
      <c r="AC1463" s="209" t="str">
        <f>IF(VLOOKUP(H1463,DSKH,1,0)=H1463,"","x")</f>
        <v/>
      </c>
      <c r="AE1463" s="552"/>
      <c r="AF1463" s="552"/>
    </row>
    <row r="1464" spans="1:32" s="209" customFormat="1" ht="15.75" customHeight="1">
      <c r="A1464" s="202" t="str">
        <f>IF(B1464&lt;&gt;"",IF(AND(B1464&gt;=_TM1,B1464&lt;=_TM2,OR(TH!L1464="1111",TH!M1464="1111")),TH!D1464,""),"")</f>
        <v/>
      </c>
      <c r="B1464" s="36">
        <f t="shared" si="68"/>
        <v>9</v>
      </c>
      <c r="C1464" s="182">
        <f t="shared" si="67"/>
        <v>42643</v>
      </c>
      <c r="D1464" s="189" t="s">
        <v>1656</v>
      </c>
      <c r="E1464" s="182">
        <v>42643</v>
      </c>
      <c r="F1464" s="190" t="s">
        <v>815</v>
      </c>
      <c r="G1464" s="451" t="s">
        <v>1523</v>
      </c>
      <c r="H1464" s="712" t="s">
        <v>686</v>
      </c>
      <c r="I1464" s="668"/>
      <c r="J1464" s="668"/>
      <c r="K1464" s="560">
        <v>3224925</v>
      </c>
      <c r="L1464" s="192" t="s">
        <v>8</v>
      </c>
      <c r="M1464" s="192" t="s">
        <v>47</v>
      </c>
      <c r="N1464" s="52" t="str">
        <f>IF(AND('331-CT'!$E$7=TH!H1464,OR(L1464="331",M1464="331")),"331",IF(AND(OR(L1464="131",M1464="131"),H1464='131-CT'!$E$7),"131",""))</f>
        <v/>
      </c>
      <c r="O1464" s="818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852"/>
      <c r="AB1464" s="552"/>
      <c r="AC1464" s="552"/>
      <c r="AE1464" s="552"/>
      <c r="AF1464" s="552"/>
    </row>
    <row r="1465" spans="1:32" s="209" customFormat="1" ht="15.75" customHeight="1">
      <c r="A1465" s="202" t="str">
        <f>IF(B1465&lt;&gt;"",IF(AND(B1465&gt;=_TM1,B1465&lt;=_TM2,OR(TH!L1465="1111",TH!M1465="1111")),TH!D1465,""),"")</f>
        <v/>
      </c>
      <c r="B1465" s="36">
        <f t="shared" si="68"/>
        <v>10</v>
      </c>
      <c r="C1465" s="839">
        <f t="shared" si="67"/>
        <v>42644</v>
      </c>
      <c r="D1465" s="839" t="s">
        <v>332</v>
      </c>
      <c r="E1465" s="839">
        <v>42644</v>
      </c>
      <c r="F1465" s="949" t="s">
        <v>1428</v>
      </c>
      <c r="G1465" s="841"/>
      <c r="H1465" s="875"/>
      <c r="I1465" s="951"/>
      <c r="J1465" s="842"/>
      <c r="K1465" s="849">
        <v>6250000</v>
      </c>
      <c r="L1465" s="876" t="s">
        <v>164</v>
      </c>
      <c r="M1465" s="876" t="s">
        <v>259</v>
      </c>
      <c r="N1465" s="52" t="str">
        <f>IF(AND('331-CT'!$E$7=TH!H1465,OR(L1465="331",M1465="331")),"331",IF(AND(OR(L1465="131",M1465="131"),H1465='131-CT'!$E$7),"131",""))</f>
        <v/>
      </c>
      <c r="O1465" s="818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77"/>
      <c r="AB1465" s="877"/>
      <c r="AC1465" s="877"/>
      <c r="AD1465" s="877"/>
      <c r="AE1465" s="877"/>
      <c r="AF1465" s="877"/>
    </row>
    <row r="1466" spans="1:32" s="209" customFormat="1" ht="15.75" customHeight="1">
      <c r="A1466" s="202" t="str">
        <f>IF(B1466&lt;&gt;"",IF(AND(B1466&gt;=_TM1,B1466&lt;=_TM2,OR(TH!L1466="1111",TH!M1466="1111")),TH!D1466,""),"")</f>
        <v/>
      </c>
      <c r="B1466" s="36">
        <f t="shared" si="68"/>
        <v>10</v>
      </c>
      <c r="C1466" s="182">
        <f t="shared" si="67"/>
        <v>42644</v>
      </c>
      <c r="D1466" s="182" t="s">
        <v>665</v>
      </c>
      <c r="E1466" s="189">
        <v>42644</v>
      </c>
      <c r="F1466" s="190" t="s">
        <v>666</v>
      </c>
      <c r="G1466" s="190" t="s">
        <v>330</v>
      </c>
      <c r="H1466" s="886" t="s">
        <v>1395</v>
      </c>
      <c r="I1466" s="668"/>
      <c r="J1466" s="668"/>
      <c r="K1466" s="560">
        <v>3000000</v>
      </c>
      <c r="L1466" s="192" t="s">
        <v>24</v>
      </c>
      <c r="M1466" s="192" t="s">
        <v>258</v>
      </c>
      <c r="N1466" s="52" t="str">
        <f>IF(AND('331-CT'!$E$7=TH!H1466,OR(L1466="331",M1466="331")),"331",IF(AND(OR(L1466="131",M1466="131"),H1466='131-CT'!$E$7),"131",""))</f>
        <v/>
      </c>
      <c r="O1466" s="818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53"/>
      <c r="AB1466" s="552"/>
    </row>
    <row r="1467" spans="1:32" s="209" customFormat="1" ht="15.75" customHeight="1">
      <c r="A1467" s="202" t="str">
        <f>IF(B1467&lt;&gt;"",IF(AND(B1467&gt;=_TM1,B1467&lt;=_TM2,OR(TH!L1467="1111",TH!M1467="1111")),TH!D1467,""),"")</f>
        <v>C01</v>
      </c>
      <c r="B1467" s="36">
        <f t="shared" si="68"/>
        <v>10</v>
      </c>
      <c r="C1467" s="182">
        <f t="shared" si="67"/>
        <v>42644</v>
      </c>
      <c r="D1467" s="182" t="s">
        <v>1618</v>
      </c>
      <c r="E1467" s="189">
        <v>42644</v>
      </c>
      <c r="F1467" s="190" t="s">
        <v>754</v>
      </c>
      <c r="G1467" s="190" t="s">
        <v>330</v>
      </c>
      <c r="H1467" s="191" t="s">
        <v>675</v>
      </c>
      <c r="I1467" s="668"/>
      <c r="J1467" s="668"/>
      <c r="K1467" s="560">
        <v>27000000</v>
      </c>
      <c r="L1467" s="192" t="s">
        <v>24</v>
      </c>
      <c r="M1467" s="192" t="s">
        <v>47</v>
      </c>
      <c r="N1467" s="52" t="str">
        <f>IF(AND('331-CT'!$E$7=TH!H1467,OR(L1467="331",M1467="331")),"331",IF(AND(OR(L1467="131",M1467="131"),H1467='131-CT'!$E$7),"131",""))</f>
        <v/>
      </c>
      <c r="O1467" s="818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53"/>
      <c r="AB1467" s="552"/>
      <c r="AC1467" s="552"/>
    </row>
    <row r="1468" spans="1:32" s="209" customFormat="1" ht="15.75" customHeight="1">
      <c r="A1468" s="202" t="str">
        <f>IF(B1468&lt;&gt;"",IF(AND(B1468&gt;=_TM1,B1468&lt;=_TM2,OR(TH!L1468="1111",TH!M1468="1111")),TH!D1468,""),"")</f>
        <v>C02</v>
      </c>
      <c r="B1468" s="36">
        <f t="shared" si="68"/>
        <v>10</v>
      </c>
      <c r="C1468" s="182">
        <f t="shared" si="67"/>
        <v>42646</v>
      </c>
      <c r="D1468" s="182" t="s">
        <v>1622</v>
      </c>
      <c r="E1468" s="189">
        <v>42646</v>
      </c>
      <c r="F1468" s="190" t="s">
        <v>754</v>
      </c>
      <c r="G1468" s="190" t="s">
        <v>330</v>
      </c>
      <c r="H1468" s="7" t="s">
        <v>1282</v>
      </c>
      <c r="I1468" s="668"/>
      <c r="J1468" s="668"/>
      <c r="K1468" s="560">
        <v>20000000</v>
      </c>
      <c r="L1468" s="192" t="s">
        <v>24</v>
      </c>
      <c r="M1468" s="192" t="s">
        <v>47</v>
      </c>
      <c r="N1468" s="52" t="str">
        <f>IF(AND('331-CT'!$E$7=TH!H1468,OR(L1468="331",M1468="331")),"331",IF(AND(OR(L1468="131",M1468="131"),H1468='131-CT'!$E$7),"131",""))</f>
        <v/>
      </c>
      <c r="O1468" s="818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53"/>
      <c r="AB1468" s="552"/>
    </row>
    <row r="1469" spans="1:32" s="209" customFormat="1" ht="15.75" customHeight="1">
      <c r="A1469" s="202" t="str">
        <f>IF(B1469&lt;&gt;"",IF(AND(B1469&gt;=_TM1,B1469&lt;=_TM2,OR(TH!L1469="1111",TH!M1469="1111")),TH!D1469,""),"")</f>
        <v/>
      </c>
      <c r="B1469" s="36">
        <f t="shared" si="68"/>
        <v>10</v>
      </c>
      <c r="C1469" s="182">
        <f t="shared" si="67"/>
        <v>42646</v>
      </c>
      <c r="D1469" s="182" t="s">
        <v>665</v>
      </c>
      <c r="E1469" s="189">
        <v>42646</v>
      </c>
      <c r="F1469" s="855" t="s">
        <v>666</v>
      </c>
      <c r="G1469" s="190" t="s">
        <v>330</v>
      </c>
      <c r="H1469" s="7" t="s">
        <v>615</v>
      </c>
      <c r="I1469" s="668"/>
      <c r="J1469" s="251"/>
      <c r="K1469" s="560">
        <v>2013000</v>
      </c>
      <c r="L1469" s="192" t="s">
        <v>24</v>
      </c>
      <c r="M1469" s="192" t="s">
        <v>258</v>
      </c>
      <c r="N1469" s="52" t="str">
        <f>IF(AND('331-CT'!$E$7=TH!H1469,OR(L1469="331",M1469="331")),"331",IF(AND(OR(L1469="131",M1469="131"),H1469='131-CT'!$E$7),"131",""))</f>
        <v/>
      </c>
      <c r="O1469" s="818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53"/>
      <c r="AB1469" s="552"/>
      <c r="AC1469" s="552"/>
    </row>
    <row r="1470" spans="1:32" s="209" customFormat="1" ht="15.75" customHeight="1">
      <c r="A1470" s="202" t="str">
        <f>IF(B1470&lt;&gt;"",IF(AND(B1470&gt;=_TM1,B1470&lt;=_TM2,OR(TH!L1470="1111",TH!M1470="1111")),TH!D1470,""),"")</f>
        <v/>
      </c>
      <c r="B1470" s="36">
        <f t="shared" si="68"/>
        <v>10</v>
      </c>
      <c r="C1470" s="182">
        <f t="shared" si="67"/>
        <v>42646</v>
      </c>
      <c r="D1470" s="182" t="s">
        <v>669</v>
      </c>
      <c r="E1470" s="189">
        <v>42646</v>
      </c>
      <c r="F1470" s="190" t="s">
        <v>671</v>
      </c>
      <c r="G1470" s="190" t="s">
        <v>330</v>
      </c>
      <c r="H1470" s="7" t="s">
        <v>844</v>
      </c>
      <c r="I1470" s="668"/>
      <c r="J1470" s="668"/>
      <c r="K1470" s="560">
        <v>30000000</v>
      </c>
      <c r="L1470" s="192" t="s">
        <v>8</v>
      </c>
      <c r="M1470" s="561" t="s">
        <v>24</v>
      </c>
      <c r="N1470" s="52" t="str">
        <f>IF(AND('331-CT'!$E$7=TH!H1470,OR(L1470="331",M1470="331")),"331",IF(AND(OR(L1470="131",M1470="131"),H1470='131-CT'!$E$7),"131",""))</f>
        <v/>
      </c>
      <c r="O1470" s="818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53"/>
      <c r="AB1470" s="552"/>
      <c r="AC1470" s="552"/>
    </row>
    <row r="1471" spans="1:32" s="209" customFormat="1" ht="15.75" customHeight="1">
      <c r="A1471" s="202" t="str">
        <f>IF(B1471&lt;&gt;"",IF(AND(B1471&gt;=_TM1,B1471&lt;=_TM2,OR(TH!L1471="1111",TH!M1471="1111")),TH!D1471,""),"")</f>
        <v/>
      </c>
      <c r="B1471" s="36">
        <f t="shared" si="68"/>
        <v>10</v>
      </c>
      <c r="C1471" s="182">
        <f t="shared" si="67"/>
        <v>42646</v>
      </c>
      <c r="D1471" s="182" t="s">
        <v>669</v>
      </c>
      <c r="E1471" s="189">
        <v>42646</v>
      </c>
      <c r="F1471" s="187" t="s">
        <v>672</v>
      </c>
      <c r="G1471" s="190" t="s">
        <v>330</v>
      </c>
      <c r="H1471" s="7"/>
      <c r="I1471" s="668"/>
      <c r="J1471" s="668"/>
      <c r="K1471" s="560">
        <v>13636</v>
      </c>
      <c r="L1471" s="561" t="s">
        <v>83</v>
      </c>
      <c r="M1471" s="561" t="s">
        <v>24</v>
      </c>
      <c r="N1471" s="52" t="str">
        <f>IF(AND('331-CT'!$E$7=TH!H1471,OR(L1471="331",M1471="331")),"331",IF(AND(OR(L1471="131",M1471="131"),H1471='131-CT'!$E$7),"131",""))</f>
        <v/>
      </c>
      <c r="O1471" s="818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>x</v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52">
        <v>4</v>
      </c>
      <c r="AB1471" s="552"/>
    </row>
    <row r="1472" spans="1:32" s="209" customFormat="1" ht="15.75" customHeight="1">
      <c r="A1472" s="202" t="str">
        <f>IF(B1472&lt;&gt;"",IF(AND(B1472&gt;=_TM1,B1472&lt;=_TM2,OR(TH!L1472="1111",TH!M1472="1111")),TH!D1472,""),"")</f>
        <v/>
      </c>
      <c r="B1472" s="36">
        <f t="shared" si="68"/>
        <v>10</v>
      </c>
      <c r="C1472" s="182">
        <f t="shared" si="67"/>
        <v>42646</v>
      </c>
      <c r="D1472" s="182" t="s">
        <v>669</v>
      </c>
      <c r="E1472" s="189">
        <v>42646</v>
      </c>
      <c r="F1472" s="187" t="s">
        <v>762</v>
      </c>
      <c r="G1472" s="190" t="s">
        <v>330</v>
      </c>
      <c r="H1472" s="7"/>
      <c r="I1472" s="668"/>
      <c r="J1472" s="668"/>
      <c r="K1472" s="560">
        <v>1364</v>
      </c>
      <c r="L1472" s="192" t="s">
        <v>9</v>
      </c>
      <c r="M1472" s="561" t="s">
        <v>24</v>
      </c>
      <c r="N1472" s="52" t="str">
        <f>IF(AND('331-CT'!$E$7=TH!H1472,OR(L1472="331",M1472="331")),"331",IF(AND(OR(L1472="131",M1472="131"),H1472='131-CT'!$E$7),"131",""))</f>
        <v/>
      </c>
      <c r="O1472" s="818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52">
        <v>4</v>
      </c>
      <c r="AB1472" s="552"/>
      <c r="AC1472" s="552"/>
    </row>
    <row r="1473" spans="1:32" s="209" customFormat="1" ht="15.75" customHeight="1">
      <c r="A1473" s="202" t="str">
        <f>IF(B1473&lt;&gt;"",IF(AND(B1473&gt;=_TM1,B1473&lt;=_TM2,OR(TH!L1473="1111",TH!M1473="1111")),TH!D1473,""),"")</f>
        <v/>
      </c>
      <c r="B1473" s="36">
        <f t="shared" si="68"/>
        <v>10</v>
      </c>
      <c r="C1473" s="182">
        <f t="shared" si="67"/>
        <v>42646</v>
      </c>
      <c r="D1473" s="182" t="s">
        <v>669</v>
      </c>
      <c r="E1473" s="189">
        <v>42646</v>
      </c>
      <c r="F1473" s="190" t="s">
        <v>671</v>
      </c>
      <c r="G1473" s="190" t="s">
        <v>330</v>
      </c>
      <c r="H1473" s="7" t="s">
        <v>829</v>
      </c>
      <c r="I1473" s="668"/>
      <c r="J1473" s="668"/>
      <c r="K1473" s="560">
        <v>20000000</v>
      </c>
      <c r="L1473" s="192" t="s">
        <v>8</v>
      </c>
      <c r="M1473" s="561" t="s">
        <v>24</v>
      </c>
      <c r="N1473" s="52" t="str">
        <f>IF(AND('331-CT'!$E$7=TH!H1473,OR(L1473="331",M1473="331")),"331",IF(AND(OR(L1473="131",M1473="131"),H1473='131-CT'!$E$7),"131",""))</f>
        <v/>
      </c>
      <c r="O1473" s="818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53"/>
      <c r="AB1473" s="552"/>
    </row>
    <row r="1474" spans="1:32" s="209" customFormat="1" ht="15.75" customHeight="1">
      <c r="A1474" s="202" t="str">
        <f>IF(B1474&lt;&gt;"",IF(AND(B1474&gt;=_TM1,B1474&lt;=_TM2,OR(TH!L1474="1111",TH!M1474="1111")),TH!D1474,""),"")</f>
        <v/>
      </c>
      <c r="B1474" s="36">
        <f t="shared" si="68"/>
        <v>10</v>
      </c>
      <c r="C1474" s="182">
        <f t="shared" si="67"/>
        <v>42646</v>
      </c>
      <c r="D1474" s="182" t="s">
        <v>669</v>
      </c>
      <c r="E1474" s="189">
        <v>42646</v>
      </c>
      <c r="F1474" s="187" t="s">
        <v>672</v>
      </c>
      <c r="G1474" s="190" t="s">
        <v>330</v>
      </c>
      <c r="H1474" s="191"/>
      <c r="I1474" s="668"/>
      <c r="J1474" s="668"/>
      <c r="K1474" s="560">
        <v>13636</v>
      </c>
      <c r="L1474" s="561" t="s">
        <v>83</v>
      </c>
      <c r="M1474" s="561" t="s">
        <v>24</v>
      </c>
      <c r="N1474" s="52" t="str">
        <f>IF(AND('331-CT'!$E$7=TH!H1474,OR(L1474="331",M1474="331")),"331",IF(AND(OR(L1474="131",M1474="131"),H1474='131-CT'!$E$7),"131",""))</f>
        <v/>
      </c>
      <c r="O1474" s="818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>x</v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52">
        <v>4</v>
      </c>
      <c r="AB1474" s="552"/>
      <c r="AC1474" s="552"/>
    </row>
    <row r="1475" spans="1:32" s="209" customFormat="1" ht="15.75" customHeight="1">
      <c r="A1475" s="202" t="str">
        <f>IF(B1475&lt;&gt;"",IF(AND(B1475&gt;=_TM1,B1475&lt;=_TM2,OR(TH!L1475="1111",TH!M1475="1111")),TH!D1475,""),"")</f>
        <v/>
      </c>
      <c r="B1475" s="36">
        <f t="shared" si="68"/>
        <v>10</v>
      </c>
      <c r="C1475" s="182">
        <f t="shared" si="67"/>
        <v>42646</v>
      </c>
      <c r="D1475" s="182" t="s">
        <v>669</v>
      </c>
      <c r="E1475" s="189">
        <v>42646</v>
      </c>
      <c r="F1475" s="187" t="s">
        <v>762</v>
      </c>
      <c r="G1475" s="190" t="s">
        <v>330</v>
      </c>
      <c r="H1475" s="7"/>
      <c r="I1475" s="668"/>
      <c r="J1475" s="903"/>
      <c r="K1475" s="560">
        <v>1364</v>
      </c>
      <c r="L1475" s="192" t="s">
        <v>9</v>
      </c>
      <c r="M1475" s="561" t="s">
        <v>24</v>
      </c>
      <c r="N1475" s="52" t="str">
        <f>IF(AND('331-CT'!$E$7=TH!H1475,OR(L1475="331",M1475="331")),"331",IF(AND(OR(L1475="131",M1475="131"),H1475='131-CT'!$E$7),"131",""))</f>
        <v/>
      </c>
      <c r="O1475" s="818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52">
        <v>4</v>
      </c>
      <c r="AB1475" s="552"/>
    </row>
    <row r="1476" spans="1:32" s="209" customFormat="1" ht="15.75" customHeight="1">
      <c r="A1476" s="202" t="str">
        <f>IF(B1476&lt;&gt;"",IF(AND(B1476&gt;=_TM1,B1476&lt;=_TM2,OR(TH!L1476="1111",TH!M1476="1111")),TH!D1476,""),"")</f>
        <v/>
      </c>
      <c r="B1476" s="36">
        <f t="shared" si="68"/>
        <v>10</v>
      </c>
      <c r="C1476" s="182">
        <f t="shared" si="67"/>
        <v>42646</v>
      </c>
      <c r="D1476" s="182" t="s">
        <v>669</v>
      </c>
      <c r="E1476" s="189">
        <v>42646</v>
      </c>
      <c r="F1476" s="190" t="s">
        <v>674</v>
      </c>
      <c r="G1476" s="190" t="s">
        <v>330</v>
      </c>
      <c r="H1476" s="7"/>
      <c r="I1476" s="668"/>
      <c r="J1476" s="251"/>
      <c r="K1476" s="560">
        <v>13636</v>
      </c>
      <c r="L1476" s="561" t="s">
        <v>83</v>
      </c>
      <c r="M1476" s="561" t="s">
        <v>24</v>
      </c>
      <c r="N1476" s="52" t="str">
        <f>IF(AND('331-CT'!$E$7=TH!H1476,OR(L1476="331",M1476="331")),"331",IF(AND(OR(L1476="131",M1476="131"),H1476='131-CT'!$E$7),"131",""))</f>
        <v/>
      </c>
      <c r="O1476" s="818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>x</v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52">
        <v>4</v>
      </c>
      <c r="AB1476" s="552"/>
      <c r="AC1476" s="552"/>
    </row>
    <row r="1477" spans="1:32" s="209" customFormat="1" ht="15.75" customHeight="1">
      <c r="A1477" s="202" t="str">
        <f>IF(B1477&lt;&gt;"",IF(AND(B1477&gt;=_TM1,B1477&lt;=_TM2,OR(TH!L1477="1111",TH!M1477="1111")),TH!D1477,""),"")</f>
        <v/>
      </c>
      <c r="B1477" s="36">
        <f t="shared" si="68"/>
        <v>10</v>
      </c>
      <c r="C1477" s="182">
        <f t="shared" ref="C1477:C1540" si="69">E1477</f>
        <v>42646</v>
      </c>
      <c r="D1477" s="182" t="s">
        <v>669</v>
      </c>
      <c r="E1477" s="189">
        <v>42646</v>
      </c>
      <c r="F1477" s="190" t="s">
        <v>794</v>
      </c>
      <c r="G1477" s="190" t="s">
        <v>330</v>
      </c>
      <c r="H1477" s="7"/>
      <c r="I1477" s="668"/>
      <c r="J1477" s="668"/>
      <c r="K1477" s="560">
        <v>1364</v>
      </c>
      <c r="L1477" s="192" t="s">
        <v>9</v>
      </c>
      <c r="M1477" s="561" t="s">
        <v>24</v>
      </c>
      <c r="N1477" s="52" t="str">
        <f>IF(AND('331-CT'!$E$7=TH!H1477,OR(L1477="331",M1477="331")),"331",IF(AND(OR(L1477="131",M1477="131"),H1477='131-CT'!$E$7),"131",""))</f>
        <v/>
      </c>
      <c r="O1477" s="818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52">
        <v>4</v>
      </c>
      <c r="AB1477" s="552"/>
    </row>
    <row r="1478" spans="1:32" s="209" customFormat="1" ht="15.75" customHeight="1">
      <c r="A1478" s="202" t="str">
        <f>IF(B1478&lt;&gt;"",IF(AND(B1478&gt;=_TM1,B1478&lt;=_TM2,OR(TH!L1478="1111",TH!M1478="1111")),TH!D1478,""),"")</f>
        <v/>
      </c>
      <c r="B1478" s="36">
        <f t="shared" si="68"/>
        <v>10</v>
      </c>
      <c r="C1478" s="182">
        <f t="shared" si="69"/>
        <v>42646</v>
      </c>
      <c r="D1478" s="182" t="s">
        <v>669</v>
      </c>
      <c r="E1478" s="189">
        <v>42646</v>
      </c>
      <c r="F1478" s="190" t="s">
        <v>674</v>
      </c>
      <c r="G1478" s="190" t="s">
        <v>330</v>
      </c>
      <c r="H1478" s="191"/>
      <c r="I1478" s="668"/>
      <c r="J1478" s="903"/>
      <c r="K1478" s="560">
        <v>13636</v>
      </c>
      <c r="L1478" s="561" t="s">
        <v>83</v>
      </c>
      <c r="M1478" s="561" t="s">
        <v>24</v>
      </c>
      <c r="N1478" s="52" t="str">
        <f>IF(AND('331-CT'!$E$7=TH!H1478,OR(L1478="331",M1478="331")),"331",IF(AND(OR(L1478="131",M1478="131"),H1478='131-CT'!$E$7),"131",""))</f>
        <v/>
      </c>
      <c r="O1478" s="818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>x</v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52">
        <v>4</v>
      </c>
      <c r="AB1478" s="552"/>
      <c r="AC1478" s="552"/>
    </row>
    <row r="1479" spans="1:32" s="209" customFormat="1" ht="15.75" customHeight="1">
      <c r="A1479" s="202" t="str">
        <f>IF(B1479&lt;&gt;"",IF(AND(B1479&gt;=_TM1,B1479&lt;=_TM2,OR(TH!L1479="1111",TH!M1479="1111")),TH!D1479,""),"")</f>
        <v/>
      </c>
      <c r="B1479" s="36">
        <f t="shared" si="68"/>
        <v>10</v>
      </c>
      <c r="C1479" s="182">
        <f t="shared" si="69"/>
        <v>42646</v>
      </c>
      <c r="D1479" s="182" t="s">
        <v>669</v>
      </c>
      <c r="E1479" s="189">
        <v>42646</v>
      </c>
      <c r="F1479" s="190" t="s">
        <v>794</v>
      </c>
      <c r="G1479" s="190" t="s">
        <v>330</v>
      </c>
      <c r="H1479" s="191"/>
      <c r="I1479" s="668"/>
      <c r="J1479" s="251"/>
      <c r="K1479" s="560">
        <v>1364</v>
      </c>
      <c r="L1479" s="192" t="s">
        <v>9</v>
      </c>
      <c r="M1479" s="561" t="s">
        <v>24</v>
      </c>
      <c r="N1479" s="52" t="str">
        <f>IF(AND('331-CT'!$E$7=TH!H1479,OR(L1479="331",M1479="331")),"331",IF(AND(OR(L1479="131",M1479="131"),H1479='131-CT'!$E$7),"131",""))</f>
        <v/>
      </c>
      <c r="O1479" s="818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52">
        <v>4</v>
      </c>
      <c r="AB1479" s="552"/>
      <c r="AC1479" s="552"/>
    </row>
    <row r="1480" spans="1:32" s="209" customFormat="1" ht="15.75" customHeight="1">
      <c r="A1480" s="202" t="str">
        <f>IF(B1480&lt;&gt;"",IF(AND(B1480&gt;=_TM1,B1480&lt;=_TM2,OR(TH!L1480="1111",TH!M1480="1111")),TH!D1480,""),"")</f>
        <v>T01</v>
      </c>
      <c r="B1480" s="36">
        <f t="shared" si="68"/>
        <v>10</v>
      </c>
      <c r="C1480" s="182">
        <f t="shared" si="69"/>
        <v>42647</v>
      </c>
      <c r="D1480" s="182" t="s">
        <v>354</v>
      </c>
      <c r="E1480" s="189">
        <v>42647</v>
      </c>
      <c r="F1480" s="190" t="s">
        <v>670</v>
      </c>
      <c r="G1480" s="190" t="s">
        <v>330</v>
      </c>
      <c r="H1480" s="7" t="s">
        <v>675</v>
      </c>
      <c r="I1480" s="668"/>
      <c r="J1480" s="668"/>
      <c r="K1480" s="560">
        <v>2000000</v>
      </c>
      <c r="L1480" s="192" t="s">
        <v>47</v>
      </c>
      <c r="M1480" s="561" t="s">
        <v>24</v>
      </c>
      <c r="N1480" s="52" t="str">
        <f>IF(AND('331-CT'!$E$7=TH!H1480,OR(L1480="331",M1480="331")),"331",IF(AND(OR(L1480="131",M1480="131"),H1480='131-CT'!$E$7),"131",""))</f>
        <v/>
      </c>
      <c r="O1480" s="818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53"/>
      <c r="AB1480" s="552"/>
    </row>
    <row r="1481" spans="1:32" s="209" customFormat="1" ht="15.75" customHeight="1">
      <c r="A1481" s="202" t="str">
        <f>IF(B1481&lt;&gt;"",IF(AND(B1481&gt;=_TM1,B1481&lt;=_TM2,OR(TH!L1481="1111",TH!M1481="1111")),TH!D1481,""),"")</f>
        <v/>
      </c>
      <c r="B1481" s="36">
        <f t="shared" si="68"/>
        <v>10</v>
      </c>
      <c r="C1481" s="182">
        <f t="shared" si="69"/>
        <v>42647</v>
      </c>
      <c r="D1481" s="182" t="s">
        <v>669</v>
      </c>
      <c r="E1481" s="189">
        <v>42647</v>
      </c>
      <c r="F1481" s="190" t="s">
        <v>674</v>
      </c>
      <c r="G1481" s="190" t="s">
        <v>330</v>
      </c>
      <c r="H1481" s="7"/>
      <c r="I1481" s="668"/>
      <c r="J1481" s="668"/>
      <c r="K1481" s="560">
        <v>13636</v>
      </c>
      <c r="L1481" s="561" t="s">
        <v>83</v>
      </c>
      <c r="M1481" s="561" t="s">
        <v>24</v>
      </c>
      <c r="N1481" s="52" t="str">
        <f>IF(AND('331-CT'!$E$7=TH!H1481,OR(L1481="331",M1481="331")),"331",IF(AND(OR(L1481="131",M1481="131"),H1481='131-CT'!$E$7),"131",""))</f>
        <v/>
      </c>
      <c r="O1481" s="818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>x</v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52">
        <v>4</v>
      </c>
      <c r="AB1481" s="552"/>
      <c r="AC1481" s="552"/>
    </row>
    <row r="1482" spans="1:32" s="209" customFormat="1" ht="15.75" customHeight="1">
      <c r="A1482" s="202" t="str">
        <f>IF(B1482&lt;&gt;"",IF(AND(B1482&gt;=_TM1,B1482&lt;=_TM2,OR(TH!L1482="1111",TH!M1482="1111")),TH!D1482,""),"")</f>
        <v/>
      </c>
      <c r="B1482" s="36">
        <f t="shared" si="68"/>
        <v>10</v>
      </c>
      <c r="C1482" s="182">
        <f t="shared" si="69"/>
        <v>42647</v>
      </c>
      <c r="D1482" s="182" t="s">
        <v>669</v>
      </c>
      <c r="E1482" s="189">
        <v>42647</v>
      </c>
      <c r="F1482" s="190" t="s">
        <v>794</v>
      </c>
      <c r="G1482" s="190" t="s">
        <v>330</v>
      </c>
      <c r="H1482" s="7"/>
      <c r="I1482" s="668"/>
      <c r="J1482" s="668"/>
      <c r="K1482" s="560">
        <v>1364</v>
      </c>
      <c r="L1482" s="192" t="s">
        <v>9</v>
      </c>
      <c r="M1482" s="561" t="s">
        <v>24</v>
      </c>
      <c r="N1482" s="52" t="str">
        <f>IF(AND('331-CT'!$E$7=TH!H1482,OR(L1482="331",M1482="331")),"331",IF(AND(OR(L1482="131",M1482="131"),H1482='131-CT'!$E$7),"131",""))</f>
        <v/>
      </c>
      <c r="O1482" s="818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52">
        <v>4</v>
      </c>
      <c r="AB1482" s="552"/>
    </row>
    <row r="1483" spans="1:32" s="209" customFormat="1" ht="15.75" customHeight="1">
      <c r="A1483" s="202" t="str">
        <f>IF(B1483&lt;&gt;"",IF(AND(B1483&gt;=_TM1,B1483&lt;=_TM2,OR(TH!L1483="1111",TH!M1483="1111")),TH!D1483,""),"")</f>
        <v/>
      </c>
      <c r="B1483" s="36">
        <f t="shared" si="68"/>
        <v>10</v>
      </c>
      <c r="C1483" s="182">
        <f t="shared" si="69"/>
        <v>42648</v>
      </c>
      <c r="D1483" s="182" t="s">
        <v>1076</v>
      </c>
      <c r="E1483" s="37">
        <v>42648</v>
      </c>
      <c r="F1483" s="187" t="s">
        <v>1434</v>
      </c>
      <c r="G1483" s="451" t="s">
        <v>1544</v>
      </c>
      <c r="H1483" s="7" t="s">
        <v>615</v>
      </c>
      <c r="I1483" s="668">
        <v>50</v>
      </c>
      <c r="J1483" s="668">
        <v>10900</v>
      </c>
      <c r="K1483" s="38">
        <f>ROUND(I1483*J1483,0)</f>
        <v>545000</v>
      </c>
      <c r="L1483" s="192" t="s">
        <v>258</v>
      </c>
      <c r="M1483" s="192" t="s">
        <v>173</v>
      </c>
      <c r="N1483" s="52" t="str">
        <f>IF(AND('331-CT'!$E$7=TH!H1483,OR(L1483="331",M1483="331")),"331",IF(AND(OR(L1483="131",M1483="131"),H1483='131-CT'!$E$7),"131",""))</f>
        <v/>
      </c>
      <c r="O1483" s="818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52"/>
      <c r="AB1483" s="552"/>
      <c r="AC1483" s="552"/>
    </row>
    <row r="1484" spans="1:32" s="209" customFormat="1" ht="15.75" customHeight="1">
      <c r="A1484" s="202" t="str">
        <f>IF(B1484&lt;&gt;"",IF(AND(B1484&gt;=_TM1,B1484&lt;=_TM2,OR(TH!L1484="1111",TH!M1484="1111")),TH!D1484,""),"")</f>
        <v/>
      </c>
      <c r="B1484" s="36">
        <f t="shared" si="68"/>
        <v>10</v>
      </c>
      <c r="C1484" s="182">
        <f t="shared" si="69"/>
        <v>42648</v>
      </c>
      <c r="D1484" s="182" t="s">
        <v>1076</v>
      </c>
      <c r="E1484" s="37">
        <v>42648</v>
      </c>
      <c r="F1484" s="40" t="s">
        <v>1254</v>
      </c>
      <c r="G1484" s="451" t="s">
        <v>1544</v>
      </c>
      <c r="H1484" s="7" t="s">
        <v>615</v>
      </c>
      <c r="I1484" s="668"/>
      <c r="J1484" s="668"/>
      <c r="K1484" s="38">
        <v>54500</v>
      </c>
      <c r="L1484" s="192" t="s">
        <v>258</v>
      </c>
      <c r="M1484" s="192" t="s">
        <v>367</v>
      </c>
      <c r="N1484" s="52" t="str">
        <f>IF(AND('331-CT'!$E$7=TH!H1484,OR(L1484="331",M1484="331")),"331",IF(AND(OR(L1484="131",M1484="131"),H1484='131-CT'!$E$7),"131",""))</f>
        <v/>
      </c>
      <c r="O1484" s="818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52"/>
      <c r="AB1484" s="552"/>
      <c r="AC1484" s="552"/>
    </row>
    <row r="1485" spans="1:32" s="209" customFormat="1" ht="15.75" customHeight="1">
      <c r="A1485" s="202" t="str">
        <f>IF(B1485&lt;&gt;"",IF(AND(B1485&gt;=_TM1,B1485&lt;=_TM2,OR(TH!L1485="1111",TH!M1485="1111")),TH!D1485,""),"")</f>
        <v/>
      </c>
      <c r="B1485" s="779">
        <f t="shared" si="68"/>
        <v>10</v>
      </c>
      <c r="C1485" s="780">
        <f t="shared" si="69"/>
        <v>42649</v>
      </c>
      <c r="D1485" s="780" t="s">
        <v>669</v>
      </c>
      <c r="E1485" s="781">
        <v>42649</v>
      </c>
      <c r="F1485" s="789" t="s">
        <v>1290</v>
      </c>
      <c r="G1485" s="782" t="s">
        <v>1287</v>
      </c>
      <c r="H1485" s="886" t="s">
        <v>1465</v>
      </c>
      <c r="I1485" s="902"/>
      <c r="J1485" s="785"/>
      <c r="K1485" s="786">
        <v>50000000</v>
      </c>
      <c r="L1485" s="891" t="s">
        <v>24</v>
      </c>
      <c r="M1485" s="891" t="s">
        <v>759</v>
      </c>
      <c r="N1485" s="52" t="str">
        <f>IF(AND('331-CT'!$E$7=TH!H1485,OR(L1485="331",M1485="331")),"331",IF(AND(OR(L1485="131",M1485="131"),H1485='131-CT'!$E$7),"131",""))</f>
        <v/>
      </c>
      <c r="O1485" s="818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>x</v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92"/>
      <c r="AB1485" s="787"/>
      <c r="AC1485" s="787"/>
      <c r="AD1485" s="788"/>
      <c r="AE1485" s="788"/>
      <c r="AF1485" s="788"/>
    </row>
    <row r="1486" spans="1:32" s="209" customFormat="1" ht="15.75" customHeight="1">
      <c r="A1486" s="202" t="str">
        <f>IF(B1486&lt;&gt;"",IF(AND(B1486&gt;=_TM1,B1486&lt;=_TM2,OR(TH!L1486="1111",TH!M1486="1111")),TH!D1486,""),"")</f>
        <v/>
      </c>
      <c r="B1486" s="779">
        <f t="shared" si="68"/>
        <v>10</v>
      </c>
      <c r="C1486" s="780">
        <f t="shared" si="69"/>
        <v>42649</v>
      </c>
      <c r="D1486" s="780" t="s">
        <v>669</v>
      </c>
      <c r="E1486" s="781">
        <v>42649</v>
      </c>
      <c r="F1486" s="789" t="s">
        <v>671</v>
      </c>
      <c r="G1486" s="782" t="s">
        <v>1287</v>
      </c>
      <c r="H1486" s="886"/>
      <c r="I1486" s="902"/>
      <c r="J1486" s="902"/>
      <c r="K1486" s="786">
        <v>50000000</v>
      </c>
      <c r="L1486" s="891" t="s">
        <v>8</v>
      </c>
      <c r="M1486" s="891" t="s">
        <v>24</v>
      </c>
      <c r="N1486" s="52" t="str">
        <f>IF(AND('331-CT'!$E$7=TH!H1486,OR(L1486="331",M1486="331")),"331",IF(AND(OR(L1486="131",M1486="131"),H1486='131-CT'!$E$7),"131",""))</f>
        <v/>
      </c>
      <c r="O1486" s="818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>x</v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92"/>
      <c r="AB1486" s="787"/>
      <c r="AC1486" s="787"/>
      <c r="AD1486" s="788"/>
      <c r="AE1486" s="788"/>
      <c r="AF1486" s="788"/>
    </row>
    <row r="1487" spans="1:32" s="209" customFormat="1" ht="15.75" customHeight="1">
      <c r="A1487" s="202" t="str">
        <f>IF(B1487&lt;&gt;"",IF(AND(B1487&gt;=_TM1,B1487&lt;=_TM2,OR(TH!L1487="1111",TH!M1487="1111")),TH!D1487,""),"")</f>
        <v/>
      </c>
      <c r="B1487" s="36">
        <f t="shared" si="68"/>
        <v>10</v>
      </c>
      <c r="C1487" s="182">
        <f t="shared" si="69"/>
        <v>42649</v>
      </c>
      <c r="D1487" s="182" t="s">
        <v>669</v>
      </c>
      <c r="E1487" s="189">
        <v>42649</v>
      </c>
      <c r="F1487" s="187" t="s">
        <v>672</v>
      </c>
      <c r="G1487" s="190" t="s">
        <v>1287</v>
      </c>
      <c r="H1487" s="191"/>
      <c r="I1487" s="668"/>
      <c r="J1487" s="668"/>
      <c r="K1487" s="560">
        <v>31818</v>
      </c>
      <c r="L1487" s="561" t="s">
        <v>83</v>
      </c>
      <c r="M1487" s="561" t="s">
        <v>24</v>
      </c>
      <c r="N1487" s="52" t="str">
        <f>IF(AND('331-CT'!$E$7=TH!H1487,OR(L1487="331",M1487="331")),"331",IF(AND(OR(L1487="131",M1487="131"),H1487='131-CT'!$E$7),"131",""))</f>
        <v/>
      </c>
      <c r="O1487" s="818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>x</v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>x</v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53">
        <v>4</v>
      </c>
      <c r="AB1487" s="552"/>
      <c r="AC1487" s="552"/>
    </row>
    <row r="1488" spans="1:32" s="209" customFormat="1" ht="15.75" customHeight="1">
      <c r="A1488" s="202" t="str">
        <f>IF(B1488&lt;&gt;"",IF(AND(B1488&gt;=_TM1,B1488&lt;=_TM2,OR(TH!L1488="1111",TH!M1488="1111")),TH!D1488,""),"")</f>
        <v/>
      </c>
      <c r="B1488" s="36">
        <f t="shared" si="68"/>
        <v>10</v>
      </c>
      <c r="C1488" s="182">
        <f t="shared" si="69"/>
        <v>42649</v>
      </c>
      <c r="D1488" s="182" t="s">
        <v>669</v>
      </c>
      <c r="E1488" s="189">
        <v>42649</v>
      </c>
      <c r="F1488" s="190" t="s">
        <v>762</v>
      </c>
      <c r="G1488" s="190" t="s">
        <v>1287</v>
      </c>
      <c r="H1488" s="191"/>
      <c r="I1488" s="251"/>
      <c r="J1488" s="251"/>
      <c r="K1488" s="560">
        <v>3182</v>
      </c>
      <c r="L1488" s="192" t="s">
        <v>9</v>
      </c>
      <c r="M1488" s="561" t="s">
        <v>24</v>
      </c>
      <c r="N1488" s="52" t="str">
        <f>IF(AND('331-CT'!$E$7=TH!H1488,OR(L1488="331",M1488="331")),"331",IF(AND(OR(L1488="131",M1488="131"),H1488='131-CT'!$E$7),"131",""))</f>
        <v/>
      </c>
      <c r="O1488" s="818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>x</v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53">
        <v>4</v>
      </c>
      <c r="AB1488" s="552"/>
      <c r="AC1488" s="552"/>
    </row>
    <row r="1489" spans="1:29" s="209" customFormat="1" ht="15.75" customHeight="1">
      <c r="A1489" s="202" t="str">
        <f>IF(B1489&lt;&gt;"",IF(AND(B1489&gt;=_TM1,B1489&lt;=_TM2,OR(TH!L1489="1111",TH!M1489="1111")),TH!D1489,""),"")</f>
        <v/>
      </c>
      <c r="B1489" s="36">
        <f t="shared" si="68"/>
        <v>10</v>
      </c>
      <c r="C1489" s="182">
        <f t="shared" si="69"/>
        <v>42649</v>
      </c>
      <c r="D1489" s="182" t="s">
        <v>1077</v>
      </c>
      <c r="E1489" s="37">
        <v>42649</v>
      </c>
      <c r="F1489" s="40" t="s">
        <v>1303</v>
      </c>
      <c r="G1489" s="451" t="s">
        <v>1302</v>
      </c>
      <c r="H1489" s="7" t="s">
        <v>780</v>
      </c>
      <c r="I1489" s="251">
        <v>1018</v>
      </c>
      <c r="J1489" s="251">
        <v>7700</v>
      </c>
      <c r="K1489" s="38">
        <f>ROUND(I1489*J1489,0)</f>
        <v>7838600</v>
      </c>
      <c r="L1489" s="192" t="s">
        <v>258</v>
      </c>
      <c r="M1489" s="192" t="s">
        <v>173</v>
      </c>
      <c r="N1489" s="52" t="str">
        <f>IF(AND('331-CT'!$E$7=TH!H1489,OR(L1489="331",M1489="331")),"331",IF(AND(OR(L1489="131",M1489="131"),H1489='131-CT'!$E$7),"131",""))</f>
        <v/>
      </c>
      <c r="O1489" s="818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52"/>
      <c r="AB1489" s="552"/>
      <c r="AC1489" s="552"/>
    </row>
    <row r="1490" spans="1:29" s="209" customFormat="1" ht="15.75" customHeight="1">
      <c r="A1490" s="202" t="str">
        <f>IF(B1490&lt;&gt;"",IF(AND(B1490&gt;=_TM1,B1490&lt;=_TM2,OR(TH!L1490="1111",TH!M1490="1111")),TH!D1490,""),"")</f>
        <v/>
      </c>
      <c r="B1490" s="36">
        <f t="shared" si="68"/>
        <v>10</v>
      </c>
      <c r="C1490" s="182">
        <f t="shared" si="69"/>
        <v>42649</v>
      </c>
      <c r="D1490" s="182" t="s">
        <v>1077</v>
      </c>
      <c r="E1490" s="37">
        <v>42649</v>
      </c>
      <c r="F1490" s="40" t="s">
        <v>1304</v>
      </c>
      <c r="G1490" s="451" t="s">
        <v>1302</v>
      </c>
      <c r="H1490" s="7" t="s">
        <v>780</v>
      </c>
      <c r="I1490" s="251">
        <v>1020</v>
      </c>
      <c r="J1490" s="251">
        <v>6400</v>
      </c>
      <c r="K1490" s="38">
        <f>ROUND(I1490*J1490,0)</f>
        <v>6528000</v>
      </c>
      <c r="L1490" s="192" t="s">
        <v>258</v>
      </c>
      <c r="M1490" s="192" t="s">
        <v>173</v>
      </c>
      <c r="N1490" s="52" t="str">
        <f>IF(AND('331-CT'!$E$7=TH!H1490,OR(L1490="331",M1490="331")),"331",IF(AND(OR(L1490="131",M1490="131"),H1490='131-CT'!$E$7),"131",""))</f>
        <v/>
      </c>
      <c r="O1490" s="818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52"/>
      <c r="AB1490" s="552"/>
      <c r="AC1490" s="552"/>
    </row>
    <row r="1491" spans="1:29" s="209" customFormat="1" ht="15.75" customHeight="1">
      <c r="A1491" s="202" t="str">
        <f>IF(B1491&lt;&gt;"",IF(AND(B1491&gt;=_TM1,B1491&lt;=_TM2,OR(TH!L1491="1111",TH!M1491="1111")),TH!D1491,""),"")</f>
        <v/>
      </c>
      <c r="B1491" s="36">
        <f t="shared" si="68"/>
        <v>10</v>
      </c>
      <c r="C1491" s="182">
        <f t="shared" si="69"/>
        <v>42649</v>
      </c>
      <c r="D1491" s="182" t="s">
        <v>1077</v>
      </c>
      <c r="E1491" s="37">
        <v>42649</v>
      </c>
      <c r="F1491" s="40" t="s">
        <v>1254</v>
      </c>
      <c r="G1491" s="451" t="s">
        <v>1302</v>
      </c>
      <c r="H1491" s="7" t="s">
        <v>780</v>
      </c>
      <c r="I1491" s="251"/>
      <c r="J1491" s="251"/>
      <c r="K1491" s="38">
        <v>1436660</v>
      </c>
      <c r="L1491" s="192" t="s">
        <v>258</v>
      </c>
      <c r="M1491" s="192" t="s">
        <v>367</v>
      </c>
      <c r="N1491" s="52" t="str">
        <f>IF(AND('331-CT'!$E$7=TH!H1491,OR(L1491="331",M1491="331")),"331",IF(AND(OR(L1491="131",M1491="131"),H1491='131-CT'!$E$7),"131",""))</f>
        <v/>
      </c>
      <c r="O1491" s="818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52"/>
      <c r="AB1491" s="552"/>
    </row>
    <row r="1492" spans="1:29" s="209" customFormat="1" ht="15.75" customHeight="1">
      <c r="A1492" s="202" t="str">
        <f>IF(B1492&lt;&gt;"",IF(AND(B1492&gt;=_TM1,B1492&lt;=_TM2,OR(TH!L1492="1111",TH!M1492="1111")),TH!D1492,""),"")</f>
        <v/>
      </c>
      <c r="B1492" s="36">
        <f t="shared" ref="B1492:B1555" si="70">IF(C1492&lt;&gt;"",MONTH(C1492),"")</f>
        <v>10</v>
      </c>
      <c r="C1492" s="182">
        <f t="shared" si="69"/>
        <v>42650</v>
      </c>
      <c r="D1492" s="182" t="s">
        <v>1185</v>
      </c>
      <c r="E1492" s="189">
        <v>42650</v>
      </c>
      <c r="F1492" s="187" t="s">
        <v>1420</v>
      </c>
      <c r="G1492" s="451" t="s">
        <v>1421</v>
      </c>
      <c r="H1492" s="7" t="s">
        <v>855</v>
      </c>
      <c r="I1492" s="252">
        <v>1120</v>
      </c>
      <c r="J1492" s="252">
        <v>8900</v>
      </c>
      <c r="K1492" s="38">
        <f>ROUND(I1492*J1492,0)</f>
        <v>9968000</v>
      </c>
      <c r="L1492" s="192" t="s">
        <v>158</v>
      </c>
      <c r="M1492" s="192" t="s">
        <v>8</v>
      </c>
      <c r="N1492" s="52" t="str">
        <f>IF(AND('331-CT'!$E$7=TH!H1492,OR(L1492="331",M1492="331")),"331",IF(AND(OR(L1492="131",M1492="131"),H1492='131-CT'!$E$7),"131",""))</f>
        <v/>
      </c>
      <c r="O1492" s="818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751">
        <v>4</v>
      </c>
      <c r="AB1492" s="552"/>
      <c r="AC1492" s="552"/>
    </row>
    <row r="1493" spans="1:29" s="209" customFormat="1" ht="15.75" customHeight="1">
      <c r="A1493" s="202" t="str">
        <f>IF(B1493&lt;&gt;"",IF(AND(B1493&gt;=_TM1,B1493&lt;=_TM2,OR(TH!L1493="1111",TH!M1493="1111")),TH!D1493,""),"")</f>
        <v/>
      </c>
      <c r="B1493" s="36">
        <f t="shared" si="70"/>
        <v>10</v>
      </c>
      <c r="C1493" s="182">
        <f t="shared" si="69"/>
        <v>42650</v>
      </c>
      <c r="D1493" s="182" t="s">
        <v>1185</v>
      </c>
      <c r="E1493" s="189">
        <v>42650</v>
      </c>
      <c r="F1493" s="187" t="s">
        <v>1422</v>
      </c>
      <c r="G1493" s="451" t="s">
        <v>1421</v>
      </c>
      <c r="H1493" s="7" t="s">
        <v>855</v>
      </c>
      <c r="I1493" s="252">
        <v>3458</v>
      </c>
      <c r="J1493" s="252">
        <v>8900</v>
      </c>
      <c r="K1493" s="38">
        <f>ROUND(I1493*J1493,0)</f>
        <v>30776200</v>
      </c>
      <c r="L1493" s="192" t="s">
        <v>158</v>
      </c>
      <c r="M1493" s="192" t="s">
        <v>8</v>
      </c>
      <c r="N1493" s="52" t="str">
        <f>IF(AND('331-CT'!$E$7=TH!H1493,OR(L1493="331",M1493="331")),"331",IF(AND(OR(L1493="131",M1493="131"),H1493='131-CT'!$E$7),"131",""))</f>
        <v/>
      </c>
      <c r="O1493" s="818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>x</v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751">
        <v>4</v>
      </c>
      <c r="AB1493" s="552"/>
      <c r="AC1493" s="552"/>
    </row>
    <row r="1494" spans="1:29" s="209" customFormat="1" ht="15.75" customHeight="1">
      <c r="A1494" s="202" t="str">
        <f>IF(B1494&lt;&gt;"",IF(AND(B1494&gt;=_TM1,B1494&lt;=_TM2,OR(TH!L1494="1111",TH!M1494="1111")),TH!D1494,""),"")</f>
        <v/>
      </c>
      <c r="B1494" s="36">
        <f t="shared" si="70"/>
        <v>10</v>
      </c>
      <c r="C1494" s="182">
        <f t="shared" si="69"/>
        <v>42650</v>
      </c>
      <c r="D1494" s="182" t="s">
        <v>1185</v>
      </c>
      <c r="E1494" s="189">
        <v>42650</v>
      </c>
      <c r="F1494" s="40" t="s">
        <v>684</v>
      </c>
      <c r="G1494" s="451" t="s">
        <v>1421</v>
      </c>
      <c r="H1494" s="7" t="s">
        <v>855</v>
      </c>
      <c r="I1494" s="252"/>
      <c r="J1494" s="252"/>
      <c r="K1494" s="38">
        <v>4074420</v>
      </c>
      <c r="L1494" s="192" t="s">
        <v>9</v>
      </c>
      <c r="M1494" s="192" t="s">
        <v>8</v>
      </c>
      <c r="N1494" s="52" t="str">
        <f>IF(AND('331-CT'!$E$7=TH!H1494,OR(L1494="331",M1494="331")),"331",IF(AND(OR(L1494="131",M1494="131"),H1494='131-CT'!$E$7),"131",""))</f>
        <v/>
      </c>
      <c r="O1494" s="818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751">
        <v>4</v>
      </c>
      <c r="AB1494" s="552"/>
    </row>
    <row r="1495" spans="1:29" s="209" customFormat="1" ht="15.75" customHeight="1">
      <c r="A1495" s="202" t="str">
        <f>IF(B1495&lt;&gt;"",IF(AND(B1495&gt;=_TM1,B1495&lt;=_TM2,OR(TH!L1495="1111",TH!M1495="1111")),TH!D1495,""),"")</f>
        <v/>
      </c>
      <c r="B1495" s="36">
        <f t="shared" si="70"/>
        <v>10</v>
      </c>
      <c r="C1495" s="182">
        <f t="shared" si="69"/>
        <v>42651</v>
      </c>
      <c r="D1495" s="182" t="s">
        <v>669</v>
      </c>
      <c r="E1495" s="189">
        <v>42651</v>
      </c>
      <c r="F1495" s="187" t="s">
        <v>1462</v>
      </c>
      <c r="G1495" s="190" t="s">
        <v>1287</v>
      </c>
      <c r="H1495" s="191"/>
      <c r="I1495" s="251"/>
      <c r="J1495" s="251"/>
      <c r="K1495" s="560">
        <v>40000</v>
      </c>
      <c r="L1495" s="561" t="s">
        <v>83</v>
      </c>
      <c r="M1495" s="561" t="s">
        <v>24</v>
      </c>
      <c r="N1495" s="52" t="str">
        <f>IF(AND('331-CT'!$E$7=TH!H1495,OR(L1495="331",M1495="331")),"331",IF(AND(OR(L1495="131",M1495="131"),H1495='131-CT'!$E$7),"131",""))</f>
        <v/>
      </c>
      <c r="O1495" s="818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>x</v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>x</v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53">
        <v>4</v>
      </c>
      <c r="AB1495" s="552"/>
      <c r="AC1495" s="552"/>
    </row>
    <row r="1496" spans="1:29" s="209" customFormat="1" ht="15.75" customHeight="1">
      <c r="A1496" s="202" t="str">
        <f>IF(B1496&lt;&gt;"",IF(AND(B1496&gt;=_TM1,B1496&lt;=_TM2,OR(TH!L1496="1111",TH!M1496="1111")),TH!D1496,""),"")</f>
        <v/>
      </c>
      <c r="B1496" s="36">
        <f t="shared" si="70"/>
        <v>10</v>
      </c>
      <c r="C1496" s="182">
        <f t="shared" si="69"/>
        <v>42651</v>
      </c>
      <c r="D1496" s="182" t="s">
        <v>669</v>
      </c>
      <c r="E1496" s="189">
        <v>42651</v>
      </c>
      <c r="F1496" s="187" t="s">
        <v>1463</v>
      </c>
      <c r="G1496" s="190" t="s">
        <v>1287</v>
      </c>
      <c r="H1496" s="191"/>
      <c r="I1496" s="251"/>
      <c r="J1496" s="251"/>
      <c r="K1496" s="560">
        <v>4000</v>
      </c>
      <c r="L1496" s="192" t="s">
        <v>9</v>
      </c>
      <c r="M1496" s="561" t="s">
        <v>24</v>
      </c>
      <c r="N1496" s="52" t="str">
        <f>IF(AND('331-CT'!$E$7=TH!H1496,OR(L1496="331",M1496="331")),"331",IF(AND(OR(L1496="131",M1496="131"),H1496='131-CT'!$E$7),"131",""))</f>
        <v/>
      </c>
      <c r="O1496" s="818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>x</v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53">
        <v>4</v>
      </c>
      <c r="AB1496" s="552"/>
      <c r="AC1496" s="552"/>
    </row>
    <row r="1497" spans="1:29" s="209" customFormat="1" ht="15.75" customHeight="1">
      <c r="A1497" s="202" t="str">
        <f>IF(B1497&lt;&gt;"",IF(AND(B1497&gt;=_TM1,B1497&lt;=_TM2,OR(TH!L1497="1111",TH!M1497="1111")),TH!D1497,""),"")</f>
        <v/>
      </c>
      <c r="B1497" s="36">
        <f t="shared" si="70"/>
        <v>10</v>
      </c>
      <c r="C1497" s="182">
        <f t="shared" si="69"/>
        <v>42651</v>
      </c>
      <c r="D1497" s="182" t="s">
        <v>1078</v>
      </c>
      <c r="E1497" s="37">
        <v>42651</v>
      </c>
      <c r="F1497" s="40" t="s">
        <v>1255</v>
      </c>
      <c r="G1497" s="451" t="s">
        <v>1305</v>
      </c>
      <c r="H1497" s="7" t="s">
        <v>391</v>
      </c>
      <c r="I1497" s="251">
        <v>926</v>
      </c>
      <c r="J1497" s="251">
        <v>5000</v>
      </c>
      <c r="K1497" s="38">
        <f>ROUND(I1497*J1497,0)</f>
        <v>4630000</v>
      </c>
      <c r="L1497" s="192" t="s">
        <v>258</v>
      </c>
      <c r="M1497" s="192" t="s">
        <v>173</v>
      </c>
      <c r="N1497" s="52" t="str">
        <f>IF(AND('331-CT'!$E$7=TH!H1497,OR(L1497="331",M1497="331")),"331",IF(AND(OR(L1497="131",M1497="131"),H1497='131-CT'!$E$7),"131",""))</f>
        <v/>
      </c>
      <c r="O1497" s="818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52"/>
      <c r="AB1497" s="552"/>
      <c r="AC1497" s="552"/>
    </row>
    <row r="1498" spans="1:29" s="209" customFormat="1" ht="15.75" customHeight="1">
      <c r="A1498" s="202" t="str">
        <f>IF(B1498&lt;&gt;"",IF(AND(B1498&gt;=_TM1,B1498&lt;=_TM2,OR(TH!L1498="1111",TH!M1498="1111")),TH!D1498,""),"")</f>
        <v/>
      </c>
      <c r="B1498" s="36">
        <f t="shared" si="70"/>
        <v>10</v>
      </c>
      <c r="C1498" s="182">
        <f t="shared" si="69"/>
        <v>42651</v>
      </c>
      <c r="D1498" s="182" t="s">
        <v>1078</v>
      </c>
      <c r="E1498" s="37">
        <v>42651</v>
      </c>
      <c r="F1498" s="40" t="s">
        <v>1254</v>
      </c>
      <c r="G1498" s="451" t="s">
        <v>1305</v>
      </c>
      <c r="H1498" s="7" t="s">
        <v>391</v>
      </c>
      <c r="I1498" s="251"/>
      <c r="J1498" s="251"/>
      <c r="K1498" s="38">
        <v>463000</v>
      </c>
      <c r="L1498" s="192" t="s">
        <v>258</v>
      </c>
      <c r="M1498" s="192" t="s">
        <v>367</v>
      </c>
      <c r="N1498" s="52" t="str">
        <f>IF(AND('331-CT'!$E$7=TH!H1498,OR(L1498="331",M1498="331")),"331",IF(AND(OR(L1498="131",M1498="131"),H1498='131-CT'!$E$7),"131",""))</f>
        <v/>
      </c>
      <c r="O1498" s="818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52"/>
      <c r="AB1498" s="552"/>
    </row>
    <row r="1499" spans="1:29" s="209" customFormat="1" ht="15.75" customHeight="1">
      <c r="A1499" s="202" t="str">
        <f>IF(B1499&lt;&gt;"",IF(AND(B1499&gt;=_TM1,B1499&lt;=_TM2,OR(TH!L1499="1111",TH!M1499="1111")),TH!D1499,""),"")</f>
        <v/>
      </c>
      <c r="B1499" s="36">
        <f t="shared" si="70"/>
        <v>10</v>
      </c>
      <c r="C1499" s="182">
        <f t="shared" si="69"/>
        <v>42651</v>
      </c>
      <c r="D1499" s="182" t="s">
        <v>1079</v>
      </c>
      <c r="E1499" s="37">
        <v>42651</v>
      </c>
      <c r="F1499" s="187" t="s">
        <v>1306</v>
      </c>
      <c r="G1499" s="451" t="s">
        <v>823</v>
      </c>
      <c r="H1499" s="7" t="s">
        <v>615</v>
      </c>
      <c r="I1499" s="251">
        <v>140</v>
      </c>
      <c r="J1499" s="251">
        <v>12400</v>
      </c>
      <c r="K1499" s="38">
        <f t="shared" ref="K1499:K1505" si="71">ROUND(I1499*J1499,0)</f>
        <v>1736000</v>
      </c>
      <c r="L1499" s="192" t="s">
        <v>258</v>
      </c>
      <c r="M1499" s="192" t="s">
        <v>173</v>
      </c>
      <c r="N1499" s="52" t="str">
        <f>IF(AND('331-CT'!$E$7=TH!H1499,OR(L1499="331",M1499="331")),"331",IF(AND(OR(L1499="131",M1499="131"),H1499='131-CT'!$E$7),"131",""))</f>
        <v/>
      </c>
      <c r="O1499" s="818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52"/>
      <c r="AB1499" s="552"/>
      <c r="AC1499" s="552"/>
    </row>
    <row r="1500" spans="1:29" s="209" customFormat="1" ht="15.75" customHeight="1">
      <c r="A1500" s="202" t="str">
        <f>IF(B1500&lt;&gt;"",IF(AND(B1500&gt;=_TM1,B1500&lt;=_TM2,OR(TH!L1500="1111",TH!M1500="1111")),TH!D1500,""),"")</f>
        <v/>
      </c>
      <c r="B1500" s="36">
        <f t="shared" si="70"/>
        <v>10</v>
      </c>
      <c r="C1500" s="182">
        <f t="shared" si="69"/>
        <v>42651</v>
      </c>
      <c r="D1500" s="182" t="s">
        <v>1079</v>
      </c>
      <c r="E1500" s="37">
        <v>42651</v>
      </c>
      <c r="F1500" s="187" t="s">
        <v>1307</v>
      </c>
      <c r="G1500" s="451" t="s">
        <v>823</v>
      </c>
      <c r="H1500" s="7" t="s">
        <v>615</v>
      </c>
      <c r="I1500" s="251">
        <v>140</v>
      </c>
      <c r="J1500" s="251">
        <v>14200</v>
      </c>
      <c r="K1500" s="38">
        <f t="shared" si="71"/>
        <v>1988000</v>
      </c>
      <c r="L1500" s="192" t="s">
        <v>258</v>
      </c>
      <c r="M1500" s="192" t="s">
        <v>173</v>
      </c>
      <c r="N1500" s="52" t="str">
        <f>IF(AND('331-CT'!$E$7=TH!H1500,OR(L1500="331",M1500="331")),"331",IF(AND(OR(L1500="131",M1500="131"),H1500='131-CT'!$E$7),"131",""))</f>
        <v/>
      </c>
      <c r="O1500" s="818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52"/>
      <c r="AB1500" s="552"/>
      <c r="AC1500" s="552"/>
    </row>
    <row r="1501" spans="1:29" s="209" customFormat="1" ht="15.75" customHeight="1">
      <c r="A1501" s="202" t="str">
        <f>IF(B1501&lt;&gt;"",IF(AND(B1501&gt;=_TM1,B1501&lt;=_TM2,OR(TH!L1501="1111",TH!M1501="1111")),TH!D1501,""),"")</f>
        <v/>
      </c>
      <c r="B1501" s="36">
        <f t="shared" si="70"/>
        <v>10</v>
      </c>
      <c r="C1501" s="182">
        <f t="shared" si="69"/>
        <v>42651</v>
      </c>
      <c r="D1501" s="182" t="s">
        <v>1079</v>
      </c>
      <c r="E1501" s="37">
        <v>42651</v>
      </c>
      <c r="F1501" s="187" t="s">
        <v>1310</v>
      </c>
      <c r="G1501" s="451" t="s">
        <v>823</v>
      </c>
      <c r="H1501" s="7" t="s">
        <v>615</v>
      </c>
      <c r="I1501" s="251">
        <v>140</v>
      </c>
      <c r="J1501" s="251">
        <v>15300</v>
      </c>
      <c r="K1501" s="38">
        <f t="shared" si="71"/>
        <v>2142000</v>
      </c>
      <c r="L1501" s="192" t="s">
        <v>258</v>
      </c>
      <c r="M1501" s="192" t="s">
        <v>173</v>
      </c>
      <c r="N1501" s="52" t="str">
        <f>IF(AND('331-CT'!$E$7=TH!H1501,OR(L1501="331",M1501="331")),"331",IF(AND(OR(L1501="131",M1501="131"),H1501='131-CT'!$E$7),"131",""))</f>
        <v/>
      </c>
      <c r="O1501" s="818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52"/>
      <c r="AB1501" s="552"/>
    </row>
    <row r="1502" spans="1:29" s="209" customFormat="1" ht="15.75" customHeight="1">
      <c r="A1502" s="202" t="str">
        <f>IF(B1502&lt;&gt;"",IF(AND(B1502&gt;=_TM1,B1502&lt;=_TM2,OR(TH!L1502="1111",TH!M1502="1111")),TH!D1502,""),"")</f>
        <v/>
      </c>
      <c r="B1502" s="36">
        <f t="shared" si="70"/>
        <v>10</v>
      </c>
      <c r="C1502" s="182">
        <f t="shared" si="69"/>
        <v>42651</v>
      </c>
      <c r="D1502" s="182" t="s">
        <v>1079</v>
      </c>
      <c r="E1502" s="37">
        <v>42651</v>
      </c>
      <c r="F1502" s="187" t="s">
        <v>1308</v>
      </c>
      <c r="G1502" s="451" t="s">
        <v>823</v>
      </c>
      <c r="H1502" s="7" t="s">
        <v>615</v>
      </c>
      <c r="I1502" s="251">
        <v>140</v>
      </c>
      <c r="J1502" s="251">
        <v>16500</v>
      </c>
      <c r="K1502" s="38">
        <f t="shared" si="71"/>
        <v>2310000</v>
      </c>
      <c r="L1502" s="192" t="s">
        <v>258</v>
      </c>
      <c r="M1502" s="192" t="s">
        <v>173</v>
      </c>
      <c r="N1502" s="52" t="str">
        <f>IF(AND('331-CT'!$E$7=TH!H1502,OR(L1502="331",M1502="331")),"331",IF(AND(OR(L1502="131",M1502="131"),H1502='131-CT'!$E$7),"131",""))</f>
        <v/>
      </c>
      <c r="O1502" s="818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52"/>
      <c r="AB1502" s="552"/>
      <c r="AC1502" s="552"/>
    </row>
    <row r="1503" spans="1:29" s="209" customFormat="1" ht="15.75" customHeight="1">
      <c r="A1503" s="202" t="str">
        <f>IF(B1503&lt;&gt;"",IF(AND(B1503&gt;=_TM1,B1503&lt;=_TM2,OR(TH!L1503="1111",TH!M1503="1111")),TH!D1503,""),"")</f>
        <v/>
      </c>
      <c r="B1503" s="36">
        <f t="shared" si="70"/>
        <v>10</v>
      </c>
      <c r="C1503" s="182">
        <f t="shared" si="69"/>
        <v>42651</v>
      </c>
      <c r="D1503" s="182" t="s">
        <v>1079</v>
      </c>
      <c r="E1503" s="37">
        <v>42651</v>
      </c>
      <c r="F1503" s="187" t="s">
        <v>1309</v>
      </c>
      <c r="G1503" s="451" t="s">
        <v>823</v>
      </c>
      <c r="H1503" s="7" t="s">
        <v>615</v>
      </c>
      <c r="I1503" s="251">
        <v>400</v>
      </c>
      <c r="J1503" s="251">
        <v>19700</v>
      </c>
      <c r="K1503" s="38">
        <f t="shared" si="71"/>
        <v>7880000</v>
      </c>
      <c r="L1503" s="192" t="s">
        <v>258</v>
      </c>
      <c r="M1503" s="192" t="s">
        <v>173</v>
      </c>
      <c r="N1503" s="52" t="str">
        <f>IF(AND('331-CT'!$E$7=TH!H1503,OR(L1503="331",M1503="331")),"331",IF(AND(OR(L1503="131",M1503="131"),H1503='131-CT'!$E$7),"131",""))</f>
        <v/>
      </c>
      <c r="O1503" s="818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52"/>
      <c r="AB1503" s="552"/>
    </row>
    <row r="1504" spans="1:29" s="209" customFormat="1" ht="15.75" customHeight="1">
      <c r="A1504" s="202" t="str">
        <f>IF(B1504&lt;&gt;"",IF(AND(B1504&gt;=_TM1,B1504&lt;=_TM2,OR(TH!L1504="1111",TH!M1504="1111")),TH!D1504,""),"")</f>
        <v/>
      </c>
      <c r="B1504" s="36">
        <f t="shared" si="70"/>
        <v>10</v>
      </c>
      <c r="C1504" s="182">
        <f t="shared" si="69"/>
        <v>42651</v>
      </c>
      <c r="D1504" s="182" t="s">
        <v>1079</v>
      </c>
      <c r="E1504" s="37">
        <v>42651</v>
      </c>
      <c r="F1504" s="187" t="s">
        <v>1436</v>
      </c>
      <c r="G1504" s="451" t="s">
        <v>823</v>
      </c>
      <c r="H1504" s="7" t="s">
        <v>615</v>
      </c>
      <c r="I1504" s="251">
        <v>100</v>
      </c>
      <c r="J1504" s="251">
        <v>20100</v>
      </c>
      <c r="K1504" s="38">
        <f t="shared" si="71"/>
        <v>2010000</v>
      </c>
      <c r="L1504" s="192" t="s">
        <v>258</v>
      </c>
      <c r="M1504" s="192" t="s">
        <v>173</v>
      </c>
      <c r="N1504" s="52" t="str">
        <f>IF(AND('331-CT'!$E$7=TH!H1504,OR(L1504="331",M1504="331")),"331",IF(AND(OR(L1504="131",M1504="131"),H1504='131-CT'!$E$7),"131",""))</f>
        <v/>
      </c>
      <c r="O1504" s="818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52"/>
      <c r="AB1504" s="552"/>
      <c r="AC1504" s="552"/>
    </row>
    <row r="1505" spans="1:29" s="209" customFormat="1" ht="15.75" customHeight="1">
      <c r="A1505" s="202" t="str">
        <f>IF(B1505&lt;&gt;"",IF(AND(B1505&gt;=_TM1,B1505&lt;=_TM2,OR(TH!L1505="1111",TH!M1505="1111")),TH!D1505,""),"")</f>
        <v/>
      </c>
      <c r="B1505" s="36">
        <f t="shared" si="70"/>
        <v>10</v>
      </c>
      <c r="C1505" s="182">
        <f t="shared" si="69"/>
        <v>42651</v>
      </c>
      <c r="D1505" s="182" t="s">
        <v>1079</v>
      </c>
      <c r="E1505" s="37">
        <v>42651</v>
      </c>
      <c r="F1505" s="190" t="s">
        <v>1446</v>
      </c>
      <c r="G1505" s="451" t="s">
        <v>823</v>
      </c>
      <c r="H1505" s="7" t="s">
        <v>615</v>
      </c>
      <c r="I1505" s="251">
        <v>170</v>
      </c>
      <c r="J1505" s="251">
        <v>18300</v>
      </c>
      <c r="K1505" s="38">
        <f t="shared" si="71"/>
        <v>3111000</v>
      </c>
      <c r="L1505" s="192" t="s">
        <v>258</v>
      </c>
      <c r="M1505" s="192" t="s">
        <v>173</v>
      </c>
      <c r="N1505" s="52" t="str">
        <f>IF(AND('331-CT'!$E$7=TH!H1505,OR(L1505="331",M1505="331")),"331",IF(AND(OR(L1505="131",M1505="131"),H1505='131-CT'!$E$7),"131",""))</f>
        <v/>
      </c>
      <c r="O1505" s="818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52"/>
      <c r="AB1505" s="552"/>
      <c r="AC1505" s="552"/>
    </row>
    <row r="1506" spans="1:29" s="209" customFormat="1" ht="15.75" customHeight="1">
      <c r="A1506" s="202" t="str">
        <f>IF(B1506&lt;&gt;"",IF(AND(B1506&gt;=_TM1,B1506&lt;=_TM2,OR(TH!L1506="1111",TH!M1506="1111")),TH!D1506,""),"")</f>
        <v/>
      </c>
      <c r="B1506" s="36">
        <f t="shared" si="70"/>
        <v>10</v>
      </c>
      <c r="C1506" s="182">
        <f t="shared" si="69"/>
        <v>42651</v>
      </c>
      <c r="D1506" s="182" t="s">
        <v>1079</v>
      </c>
      <c r="E1506" s="37">
        <v>42651</v>
      </c>
      <c r="F1506" s="40" t="s">
        <v>1254</v>
      </c>
      <c r="G1506" s="451" t="s">
        <v>823</v>
      </c>
      <c r="H1506" s="7" t="s">
        <v>615</v>
      </c>
      <c r="I1506" s="251"/>
      <c r="J1506" s="251"/>
      <c r="K1506" s="38">
        <v>2117700</v>
      </c>
      <c r="L1506" s="192" t="s">
        <v>258</v>
      </c>
      <c r="M1506" s="192" t="s">
        <v>367</v>
      </c>
      <c r="N1506" s="52" t="str">
        <f>IF(AND('331-CT'!$E$7=TH!H1506,OR(L1506="331",M1506="331")),"331",IF(AND(OR(L1506="131",M1506="131"),H1506='131-CT'!$E$7),"131",""))</f>
        <v/>
      </c>
      <c r="O1506" s="818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52"/>
      <c r="AB1506" s="552"/>
      <c r="AC1506" s="552"/>
    </row>
    <row r="1507" spans="1:29" s="209" customFormat="1" ht="15.75" customHeight="1">
      <c r="A1507" s="202" t="str">
        <f>IF(B1507&lt;&gt;"",IF(AND(B1507&gt;=_TM1,B1507&lt;=_TM2,OR(TH!L1507="1111",TH!M1507="1111")),TH!D1507,""),"")</f>
        <v/>
      </c>
      <c r="B1507" s="36">
        <f t="shared" si="70"/>
        <v>10</v>
      </c>
      <c r="C1507" s="182">
        <f t="shared" si="69"/>
        <v>42653</v>
      </c>
      <c r="D1507" s="182" t="s">
        <v>1080</v>
      </c>
      <c r="E1507" s="37">
        <v>42653</v>
      </c>
      <c r="F1507" s="40" t="s">
        <v>1255</v>
      </c>
      <c r="G1507" s="451" t="s">
        <v>1543</v>
      </c>
      <c r="H1507" s="7" t="s">
        <v>391</v>
      </c>
      <c r="I1507" s="251">
        <v>320</v>
      </c>
      <c r="J1507" s="251">
        <v>5000</v>
      </c>
      <c r="K1507" s="38">
        <f>ROUND(I1507*J1507,0)</f>
        <v>1600000</v>
      </c>
      <c r="L1507" s="192" t="s">
        <v>258</v>
      </c>
      <c r="M1507" s="192" t="s">
        <v>173</v>
      </c>
      <c r="N1507" s="52" t="str">
        <f>IF(AND('331-CT'!$E$7=TH!H1507,OR(L1507="331",M1507="331")),"331",IF(AND(OR(L1507="131",M1507="131"),H1507='131-CT'!$E$7),"131",""))</f>
        <v/>
      </c>
      <c r="O1507" s="818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52"/>
      <c r="AB1507" s="552"/>
      <c r="AC1507" s="552"/>
    </row>
    <row r="1508" spans="1:29" s="209" customFormat="1" ht="15.75" customHeight="1">
      <c r="A1508" s="202" t="str">
        <f>IF(B1508&lt;&gt;"",IF(AND(B1508&gt;=_TM1,B1508&lt;=_TM2,OR(TH!L1508="1111",TH!M1508="1111")),TH!D1508,""),"")</f>
        <v/>
      </c>
      <c r="B1508" s="36">
        <f t="shared" si="70"/>
        <v>10</v>
      </c>
      <c r="C1508" s="182">
        <f t="shared" si="69"/>
        <v>42653</v>
      </c>
      <c r="D1508" s="182" t="s">
        <v>1080</v>
      </c>
      <c r="E1508" s="37">
        <v>42653</v>
      </c>
      <c r="F1508" s="40" t="s">
        <v>441</v>
      </c>
      <c r="G1508" s="451" t="s">
        <v>1543</v>
      </c>
      <c r="H1508" s="7" t="s">
        <v>391</v>
      </c>
      <c r="I1508" s="251">
        <v>659</v>
      </c>
      <c r="J1508" s="251">
        <v>9700</v>
      </c>
      <c r="K1508" s="38">
        <f>ROUND(I1508*J1508,0)</f>
        <v>6392300</v>
      </c>
      <c r="L1508" s="192" t="s">
        <v>258</v>
      </c>
      <c r="M1508" s="192" t="s">
        <v>173</v>
      </c>
      <c r="N1508" s="52" t="str">
        <f>IF(AND('331-CT'!$E$7=TH!H1508,OR(L1508="331",M1508="331")),"331",IF(AND(OR(L1508="131",M1508="131"),H1508='131-CT'!$E$7),"131",""))</f>
        <v/>
      </c>
      <c r="O1508" s="818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52"/>
      <c r="AB1508" s="552"/>
      <c r="AC1508" s="552"/>
    </row>
    <row r="1509" spans="1:29" s="209" customFormat="1" ht="15.75" customHeight="1">
      <c r="A1509" s="202" t="str">
        <f>IF(B1509&lt;&gt;"",IF(AND(B1509&gt;=_TM1,B1509&lt;=_TM2,OR(TH!L1509="1111",TH!M1509="1111")),TH!D1509,""),"")</f>
        <v/>
      </c>
      <c r="B1509" s="36">
        <f t="shared" si="70"/>
        <v>10</v>
      </c>
      <c r="C1509" s="182">
        <f t="shared" si="69"/>
        <v>42653</v>
      </c>
      <c r="D1509" s="182" t="s">
        <v>1080</v>
      </c>
      <c r="E1509" s="37">
        <v>42653</v>
      </c>
      <c r="F1509" s="40" t="s">
        <v>1254</v>
      </c>
      <c r="G1509" s="451" t="s">
        <v>1543</v>
      </c>
      <c r="H1509" s="7" t="s">
        <v>391</v>
      </c>
      <c r="I1509" s="251"/>
      <c r="J1509" s="251"/>
      <c r="K1509" s="38">
        <v>799230</v>
      </c>
      <c r="L1509" s="192" t="s">
        <v>258</v>
      </c>
      <c r="M1509" s="192" t="s">
        <v>367</v>
      </c>
      <c r="N1509" s="52" t="str">
        <f>IF(AND('331-CT'!$E$7=TH!H1509,OR(L1509="331",M1509="331")),"331",IF(AND(OR(L1509="131",M1509="131"),H1509='131-CT'!$E$7),"131",""))</f>
        <v/>
      </c>
      <c r="O1509" s="818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52"/>
      <c r="AB1509" s="552"/>
    </row>
    <row r="1510" spans="1:29" s="209" customFormat="1" ht="15.75" customHeight="1">
      <c r="A1510" s="202" t="str">
        <f>IF(B1510&lt;&gt;"",IF(AND(B1510&gt;=_TM1,B1510&lt;=_TM2,OR(TH!L1510="1111",TH!M1510="1111")),TH!D1510,""),"")</f>
        <v/>
      </c>
      <c r="B1510" s="36">
        <f t="shared" si="70"/>
        <v>10</v>
      </c>
      <c r="C1510" s="182">
        <f t="shared" si="69"/>
        <v>42654</v>
      </c>
      <c r="D1510" s="182" t="s">
        <v>665</v>
      </c>
      <c r="E1510" s="189">
        <v>42654</v>
      </c>
      <c r="F1510" s="190" t="s">
        <v>666</v>
      </c>
      <c r="G1510" s="190" t="s">
        <v>330</v>
      </c>
      <c r="H1510" s="7" t="s">
        <v>797</v>
      </c>
      <c r="I1510" s="251"/>
      <c r="J1510" s="251"/>
      <c r="K1510" s="560">
        <v>3300000</v>
      </c>
      <c r="L1510" s="192" t="s">
        <v>24</v>
      </c>
      <c r="M1510" s="192" t="s">
        <v>258</v>
      </c>
      <c r="N1510" s="52" t="str">
        <f>IF(AND('331-CT'!$E$7=TH!H1510,OR(L1510="331",M1510="331")),"331",IF(AND(OR(L1510="131",M1510="131"),H1510='131-CT'!$E$7),"131",""))</f>
        <v/>
      </c>
      <c r="O1510" s="818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53"/>
      <c r="AB1510" s="552"/>
    </row>
    <row r="1511" spans="1:29" s="209" customFormat="1" ht="15.75" customHeight="1">
      <c r="A1511" s="202" t="str">
        <f>IF(B1511&lt;&gt;"",IF(AND(B1511&gt;=_TM1,B1511&lt;=_TM2,OR(TH!L1511="1111",TH!M1511="1111")),TH!D1511,""),"")</f>
        <v/>
      </c>
      <c r="B1511" s="36">
        <f t="shared" si="70"/>
        <v>10</v>
      </c>
      <c r="C1511" s="182">
        <f t="shared" si="69"/>
        <v>42654</v>
      </c>
      <c r="D1511" s="182" t="s">
        <v>669</v>
      </c>
      <c r="E1511" s="189">
        <v>42654</v>
      </c>
      <c r="F1511" s="187" t="s">
        <v>1290</v>
      </c>
      <c r="G1511" s="190" t="s">
        <v>1287</v>
      </c>
      <c r="H1511" s="191" t="s">
        <v>1460</v>
      </c>
      <c r="I1511" s="251"/>
      <c r="J1511" s="251"/>
      <c r="K1511" s="560">
        <v>50000000</v>
      </c>
      <c r="L1511" s="561" t="s">
        <v>24</v>
      </c>
      <c r="M1511" s="561" t="s">
        <v>759</v>
      </c>
      <c r="N1511" s="52" t="str">
        <f>IF(AND('331-CT'!$E$7=TH!H1511,OR(L1511="331",M1511="331")),"331",IF(AND(OR(L1511="131",M1511="131"),H1511='131-CT'!$E$7),"131",""))</f>
        <v/>
      </c>
      <c r="O1511" s="818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>x</v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53"/>
      <c r="AB1511" s="552"/>
      <c r="AC1511" s="552"/>
    </row>
    <row r="1512" spans="1:29" s="209" customFormat="1" ht="15.75" customHeight="1">
      <c r="A1512" s="202" t="str">
        <f>IF(B1512&lt;&gt;"",IF(AND(B1512&gt;=_TM1,B1512&lt;=_TM2,OR(TH!L1512="1111",TH!M1512="1111")),TH!D1512,""),"")</f>
        <v/>
      </c>
      <c r="B1512" s="36">
        <f t="shared" si="70"/>
        <v>10</v>
      </c>
      <c r="C1512" s="182">
        <f t="shared" si="69"/>
        <v>42654</v>
      </c>
      <c r="D1512" s="182" t="s">
        <v>669</v>
      </c>
      <c r="E1512" s="189">
        <v>42654</v>
      </c>
      <c r="F1512" s="187" t="s">
        <v>671</v>
      </c>
      <c r="G1512" s="190" t="s">
        <v>1287</v>
      </c>
      <c r="H1512" s="7" t="s">
        <v>834</v>
      </c>
      <c r="I1512" s="251"/>
      <c r="J1512" s="251"/>
      <c r="K1512" s="560">
        <v>50000000</v>
      </c>
      <c r="L1512" s="561" t="s">
        <v>8</v>
      </c>
      <c r="M1512" s="561" t="s">
        <v>24</v>
      </c>
      <c r="N1512" s="52" t="str">
        <f>IF(AND('331-CT'!$E$7=TH!H1512,OR(L1512="331",M1512="331")),"331",IF(AND(OR(L1512="131",M1512="131"),H1512='131-CT'!$E$7),"131",""))</f>
        <v/>
      </c>
      <c r="O1512" s="818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>x</v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53"/>
      <c r="AB1512" s="552"/>
      <c r="AC1512" s="552"/>
    </row>
    <row r="1513" spans="1:29" s="209" customFormat="1" ht="15.75" customHeight="1">
      <c r="A1513" s="202" t="str">
        <f>IF(B1513&lt;&gt;"",IF(AND(B1513&gt;=_TM1,B1513&lt;=_TM2,OR(TH!L1513="1111",TH!M1513="1111")),TH!D1513,""),"")</f>
        <v/>
      </c>
      <c r="B1513" s="36">
        <f t="shared" si="70"/>
        <v>10</v>
      </c>
      <c r="C1513" s="182">
        <f t="shared" si="69"/>
        <v>42654</v>
      </c>
      <c r="D1513" s="182" t="s">
        <v>669</v>
      </c>
      <c r="E1513" s="189">
        <v>42654</v>
      </c>
      <c r="F1513" s="187" t="s">
        <v>672</v>
      </c>
      <c r="G1513" s="190" t="s">
        <v>1287</v>
      </c>
      <c r="H1513" s="191"/>
      <c r="I1513" s="251"/>
      <c r="J1513" s="251"/>
      <c r="K1513" s="560">
        <v>15000</v>
      </c>
      <c r="L1513" s="561" t="s">
        <v>83</v>
      </c>
      <c r="M1513" s="561" t="s">
        <v>24</v>
      </c>
      <c r="N1513" s="52" t="str">
        <f>IF(AND('331-CT'!$E$7=TH!H1513,OR(L1513="331",M1513="331")),"331",IF(AND(OR(L1513="131",M1513="131"),H1513='131-CT'!$E$7),"131",""))</f>
        <v/>
      </c>
      <c r="O1513" s="818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>x</v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>x</v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53">
        <v>4</v>
      </c>
      <c r="AB1513" s="552"/>
      <c r="AC1513" s="552"/>
    </row>
    <row r="1514" spans="1:29" s="209" customFormat="1" ht="15.75" customHeight="1">
      <c r="A1514" s="202" t="str">
        <f>IF(B1514&lt;&gt;"",IF(AND(B1514&gt;=_TM1,B1514&lt;=_TM2,OR(TH!L1514="1111",TH!M1514="1111")),TH!D1514,""),"")</f>
        <v/>
      </c>
      <c r="B1514" s="36">
        <f t="shared" si="70"/>
        <v>10</v>
      </c>
      <c r="C1514" s="182">
        <f t="shared" si="69"/>
        <v>42654</v>
      </c>
      <c r="D1514" s="182" t="s">
        <v>669</v>
      </c>
      <c r="E1514" s="189">
        <v>42654</v>
      </c>
      <c r="F1514" s="190" t="s">
        <v>762</v>
      </c>
      <c r="G1514" s="190" t="s">
        <v>1287</v>
      </c>
      <c r="H1514" s="191"/>
      <c r="I1514" s="251"/>
      <c r="J1514" s="251"/>
      <c r="K1514" s="560">
        <v>1500</v>
      </c>
      <c r="L1514" s="192" t="s">
        <v>9</v>
      </c>
      <c r="M1514" s="561" t="s">
        <v>24</v>
      </c>
      <c r="N1514" s="52" t="str">
        <f>IF(AND('331-CT'!$E$7=TH!H1514,OR(L1514="331",M1514="331")),"331",IF(AND(OR(L1514="131",M1514="131"),H1514='131-CT'!$E$7),"131",""))</f>
        <v/>
      </c>
      <c r="O1514" s="818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>x</v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53">
        <v>4</v>
      </c>
      <c r="AB1514" s="552"/>
      <c r="AC1514" s="552"/>
    </row>
    <row r="1515" spans="1:29" s="209" customFormat="1" ht="15.75" customHeight="1">
      <c r="A1515" s="202" t="str">
        <f>IF(B1515&lt;&gt;"",IF(AND(B1515&gt;=_TM1,B1515&lt;=_TM2,OR(TH!L1515="1111",TH!M1515="1111")),TH!D1515,""),"")</f>
        <v/>
      </c>
      <c r="B1515" s="36">
        <f t="shared" si="70"/>
        <v>10</v>
      </c>
      <c r="C1515" s="182">
        <f t="shared" si="69"/>
        <v>42655</v>
      </c>
      <c r="D1515" s="182" t="s">
        <v>665</v>
      </c>
      <c r="E1515" s="189">
        <v>42655</v>
      </c>
      <c r="F1515" s="190" t="s">
        <v>666</v>
      </c>
      <c r="G1515" s="190" t="s">
        <v>330</v>
      </c>
      <c r="H1515" s="7" t="s">
        <v>615</v>
      </c>
      <c r="I1515" s="251"/>
      <c r="J1515" s="251"/>
      <c r="K1515" s="560">
        <v>23294700</v>
      </c>
      <c r="L1515" s="192" t="s">
        <v>24</v>
      </c>
      <c r="M1515" s="192" t="s">
        <v>258</v>
      </c>
      <c r="N1515" s="52" t="str">
        <f>IF(AND('331-CT'!$E$7=TH!H1515,OR(L1515="331",M1515="331")),"331",IF(AND(OR(L1515="131",M1515="131"),H1515='131-CT'!$E$7),"131",""))</f>
        <v/>
      </c>
      <c r="O1515" s="818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53"/>
      <c r="AB1515" s="552"/>
      <c r="AC1515" s="552"/>
    </row>
    <row r="1516" spans="1:29" s="209" customFormat="1" ht="15.75" customHeight="1">
      <c r="A1516" s="202" t="str">
        <f>IF(B1516&lt;&gt;"",IF(AND(B1516&gt;=_TM1,B1516&lt;=_TM2,OR(TH!L1516="1111",TH!M1516="1111")),TH!D1516,""),"")</f>
        <v>C03</v>
      </c>
      <c r="B1516" s="36">
        <f t="shared" si="70"/>
        <v>10</v>
      </c>
      <c r="C1516" s="182">
        <f t="shared" si="69"/>
        <v>42655</v>
      </c>
      <c r="D1516" s="182" t="s">
        <v>1624</v>
      </c>
      <c r="E1516" s="189">
        <v>42655</v>
      </c>
      <c r="F1516" s="190" t="s">
        <v>754</v>
      </c>
      <c r="G1516" s="190" t="s">
        <v>330</v>
      </c>
      <c r="H1516" s="7" t="s">
        <v>782</v>
      </c>
      <c r="I1516" s="251"/>
      <c r="J1516" s="251"/>
      <c r="K1516" s="560">
        <v>23500000</v>
      </c>
      <c r="L1516" s="192" t="s">
        <v>24</v>
      </c>
      <c r="M1516" s="192" t="s">
        <v>47</v>
      </c>
      <c r="N1516" s="52" t="str">
        <f>IF(AND('331-CT'!$E$7=TH!H1516,OR(L1516="331",M1516="331")),"331",IF(AND(OR(L1516="131",M1516="131"),H1516='131-CT'!$E$7),"131",""))</f>
        <v/>
      </c>
      <c r="O1516" s="818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53"/>
      <c r="AB1516" s="552"/>
    </row>
    <row r="1517" spans="1:29" s="209" customFormat="1" ht="15.75" customHeight="1">
      <c r="A1517" s="202" t="str">
        <f>IF(B1517&lt;&gt;"",IF(AND(B1517&gt;=_TM1,B1517&lt;=_TM2,OR(TH!L1517="1111",TH!M1517="1111")),TH!D1517,""),"")</f>
        <v/>
      </c>
      <c r="B1517" s="36">
        <f t="shared" si="70"/>
        <v>10</v>
      </c>
      <c r="C1517" s="182">
        <f t="shared" si="69"/>
        <v>42655</v>
      </c>
      <c r="D1517" s="182" t="s">
        <v>665</v>
      </c>
      <c r="E1517" s="189">
        <v>42655</v>
      </c>
      <c r="F1517" s="190" t="s">
        <v>666</v>
      </c>
      <c r="G1517" s="190" t="s">
        <v>330</v>
      </c>
      <c r="H1517" s="7" t="s">
        <v>780</v>
      </c>
      <c r="I1517" s="251"/>
      <c r="J1517" s="251"/>
      <c r="K1517" s="560">
        <v>7568990</v>
      </c>
      <c r="L1517" s="192" t="s">
        <v>24</v>
      </c>
      <c r="M1517" s="192" t="s">
        <v>258</v>
      </c>
      <c r="N1517" s="52" t="str">
        <f>IF(AND('331-CT'!$E$7=TH!H1517,OR(L1517="331",M1517="331")),"331",IF(AND(OR(L1517="131",M1517="131"),H1517='131-CT'!$E$7),"131",""))</f>
        <v/>
      </c>
      <c r="O1517" s="818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53"/>
      <c r="AB1517" s="552"/>
    </row>
    <row r="1518" spans="1:29" s="209" customFormat="1" ht="15.75" customHeight="1">
      <c r="A1518" s="202" t="str">
        <f>IF(B1518&lt;&gt;"",IF(AND(B1518&gt;=_TM1,B1518&lt;=_TM2,OR(TH!L1518="1111",TH!M1518="1111")),TH!D1518,""),"")</f>
        <v/>
      </c>
      <c r="B1518" s="36">
        <f t="shared" si="70"/>
        <v>10</v>
      </c>
      <c r="C1518" s="182">
        <f t="shared" si="69"/>
        <v>42655</v>
      </c>
      <c r="D1518" s="182" t="s">
        <v>669</v>
      </c>
      <c r="E1518" s="189">
        <v>42655</v>
      </c>
      <c r="F1518" s="190" t="s">
        <v>671</v>
      </c>
      <c r="G1518" s="190" t="s">
        <v>330</v>
      </c>
      <c r="H1518" s="191"/>
      <c r="I1518" s="251"/>
      <c r="J1518" s="251"/>
      <c r="K1518" s="560">
        <v>50000000</v>
      </c>
      <c r="L1518" s="192" t="s">
        <v>8</v>
      </c>
      <c r="M1518" s="561" t="s">
        <v>24</v>
      </c>
      <c r="N1518" s="52" t="str">
        <f>IF(AND('331-CT'!$E$7=TH!H1518,OR(L1518="331",M1518="331")),"331",IF(AND(OR(L1518="131",M1518="131"),H1518='131-CT'!$E$7),"131",""))</f>
        <v/>
      </c>
      <c r="O1518" s="818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53"/>
      <c r="AB1518" s="552"/>
      <c r="AC1518" s="552"/>
    </row>
    <row r="1519" spans="1:29" s="209" customFormat="1" ht="15.75" customHeight="1">
      <c r="A1519" s="202" t="str">
        <f>IF(B1519&lt;&gt;"",IF(AND(B1519&gt;=_TM1,B1519&lt;=_TM2,OR(TH!L1519="1111",TH!M1519="1111")),TH!D1519,""),"")</f>
        <v/>
      </c>
      <c r="B1519" s="36">
        <f t="shared" si="70"/>
        <v>10</v>
      </c>
      <c r="C1519" s="182">
        <f t="shared" si="69"/>
        <v>42655</v>
      </c>
      <c r="D1519" s="182" t="s">
        <v>669</v>
      </c>
      <c r="E1519" s="189">
        <v>42655</v>
      </c>
      <c r="F1519" s="190" t="s">
        <v>674</v>
      </c>
      <c r="G1519" s="190" t="s">
        <v>330</v>
      </c>
      <c r="H1519" s="7"/>
      <c r="I1519" s="251"/>
      <c r="J1519" s="251"/>
      <c r="K1519" s="560">
        <v>13636</v>
      </c>
      <c r="L1519" s="561" t="s">
        <v>83</v>
      </c>
      <c r="M1519" s="561" t="s">
        <v>24</v>
      </c>
      <c r="N1519" s="52" t="str">
        <f>IF(AND('331-CT'!$E$7=TH!H1519,OR(L1519="331",M1519="331")),"331",IF(AND(OR(L1519="131",M1519="131"),H1519='131-CT'!$E$7),"131",""))</f>
        <v/>
      </c>
      <c r="O1519" s="818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>x</v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52">
        <v>4</v>
      </c>
      <c r="AB1519" s="552"/>
    </row>
    <row r="1520" spans="1:29" s="209" customFormat="1" ht="15.75" customHeight="1">
      <c r="A1520" s="202" t="str">
        <f>IF(B1520&lt;&gt;"",IF(AND(B1520&gt;=_TM1,B1520&lt;=_TM2,OR(TH!L1520="1111",TH!M1520="1111")),TH!D1520,""),"")</f>
        <v/>
      </c>
      <c r="B1520" s="36">
        <f t="shared" si="70"/>
        <v>10</v>
      </c>
      <c r="C1520" s="182">
        <f t="shared" si="69"/>
        <v>42655</v>
      </c>
      <c r="D1520" s="182" t="s">
        <v>669</v>
      </c>
      <c r="E1520" s="189">
        <v>42655</v>
      </c>
      <c r="F1520" s="190" t="s">
        <v>794</v>
      </c>
      <c r="G1520" s="190" t="s">
        <v>330</v>
      </c>
      <c r="H1520" s="7"/>
      <c r="I1520" s="251"/>
      <c r="J1520" s="251"/>
      <c r="K1520" s="560">
        <v>1364</v>
      </c>
      <c r="L1520" s="192" t="s">
        <v>9</v>
      </c>
      <c r="M1520" s="561" t="s">
        <v>24</v>
      </c>
      <c r="N1520" s="52" t="str">
        <f>IF(AND('331-CT'!$E$7=TH!H1520,OR(L1520="331",M1520="331")),"331",IF(AND(OR(L1520="131",M1520="131"),H1520='131-CT'!$E$7),"131",""))</f>
        <v/>
      </c>
      <c r="O1520" s="818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52">
        <v>4</v>
      </c>
      <c r="AB1520" s="552"/>
      <c r="AC1520" s="552"/>
    </row>
    <row r="1521" spans="1:29" s="209" customFormat="1" ht="15.75" customHeight="1">
      <c r="A1521" s="202" t="str">
        <f>IF(B1521&lt;&gt;"",IF(AND(B1521&gt;=_TM1,B1521&lt;=_TM2,OR(TH!L1521="1111",TH!M1521="1111")),TH!D1521,""),"")</f>
        <v/>
      </c>
      <c r="B1521" s="36">
        <f t="shared" si="70"/>
        <v>10</v>
      </c>
      <c r="C1521" s="182">
        <f t="shared" si="69"/>
        <v>42655</v>
      </c>
      <c r="D1521" s="182" t="s">
        <v>1081</v>
      </c>
      <c r="E1521" s="37">
        <v>42655</v>
      </c>
      <c r="F1521" s="40" t="s">
        <v>418</v>
      </c>
      <c r="G1521" s="451" t="s">
        <v>1311</v>
      </c>
      <c r="H1521" s="208" t="s">
        <v>527</v>
      </c>
      <c r="I1521" s="251">
        <v>150</v>
      </c>
      <c r="J1521" s="251">
        <v>47449</v>
      </c>
      <c r="K1521" s="38">
        <f>ROUND(I1521*J1521,0)</f>
        <v>7117350</v>
      </c>
      <c r="L1521" s="192" t="s">
        <v>258</v>
      </c>
      <c r="M1521" s="192" t="s">
        <v>173</v>
      </c>
      <c r="N1521" s="52" t="str">
        <f>IF(AND('331-CT'!$E$7=TH!H1521,OR(L1521="331",M1521="331")),"331",IF(AND(OR(L1521="131",M1521="131"),H1521='131-CT'!$E$7),"131",""))</f>
        <v/>
      </c>
      <c r="O1521" s="818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52"/>
      <c r="AB1521" s="552"/>
      <c r="AC1521" s="552"/>
    </row>
    <row r="1522" spans="1:29" s="209" customFormat="1" ht="15.75" customHeight="1">
      <c r="A1522" s="202" t="str">
        <f>IF(B1522&lt;&gt;"",IF(AND(B1522&gt;=_TM1,B1522&lt;=_TM2,OR(TH!L1522="1111",TH!M1522="1111")),TH!D1522,""),"")</f>
        <v/>
      </c>
      <c r="B1522" s="36">
        <f t="shared" si="70"/>
        <v>10</v>
      </c>
      <c r="C1522" s="182">
        <f t="shared" si="69"/>
        <v>42655</v>
      </c>
      <c r="D1522" s="182" t="s">
        <v>1081</v>
      </c>
      <c r="E1522" s="37">
        <v>42655</v>
      </c>
      <c r="F1522" s="40" t="s">
        <v>1254</v>
      </c>
      <c r="G1522" s="451" t="s">
        <v>1311</v>
      </c>
      <c r="H1522" s="208" t="s">
        <v>527</v>
      </c>
      <c r="I1522" s="251"/>
      <c r="J1522" s="251"/>
      <c r="K1522" s="38">
        <v>711735</v>
      </c>
      <c r="L1522" s="192" t="s">
        <v>258</v>
      </c>
      <c r="M1522" s="192" t="s">
        <v>367</v>
      </c>
      <c r="N1522" s="52" t="str">
        <f>IF(AND('331-CT'!$E$7=TH!H1522,OR(L1522="331",M1522="331")),"331",IF(AND(OR(L1522="131",M1522="131"),H1522='131-CT'!$E$7),"131",""))</f>
        <v/>
      </c>
      <c r="O1522" s="818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52"/>
      <c r="AB1522" s="552"/>
    </row>
    <row r="1523" spans="1:29" s="209" customFormat="1" ht="15.75" customHeight="1">
      <c r="A1523" s="202" t="str">
        <f>IF(B1523&lt;&gt;"",IF(AND(B1523&gt;=_TM1,B1523&lt;=_TM2,OR(TH!L1523="1111",TH!M1523="1111")),TH!D1523,""),"")</f>
        <v/>
      </c>
      <c r="B1523" s="36">
        <f t="shared" si="70"/>
        <v>10</v>
      </c>
      <c r="C1523" s="182">
        <f t="shared" si="69"/>
        <v>42656</v>
      </c>
      <c r="D1523" s="182" t="s">
        <v>665</v>
      </c>
      <c r="E1523" s="189">
        <v>42656</v>
      </c>
      <c r="F1523" s="190" t="s">
        <v>666</v>
      </c>
      <c r="G1523" s="190" t="s">
        <v>330</v>
      </c>
      <c r="H1523" s="7" t="s">
        <v>391</v>
      </c>
      <c r="I1523" s="251"/>
      <c r="J1523" s="251"/>
      <c r="K1523" s="560">
        <v>5093000</v>
      </c>
      <c r="L1523" s="192" t="s">
        <v>24</v>
      </c>
      <c r="M1523" s="192" t="s">
        <v>258</v>
      </c>
      <c r="N1523" s="52" t="str">
        <f>IF(AND('331-CT'!$E$7=TH!H1523,OR(L1523="331",M1523="331")),"331",IF(AND(OR(L1523="131",M1523="131"),H1523='131-CT'!$E$7),"131",""))</f>
        <v/>
      </c>
      <c r="O1523" s="818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53"/>
      <c r="AB1523" s="552"/>
      <c r="AC1523" s="552"/>
    </row>
    <row r="1524" spans="1:29" s="209" customFormat="1" ht="15.75" customHeight="1">
      <c r="A1524" s="202" t="str">
        <f>IF(B1524&lt;&gt;"",IF(AND(B1524&gt;=_TM1,B1524&lt;=_TM2,OR(TH!L1524="1111",TH!M1524="1111")),TH!D1524,""),"")</f>
        <v/>
      </c>
      <c r="B1524" s="36">
        <f t="shared" si="70"/>
        <v>10</v>
      </c>
      <c r="C1524" s="182">
        <f t="shared" si="69"/>
        <v>42656</v>
      </c>
      <c r="D1524" s="182" t="s">
        <v>665</v>
      </c>
      <c r="E1524" s="189">
        <v>42656</v>
      </c>
      <c r="F1524" s="190" t="s">
        <v>666</v>
      </c>
      <c r="G1524" s="190" t="s">
        <v>330</v>
      </c>
      <c r="H1524" s="7" t="s">
        <v>391</v>
      </c>
      <c r="I1524" s="251"/>
      <c r="J1524" s="251"/>
      <c r="K1524" s="560">
        <v>8791530</v>
      </c>
      <c r="L1524" s="192" t="s">
        <v>24</v>
      </c>
      <c r="M1524" s="192" t="s">
        <v>258</v>
      </c>
      <c r="N1524" s="52" t="str">
        <f>IF(AND('331-CT'!$E$7=TH!H1524,OR(L1524="331",M1524="331")),"331",IF(AND(OR(L1524="131",M1524="131"),H1524='131-CT'!$E$7),"131",""))</f>
        <v/>
      </c>
      <c r="O1524" s="818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53"/>
      <c r="AB1524" s="552"/>
    </row>
    <row r="1525" spans="1:29" s="209" customFormat="1" ht="15.75" customHeight="1">
      <c r="A1525" s="202" t="str">
        <f>IF(B1525&lt;&gt;"",IF(AND(B1525&gt;=_TM1,B1525&lt;=_TM2,OR(TH!L1525="1111",TH!M1525="1111")),TH!D1525,""),"")</f>
        <v/>
      </c>
      <c r="B1525" s="36">
        <f t="shared" si="70"/>
        <v>10</v>
      </c>
      <c r="C1525" s="182">
        <f t="shared" si="69"/>
        <v>42656</v>
      </c>
      <c r="D1525" s="182" t="s">
        <v>669</v>
      </c>
      <c r="E1525" s="189">
        <v>42656</v>
      </c>
      <c r="F1525" s="190" t="s">
        <v>671</v>
      </c>
      <c r="G1525" s="190" t="s">
        <v>330</v>
      </c>
      <c r="H1525" s="7" t="s">
        <v>1453</v>
      </c>
      <c r="I1525" s="251"/>
      <c r="J1525" s="251"/>
      <c r="K1525" s="560">
        <v>5000000</v>
      </c>
      <c r="L1525" s="192" t="s">
        <v>8</v>
      </c>
      <c r="M1525" s="561" t="s">
        <v>24</v>
      </c>
      <c r="N1525" s="52" t="str">
        <f>IF(AND('331-CT'!$E$7=TH!H1525,OR(L1525="331",M1525="331")),"331",IF(AND(OR(L1525="131",M1525="131"),H1525='131-CT'!$E$7),"131",""))</f>
        <v/>
      </c>
      <c r="O1525" s="818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53"/>
      <c r="AB1525" s="552"/>
    </row>
    <row r="1526" spans="1:29" s="209" customFormat="1" ht="15.75" customHeight="1">
      <c r="A1526" s="202" t="str">
        <f>IF(B1526&lt;&gt;"",IF(AND(B1526&gt;=_TM1,B1526&lt;=_TM2,OR(TH!L1526="1111",TH!M1526="1111")),TH!D1526,""),"")</f>
        <v/>
      </c>
      <c r="B1526" s="36">
        <f t="shared" si="70"/>
        <v>10</v>
      </c>
      <c r="C1526" s="182">
        <f t="shared" si="69"/>
        <v>42656</v>
      </c>
      <c r="D1526" s="182" t="s">
        <v>669</v>
      </c>
      <c r="E1526" s="189">
        <v>42656</v>
      </c>
      <c r="F1526" s="187" t="s">
        <v>672</v>
      </c>
      <c r="G1526" s="190" t="s">
        <v>330</v>
      </c>
      <c r="H1526" s="191"/>
      <c r="I1526" s="251"/>
      <c r="J1526" s="251"/>
      <c r="K1526" s="560">
        <v>9091</v>
      </c>
      <c r="L1526" s="561" t="s">
        <v>83</v>
      </c>
      <c r="M1526" s="561" t="s">
        <v>24</v>
      </c>
      <c r="N1526" s="52" t="str">
        <f>IF(AND('331-CT'!$E$7=TH!H1526,OR(L1526="331",M1526="331")),"331",IF(AND(OR(L1526="131",M1526="131"),H1526='131-CT'!$E$7),"131",""))</f>
        <v/>
      </c>
      <c r="O1526" s="818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>x</v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52">
        <v>4</v>
      </c>
      <c r="AB1526" s="552"/>
      <c r="AC1526" s="552"/>
    </row>
    <row r="1527" spans="1:29" s="209" customFormat="1" ht="15.75" customHeight="1">
      <c r="A1527" s="202" t="str">
        <f>IF(B1527&lt;&gt;"",IF(AND(B1527&gt;=_TM1,B1527&lt;=_TM2,OR(TH!L1527="1111",TH!M1527="1111")),TH!D1527,""),"")</f>
        <v/>
      </c>
      <c r="B1527" s="36">
        <f t="shared" si="70"/>
        <v>10</v>
      </c>
      <c r="C1527" s="182">
        <f t="shared" si="69"/>
        <v>42656</v>
      </c>
      <c r="D1527" s="182" t="s">
        <v>669</v>
      </c>
      <c r="E1527" s="189">
        <v>42656</v>
      </c>
      <c r="F1527" s="187" t="s">
        <v>762</v>
      </c>
      <c r="G1527" s="190" t="s">
        <v>330</v>
      </c>
      <c r="H1527" s="191"/>
      <c r="I1527" s="251"/>
      <c r="J1527" s="251"/>
      <c r="K1527" s="560">
        <v>909</v>
      </c>
      <c r="L1527" s="192" t="s">
        <v>9</v>
      </c>
      <c r="M1527" s="561" t="s">
        <v>24</v>
      </c>
      <c r="N1527" s="52" t="str">
        <f>IF(AND('331-CT'!$E$7=TH!H1527,OR(L1527="331",M1527="331")),"331",IF(AND(OR(L1527="131",M1527="131"),H1527='131-CT'!$E$7),"131",""))</f>
        <v/>
      </c>
      <c r="O1527" s="818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52">
        <v>4</v>
      </c>
      <c r="AB1527" s="552"/>
      <c r="AC1527" s="552"/>
    </row>
    <row r="1528" spans="1:29" s="209" customFormat="1" ht="15.75" customHeight="1">
      <c r="A1528" s="202" t="str">
        <f>IF(B1528&lt;&gt;"",IF(AND(B1528&gt;=_TM1,B1528&lt;=_TM2,OR(TH!L1528="1111",TH!M1528="1111")),TH!D1528,""),"")</f>
        <v/>
      </c>
      <c r="B1528" s="36">
        <f t="shared" si="70"/>
        <v>10</v>
      </c>
      <c r="C1528" s="182">
        <f t="shared" si="69"/>
        <v>42656</v>
      </c>
      <c r="D1528" s="182" t="s">
        <v>669</v>
      </c>
      <c r="E1528" s="189">
        <v>42656</v>
      </c>
      <c r="F1528" s="190" t="s">
        <v>671</v>
      </c>
      <c r="G1528" s="190" t="s">
        <v>330</v>
      </c>
      <c r="H1528" s="7" t="s">
        <v>1455</v>
      </c>
      <c r="I1528" s="251"/>
      <c r="J1528" s="251"/>
      <c r="K1528" s="560">
        <v>11000000</v>
      </c>
      <c r="L1528" s="192" t="s">
        <v>8</v>
      </c>
      <c r="M1528" s="561" t="s">
        <v>24</v>
      </c>
      <c r="N1528" s="52" t="str">
        <f>IF(AND('331-CT'!$E$7=TH!H1528,OR(L1528="331",M1528="331")),"331",IF(AND(OR(L1528="131",M1528="131"),H1528='131-CT'!$E$7),"131",""))</f>
        <v/>
      </c>
      <c r="O1528" s="818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53"/>
      <c r="AB1528" s="552"/>
    </row>
    <row r="1529" spans="1:29" s="209" customFormat="1" ht="15.75" customHeight="1">
      <c r="A1529" s="202" t="str">
        <f>IF(B1529&lt;&gt;"",IF(AND(B1529&gt;=_TM1,B1529&lt;=_TM2,OR(TH!L1529="1111",TH!M1529="1111")),TH!D1529,""),"")</f>
        <v/>
      </c>
      <c r="B1529" s="36">
        <f t="shared" si="70"/>
        <v>10</v>
      </c>
      <c r="C1529" s="182">
        <f t="shared" si="69"/>
        <v>42656</v>
      </c>
      <c r="D1529" s="182" t="s">
        <v>669</v>
      </c>
      <c r="E1529" s="189">
        <v>42656</v>
      </c>
      <c r="F1529" s="187" t="s">
        <v>672</v>
      </c>
      <c r="G1529" s="190" t="s">
        <v>330</v>
      </c>
      <c r="H1529" s="7"/>
      <c r="I1529" s="251"/>
      <c r="J1529" s="251"/>
      <c r="K1529" s="560">
        <v>18182</v>
      </c>
      <c r="L1529" s="561" t="s">
        <v>83</v>
      </c>
      <c r="M1529" s="561" t="s">
        <v>24</v>
      </c>
      <c r="N1529" s="52" t="str">
        <f>IF(AND('331-CT'!$E$7=TH!H1529,OR(L1529="331",M1529="331")),"331",IF(AND(OR(L1529="131",M1529="131"),H1529='131-CT'!$E$7),"131",""))</f>
        <v/>
      </c>
      <c r="O1529" s="818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>x</v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52">
        <v>4</v>
      </c>
      <c r="AB1529" s="552"/>
      <c r="AC1529" s="552"/>
    </row>
    <row r="1530" spans="1:29" s="209" customFormat="1" ht="15.75" customHeight="1">
      <c r="A1530" s="202" t="str">
        <f>IF(B1530&lt;&gt;"",IF(AND(B1530&gt;=_TM1,B1530&lt;=_TM2,OR(TH!L1530="1111",TH!M1530="1111")),TH!D1530,""),"")</f>
        <v/>
      </c>
      <c r="B1530" s="36">
        <f t="shared" si="70"/>
        <v>10</v>
      </c>
      <c r="C1530" s="182">
        <f t="shared" si="69"/>
        <v>42656</v>
      </c>
      <c r="D1530" s="182" t="s">
        <v>669</v>
      </c>
      <c r="E1530" s="189">
        <v>42656</v>
      </c>
      <c r="F1530" s="187" t="s">
        <v>762</v>
      </c>
      <c r="G1530" s="190" t="s">
        <v>330</v>
      </c>
      <c r="H1530" s="7"/>
      <c r="I1530" s="251"/>
      <c r="J1530" s="251"/>
      <c r="K1530" s="560">
        <v>1818</v>
      </c>
      <c r="L1530" s="192" t="s">
        <v>9</v>
      </c>
      <c r="M1530" s="561" t="s">
        <v>24</v>
      </c>
      <c r="N1530" s="52" t="str">
        <f>IF(AND('331-CT'!$E$7=TH!H1530,OR(L1530="331",M1530="331")),"331",IF(AND(OR(L1530="131",M1530="131"),H1530='131-CT'!$E$7),"131",""))</f>
        <v/>
      </c>
      <c r="O1530" s="818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52">
        <v>4</v>
      </c>
      <c r="AB1530" s="552"/>
    </row>
    <row r="1531" spans="1:29" s="209" customFormat="1" ht="15.75" customHeight="1">
      <c r="A1531" s="202" t="str">
        <f>IF(B1531&lt;&gt;"",IF(AND(B1531&gt;=_TM1,B1531&lt;=_TM2,OR(TH!L1531="1111",TH!M1531="1111")),TH!D1531,""),"")</f>
        <v/>
      </c>
      <c r="B1531" s="36">
        <f t="shared" si="70"/>
        <v>10</v>
      </c>
      <c r="C1531" s="182">
        <f t="shared" si="69"/>
        <v>42656</v>
      </c>
      <c r="D1531" s="182" t="s">
        <v>669</v>
      </c>
      <c r="E1531" s="189">
        <v>42656</v>
      </c>
      <c r="F1531" s="190" t="s">
        <v>671</v>
      </c>
      <c r="G1531" s="190" t="s">
        <v>330</v>
      </c>
      <c r="H1531" s="7" t="s">
        <v>1452</v>
      </c>
      <c r="I1531" s="251"/>
      <c r="J1531" s="251"/>
      <c r="K1531" s="560">
        <v>5000000</v>
      </c>
      <c r="L1531" s="192" t="s">
        <v>8</v>
      </c>
      <c r="M1531" s="561" t="s">
        <v>24</v>
      </c>
      <c r="N1531" s="52" t="str">
        <f>IF(AND('331-CT'!$E$7=TH!H1531,OR(L1531="331",M1531="331")),"331",IF(AND(OR(L1531="131",M1531="131"),H1531='131-CT'!$E$7),"131",""))</f>
        <v/>
      </c>
      <c r="O1531" s="818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53"/>
      <c r="AB1531" s="552"/>
      <c r="AC1531" s="552"/>
    </row>
    <row r="1532" spans="1:29" s="209" customFormat="1" ht="15.75" customHeight="1">
      <c r="A1532" s="202" t="str">
        <f>IF(B1532&lt;&gt;"",IF(AND(B1532&gt;=_TM1,B1532&lt;=_TM2,OR(TH!L1532="1111",TH!M1532="1111")),TH!D1532,""),"")</f>
        <v/>
      </c>
      <c r="B1532" s="36">
        <f t="shared" si="70"/>
        <v>10</v>
      </c>
      <c r="C1532" s="182">
        <f t="shared" si="69"/>
        <v>42656</v>
      </c>
      <c r="D1532" s="182" t="s">
        <v>669</v>
      </c>
      <c r="E1532" s="189">
        <v>42656</v>
      </c>
      <c r="F1532" s="187" t="s">
        <v>672</v>
      </c>
      <c r="G1532" s="190" t="s">
        <v>330</v>
      </c>
      <c r="H1532" s="7"/>
      <c r="I1532" s="251"/>
      <c r="J1532" s="251"/>
      <c r="K1532" s="560">
        <v>13636</v>
      </c>
      <c r="L1532" s="561" t="s">
        <v>83</v>
      </c>
      <c r="M1532" s="561" t="s">
        <v>24</v>
      </c>
      <c r="N1532" s="52" t="str">
        <f>IF(AND('331-CT'!$E$7=TH!H1532,OR(L1532="331",M1532="331")),"331",IF(AND(OR(L1532="131",M1532="131"),H1532='131-CT'!$E$7),"131",""))</f>
        <v/>
      </c>
      <c r="O1532" s="818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>x</v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52">
        <v>4</v>
      </c>
      <c r="AB1532" s="552"/>
    </row>
    <row r="1533" spans="1:29" s="209" customFormat="1" ht="15.75" customHeight="1">
      <c r="A1533" s="202" t="str">
        <f>IF(B1533&lt;&gt;"",IF(AND(B1533&gt;=_TM1,B1533&lt;=_TM2,OR(TH!L1533="1111",TH!M1533="1111")),TH!D1533,""),"")</f>
        <v/>
      </c>
      <c r="B1533" s="36">
        <f t="shared" si="70"/>
        <v>10</v>
      </c>
      <c r="C1533" s="182">
        <f t="shared" si="69"/>
        <v>42656</v>
      </c>
      <c r="D1533" s="182" t="s">
        <v>669</v>
      </c>
      <c r="E1533" s="189">
        <v>42656</v>
      </c>
      <c r="F1533" s="187" t="s">
        <v>762</v>
      </c>
      <c r="G1533" s="190" t="s">
        <v>330</v>
      </c>
      <c r="H1533" s="7"/>
      <c r="I1533" s="251"/>
      <c r="J1533" s="251"/>
      <c r="K1533" s="560">
        <v>1364</v>
      </c>
      <c r="L1533" s="192" t="s">
        <v>9</v>
      </c>
      <c r="M1533" s="561" t="s">
        <v>24</v>
      </c>
      <c r="N1533" s="52" t="str">
        <f>IF(AND('331-CT'!$E$7=TH!H1533,OR(L1533="331",M1533="331")),"331",IF(AND(OR(L1533="131",M1533="131"),H1533='131-CT'!$E$7),"131",""))</f>
        <v/>
      </c>
      <c r="O1533" s="818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52">
        <v>4</v>
      </c>
      <c r="AB1533" s="552"/>
      <c r="AC1533" s="552"/>
    </row>
    <row r="1534" spans="1:29" s="209" customFormat="1" ht="15.75" customHeight="1">
      <c r="A1534" s="202" t="str">
        <f>IF(B1534&lt;&gt;"",IF(AND(B1534&gt;=_TM1,B1534&lt;=_TM2,OR(TH!L1534="1111",TH!M1534="1111")),TH!D1534,""),"")</f>
        <v/>
      </c>
      <c r="B1534" s="36">
        <f t="shared" si="70"/>
        <v>10</v>
      </c>
      <c r="C1534" s="182">
        <f t="shared" si="69"/>
        <v>42656</v>
      </c>
      <c r="D1534" s="182" t="s">
        <v>1082</v>
      </c>
      <c r="E1534" s="37">
        <v>42656</v>
      </c>
      <c r="F1534" s="190" t="s">
        <v>1443</v>
      </c>
      <c r="G1534" s="451" t="s">
        <v>1312</v>
      </c>
      <c r="H1534" s="7" t="s">
        <v>399</v>
      </c>
      <c r="I1534" s="251">
        <v>520</v>
      </c>
      <c r="J1534" s="251">
        <v>10500</v>
      </c>
      <c r="K1534" s="38">
        <f>ROUND(I1534*J1534,0)</f>
        <v>5460000</v>
      </c>
      <c r="L1534" s="192" t="s">
        <v>258</v>
      </c>
      <c r="M1534" s="192" t="s">
        <v>173</v>
      </c>
      <c r="N1534" s="52" t="str">
        <f>IF(AND('331-CT'!$E$7=TH!H1534,OR(L1534="331",M1534="331")),"331",IF(AND(OR(L1534="131",M1534="131"),H1534='131-CT'!$E$7),"131",""))</f>
        <v/>
      </c>
      <c r="O1534" s="818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52"/>
      <c r="AB1534" s="552"/>
      <c r="AC1534" s="552"/>
    </row>
    <row r="1535" spans="1:29" s="209" customFormat="1" ht="15.75" customHeight="1">
      <c r="A1535" s="202" t="str">
        <f>IF(B1535&lt;&gt;"",IF(AND(B1535&gt;=_TM1,B1535&lt;=_TM2,OR(TH!L1535="1111",TH!M1535="1111")),TH!D1535,""),"")</f>
        <v/>
      </c>
      <c r="B1535" s="36">
        <f t="shared" si="70"/>
        <v>10</v>
      </c>
      <c r="C1535" s="182">
        <f t="shared" si="69"/>
        <v>42656</v>
      </c>
      <c r="D1535" s="182" t="s">
        <v>1082</v>
      </c>
      <c r="E1535" s="37">
        <v>42656</v>
      </c>
      <c r="F1535" s="40" t="s">
        <v>1313</v>
      </c>
      <c r="G1535" s="451" t="s">
        <v>1312</v>
      </c>
      <c r="H1535" s="7" t="s">
        <v>399</v>
      </c>
      <c r="I1535" s="252">
        <v>50</v>
      </c>
      <c r="J1535" s="252">
        <v>5000</v>
      </c>
      <c r="K1535" s="38">
        <f>ROUND(I1535*J1535,0)</f>
        <v>250000</v>
      </c>
      <c r="L1535" s="192" t="s">
        <v>258</v>
      </c>
      <c r="M1535" s="192" t="s">
        <v>173</v>
      </c>
      <c r="N1535" s="52" t="str">
        <f>IF(AND('331-CT'!$E$7=TH!H1535,OR(L1535="331",M1535="331")),"331",IF(AND(OR(L1535="131",M1535="131"),H1535='131-CT'!$E$7),"131",""))</f>
        <v/>
      </c>
      <c r="O1535" s="818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52"/>
      <c r="AB1535" s="552"/>
    </row>
    <row r="1536" spans="1:29" s="209" customFormat="1" ht="15.75" customHeight="1">
      <c r="A1536" s="202" t="str">
        <f>IF(B1536&lt;&gt;"",IF(AND(B1536&gt;=_TM1,B1536&lt;=_TM2,OR(TH!L1536="1111",TH!M1536="1111")),TH!D1536,""),"")</f>
        <v/>
      </c>
      <c r="B1536" s="36">
        <f t="shared" si="70"/>
        <v>10</v>
      </c>
      <c r="C1536" s="182">
        <f t="shared" si="69"/>
        <v>42656</v>
      </c>
      <c r="D1536" s="182" t="s">
        <v>1082</v>
      </c>
      <c r="E1536" s="37">
        <v>42656</v>
      </c>
      <c r="F1536" s="40" t="s">
        <v>1254</v>
      </c>
      <c r="G1536" s="451" t="s">
        <v>1312</v>
      </c>
      <c r="H1536" s="7" t="s">
        <v>399</v>
      </c>
      <c r="I1536" s="252"/>
      <c r="J1536" s="252"/>
      <c r="K1536" s="38">
        <v>571000</v>
      </c>
      <c r="L1536" s="192" t="s">
        <v>258</v>
      </c>
      <c r="M1536" s="192" t="s">
        <v>367</v>
      </c>
      <c r="N1536" s="52" t="str">
        <f>IF(AND('331-CT'!$E$7=TH!H1536,OR(L1536="331",M1536="331")),"331",IF(AND(OR(L1536="131",M1536="131"),H1536='131-CT'!$E$7),"131",""))</f>
        <v/>
      </c>
      <c r="O1536" s="818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52"/>
      <c r="AB1536" s="552"/>
      <c r="AC1536" s="552"/>
    </row>
    <row r="1537" spans="1:29" s="209" customFormat="1" ht="15.75" customHeight="1">
      <c r="A1537" s="202" t="str">
        <f>IF(B1537&lt;&gt;"",IF(AND(B1537&gt;=_TM1,B1537&lt;=_TM2,OR(TH!L1537="1111",TH!M1537="1111")),TH!D1537,""),"")</f>
        <v/>
      </c>
      <c r="B1537" s="36">
        <f t="shared" si="70"/>
        <v>10</v>
      </c>
      <c r="C1537" s="182">
        <f t="shared" si="69"/>
        <v>42656</v>
      </c>
      <c r="D1537" s="182" t="s">
        <v>1083</v>
      </c>
      <c r="E1537" s="37">
        <v>42656</v>
      </c>
      <c r="F1537" s="40" t="s">
        <v>1315</v>
      </c>
      <c r="G1537" s="451" t="s">
        <v>1314</v>
      </c>
      <c r="H1537" s="7" t="s">
        <v>780</v>
      </c>
      <c r="I1537" s="252">
        <v>996</v>
      </c>
      <c r="J1537" s="252">
        <v>6700</v>
      </c>
      <c r="K1537" s="38">
        <f>ROUND(I1537*J1537,0)</f>
        <v>6673200</v>
      </c>
      <c r="L1537" s="192" t="s">
        <v>258</v>
      </c>
      <c r="M1537" s="192" t="s">
        <v>173</v>
      </c>
      <c r="N1537" s="52" t="str">
        <f>IF(AND('331-CT'!$E$7=TH!H1537,OR(L1537="331",M1537="331")),"331",IF(AND(OR(L1537="131",M1537="131"),H1537='131-CT'!$E$7),"131",""))</f>
        <v/>
      </c>
      <c r="O1537" s="818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52"/>
      <c r="AB1537" s="552"/>
    </row>
    <row r="1538" spans="1:29" s="209" customFormat="1" ht="15.75" customHeight="1">
      <c r="A1538" s="202" t="str">
        <f>IF(B1538&lt;&gt;"",IF(AND(B1538&gt;=_TM1,B1538&lt;=_TM2,OR(TH!L1538="1111",TH!M1538="1111")),TH!D1538,""),"")</f>
        <v/>
      </c>
      <c r="B1538" s="36">
        <f t="shared" si="70"/>
        <v>10</v>
      </c>
      <c r="C1538" s="182">
        <f t="shared" si="69"/>
        <v>42656</v>
      </c>
      <c r="D1538" s="182" t="s">
        <v>1083</v>
      </c>
      <c r="E1538" s="37">
        <v>42656</v>
      </c>
      <c r="F1538" s="40" t="s">
        <v>1254</v>
      </c>
      <c r="G1538" s="451" t="s">
        <v>1314</v>
      </c>
      <c r="H1538" s="7" t="s">
        <v>780</v>
      </c>
      <c r="I1538" s="252"/>
      <c r="J1538" s="252"/>
      <c r="K1538" s="38">
        <v>667320</v>
      </c>
      <c r="L1538" s="192" t="s">
        <v>258</v>
      </c>
      <c r="M1538" s="192" t="s">
        <v>367</v>
      </c>
      <c r="N1538" s="52" t="str">
        <f>IF(AND('331-CT'!$E$7=TH!H1538,OR(L1538="331",M1538="331")),"331",IF(AND(OR(L1538="131",M1538="131"),H1538='131-CT'!$E$7),"131",""))</f>
        <v/>
      </c>
      <c r="O1538" s="818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52"/>
      <c r="AB1538" s="552"/>
      <c r="AC1538" s="552"/>
    </row>
    <row r="1539" spans="1:29" s="209" customFormat="1" ht="15.75" customHeight="1">
      <c r="A1539" s="202" t="str">
        <f>IF(B1539&lt;&gt;"",IF(AND(B1539&gt;=_TM1,B1539&lt;=_TM2,OR(TH!L1539="1111",TH!M1539="1111")),TH!D1539,""),"")</f>
        <v>C04</v>
      </c>
      <c r="B1539" s="36">
        <f t="shared" si="70"/>
        <v>10</v>
      </c>
      <c r="C1539" s="182">
        <f t="shared" si="69"/>
        <v>42660</v>
      </c>
      <c r="D1539" s="182" t="s">
        <v>1626</v>
      </c>
      <c r="E1539" s="189">
        <v>42660</v>
      </c>
      <c r="F1539" s="187" t="s">
        <v>754</v>
      </c>
      <c r="G1539" s="190" t="s">
        <v>1287</v>
      </c>
      <c r="H1539" s="7" t="s">
        <v>1461</v>
      </c>
      <c r="I1539" s="251"/>
      <c r="J1539" s="251"/>
      <c r="K1539" s="560">
        <v>200000000</v>
      </c>
      <c r="L1539" s="561" t="s">
        <v>24</v>
      </c>
      <c r="M1539" s="561" t="s">
        <v>47</v>
      </c>
      <c r="N1539" s="52" t="str">
        <f>IF(AND('331-CT'!$E$7=TH!H1539,OR(L1539="331",M1539="331")),"331",IF(AND(OR(L1539="131",M1539="131"),H1539='131-CT'!$E$7),"131",""))</f>
        <v/>
      </c>
      <c r="O1539" s="818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>x</v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53"/>
      <c r="AB1539" s="552"/>
    </row>
    <row r="1540" spans="1:29" s="209" customFormat="1" ht="15.75" customHeight="1">
      <c r="A1540" s="202" t="str">
        <f>IF(B1540&lt;&gt;"",IF(AND(B1540&gt;=_TM1,B1540&lt;=_TM2,OR(TH!L1540="1111",TH!M1540="1111")),TH!D1540,""),"")</f>
        <v/>
      </c>
      <c r="B1540" s="36">
        <f t="shared" si="70"/>
        <v>10</v>
      </c>
      <c r="C1540" s="182">
        <f t="shared" si="69"/>
        <v>42660</v>
      </c>
      <c r="D1540" s="182" t="s">
        <v>669</v>
      </c>
      <c r="E1540" s="189">
        <v>42660</v>
      </c>
      <c r="F1540" s="187" t="s">
        <v>671</v>
      </c>
      <c r="G1540" s="190" t="s">
        <v>1287</v>
      </c>
      <c r="H1540" s="191"/>
      <c r="I1540" s="251"/>
      <c r="J1540" s="251"/>
      <c r="K1540" s="560">
        <v>10000000</v>
      </c>
      <c r="L1540" s="561" t="s">
        <v>8</v>
      </c>
      <c r="M1540" s="561" t="s">
        <v>24</v>
      </c>
      <c r="N1540" s="52" t="str">
        <f>IF(AND('331-CT'!$E$7=TH!H1540,OR(L1540="331",M1540="331")),"331",IF(AND(OR(L1540="131",M1540="131"),H1540='131-CT'!$E$7),"131",""))</f>
        <v/>
      </c>
      <c r="O1540" s="818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>x</v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53"/>
      <c r="AB1540" s="552"/>
      <c r="AC1540" s="552"/>
    </row>
    <row r="1541" spans="1:29" s="209" customFormat="1" ht="15.75" customHeight="1">
      <c r="A1541" s="202" t="str">
        <f>IF(B1541&lt;&gt;"",IF(AND(B1541&gt;=_TM1,B1541&lt;=_TM2,OR(TH!L1541="1111",TH!M1541="1111")),TH!D1541,""),"")</f>
        <v/>
      </c>
      <c r="B1541" s="36">
        <f t="shared" si="70"/>
        <v>10</v>
      </c>
      <c r="C1541" s="182">
        <f t="shared" ref="C1541:C1604" si="72">E1541</f>
        <v>42660</v>
      </c>
      <c r="D1541" s="182" t="s">
        <v>669</v>
      </c>
      <c r="E1541" s="189">
        <v>42660</v>
      </c>
      <c r="F1541" s="187" t="s">
        <v>672</v>
      </c>
      <c r="G1541" s="190" t="s">
        <v>1287</v>
      </c>
      <c r="H1541" s="7"/>
      <c r="I1541" s="251"/>
      <c r="J1541" s="251"/>
      <c r="K1541" s="560">
        <v>15000</v>
      </c>
      <c r="L1541" s="561" t="s">
        <v>83</v>
      </c>
      <c r="M1541" s="561" t="s">
        <v>24</v>
      </c>
      <c r="N1541" s="52" t="str">
        <f>IF(AND('331-CT'!$E$7=TH!H1541,OR(L1541="331",M1541="331")),"331",IF(AND(OR(L1541="131",M1541="131"),H1541='131-CT'!$E$7),"131",""))</f>
        <v/>
      </c>
      <c r="O1541" s="818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>x</v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>x</v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53">
        <v>4</v>
      </c>
      <c r="AB1541" s="552"/>
    </row>
    <row r="1542" spans="1:29" s="209" customFormat="1" ht="15.75" customHeight="1">
      <c r="A1542" s="202" t="str">
        <f>IF(B1542&lt;&gt;"",IF(AND(B1542&gt;=_TM1,B1542&lt;=_TM2,OR(TH!L1542="1111",TH!M1542="1111")),TH!D1542,""),"")</f>
        <v/>
      </c>
      <c r="B1542" s="36">
        <f t="shared" si="70"/>
        <v>10</v>
      </c>
      <c r="C1542" s="182">
        <f t="shared" si="72"/>
        <v>42660</v>
      </c>
      <c r="D1542" s="182" t="s">
        <v>669</v>
      </c>
      <c r="E1542" s="189">
        <v>42660</v>
      </c>
      <c r="F1542" s="190" t="s">
        <v>762</v>
      </c>
      <c r="G1542" s="190" t="s">
        <v>1287</v>
      </c>
      <c r="H1542" s="7"/>
      <c r="I1542" s="251"/>
      <c r="J1542" s="251"/>
      <c r="K1542" s="560">
        <v>1500</v>
      </c>
      <c r="L1542" s="192" t="s">
        <v>9</v>
      </c>
      <c r="M1542" s="561" t="s">
        <v>24</v>
      </c>
      <c r="N1542" s="52" t="str">
        <f>IF(AND('331-CT'!$E$7=TH!H1542,OR(L1542="331",M1542="331")),"331",IF(AND(OR(L1542="131",M1542="131"),H1542='131-CT'!$E$7),"131",""))</f>
        <v/>
      </c>
      <c r="O1542" s="818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>x</v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53">
        <v>4</v>
      </c>
      <c r="AB1542" s="552"/>
      <c r="AC1542" s="552"/>
    </row>
    <row r="1543" spans="1:29" s="209" customFormat="1" ht="15.75" customHeight="1">
      <c r="A1543" s="202" t="str">
        <f>IF(B1543&lt;&gt;"",IF(AND(B1543&gt;=_TM1,B1543&lt;=_TM2,OR(TH!L1543="1111",TH!M1543="1111")),TH!D1543,""),"")</f>
        <v>T02</v>
      </c>
      <c r="B1543" s="36">
        <f t="shared" si="70"/>
        <v>10</v>
      </c>
      <c r="C1543" s="182">
        <f t="shared" si="72"/>
        <v>42660</v>
      </c>
      <c r="D1543" s="182" t="s">
        <v>355</v>
      </c>
      <c r="E1543" s="189">
        <v>42660</v>
      </c>
      <c r="F1543" s="187" t="s">
        <v>776</v>
      </c>
      <c r="G1543" s="190" t="s">
        <v>1287</v>
      </c>
      <c r="H1543" s="191" t="s">
        <v>675</v>
      </c>
      <c r="I1543" s="251"/>
      <c r="J1543" s="251"/>
      <c r="K1543" s="560">
        <v>20000000</v>
      </c>
      <c r="L1543" s="561" t="s">
        <v>47</v>
      </c>
      <c r="M1543" s="561" t="s">
        <v>24</v>
      </c>
      <c r="N1543" s="52" t="str">
        <f>IF(AND('331-CT'!$E$7=TH!H1543,OR(L1543="331",M1543="331")),"331",IF(AND(OR(L1543="131",M1543="131"),H1543='131-CT'!$E$7),"131",""))</f>
        <v/>
      </c>
      <c r="O1543" s="818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>x</v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53"/>
      <c r="AB1543" s="552"/>
    </row>
    <row r="1544" spans="1:29" s="209" customFormat="1" ht="15.75" customHeight="1">
      <c r="A1544" s="202" t="str">
        <f>IF(B1544&lt;&gt;"",IF(AND(B1544&gt;=_TM1,B1544&lt;=_TM2,OR(TH!L1544="1111",TH!M1544="1111")),TH!D1544,""),"")</f>
        <v/>
      </c>
      <c r="B1544" s="36">
        <f t="shared" si="70"/>
        <v>10</v>
      </c>
      <c r="C1544" s="182">
        <f t="shared" si="72"/>
        <v>42660</v>
      </c>
      <c r="D1544" s="182" t="s">
        <v>1186</v>
      </c>
      <c r="E1544" s="189">
        <v>42660</v>
      </c>
      <c r="F1544" s="190" t="s">
        <v>1245</v>
      </c>
      <c r="G1544" s="451" t="s">
        <v>1419</v>
      </c>
      <c r="H1544" s="7" t="s">
        <v>855</v>
      </c>
      <c r="I1544" s="252">
        <v>2500</v>
      </c>
      <c r="J1544" s="252">
        <v>7600</v>
      </c>
      <c r="K1544" s="38">
        <f>ROUND(I1544*J1544,0)</f>
        <v>19000000</v>
      </c>
      <c r="L1544" s="192" t="s">
        <v>158</v>
      </c>
      <c r="M1544" s="192" t="s">
        <v>8</v>
      </c>
      <c r="N1544" s="52" t="str">
        <f>IF(AND('331-CT'!$E$7=TH!H1544,OR(L1544="331",M1544="331")),"331",IF(AND(OR(L1544="131",M1544="131"),H1544='131-CT'!$E$7),"131",""))</f>
        <v/>
      </c>
      <c r="O1544" s="818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751">
        <v>4</v>
      </c>
      <c r="AB1544" s="552"/>
      <c r="AC1544" s="552"/>
    </row>
    <row r="1545" spans="1:29" s="209" customFormat="1" ht="15.75" customHeight="1">
      <c r="A1545" s="202" t="str">
        <f>IF(B1545&lt;&gt;"",IF(AND(B1545&gt;=_TM1,B1545&lt;=_TM2,OR(TH!L1545="1111",TH!M1545="1111")),TH!D1545,""),"")</f>
        <v/>
      </c>
      <c r="B1545" s="36">
        <f t="shared" si="70"/>
        <v>10</v>
      </c>
      <c r="C1545" s="182">
        <f t="shared" si="72"/>
        <v>42660</v>
      </c>
      <c r="D1545" s="182" t="s">
        <v>1186</v>
      </c>
      <c r="E1545" s="189">
        <v>42660</v>
      </c>
      <c r="F1545" s="40" t="s">
        <v>1247</v>
      </c>
      <c r="G1545" s="451" t="s">
        <v>1419</v>
      </c>
      <c r="H1545" s="7" t="s">
        <v>855</v>
      </c>
      <c r="I1545" s="252">
        <v>4620</v>
      </c>
      <c r="J1545" s="252">
        <v>9200</v>
      </c>
      <c r="K1545" s="38">
        <f>ROUND(I1545*J1545,0)</f>
        <v>42504000</v>
      </c>
      <c r="L1545" s="192" t="s">
        <v>158</v>
      </c>
      <c r="M1545" s="192" t="s">
        <v>8</v>
      </c>
      <c r="N1545" s="52" t="str">
        <f>IF(AND('331-CT'!$E$7=TH!H1545,OR(L1545="331",M1545="331")),"331",IF(AND(OR(L1545="131",M1545="131"),H1545='131-CT'!$E$7),"131",""))</f>
        <v/>
      </c>
      <c r="O1545" s="818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751">
        <v>4</v>
      </c>
      <c r="AB1545" s="552"/>
      <c r="AC1545" s="552"/>
    </row>
    <row r="1546" spans="1:29" s="209" customFormat="1" ht="15.75" customHeight="1">
      <c r="A1546" s="202" t="str">
        <f>IF(B1546&lt;&gt;"",IF(AND(B1546&gt;=_TM1,B1546&lt;=_TM2,OR(TH!L1546="1111",TH!M1546="1111")),TH!D1546,""),"")</f>
        <v/>
      </c>
      <c r="B1546" s="36">
        <f t="shared" si="70"/>
        <v>10</v>
      </c>
      <c r="C1546" s="182">
        <f t="shared" si="72"/>
        <v>42660</v>
      </c>
      <c r="D1546" s="182" t="s">
        <v>1186</v>
      </c>
      <c r="E1546" s="189">
        <v>42660</v>
      </c>
      <c r="F1546" s="40" t="s">
        <v>684</v>
      </c>
      <c r="G1546" s="451" t="s">
        <v>1419</v>
      </c>
      <c r="H1546" s="7" t="s">
        <v>855</v>
      </c>
      <c r="I1546" s="252"/>
      <c r="J1546" s="252"/>
      <c r="K1546" s="38">
        <v>6150400</v>
      </c>
      <c r="L1546" s="192" t="s">
        <v>9</v>
      </c>
      <c r="M1546" s="192" t="s">
        <v>8</v>
      </c>
      <c r="N1546" s="52" t="str">
        <f>IF(AND('331-CT'!$E$7=TH!H1546,OR(L1546="331",M1546="331")),"331",IF(AND(OR(L1546="131",M1546="131"),H1546='131-CT'!$E$7),"131",""))</f>
        <v/>
      </c>
      <c r="O1546" s="818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751">
        <v>4</v>
      </c>
      <c r="AB1546" s="552"/>
    </row>
    <row r="1547" spans="1:29" s="209" customFormat="1" ht="15.75" customHeight="1">
      <c r="A1547" s="202" t="str">
        <f>IF(B1547&lt;&gt;"",IF(AND(B1547&gt;=_TM1,B1547&lt;=_TM2,OR(TH!L1547="1111",TH!M1547="1111")),TH!D1547,""),"")</f>
        <v/>
      </c>
      <c r="B1547" s="36">
        <f t="shared" si="70"/>
        <v>10</v>
      </c>
      <c r="C1547" s="182">
        <f t="shared" si="72"/>
        <v>42661</v>
      </c>
      <c r="D1547" s="182" t="s">
        <v>669</v>
      </c>
      <c r="E1547" s="189">
        <v>42661</v>
      </c>
      <c r="F1547" s="187" t="s">
        <v>1464</v>
      </c>
      <c r="G1547" s="190" t="s">
        <v>1287</v>
      </c>
      <c r="H1547" s="191" t="s">
        <v>1291</v>
      </c>
      <c r="I1547" s="251"/>
      <c r="J1547" s="251"/>
      <c r="K1547" s="560">
        <v>150000000</v>
      </c>
      <c r="L1547" s="561" t="s">
        <v>759</v>
      </c>
      <c r="M1547" s="561" t="s">
        <v>24</v>
      </c>
      <c r="N1547" s="52" t="str">
        <f>IF(AND('331-CT'!$E$7=TH!H1547,OR(L1547="331",M1547="331")),"331",IF(AND(OR(L1547="131",M1547="131"),H1547='131-CT'!$E$7),"131",""))</f>
        <v/>
      </c>
      <c r="O1547" s="818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>x</v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53"/>
      <c r="AB1547" s="552"/>
      <c r="AC1547" s="552"/>
    </row>
    <row r="1548" spans="1:29" s="209" customFormat="1" ht="15.75" customHeight="1">
      <c r="A1548" s="202" t="str">
        <f>IF(B1548&lt;&gt;"",IF(AND(B1548&gt;=_TM1,B1548&lt;=_TM2,OR(TH!L1548="1111",TH!M1548="1111")),TH!D1548,""),"")</f>
        <v/>
      </c>
      <c r="B1548" s="36">
        <f t="shared" si="70"/>
        <v>10</v>
      </c>
      <c r="C1548" s="182">
        <f t="shared" si="72"/>
        <v>42661</v>
      </c>
      <c r="D1548" s="182" t="s">
        <v>669</v>
      </c>
      <c r="E1548" s="189">
        <v>42661</v>
      </c>
      <c r="F1548" s="190" t="s">
        <v>1296</v>
      </c>
      <c r="G1548" s="190" t="s">
        <v>1287</v>
      </c>
      <c r="H1548" s="191" t="s">
        <v>1291</v>
      </c>
      <c r="I1548" s="251"/>
      <c r="J1548" s="251"/>
      <c r="K1548" s="560">
        <v>12945833</v>
      </c>
      <c r="L1548" s="561" t="s">
        <v>81</v>
      </c>
      <c r="M1548" s="561" t="s">
        <v>24</v>
      </c>
      <c r="N1548" s="52" t="str">
        <f>IF(AND('331-CT'!$E$7=TH!H1548,OR(L1548="331",M1548="331")),"331",IF(AND(OR(L1548="131",M1548="131"),H1548='131-CT'!$E$7),"131",""))</f>
        <v/>
      </c>
      <c r="O1548" s="818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>x</v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53"/>
      <c r="AB1548" s="552"/>
    </row>
    <row r="1549" spans="1:29" s="209" customFormat="1" ht="15.75" customHeight="1">
      <c r="A1549" s="202" t="str">
        <f>IF(B1549&lt;&gt;"",IF(AND(B1549&gt;=_TM1,B1549&lt;=_TM2,OR(TH!L1549="1111",TH!M1549="1111")),TH!D1549,""),"")</f>
        <v/>
      </c>
      <c r="B1549" s="36">
        <f t="shared" si="70"/>
        <v>10</v>
      </c>
      <c r="C1549" s="182">
        <f t="shared" si="72"/>
        <v>42661</v>
      </c>
      <c r="D1549" s="182" t="s">
        <v>669</v>
      </c>
      <c r="E1549" s="189">
        <v>42661</v>
      </c>
      <c r="F1549" s="190" t="s">
        <v>1296</v>
      </c>
      <c r="G1549" s="190" t="s">
        <v>1287</v>
      </c>
      <c r="H1549" s="191" t="s">
        <v>1294</v>
      </c>
      <c r="I1549" s="251"/>
      <c r="J1549" s="251"/>
      <c r="K1549" s="560">
        <v>1083333</v>
      </c>
      <c r="L1549" s="561" t="s">
        <v>81</v>
      </c>
      <c r="M1549" s="561" t="s">
        <v>24</v>
      </c>
      <c r="N1549" s="52" t="str">
        <f>IF(AND('331-CT'!$E$7=TH!H1549,OR(L1549="331",M1549="331")),"331",IF(AND(OR(L1549="131",M1549="131"),H1549='131-CT'!$E$7),"131",""))</f>
        <v/>
      </c>
      <c r="O1549" s="818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>x</v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53"/>
      <c r="AB1549" s="552"/>
      <c r="AC1549" s="552"/>
    </row>
    <row r="1550" spans="1:29" s="209" customFormat="1" ht="15.75" customHeight="1">
      <c r="A1550" s="202" t="str">
        <f>IF(B1550&lt;&gt;"",IF(AND(B1550&gt;=_TM1,B1550&lt;=_TM2,OR(TH!L1550="1111",TH!M1550="1111")),TH!D1550,""),"")</f>
        <v/>
      </c>
      <c r="B1550" s="36">
        <f t="shared" si="70"/>
        <v>10</v>
      </c>
      <c r="C1550" s="182">
        <f t="shared" si="72"/>
        <v>42661</v>
      </c>
      <c r="D1550" s="182" t="s">
        <v>669</v>
      </c>
      <c r="E1550" s="189">
        <v>42661</v>
      </c>
      <c r="F1550" s="190" t="s">
        <v>1296</v>
      </c>
      <c r="G1550" s="190" t="s">
        <v>1287</v>
      </c>
      <c r="H1550" s="191" t="s">
        <v>1295</v>
      </c>
      <c r="I1550" s="251"/>
      <c r="J1550" s="251"/>
      <c r="K1550" s="560">
        <v>586130</v>
      </c>
      <c r="L1550" s="561" t="s">
        <v>81</v>
      </c>
      <c r="M1550" s="561" t="s">
        <v>24</v>
      </c>
      <c r="N1550" s="52" t="str">
        <f>IF(AND('331-CT'!$E$7=TH!H1550,OR(L1550="331",M1550="331")),"331",IF(AND(OR(L1550="131",M1550="131"),H1550='131-CT'!$E$7),"131",""))</f>
        <v/>
      </c>
      <c r="O1550" s="818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>x</v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53"/>
      <c r="AB1550" s="552"/>
    </row>
    <row r="1551" spans="1:29" s="209" customFormat="1" ht="15.75" customHeight="1">
      <c r="A1551" s="202" t="str">
        <f>IF(B1551&lt;&gt;"",IF(AND(B1551&gt;=_TM1,B1551&lt;=_TM2,OR(TH!L1551="1111",TH!M1551="1111")),TH!D1551,""),"")</f>
        <v/>
      </c>
      <c r="B1551" s="36">
        <f t="shared" si="70"/>
        <v>10</v>
      </c>
      <c r="C1551" s="182">
        <f t="shared" si="72"/>
        <v>42661</v>
      </c>
      <c r="D1551" s="182" t="s">
        <v>669</v>
      </c>
      <c r="E1551" s="189">
        <v>42661</v>
      </c>
      <c r="F1551" s="190" t="s">
        <v>1296</v>
      </c>
      <c r="G1551" s="190" t="s">
        <v>1287</v>
      </c>
      <c r="H1551" s="191" t="s">
        <v>1465</v>
      </c>
      <c r="I1551" s="251"/>
      <c r="J1551" s="251"/>
      <c r="K1551" s="560">
        <v>126389</v>
      </c>
      <c r="L1551" s="561" t="s">
        <v>81</v>
      </c>
      <c r="M1551" s="561" t="s">
        <v>24</v>
      </c>
      <c r="N1551" s="52" t="str">
        <f>IF(AND('331-CT'!$E$7=TH!H1551,OR(L1551="331",M1551="331")),"331",IF(AND(OR(L1551="131",M1551="131"),H1551='131-CT'!$E$7),"131",""))</f>
        <v/>
      </c>
      <c r="O1551" s="818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>x</v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53"/>
      <c r="AB1551" s="552"/>
      <c r="AC1551" s="552"/>
    </row>
    <row r="1552" spans="1:29" s="209" customFormat="1" ht="15.75" customHeight="1">
      <c r="A1552" s="202" t="str">
        <f>IF(B1552&lt;&gt;"",IF(AND(B1552&gt;=_TM1,B1552&lt;=_TM2,OR(TH!L1552="1111",TH!M1552="1111")),TH!D1552,""),"")</f>
        <v/>
      </c>
      <c r="B1552" s="36">
        <f t="shared" si="70"/>
        <v>10</v>
      </c>
      <c r="C1552" s="182">
        <f t="shared" si="72"/>
        <v>42661</v>
      </c>
      <c r="D1552" s="182" t="s">
        <v>669</v>
      </c>
      <c r="E1552" s="189">
        <v>42661</v>
      </c>
      <c r="F1552" s="190" t="s">
        <v>1296</v>
      </c>
      <c r="G1552" s="190" t="s">
        <v>1287</v>
      </c>
      <c r="H1552" s="191" t="s">
        <v>1460</v>
      </c>
      <c r="I1552" s="251"/>
      <c r="J1552" s="251"/>
      <c r="K1552" s="560">
        <v>81250</v>
      </c>
      <c r="L1552" s="561" t="s">
        <v>81</v>
      </c>
      <c r="M1552" s="561" t="s">
        <v>24</v>
      </c>
      <c r="N1552" s="52" t="str">
        <f>IF(AND('331-CT'!$E$7=TH!H1552,OR(L1552="331",M1552="331")),"331",IF(AND(OR(L1552="131",M1552="131"),H1552='131-CT'!$E$7),"131",""))</f>
        <v/>
      </c>
      <c r="O1552" s="818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>x</v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53"/>
      <c r="AB1552" s="552"/>
    </row>
    <row r="1553" spans="1:32" s="209" customFormat="1" ht="15.75" customHeight="1">
      <c r="A1553" s="202" t="str">
        <f>IF(B1553&lt;&gt;"",IF(AND(B1553&gt;=_TM1,B1553&lt;=_TM2,OR(TH!L1553="1111",TH!M1553="1111")),TH!D1553,""),"")</f>
        <v/>
      </c>
      <c r="B1553" s="36">
        <f t="shared" si="70"/>
        <v>10</v>
      </c>
      <c r="C1553" s="182">
        <f t="shared" si="72"/>
        <v>42661</v>
      </c>
      <c r="D1553" s="182" t="s">
        <v>1084</v>
      </c>
      <c r="E1553" s="189">
        <v>42661</v>
      </c>
      <c r="F1553" s="40" t="s">
        <v>1317</v>
      </c>
      <c r="G1553" s="451" t="s">
        <v>1316</v>
      </c>
      <c r="H1553" s="7" t="s">
        <v>778</v>
      </c>
      <c r="I1553" s="252">
        <v>510</v>
      </c>
      <c r="J1553" s="252">
        <v>11000</v>
      </c>
      <c r="K1553" s="38">
        <f>ROUND(I1553*J1553,0)</f>
        <v>5610000</v>
      </c>
      <c r="L1553" s="192" t="s">
        <v>258</v>
      </c>
      <c r="M1553" s="192" t="s">
        <v>173</v>
      </c>
      <c r="N1553" s="52" t="str">
        <f>IF(AND('331-CT'!$E$7=TH!H1553,OR(L1553="331",M1553="331")),"331",IF(AND(OR(L1553="131",M1553="131"),H1553='131-CT'!$E$7),"131",""))</f>
        <v/>
      </c>
      <c r="O1553" s="818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52"/>
      <c r="AB1553" s="552"/>
      <c r="AC1553" s="552"/>
    </row>
    <row r="1554" spans="1:32" s="209" customFormat="1" ht="15.75" customHeight="1">
      <c r="A1554" s="202" t="str">
        <f>IF(B1554&lt;&gt;"",IF(AND(B1554&gt;=_TM1,B1554&lt;=_TM2,OR(TH!L1554="1111",TH!M1554="1111")),TH!D1554,""),"")</f>
        <v/>
      </c>
      <c r="B1554" s="36">
        <f t="shared" si="70"/>
        <v>10</v>
      </c>
      <c r="C1554" s="182">
        <f t="shared" si="72"/>
        <v>42661</v>
      </c>
      <c r="D1554" s="182" t="s">
        <v>1084</v>
      </c>
      <c r="E1554" s="189">
        <v>42661</v>
      </c>
      <c r="F1554" s="40" t="s">
        <v>1254</v>
      </c>
      <c r="G1554" s="451" t="s">
        <v>1316</v>
      </c>
      <c r="H1554" s="7" t="s">
        <v>778</v>
      </c>
      <c r="I1554" s="252"/>
      <c r="J1554" s="252"/>
      <c r="K1554" s="38">
        <v>561000</v>
      </c>
      <c r="L1554" s="192" t="s">
        <v>258</v>
      </c>
      <c r="M1554" s="192" t="s">
        <v>367</v>
      </c>
      <c r="N1554" s="52" t="str">
        <f>IF(AND('331-CT'!$E$7=TH!H1554,OR(L1554="331",M1554="331")),"331",IF(AND(OR(L1554="131",M1554="131"),H1554='131-CT'!$E$7),"131",""))</f>
        <v/>
      </c>
      <c r="O1554" s="818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52"/>
      <c r="AB1554" s="552"/>
      <c r="AC1554" s="552"/>
    </row>
    <row r="1555" spans="1:32" s="788" customFormat="1" ht="15.75" customHeight="1">
      <c r="A1555" s="202" t="str">
        <f>IF(B1555&lt;&gt;"",IF(AND(B1555&gt;=_TM1,B1555&lt;=_TM2,OR(TH!L1555="1111",TH!M1555="1111")),TH!D1555,""),"")</f>
        <v/>
      </c>
      <c r="B1555" s="36">
        <f t="shared" si="70"/>
        <v>10</v>
      </c>
      <c r="C1555" s="182">
        <f t="shared" si="72"/>
        <v>42661</v>
      </c>
      <c r="D1555" s="182" t="s">
        <v>1085</v>
      </c>
      <c r="E1555" s="189">
        <v>42661</v>
      </c>
      <c r="F1555" s="40" t="s">
        <v>1320</v>
      </c>
      <c r="G1555" s="451" t="s">
        <v>1318</v>
      </c>
      <c r="H1555" s="191" t="s">
        <v>1319</v>
      </c>
      <c r="I1555" s="252">
        <v>5070</v>
      </c>
      <c r="J1555" s="252">
        <v>1102</v>
      </c>
      <c r="K1555" s="38">
        <f>ROUND(I1555*J1555,0)</f>
        <v>5587140</v>
      </c>
      <c r="L1555" s="192" t="s">
        <v>258</v>
      </c>
      <c r="M1555" s="192" t="s">
        <v>173</v>
      </c>
      <c r="N1555" s="52" t="str">
        <f>IF(AND('331-CT'!$E$7=TH!H1555,OR(L1555="331",M1555="331")),"331",IF(AND(OR(L1555="131",M1555="131"),H1555='131-CT'!$E$7),"131",""))</f>
        <v/>
      </c>
      <c r="O1555" s="818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52"/>
      <c r="AB1555" s="552"/>
      <c r="AC1555" s="552"/>
      <c r="AD1555" s="209"/>
      <c r="AE1555" s="209"/>
      <c r="AF1555" s="209"/>
    </row>
    <row r="1556" spans="1:32" s="209" customFormat="1" ht="15.75" customHeight="1">
      <c r="A1556" s="202" t="str">
        <f>IF(B1556&lt;&gt;"",IF(AND(B1556&gt;=_TM1,B1556&lt;=_TM2,OR(TH!L1556="1111",TH!M1556="1111")),TH!D1556,""),"")</f>
        <v/>
      </c>
      <c r="B1556" s="36">
        <f t="shared" ref="B1556:B1619" si="73">IF(C1556&lt;&gt;"",MONTH(C1556),"")</f>
        <v>10</v>
      </c>
      <c r="C1556" s="182">
        <f t="shared" si="72"/>
        <v>42661</v>
      </c>
      <c r="D1556" s="182" t="s">
        <v>1085</v>
      </c>
      <c r="E1556" s="189">
        <v>42661</v>
      </c>
      <c r="F1556" s="40" t="s">
        <v>1321</v>
      </c>
      <c r="G1556" s="451" t="s">
        <v>1318</v>
      </c>
      <c r="H1556" s="191" t="s">
        <v>1319</v>
      </c>
      <c r="I1556" s="252">
        <v>500</v>
      </c>
      <c r="J1556" s="252">
        <v>7500</v>
      </c>
      <c r="K1556" s="38">
        <f>ROUND(I1556*J1556,0)</f>
        <v>3750000</v>
      </c>
      <c r="L1556" s="192" t="s">
        <v>258</v>
      </c>
      <c r="M1556" s="192" t="s">
        <v>173</v>
      </c>
      <c r="N1556" s="52" t="str">
        <f>IF(AND('331-CT'!$E$7=TH!H1556,OR(L1556="331",M1556="331")),"331",IF(AND(OR(L1556="131",M1556="131"),H1556='131-CT'!$E$7),"131",""))</f>
        <v/>
      </c>
      <c r="O1556" s="818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52"/>
      <c r="AB1556" s="552"/>
    </row>
    <row r="1557" spans="1:32" s="209" customFormat="1" ht="15.75" customHeight="1">
      <c r="A1557" s="202" t="str">
        <f>IF(B1557&lt;&gt;"",IF(AND(B1557&gt;=_TM1,B1557&lt;=_TM2,OR(TH!L1557="1111",TH!M1557="1111")),TH!D1557,""),"")</f>
        <v/>
      </c>
      <c r="B1557" s="36">
        <f t="shared" si="73"/>
        <v>10</v>
      </c>
      <c r="C1557" s="182">
        <f t="shared" si="72"/>
        <v>42661</v>
      </c>
      <c r="D1557" s="182" t="s">
        <v>1085</v>
      </c>
      <c r="E1557" s="189">
        <v>42661</v>
      </c>
      <c r="F1557" s="40" t="s">
        <v>1254</v>
      </c>
      <c r="G1557" s="451" t="s">
        <v>1318</v>
      </c>
      <c r="H1557" s="191" t="s">
        <v>1319</v>
      </c>
      <c r="I1557" s="252"/>
      <c r="J1557" s="252"/>
      <c r="K1557" s="38">
        <v>933714</v>
      </c>
      <c r="L1557" s="192" t="s">
        <v>258</v>
      </c>
      <c r="M1557" s="192" t="s">
        <v>367</v>
      </c>
      <c r="N1557" s="52" t="str">
        <f>IF(AND('331-CT'!$E$7=TH!H1557,OR(L1557="331",M1557="331")),"331",IF(AND(OR(L1557="131",M1557="131"),H1557='131-CT'!$E$7),"131",""))</f>
        <v/>
      </c>
      <c r="O1557" s="818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52"/>
      <c r="AB1557" s="552"/>
      <c r="AC1557" s="552"/>
    </row>
    <row r="1558" spans="1:32" s="209" customFormat="1" ht="15.75" customHeight="1">
      <c r="A1558" s="202" t="str">
        <f>IF(B1558&lt;&gt;"",IF(AND(B1558&gt;=_TM1,B1558&lt;=_TM2,OR(TH!L1558="1111",TH!M1558="1111")),TH!D1558,""),"")</f>
        <v/>
      </c>
      <c r="B1558" s="36">
        <f t="shared" si="73"/>
        <v>10</v>
      </c>
      <c r="C1558" s="182">
        <f t="shared" si="72"/>
        <v>42661</v>
      </c>
      <c r="D1558" s="182" t="s">
        <v>1086</v>
      </c>
      <c r="E1558" s="189">
        <v>42661</v>
      </c>
      <c r="F1558" s="40" t="s">
        <v>1325</v>
      </c>
      <c r="G1558" s="451" t="s">
        <v>1322</v>
      </c>
      <c r="H1558" s="191" t="s">
        <v>1323</v>
      </c>
      <c r="I1558" s="252">
        <v>400</v>
      </c>
      <c r="J1558" s="252">
        <v>9500</v>
      </c>
      <c r="K1558" s="38">
        <f>ROUND(I1558*J1558,0)</f>
        <v>3800000</v>
      </c>
      <c r="L1558" s="192" t="s">
        <v>258</v>
      </c>
      <c r="M1558" s="192" t="s">
        <v>173</v>
      </c>
      <c r="N1558" s="52" t="str">
        <f>IF(AND('331-CT'!$E$7=TH!H1558,OR(L1558="331",M1558="331")),"331",IF(AND(OR(L1558="131",M1558="131"),H1558='131-CT'!$E$7),"131",""))</f>
        <v/>
      </c>
      <c r="O1558" s="818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52"/>
      <c r="AB1558" s="552"/>
      <c r="AC1558" s="552"/>
    </row>
    <row r="1559" spans="1:32" s="209" customFormat="1" ht="15.75" customHeight="1">
      <c r="A1559" s="202" t="str">
        <f>IF(B1559&lt;&gt;"",IF(AND(B1559&gt;=_TM1,B1559&lt;=_TM2,OR(TH!L1559="1111",TH!M1559="1111")),TH!D1559,""),"")</f>
        <v/>
      </c>
      <c r="B1559" s="36">
        <f t="shared" si="73"/>
        <v>10</v>
      </c>
      <c r="C1559" s="182">
        <f t="shared" si="72"/>
        <v>42661</v>
      </c>
      <c r="D1559" s="182" t="s">
        <v>1086</v>
      </c>
      <c r="E1559" s="189">
        <v>42661</v>
      </c>
      <c r="F1559" s="40" t="s">
        <v>1326</v>
      </c>
      <c r="G1559" s="451" t="s">
        <v>1322</v>
      </c>
      <c r="H1559" s="191" t="s">
        <v>1323</v>
      </c>
      <c r="I1559" s="252">
        <v>338</v>
      </c>
      <c r="J1559" s="252">
        <v>11000</v>
      </c>
      <c r="K1559" s="38">
        <f>ROUND(I1559*J1559,0)</f>
        <v>3718000</v>
      </c>
      <c r="L1559" s="192" t="s">
        <v>258</v>
      </c>
      <c r="M1559" s="192" t="s">
        <v>173</v>
      </c>
      <c r="N1559" s="52" t="str">
        <f>IF(AND('331-CT'!$E$7=TH!H1559,OR(L1559="331",M1559="331")),"331",IF(AND(OR(L1559="131",M1559="131"),H1559='131-CT'!$E$7),"131",""))</f>
        <v/>
      </c>
      <c r="O1559" s="818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52"/>
      <c r="AB1559" s="552"/>
      <c r="AC1559" s="552"/>
    </row>
    <row r="1560" spans="1:32" s="209" customFormat="1" ht="15.75" customHeight="1">
      <c r="A1560" s="202" t="str">
        <f>IF(B1560&lt;&gt;"",IF(AND(B1560&gt;=_TM1,B1560&lt;=_TM2,OR(TH!L1560="1111",TH!M1560="1111")),TH!D1560,""),"")</f>
        <v/>
      </c>
      <c r="B1560" s="36">
        <f t="shared" si="73"/>
        <v>10</v>
      </c>
      <c r="C1560" s="182">
        <f t="shared" si="72"/>
        <v>42661</v>
      </c>
      <c r="D1560" s="182" t="s">
        <v>1086</v>
      </c>
      <c r="E1560" s="189">
        <v>42661</v>
      </c>
      <c r="F1560" s="40" t="s">
        <v>1327</v>
      </c>
      <c r="G1560" s="451" t="s">
        <v>1322</v>
      </c>
      <c r="H1560" s="191" t="s">
        <v>1323</v>
      </c>
      <c r="I1560" s="252">
        <v>400</v>
      </c>
      <c r="J1560" s="252">
        <v>7200</v>
      </c>
      <c r="K1560" s="38">
        <f>ROUND(I1560*J1560,0)</f>
        <v>2880000</v>
      </c>
      <c r="L1560" s="192" t="s">
        <v>258</v>
      </c>
      <c r="M1560" s="192" t="s">
        <v>173</v>
      </c>
      <c r="N1560" s="52" t="str">
        <f>IF(AND('331-CT'!$E$7=TH!H1560,OR(L1560="331",M1560="331")),"331",IF(AND(OR(L1560="131",M1560="131"),H1560='131-CT'!$E$7),"131",""))</f>
        <v/>
      </c>
      <c r="O1560" s="818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52"/>
      <c r="AB1560" s="552"/>
      <c r="AC1560" s="552"/>
    </row>
    <row r="1561" spans="1:32" s="209" customFormat="1" ht="15.75" customHeight="1">
      <c r="A1561" s="202" t="str">
        <f>IF(B1561&lt;&gt;"",IF(AND(B1561&gt;=_TM1,B1561&lt;=_TM2,OR(TH!L1561="1111",TH!M1561="1111")),TH!D1561,""),"")</f>
        <v/>
      </c>
      <c r="B1561" s="36">
        <f t="shared" si="73"/>
        <v>10</v>
      </c>
      <c r="C1561" s="182">
        <f t="shared" si="72"/>
        <v>42661</v>
      </c>
      <c r="D1561" s="182" t="s">
        <v>1086</v>
      </c>
      <c r="E1561" s="189">
        <v>42661</v>
      </c>
      <c r="F1561" s="40" t="s">
        <v>1254</v>
      </c>
      <c r="G1561" s="451" t="s">
        <v>1322</v>
      </c>
      <c r="H1561" s="191" t="s">
        <v>1323</v>
      </c>
      <c r="I1561" s="252"/>
      <c r="J1561" s="252"/>
      <c r="K1561" s="38">
        <v>1039800</v>
      </c>
      <c r="L1561" s="192" t="s">
        <v>258</v>
      </c>
      <c r="M1561" s="192" t="s">
        <v>367</v>
      </c>
      <c r="N1561" s="52" t="str">
        <f>IF(AND('331-CT'!$E$7=TH!H1561,OR(L1561="331",M1561="331")),"331",IF(AND(OR(L1561="131",M1561="131"),H1561='131-CT'!$E$7),"131",""))</f>
        <v/>
      </c>
      <c r="O1561" s="818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52"/>
      <c r="AB1561" s="552"/>
    </row>
    <row r="1562" spans="1:32" s="209" customFormat="1" ht="15.75" customHeight="1">
      <c r="A1562" s="202" t="str">
        <f>IF(B1562&lt;&gt;"",IF(AND(B1562&gt;=_TM1,B1562&lt;=_TM2,OR(TH!L1562="1111",TH!M1562="1111")),TH!D1562,""),"")</f>
        <v/>
      </c>
      <c r="B1562" s="36">
        <f t="shared" si="73"/>
        <v>10</v>
      </c>
      <c r="C1562" s="182">
        <f t="shared" si="72"/>
        <v>42661</v>
      </c>
      <c r="D1562" s="182" t="s">
        <v>1087</v>
      </c>
      <c r="E1562" s="189">
        <v>42661</v>
      </c>
      <c r="F1562" s="40" t="s">
        <v>1329</v>
      </c>
      <c r="G1562" s="451" t="s">
        <v>1324</v>
      </c>
      <c r="H1562" s="191" t="s">
        <v>1328</v>
      </c>
      <c r="I1562" s="252">
        <v>203</v>
      </c>
      <c r="J1562" s="252">
        <v>8400</v>
      </c>
      <c r="K1562" s="38">
        <f>ROUND(I1562*J1562,0)</f>
        <v>1705200</v>
      </c>
      <c r="L1562" s="192" t="s">
        <v>258</v>
      </c>
      <c r="M1562" s="192" t="s">
        <v>173</v>
      </c>
      <c r="N1562" s="52" t="str">
        <f>IF(AND('331-CT'!$E$7=TH!H1562,OR(L1562="331",M1562="331")),"331",IF(AND(OR(L1562="131",M1562="131"),H1562='131-CT'!$E$7),"131",""))</f>
        <v/>
      </c>
      <c r="O1562" s="818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52"/>
      <c r="AB1562" s="552"/>
      <c r="AC1562" s="552"/>
    </row>
    <row r="1563" spans="1:32" s="209" customFormat="1" ht="15.75" customHeight="1">
      <c r="A1563" s="202" t="str">
        <f>IF(B1563&lt;&gt;"",IF(AND(B1563&gt;=_TM1,B1563&lt;=_TM2,OR(TH!L1563="1111",TH!M1563="1111")),TH!D1563,""),"")</f>
        <v/>
      </c>
      <c r="B1563" s="36">
        <f t="shared" si="73"/>
        <v>10</v>
      </c>
      <c r="C1563" s="182">
        <f t="shared" si="72"/>
        <v>42661</v>
      </c>
      <c r="D1563" s="182" t="s">
        <v>1087</v>
      </c>
      <c r="E1563" s="189">
        <v>42661</v>
      </c>
      <c r="F1563" s="40" t="s">
        <v>481</v>
      </c>
      <c r="G1563" s="451" t="s">
        <v>1324</v>
      </c>
      <c r="H1563" s="191" t="s">
        <v>1328</v>
      </c>
      <c r="I1563" s="252">
        <v>200</v>
      </c>
      <c r="J1563" s="252">
        <v>6600</v>
      </c>
      <c r="K1563" s="38">
        <f>ROUND(I1563*J1563,0)</f>
        <v>1320000</v>
      </c>
      <c r="L1563" s="192" t="s">
        <v>258</v>
      </c>
      <c r="M1563" s="192" t="s">
        <v>173</v>
      </c>
      <c r="N1563" s="52" t="str">
        <f>IF(AND('331-CT'!$E$7=TH!H1563,OR(L1563="331",M1563="331")),"331",IF(AND(OR(L1563="131",M1563="131"),H1563='131-CT'!$E$7),"131",""))</f>
        <v/>
      </c>
      <c r="O1563" s="818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52"/>
      <c r="AB1563" s="552"/>
      <c r="AC1563" s="552"/>
    </row>
    <row r="1564" spans="1:32" s="209" customFormat="1" ht="15.75" customHeight="1">
      <c r="A1564" s="202" t="str">
        <f>IF(B1564&lt;&gt;"",IF(AND(B1564&gt;=_TM1,B1564&lt;=_TM2,OR(TH!L1564="1111",TH!M1564="1111")),TH!D1564,""),"")</f>
        <v/>
      </c>
      <c r="B1564" s="36">
        <f t="shared" si="73"/>
        <v>10</v>
      </c>
      <c r="C1564" s="182">
        <f t="shared" si="72"/>
        <v>42661</v>
      </c>
      <c r="D1564" s="182" t="s">
        <v>1087</v>
      </c>
      <c r="E1564" s="189">
        <v>42661</v>
      </c>
      <c r="F1564" s="40" t="s">
        <v>1254</v>
      </c>
      <c r="G1564" s="451" t="s">
        <v>1324</v>
      </c>
      <c r="H1564" s="191" t="s">
        <v>1328</v>
      </c>
      <c r="I1564" s="252"/>
      <c r="J1564" s="252"/>
      <c r="K1564" s="38">
        <v>302520</v>
      </c>
      <c r="L1564" s="192" t="s">
        <v>258</v>
      </c>
      <c r="M1564" s="192" t="s">
        <v>367</v>
      </c>
      <c r="N1564" s="52" t="str">
        <f>IF(AND('331-CT'!$E$7=TH!H1564,OR(L1564="331",M1564="331")),"331",IF(AND(OR(L1564="131",M1564="131"),H1564='131-CT'!$E$7),"131",""))</f>
        <v/>
      </c>
      <c r="O1564" s="818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52"/>
      <c r="AB1564" s="552"/>
      <c r="AC1564" s="552"/>
    </row>
    <row r="1565" spans="1:32" s="209" customFormat="1" ht="15.75" customHeight="1">
      <c r="A1565" s="202" t="str">
        <f>IF(B1565&lt;&gt;"",IF(AND(B1565&gt;=_TM1,B1565&lt;=_TM2,OR(TH!L1565="1111",TH!M1565="1111")),TH!D1565,""),"")</f>
        <v/>
      </c>
      <c r="B1565" s="36">
        <f t="shared" si="73"/>
        <v>10</v>
      </c>
      <c r="C1565" s="182">
        <f t="shared" si="72"/>
        <v>42662</v>
      </c>
      <c r="D1565" s="182" t="s">
        <v>1088</v>
      </c>
      <c r="E1565" s="189">
        <v>42662</v>
      </c>
      <c r="F1565" s="40" t="s">
        <v>1327</v>
      </c>
      <c r="G1565" s="451" t="s">
        <v>1330</v>
      </c>
      <c r="H1565" s="191" t="s">
        <v>1323</v>
      </c>
      <c r="I1565" s="252">
        <v>934</v>
      </c>
      <c r="J1565" s="252">
        <v>7200</v>
      </c>
      <c r="K1565" s="38">
        <f>ROUND(I1565*J1565,0)</f>
        <v>6724800</v>
      </c>
      <c r="L1565" s="192" t="s">
        <v>258</v>
      </c>
      <c r="M1565" s="192" t="s">
        <v>173</v>
      </c>
      <c r="N1565" s="52" t="str">
        <f>IF(AND('331-CT'!$E$7=TH!H1565,OR(L1565="331",M1565="331")),"331",IF(AND(OR(L1565="131",M1565="131"),H1565='131-CT'!$E$7),"131",""))</f>
        <v/>
      </c>
      <c r="O1565" s="818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52"/>
      <c r="AB1565" s="552"/>
      <c r="AC1565" s="552"/>
    </row>
    <row r="1566" spans="1:32" s="209" customFormat="1" ht="15.75" customHeight="1">
      <c r="A1566" s="202" t="str">
        <f>IF(B1566&lt;&gt;"",IF(AND(B1566&gt;=_TM1,B1566&lt;=_TM2,OR(TH!L1566="1111",TH!M1566="1111")),TH!D1566,""),"")</f>
        <v/>
      </c>
      <c r="B1566" s="36">
        <f t="shared" si="73"/>
        <v>10</v>
      </c>
      <c r="C1566" s="182">
        <f t="shared" si="72"/>
        <v>42662</v>
      </c>
      <c r="D1566" s="182" t="s">
        <v>1088</v>
      </c>
      <c r="E1566" s="189">
        <v>42662</v>
      </c>
      <c r="F1566" s="40" t="s">
        <v>1254</v>
      </c>
      <c r="G1566" s="451" t="s">
        <v>1330</v>
      </c>
      <c r="H1566" s="191" t="s">
        <v>1323</v>
      </c>
      <c r="I1566" s="252"/>
      <c r="J1566" s="252"/>
      <c r="K1566" s="38">
        <v>672480</v>
      </c>
      <c r="L1566" s="192" t="s">
        <v>258</v>
      </c>
      <c r="M1566" s="192" t="s">
        <v>367</v>
      </c>
      <c r="N1566" s="52" t="str">
        <f>IF(AND('331-CT'!$E$7=TH!H1566,OR(L1566="331",M1566="331")),"331",IF(AND(OR(L1566="131",M1566="131"),H1566='131-CT'!$E$7),"131",""))</f>
        <v/>
      </c>
      <c r="O1566" s="818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52"/>
      <c r="AB1566" s="552"/>
      <c r="AC1566" s="552"/>
    </row>
    <row r="1567" spans="1:32" s="209" customFormat="1" ht="15.75" customHeight="1">
      <c r="A1567" s="202" t="str">
        <f>IF(B1567&lt;&gt;"",IF(AND(B1567&gt;=_TM1,B1567&lt;=_TM2,OR(TH!L1567="1111",TH!M1567="1111")),TH!D1567,""),"")</f>
        <v/>
      </c>
      <c r="B1567" s="36">
        <f t="shared" si="73"/>
        <v>10</v>
      </c>
      <c r="C1567" s="182">
        <f t="shared" si="72"/>
        <v>42662</v>
      </c>
      <c r="D1567" s="182" t="s">
        <v>1089</v>
      </c>
      <c r="E1567" s="189">
        <v>42662</v>
      </c>
      <c r="F1567" s="40" t="s">
        <v>1256</v>
      </c>
      <c r="G1567" s="451" t="s">
        <v>1331</v>
      </c>
      <c r="H1567" s="7" t="s">
        <v>391</v>
      </c>
      <c r="I1567" s="252">
        <v>617</v>
      </c>
      <c r="J1567" s="252">
        <v>5550</v>
      </c>
      <c r="K1567" s="38">
        <f>ROUND(I1567*J1567,0)</f>
        <v>3424350</v>
      </c>
      <c r="L1567" s="192" t="s">
        <v>258</v>
      </c>
      <c r="M1567" s="192" t="s">
        <v>173</v>
      </c>
      <c r="N1567" s="52" t="str">
        <f>IF(AND('331-CT'!$E$7=TH!H1567,OR(L1567="331",M1567="331")),"331",IF(AND(OR(L1567="131",M1567="131"),H1567='131-CT'!$E$7),"131",""))</f>
        <v/>
      </c>
      <c r="O1567" s="818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52"/>
      <c r="AB1567" s="552"/>
    </row>
    <row r="1568" spans="1:32" s="209" customFormat="1" ht="15.75" customHeight="1">
      <c r="A1568" s="202" t="str">
        <f>IF(B1568&lt;&gt;"",IF(AND(B1568&gt;=_TM1,B1568&lt;=_TM2,OR(TH!L1568="1111",TH!M1568="1111")),TH!D1568,""),"")</f>
        <v/>
      </c>
      <c r="B1568" s="36">
        <f t="shared" si="73"/>
        <v>10</v>
      </c>
      <c r="C1568" s="182">
        <f t="shared" si="72"/>
        <v>42662</v>
      </c>
      <c r="D1568" s="182" t="s">
        <v>1089</v>
      </c>
      <c r="E1568" s="189">
        <v>42662</v>
      </c>
      <c r="F1568" s="40" t="s">
        <v>626</v>
      </c>
      <c r="G1568" s="451" t="s">
        <v>1331</v>
      </c>
      <c r="H1568" s="7" t="s">
        <v>391</v>
      </c>
      <c r="I1568" s="252">
        <v>322</v>
      </c>
      <c r="J1568" s="252">
        <v>9290</v>
      </c>
      <c r="K1568" s="38">
        <f>ROUND(I1568*J1568,0)</f>
        <v>2991380</v>
      </c>
      <c r="L1568" s="192" t="s">
        <v>258</v>
      </c>
      <c r="M1568" s="192" t="s">
        <v>173</v>
      </c>
      <c r="N1568" s="52" t="str">
        <f>IF(AND('331-CT'!$E$7=TH!H1568,OR(L1568="331",M1568="331")),"331",IF(AND(OR(L1568="131",M1568="131"),H1568='131-CT'!$E$7),"131",""))</f>
        <v/>
      </c>
      <c r="O1568" s="818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52"/>
      <c r="AB1568" s="552"/>
      <c r="AC1568" s="552"/>
    </row>
    <row r="1569" spans="1:29" s="209" customFormat="1" ht="15.75" customHeight="1">
      <c r="A1569" s="202" t="str">
        <f>IF(B1569&lt;&gt;"",IF(AND(B1569&gt;=_TM1,B1569&lt;=_TM2,OR(TH!L1569="1111",TH!M1569="1111")),TH!D1569,""),"")</f>
        <v/>
      </c>
      <c r="B1569" s="36">
        <f t="shared" si="73"/>
        <v>10</v>
      </c>
      <c r="C1569" s="182">
        <f t="shared" si="72"/>
        <v>42662</v>
      </c>
      <c r="D1569" s="182" t="s">
        <v>1089</v>
      </c>
      <c r="E1569" s="189">
        <v>42662</v>
      </c>
      <c r="F1569" s="40" t="s">
        <v>1254</v>
      </c>
      <c r="G1569" s="451" t="s">
        <v>1331</v>
      </c>
      <c r="H1569" s="7" t="s">
        <v>391</v>
      </c>
      <c r="I1569" s="252"/>
      <c r="J1569" s="252"/>
      <c r="K1569" s="38">
        <v>641573</v>
      </c>
      <c r="L1569" s="192" t="s">
        <v>258</v>
      </c>
      <c r="M1569" s="192" t="s">
        <v>367</v>
      </c>
      <c r="N1569" s="52" t="str">
        <f>IF(AND('331-CT'!$E$7=TH!H1569,OR(L1569="331",M1569="331")),"331",IF(AND(OR(L1569="131",M1569="131"),H1569='131-CT'!$E$7),"131",""))</f>
        <v/>
      </c>
      <c r="O1569" s="818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52"/>
      <c r="AB1569" s="552"/>
      <c r="AC1569" s="552"/>
    </row>
    <row r="1570" spans="1:29" s="209" customFormat="1" ht="15.75" customHeight="1">
      <c r="A1570" s="202" t="str">
        <f>IF(B1570&lt;&gt;"",IF(AND(B1570&gt;=_TM1,B1570&lt;=_TM2,OR(TH!L1570="1111",TH!M1570="1111")),TH!D1570,""),"")</f>
        <v>C05</v>
      </c>
      <c r="B1570" s="36">
        <f t="shared" si="73"/>
        <v>10</v>
      </c>
      <c r="C1570" s="182">
        <f t="shared" si="72"/>
        <v>42663</v>
      </c>
      <c r="D1570" s="182" t="s">
        <v>1627</v>
      </c>
      <c r="E1570" s="189">
        <v>42663</v>
      </c>
      <c r="F1570" s="187" t="s">
        <v>754</v>
      </c>
      <c r="G1570" s="190" t="s">
        <v>1287</v>
      </c>
      <c r="H1570" s="191" t="s">
        <v>1282</v>
      </c>
      <c r="I1570" s="251"/>
      <c r="J1570" s="251"/>
      <c r="K1570" s="560">
        <v>90000000</v>
      </c>
      <c r="L1570" s="192" t="s">
        <v>24</v>
      </c>
      <c r="M1570" s="561" t="s">
        <v>47</v>
      </c>
      <c r="N1570" s="52" t="str">
        <f>IF(AND('331-CT'!$E$7=TH!H1570,OR(L1570="331",M1570="331")),"331",IF(AND(OR(L1570="131",M1570="131"),H1570='131-CT'!$E$7),"131",""))</f>
        <v/>
      </c>
      <c r="O1570" s="818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>x</v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53"/>
      <c r="AB1570" s="552"/>
      <c r="AC1570" s="552"/>
    </row>
    <row r="1571" spans="1:29" s="209" customFormat="1" ht="15.75" customHeight="1">
      <c r="A1571" s="202" t="str">
        <f>IF(B1571&lt;&gt;"",IF(AND(B1571&gt;=_TM1,B1571&lt;=_TM2,OR(TH!L1571="1111",TH!M1571="1111")),TH!D1571,""),"")</f>
        <v/>
      </c>
      <c r="B1571" s="36">
        <f t="shared" si="73"/>
        <v>10</v>
      </c>
      <c r="C1571" s="182">
        <f t="shared" si="72"/>
        <v>42663</v>
      </c>
      <c r="D1571" s="182" t="s">
        <v>669</v>
      </c>
      <c r="E1571" s="189">
        <v>42663</v>
      </c>
      <c r="F1571" s="187" t="s">
        <v>1464</v>
      </c>
      <c r="G1571" s="190" t="s">
        <v>1287</v>
      </c>
      <c r="H1571" s="191" t="s">
        <v>1291</v>
      </c>
      <c r="I1571" s="251"/>
      <c r="J1571" s="251"/>
      <c r="K1571" s="560">
        <v>90000000</v>
      </c>
      <c r="L1571" s="561" t="s">
        <v>759</v>
      </c>
      <c r="M1571" s="561" t="s">
        <v>24</v>
      </c>
      <c r="N1571" s="52" t="str">
        <f>IF(AND('331-CT'!$E$7=TH!H1571,OR(L1571="331",M1571="331")),"331",IF(AND(OR(L1571="131",M1571="131"),H1571='131-CT'!$E$7),"131",""))</f>
        <v/>
      </c>
      <c r="O1571" s="818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>x</v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53"/>
      <c r="AB1571" s="552"/>
    </row>
    <row r="1572" spans="1:29" s="209" customFormat="1" ht="15.75" customHeight="1">
      <c r="A1572" s="202" t="str">
        <f>IF(B1572&lt;&gt;"",IF(AND(B1572&gt;=_TM1,B1572&lt;=_TM2,OR(TH!L1572="1111",TH!M1572="1111")),TH!D1572,""),"")</f>
        <v>T03</v>
      </c>
      <c r="B1572" s="36">
        <f t="shared" si="73"/>
        <v>10</v>
      </c>
      <c r="C1572" s="182">
        <f t="shared" si="72"/>
        <v>42664</v>
      </c>
      <c r="D1572" s="182" t="s">
        <v>359</v>
      </c>
      <c r="E1572" s="189">
        <v>42664</v>
      </c>
      <c r="F1572" s="187" t="s">
        <v>776</v>
      </c>
      <c r="G1572" s="190" t="s">
        <v>1287</v>
      </c>
      <c r="H1572" s="191" t="s">
        <v>675</v>
      </c>
      <c r="I1572" s="251"/>
      <c r="J1572" s="251"/>
      <c r="K1572" s="560">
        <v>5000000</v>
      </c>
      <c r="L1572" s="561" t="s">
        <v>47</v>
      </c>
      <c r="M1572" s="561" t="s">
        <v>24</v>
      </c>
      <c r="N1572" s="52" t="str">
        <f>IF(AND('331-CT'!$E$7=TH!H1572,OR(L1572="331",M1572="331")),"331",IF(AND(OR(L1572="131",M1572="131"),H1572='131-CT'!$E$7),"131",""))</f>
        <v/>
      </c>
      <c r="O1572" s="818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>x</v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53"/>
      <c r="AB1572" s="552"/>
      <c r="AC1572" s="552"/>
    </row>
    <row r="1573" spans="1:29" s="209" customFormat="1" ht="15.75" customHeight="1">
      <c r="A1573" s="202" t="str">
        <f>IF(B1573&lt;&gt;"",IF(AND(B1573&gt;=_TM1,B1573&lt;=_TM2,OR(TH!L1573="1111",TH!M1573="1111")),TH!D1573,""),"")</f>
        <v>C06</v>
      </c>
      <c r="B1573" s="36">
        <f t="shared" si="73"/>
        <v>10</v>
      </c>
      <c r="C1573" s="182">
        <f t="shared" si="72"/>
        <v>42664</v>
      </c>
      <c r="D1573" s="182" t="s">
        <v>1628</v>
      </c>
      <c r="E1573" s="189">
        <v>42664</v>
      </c>
      <c r="F1573" s="187" t="s">
        <v>754</v>
      </c>
      <c r="G1573" s="190" t="s">
        <v>1287</v>
      </c>
      <c r="H1573" s="191" t="s">
        <v>675</v>
      </c>
      <c r="I1573" s="251"/>
      <c r="J1573" s="251"/>
      <c r="K1573" s="560">
        <v>300000</v>
      </c>
      <c r="L1573" s="561" t="s">
        <v>24</v>
      </c>
      <c r="M1573" s="561" t="s">
        <v>47</v>
      </c>
      <c r="N1573" s="52" t="str">
        <f>IF(AND('331-CT'!$E$7=TH!H1573,OR(L1573="331",M1573="331")),"331",IF(AND(OR(L1573="131",M1573="131"),H1573='131-CT'!$E$7),"131",""))</f>
        <v/>
      </c>
      <c r="O1573" s="818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>x</v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53"/>
      <c r="AB1573" s="552"/>
      <c r="AC1573" s="552"/>
    </row>
    <row r="1574" spans="1:29" s="209" customFormat="1" ht="15.75" customHeight="1">
      <c r="A1574" s="202" t="str">
        <f>IF(B1574&lt;&gt;"",IF(AND(B1574&gt;=_TM1,B1574&lt;=_TM2,OR(TH!L1574="1111",TH!M1574="1111")),TH!D1574,""),"")</f>
        <v/>
      </c>
      <c r="B1574" s="36">
        <f t="shared" si="73"/>
        <v>10</v>
      </c>
      <c r="C1574" s="182">
        <f t="shared" si="72"/>
        <v>42664</v>
      </c>
      <c r="D1574" s="182" t="s">
        <v>1090</v>
      </c>
      <c r="E1574" s="189">
        <v>42664</v>
      </c>
      <c r="F1574" s="187" t="s">
        <v>1441</v>
      </c>
      <c r="G1574" s="451" t="s">
        <v>1332</v>
      </c>
      <c r="H1574" s="7" t="s">
        <v>615</v>
      </c>
      <c r="I1574" s="252">
        <v>1800</v>
      </c>
      <c r="J1574" s="252">
        <v>3970</v>
      </c>
      <c r="K1574" s="38">
        <f t="shared" ref="K1574:K1581" si="74">ROUND(I1574*J1574,0)</f>
        <v>7146000</v>
      </c>
      <c r="L1574" s="192" t="s">
        <v>258</v>
      </c>
      <c r="M1574" s="192" t="s">
        <v>173</v>
      </c>
      <c r="N1574" s="52" t="str">
        <f>IF(AND('331-CT'!$E$7=TH!H1574,OR(L1574="331",M1574="331")),"331",IF(AND(OR(L1574="131",M1574="131"),H1574='131-CT'!$E$7),"131",""))</f>
        <v/>
      </c>
      <c r="O1574" s="818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52"/>
      <c r="AB1574" s="552"/>
      <c r="AC1574" s="552"/>
    </row>
    <row r="1575" spans="1:29" s="209" customFormat="1" ht="15.75" customHeight="1">
      <c r="A1575" s="202" t="str">
        <f>IF(B1575&lt;&gt;"",IF(AND(B1575&gt;=_TM1,B1575&lt;=_TM2,OR(TH!L1575="1111",TH!M1575="1111")),TH!D1575,""),"")</f>
        <v/>
      </c>
      <c r="B1575" s="36">
        <f t="shared" si="73"/>
        <v>10</v>
      </c>
      <c r="C1575" s="182">
        <f t="shared" si="72"/>
        <v>42664</v>
      </c>
      <c r="D1575" s="182" t="s">
        <v>1090</v>
      </c>
      <c r="E1575" s="189">
        <v>42664</v>
      </c>
      <c r="F1575" s="187" t="s">
        <v>1307</v>
      </c>
      <c r="G1575" s="451" t="s">
        <v>1332</v>
      </c>
      <c r="H1575" s="7" t="s">
        <v>615</v>
      </c>
      <c r="I1575" s="252">
        <v>30</v>
      </c>
      <c r="J1575" s="252">
        <v>12400</v>
      </c>
      <c r="K1575" s="38">
        <f t="shared" si="74"/>
        <v>372000</v>
      </c>
      <c r="L1575" s="192" t="s">
        <v>258</v>
      </c>
      <c r="M1575" s="192" t="s">
        <v>173</v>
      </c>
      <c r="N1575" s="52" t="str">
        <f>IF(AND('331-CT'!$E$7=TH!H1575,OR(L1575="331",M1575="331")),"331",IF(AND(OR(L1575="131",M1575="131"),H1575='131-CT'!$E$7),"131",""))</f>
        <v/>
      </c>
      <c r="O1575" s="818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52"/>
      <c r="AB1575" s="552"/>
      <c r="AC1575" s="552"/>
    </row>
    <row r="1576" spans="1:29" s="209" customFormat="1" ht="15.75" customHeight="1">
      <c r="A1576" s="202" t="str">
        <f>IF(B1576&lt;&gt;"",IF(AND(B1576&gt;=_TM1,B1576&lt;=_TM2,OR(TH!L1576="1111",TH!M1576="1111")),TH!D1576,""),"")</f>
        <v/>
      </c>
      <c r="B1576" s="36">
        <f t="shared" si="73"/>
        <v>10</v>
      </c>
      <c r="C1576" s="182">
        <f t="shared" si="72"/>
        <v>42664</v>
      </c>
      <c r="D1576" s="182" t="s">
        <v>1090</v>
      </c>
      <c r="E1576" s="189">
        <v>42664</v>
      </c>
      <c r="F1576" s="187" t="s">
        <v>1307</v>
      </c>
      <c r="G1576" s="451" t="s">
        <v>1332</v>
      </c>
      <c r="H1576" s="7" t="s">
        <v>615</v>
      </c>
      <c r="I1576" s="252">
        <v>30</v>
      </c>
      <c r="J1576" s="252">
        <v>14200</v>
      </c>
      <c r="K1576" s="38">
        <f t="shared" si="74"/>
        <v>426000</v>
      </c>
      <c r="L1576" s="192" t="s">
        <v>258</v>
      </c>
      <c r="M1576" s="192" t="s">
        <v>173</v>
      </c>
      <c r="N1576" s="52" t="str">
        <f>IF(AND('331-CT'!$E$7=TH!H1576,OR(L1576="331",M1576="331")),"331",IF(AND(OR(L1576="131",M1576="131"),H1576='131-CT'!$E$7),"131",""))</f>
        <v/>
      </c>
      <c r="O1576" s="818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52"/>
      <c r="AB1576" s="552"/>
    </row>
    <row r="1577" spans="1:29" s="209" customFormat="1" ht="15.75" customHeight="1">
      <c r="A1577" s="202" t="str">
        <f>IF(B1577&lt;&gt;"",IF(AND(B1577&gt;=_TM1,B1577&lt;=_TM2,OR(TH!L1577="1111",TH!M1577="1111")),TH!D1577,""),"")</f>
        <v/>
      </c>
      <c r="B1577" s="36">
        <f t="shared" si="73"/>
        <v>10</v>
      </c>
      <c r="C1577" s="182">
        <f t="shared" si="72"/>
        <v>42664</v>
      </c>
      <c r="D1577" s="182" t="s">
        <v>1090</v>
      </c>
      <c r="E1577" s="189">
        <v>42664</v>
      </c>
      <c r="F1577" s="187" t="s">
        <v>1310</v>
      </c>
      <c r="G1577" s="451" t="s">
        <v>1332</v>
      </c>
      <c r="H1577" s="7" t="s">
        <v>615</v>
      </c>
      <c r="I1577" s="252">
        <v>30</v>
      </c>
      <c r="J1577" s="252">
        <v>15300</v>
      </c>
      <c r="K1577" s="38">
        <f t="shared" si="74"/>
        <v>459000</v>
      </c>
      <c r="L1577" s="192" t="s">
        <v>258</v>
      </c>
      <c r="M1577" s="192" t="s">
        <v>173</v>
      </c>
      <c r="N1577" s="52" t="str">
        <f>IF(AND('331-CT'!$E$7=TH!H1577,OR(L1577="331",M1577="331")),"331",IF(AND(OR(L1577="131",M1577="131"),H1577='131-CT'!$E$7),"131",""))</f>
        <v/>
      </c>
      <c r="O1577" s="818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52"/>
      <c r="AB1577" s="552"/>
      <c r="AC1577" s="552"/>
    </row>
    <row r="1578" spans="1:29" s="209" customFormat="1" ht="15.75" customHeight="1">
      <c r="A1578" s="202" t="str">
        <f>IF(B1578&lt;&gt;"",IF(AND(B1578&gt;=_TM1,B1578&lt;=_TM2,OR(TH!L1578="1111",TH!M1578="1111")),TH!D1578,""),"")</f>
        <v/>
      </c>
      <c r="B1578" s="36">
        <f t="shared" si="73"/>
        <v>10</v>
      </c>
      <c r="C1578" s="182">
        <f t="shared" si="72"/>
        <v>42664</v>
      </c>
      <c r="D1578" s="182" t="s">
        <v>1090</v>
      </c>
      <c r="E1578" s="189">
        <v>42664</v>
      </c>
      <c r="F1578" s="187" t="s">
        <v>1308</v>
      </c>
      <c r="G1578" s="451" t="s">
        <v>1332</v>
      </c>
      <c r="H1578" s="7" t="s">
        <v>615</v>
      </c>
      <c r="I1578" s="252">
        <v>30</v>
      </c>
      <c r="J1578" s="252">
        <v>16500</v>
      </c>
      <c r="K1578" s="38">
        <f t="shared" si="74"/>
        <v>495000</v>
      </c>
      <c r="L1578" s="192" t="s">
        <v>258</v>
      </c>
      <c r="M1578" s="192" t="s">
        <v>173</v>
      </c>
      <c r="N1578" s="52" t="str">
        <f>IF(AND('331-CT'!$E$7=TH!H1578,OR(L1578="331",M1578="331")),"331",IF(AND(OR(L1578="131",M1578="131"),H1578='131-CT'!$E$7),"131",""))</f>
        <v/>
      </c>
      <c r="O1578" s="818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52"/>
      <c r="AB1578" s="552"/>
    </row>
    <row r="1579" spans="1:29" s="209" customFormat="1" ht="15.75" customHeight="1">
      <c r="A1579" s="202" t="str">
        <f>IF(B1579&lt;&gt;"",IF(AND(B1579&gt;=_TM1,B1579&lt;=_TM2,OR(TH!L1579="1111",TH!M1579="1111")),TH!D1579,""),"")</f>
        <v/>
      </c>
      <c r="B1579" s="36">
        <f t="shared" si="73"/>
        <v>10</v>
      </c>
      <c r="C1579" s="182">
        <f t="shared" si="72"/>
        <v>42664</v>
      </c>
      <c r="D1579" s="182" t="s">
        <v>1090</v>
      </c>
      <c r="E1579" s="189">
        <v>42664</v>
      </c>
      <c r="F1579" s="187" t="s">
        <v>1309</v>
      </c>
      <c r="G1579" s="451" t="s">
        <v>1332</v>
      </c>
      <c r="H1579" s="7" t="s">
        <v>615</v>
      </c>
      <c r="I1579" s="252">
        <v>100</v>
      </c>
      <c r="J1579" s="252">
        <v>19700</v>
      </c>
      <c r="K1579" s="38">
        <f t="shared" si="74"/>
        <v>1970000</v>
      </c>
      <c r="L1579" s="192" t="s">
        <v>258</v>
      </c>
      <c r="M1579" s="192" t="s">
        <v>173</v>
      </c>
      <c r="N1579" s="52" t="str">
        <f>IF(AND('331-CT'!$E$7=TH!H1579,OR(L1579="331",M1579="331")),"331",IF(AND(OR(L1579="131",M1579="131"),H1579='131-CT'!$E$7),"131",""))</f>
        <v/>
      </c>
      <c r="O1579" s="818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52"/>
      <c r="AB1579" s="552"/>
      <c r="AC1579" s="552"/>
    </row>
    <row r="1580" spans="1:29" s="209" customFormat="1" ht="15.75" customHeight="1">
      <c r="A1580" s="202" t="str">
        <f>IF(B1580&lt;&gt;"",IF(AND(B1580&gt;=_TM1,B1580&lt;=_TM2,OR(TH!L1580="1111",TH!M1580="1111")),TH!D1580,""),"")</f>
        <v/>
      </c>
      <c r="B1580" s="36">
        <f t="shared" si="73"/>
        <v>10</v>
      </c>
      <c r="C1580" s="182">
        <f t="shared" si="72"/>
        <v>42664</v>
      </c>
      <c r="D1580" s="182" t="s">
        <v>1090</v>
      </c>
      <c r="E1580" s="189">
        <v>42664</v>
      </c>
      <c r="F1580" s="187" t="s">
        <v>1436</v>
      </c>
      <c r="G1580" s="451" t="s">
        <v>1332</v>
      </c>
      <c r="H1580" s="7" t="s">
        <v>615</v>
      </c>
      <c r="I1580" s="674">
        <v>30</v>
      </c>
      <c r="J1580" s="674">
        <v>20100</v>
      </c>
      <c r="K1580" s="38">
        <f t="shared" si="74"/>
        <v>603000</v>
      </c>
      <c r="L1580" s="192" t="s">
        <v>258</v>
      </c>
      <c r="M1580" s="192" t="s">
        <v>173</v>
      </c>
      <c r="N1580" s="52" t="str">
        <f>IF(AND('331-CT'!$E$7=TH!H1580,OR(L1580="331",M1580="331")),"331",IF(AND(OR(L1580="131",M1580="131"),H1580='131-CT'!$E$7),"131",""))</f>
        <v/>
      </c>
      <c r="O1580" s="818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52"/>
      <c r="AB1580" s="552"/>
      <c r="AC1580" s="552"/>
    </row>
    <row r="1581" spans="1:29" s="209" customFormat="1" ht="15.75" customHeight="1">
      <c r="A1581" s="202" t="str">
        <f>IF(B1581&lt;&gt;"",IF(AND(B1581&gt;=_TM1,B1581&lt;=_TM2,OR(TH!L1581="1111",TH!M1581="1111")),TH!D1581,""),"")</f>
        <v/>
      </c>
      <c r="B1581" s="36">
        <f t="shared" si="73"/>
        <v>10</v>
      </c>
      <c r="C1581" s="182">
        <f t="shared" si="72"/>
        <v>42664</v>
      </c>
      <c r="D1581" s="182" t="s">
        <v>1090</v>
      </c>
      <c r="E1581" s="189">
        <v>42664</v>
      </c>
      <c r="F1581" s="190" t="s">
        <v>1446</v>
      </c>
      <c r="G1581" s="451" t="s">
        <v>1332</v>
      </c>
      <c r="H1581" s="7" t="s">
        <v>615</v>
      </c>
      <c r="I1581" s="674">
        <v>70</v>
      </c>
      <c r="J1581" s="674">
        <v>18300</v>
      </c>
      <c r="K1581" s="38">
        <f t="shared" si="74"/>
        <v>1281000</v>
      </c>
      <c r="L1581" s="192" t="s">
        <v>258</v>
      </c>
      <c r="M1581" s="192" t="s">
        <v>173</v>
      </c>
      <c r="N1581" s="52" t="str">
        <f>IF(AND('331-CT'!$E$7=TH!H1581,OR(L1581="331",M1581="331")),"331",IF(AND(OR(L1581="131",M1581="131"),H1581='131-CT'!$E$7),"131",""))</f>
        <v/>
      </c>
      <c r="O1581" s="818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52"/>
      <c r="AB1581" s="552"/>
    </row>
    <row r="1582" spans="1:29" s="209" customFormat="1" ht="15.75" customHeight="1">
      <c r="A1582" s="202" t="str">
        <f>IF(B1582&lt;&gt;"",IF(AND(B1582&gt;=_TM1,B1582&lt;=_TM2,OR(TH!L1582="1111",TH!M1582="1111")),TH!D1582,""),"")</f>
        <v/>
      </c>
      <c r="B1582" s="36">
        <f t="shared" si="73"/>
        <v>10</v>
      </c>
      <c r="C1582" s="182">
        <f t="shared" si="72"/>
        <v>42664</v>
      </c>
      <c r="D1582" s="182" t="s">
        <v>1090</v>
      </c>
      <c r="E1582" s="189">
        <v>42664</v>
      </c>
      <c r="F1582" s="40" t="s">
        <v>1254</v>
      </c>
      <c r="G1582" s="451" t="s">
        <v>1332</v>
      </c>
      <c r="H1582" s="7" t="s">
        <v>615</v>
      </c>
      <c r="I1582" s="674"/>
      <c r="J1582" s="674"/>
      <c r="K1582" s="38">
        <v>1275200</v>
      </c>
      <c r="L1582" s="192" t="s">
        <v>258</v>
      </c>
      <c r="M1582" s="192" t="s">
        <v>367</v>
      </c>
      <c r="N1582" s="52" t="str">
        <f>IF(AND('331-CT'!$E$7=TH!H1582,OR(L1582="331",M1582="331")),"331",IF(AND(OR(L1582="131",M1582="131"),H1582='131-CT'!$E$7),"131",""))</f>
        <v/>
      </c>
      <c r="O1582" s="818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52"/>
      <c r="AB1582" s="552"/>
      <c r="AC1582" s="552"/>
    </row>
    <row r="1583" spans="1:29" s="209" customFormat="1" ht="15.75" customHeight="1">
      <c r="A1583" s="202" t="str">
        <f>IF(B1583&lt;&gt;"",IF(AND(B1583&gt;=_TM1,B1583&lt;=_TM2,OR(TH!L1583="1111",TH!M1583="1111")),TH!D1583,""),"")</f>
        <v/>
      </c>
      <c r="B1583" s="36">
        <f t="shared" si="73"/>
        <v>10</v>
      </c>
      <c r="C1583" s="182">
        <f t="shared" si="72"/>
        <v>42665</v>
      </c>
      <c r="D1583" s="182" t="s">
        <v>1091</v>
      </c>
      <c r="E1583" s="189">
        <v>42665</v>
      </c>
      <c r="F1583" s="40" t="s">
        <v>1334</v>
      </c>
      <c r="G1583" s="451" t="s">
        <v>1333</v>
      </c>
      <c r="H1583" s="7" t="s">
        <v>417</v>
      </c>
      <c r="I1583" s="674">
        <v>296</v>
      </c>
      <c r="J1583" s="674">
        <v>12900</v>
      </c>
      <c r="K1583" s="38">
        <f>ROUND(I1583*J1583,0)</f>
        <v>3818400</v>
      </c>
      <c r="L1583" s="192" t="s">
        <v>258</v>
      </c>
      <c r="M1583" s="192" t="s">
        <v>173</v>
      </c>
      <c r="N1583" s="52" t="str">
        <f>IF(AND('331-CT'!$E$7=TH!H1583,OR(L1583="331",M1583="331")),"331",IF(AND(OR(L1583="131",M1583="131"),H1583='131-CT'!$E$7),"131",""))</f>
        <v/>
      </c>
      <c r="O1583" s="818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52"/>
      <c r="AB1583" s="552"/>
      <c r="AC1583" s="552"/>
    </row>
    <row r="1584" spans="1:29" s="209" customFormat="1" ht="15.75" customHeight="1">
      <c r="A1584" s="202" t="str">
        <f>IF(B1584&lt;&gt;"",IF(AND(B1584&gt;=_TM1,B1584&lt;=_TM2,OR(TH!L1584="1111",TH!M1584="1111")),TH!D1584,""),"")</f>
        <v/>
      </c>
      <c r="B1584" s="36">
        <f t="shared" si="73"/>
        <v>10</v>
      </c>
      <c r="C1584" s="182">
        <f t="shared" si="72"/>
        <v>42665</v>
      </c>
      <c r="D1584" s="182" t="s">
        <v>1091</v>
      </c>
      <c r="E1584" s="189">
        <v>42665</v>
      </c>
      <c r="F1584" s="40" t="s">
        <v>1335</v>
      </c>
      <c r="G1584" s="451" t="s">
        <v>1333</v>
      </c>
      <c r="H1584" s="7" t="s">
        <v>417</v>
      </c>
      <c r="I1584" s="674">
        <v>100</v>
      </c>
      <c r="J1584" s="674">
        <v>6400</v>
      </c>
      <c r="K1584" s="38">
        <f>ROUND(I1584*J1584,0)</f>
        <v>640000</v>
      </c>
      <c r="L1584" s="192" t="s">
        <v>258</v>
      </c>
      <c r="M1584" s="192" t="s">
        <v>173</v>
      </c>
      <c r="N1584" s="52" t="str">
        <f>IF(AND('331-CT'!$E$7=TH!H1584,OR(L1584="331",M1584="331")),"331",IF(AND(OR(L1584="131",M1584="131"),H1584='131-CT'!$E$7),"131",""))</f>
        <v/>
      </c>
      <c r="O1584" s="818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52"/>
      <c r="AB1584" s="552"/>
      <c r="AC1584" s="552"/>
    </row>
    <row r="1585" spans="1:29" s="209" customFormat="1" ht="15.75" customHeight="1">
      <c r="A1585" s="202" t="str">
        <f>IF(B1585&lt;&gt;"",IF(AND(B1585&gt;=_TM1,B1585&lt;=_TM2,OR(TH!L1585="1111",TH!M1585="1111")),TH!D1585,""),"")</f>
        <v/>
      </c>
      <c r="B1585" s="36">
        <f t="shared" si="73"/>
        <v>10</v>
      </c>
      <c r="C1585" s="182">
        <f t="shared" si="72"/>
        <v>42665</v>
      </c>
      <c r="D1585" s="182" t="s">
        <v>1091</v>
      </c>
      <c r="E1585" s="189">
        <v>42665</v>
      </c>
      <c r="F1585" s="40" t="s">
        <v>1336</v>
      </c>
      <c r="G1585" s="451" t="s">
        <v>1333</v>
      </c>
      <c r="H1585" s="7" t="s">
        <v>417</v>
      </c>
      <c r="I1585" s="252">
        <v>52</v>
      </c>
      <c r="J1585" s="252">
        <v>10500</v>
      </c>
      <c r="K1585" s="38">
        <f>ROUND(I1585*J1585,0)</f>
        <v>546000</v>
      </c>
      <c r="L1585" s="192" t="s">
        <v>258</v>
      </c>
      <c r="M1585" s="192" t="s">
        <v>173</v>
      </c>
      <c r="N1585" s="52" t="str">
        <f>IF(AND('331-CT'!$E$7=TH!H1585,OR(L1585="331",M1585="331")),"331",IF(AND(OR(L1585="131",M1585="131"),H1585='131-CT'!$E$7),"131",""))</f>
        <v/>
      </c>
      <c r="O1585" s="818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52"/>
      <c r="AB1585" s="552"/>
    </row>
    <row r="1586" spans="1:29" s="209" customFormat="1" ht="15.75" customHeight="1">
      <c r="A1586" s="202" t="str">
        <f>IF(B1586&lt;&gt;"",IF(AND(B1586&gt;=_TM1,B1586&lt;=_TM2,OR(TH!L1586="1111",TH!M1586="1111")),TH!D1586,""),"")</f>
        <v/>
      </c>
      <c r="B1586" s="36">
        <f t="shared" si="73"/>
        <v>10</v>
      </c>
      <c r="C1586" s="182">
        <f t="shared" si="72"/>
        <v>42665</v>
      </c>
      <c r="D1586" s="182" t="s">
        <v>1091</v>
      </c>
      <c r="E1586" s="189">
        <v>42665</v>
      </c>
      <c r="F1586" s="40" t="s">
        <v>1254</v>
      </c>
      <c r="G1586" s="451" t="s">
        <v>1333</v>
      </c>
      <c r="H1586" s="7" t="s">
        <v>417</v>
      </c>
      <c r="I1586" s="252"/>
      <c r="J1586" s="252"/>
      <c r="K1586" s="38">
        <v>500440</v>
      </c>
      <c r="L1586" s="192" t="s">
        <v>258</v>
      </c>
      <c r="M1586" s="192" t="s">
        <v>367</v>
      </c>
      <c r="N1586" s="52" t="str">
        <f>IF(AND('331-CT'!$E$7=TH!H1586,OR(L1586="331",M1586="331")),"331",IF(AND(OR(L1586="131",M1586="131"),H1586='131-CT'!$E$7),"131",""))</f>
        <v/>
      </c>
      <c r="O1586" s="818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52"/>
      <c r="AB1586" s="552"/>
      <c r="AC1586" s="552"/>
    </row>
    <row r="1587" spans="1:29" s="209" customFormat="1" ht="15.75" customHeight="1">
      <c r="A1587" s="202" t="str">
        <f>IF(B1587&lt;&gt;"",IF(AND(B1587&gt;=_TM1,B1587&lt;=_TM2,OR(TH!L1587="1111",TH!M1587="1111")),TH!D1587,""),"")</f>
        <v/>
      </c>
      <c r="B1587" s="36">
        <f t="shared" si="73"/>
        <v>10</v>
      </c>
      <c r="C1587" s="182">
        <f t="shared" si="72"/>
        <v>42665</v>
      </c>
      <c r="D1587" s="182" t="s">
        <v>1092</v>
      </c>
      <c r="E1587" s="189">
        <v>42665</v>
      </c>
      <c r="F1587" s="40" t="s">
        <v>1338</v>
      </c>
      <c r="G1587" s="451" t="s">
        <v>1337</v>
      </c>
      <c r="H1587" s="7" t="s">
        <v>780</v>
      </c>
      <c r="I1587" s="252">
        <v>526</v>
      </c>
      <c r="J1587" s="252">
        <v>7500</v>
      </c>
      <c r="K1587" s="38">
        <f>ROUND(I1587*J1587,0)</f>
        <v>3945000</v>
      </c>
      <c r="L1587" s="192" t="s">
        <v>258</v>
      </c>
      <c r="M1587" s="192" t="s">
        <v>173</v>
      </c>
      <c r="N1587" s="52" t="str">
        <f>IF(AND('331-CT'!$E$7=TH!H1587,OR(L1587="331",M1587="331")),"331",IF(AND(OR(L1587="131",M1587="131"),H1587='131-CT'!$E$7),"131",""))</f>
        <v/>
      </c>
      <c r="O1587" s="818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52"/>
      <c r="AB1587" s="552"/>
    </row>
    <row r="1588" spans="1:29" s="209" customFormat="1" ht="15.75" customHeight="1">
      <c r="A1588" s="202" t="str">
        <f>IF(B1588&lt;&gt;"",IF(AND(B1588&gt;=_TM1,B1588&lt;=_TM2,OR(TH!L1588="1111",TH!M1588="1111")),TH!D1588,""),"")</f>
        <v/>
      </c>
      <c r="B1588" s="36">
        <f t="shared" si="73"/>
        <v>10</v>
      </c>
      <c r="C1588" s="182">
        <f t="shared" si="72"/>
        <v>42665</v>
      </c>
      <c r="D1588" s="182" t="s">
        <v>1092</v>
      </c>
      <c r="E1588" s="189">
        <v>42665</v>
      </c>
      <c r="F1588" s="40" t="s">
        <v>1254</v>
      </c>
      <c r="G1588" s="451" t="s">
        <v>1337</v>
      </c>
      <c r="H1588" s="7" t="s">
        <v>780</v>
      </c>
      <c r="I1588" s="252"/>
      <c r="J1588" s="252"/>
      <c r="K1588" s="38">
        <v>394500</v>
      </c>
      <c r="L1588" s="192" t="s">
        <v>258</v>
      </c>
      <c r="M1588" s="192" t="s">
        <v>367</v>
      </c>
      <c r="N1588" s="52" t="str">
        <f>IF(AND('331-CT'!$E$7=TH!H1588,OR(L1588="331",M1588="331")),"331",IF(AND(OR(L1588="131",M1588="131"),H1588='131-CT'!$E$7),"131",""))</f>
        <v/>
      </c>
      <c r="O1588" s="818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52"/>
      <c r="AB1588" s="552"/>
      <c r="AC1588" s="552"/>
    </row>
    <row r="1589" spans="1:29" s="209" customFormat="1" ht="15.75" customHeight="1">
      <c r="A1589" s="202" t="str">
        <f>IF(B1589&lt;&gt;"",IF(AND(B1589&gt;=_TM1,B1589&lt;=_TM2,OR(TH!L1589="1111",TH!M1589="1111")),TH!D1589,""),"")</f>
        <v/>
      </c>
      <c r="B1589" s="36">
        <f t="shared" si="73"/>
        <v>10</v>
      </c>
      <c r="C1589" s="182">
        <f t="shared" si="72"/>
        <v>42667</v>
      </c>
      <c r="D1589" s="182" t="s">
        <v>669</v>
      </c>
      <c r="E1589" s="189">
        <v>42667</v>
      </c>
      <c r="F1589" s="187" t="s">
        <v>1290</v>
      </c>
      <c r="G1589" s="190" t="s">
        <v>1287</v>
      </c>
      <c r="H1589" s="191" t="s">
        <v>1466</v>
      </c>
      <c r="I1589" s="251"/>
      <c r="J1589" s="251"/>
      <c r="K1589" s="560">
        <v>250000000</v>
      </c>
      <c r="L1589" s="561" t="s">
        <v>24</v>
      </c>
      <c r="M1589" s="561" t="s">
        <v>759</v>
      </c>
      <c r="N1589" s="52" t="str">
        <f>IF(AND('331-CT'!$E$7=TH!H1589,OR(L1589="331",M1589="331")),"331",IF(AND(OR(L1589="131",M1589="131"),H1589='131-CT'!$E$7),"131",""))</f>
        <v/>
      </c>
      <c r="O1589" s="818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>x</v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53"/>
      <c r="AB1589" s="552"/>
    </row>
    <row r="1590" spans="1:29" s="209" customFormat="1" ht="15.75" customHeight="1">
      <c r="A1590" s="202" t="str">
        <f>IF(B1590&lt;&gt;"",IF(AND(B1590&gt;=_TM1,B1590&lt;=_TM2,OR(TH!L1590="1111",TH!M1590="1111")),TH!D1590,""),"")</f>
        <v/>
      </c>
      <c r="B1590" s="36">
        <f t="shared" si="73"/>
        <v>10</v>
      </c>
      <c r="C1590" s="182">
        <f t="shared" si="72"/>
        <v>42667</v>
      </c>
      <c r="D1590" s="182" t="s">
        <v>669</v>
      </c>
      <c r="E1590" s="189">
        <v>42667</v>
      </c>
      <c r="F1590" s="187" t="s">
        <v>671</v>
      </c>
      <c r="G1590" s="190" t="s">
        <v>1287</v>
      </c>
      <c r="H1590" s="191"/>
      <c r="I1590" s="251"/>
      <c r="J1590" s="251"/>
      <c r="K1590" s="560">
        <v>20566500</v>
      </c>
      <c r="L1590" s="561" t="s">
        <v>8</v>
      </c>
      <c r="M1590" s="561" t="s">
        <v>24</v>
      </c>
      <c r="N1590" s="52" t="str">
        <f>IF(AND('331-CT'!$E$7=TH!H1590,OR(L1590="331",M1590="331")),"331",IF(AND(OR(L1590="131",M1590="131"),H1590='131-CT'!$E$7),"131",""))</f>
        <v/>
      </c>
      <c r="O1590" s="818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>x</v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53"/>
      <c r="AB1590" s="552"/>
      <c r="AC1590" s="552"/>
    </row>
    <row r="1591" spans="1:29" s="209" customFormat="1" ht="15.75" customHeight="1">
      <c r="A1591" s="202" t="str">
        <f>IF(B1591&lt;&gt;"",IF(AND(B1591&gt;=_TM1,B1591&lt;=_TM2,OR(TH!L1591="1111",TH!M1591="1111")),TH!D1591,""),"")</f>
        <v/>
      </c>
      <c r="B1591" s="36">
        <f t="shared" si="73"/>
        <v>10</v>
      </c>
      <c r="C1591" s="182">
        <f t="shared" si="72"/>
        <v>42667</v>
      </c>
      <c r="D1591" s="182" t="s">
        <v>669</v>
      </c>
      <c r="E1591" s="189">
        <v>42667</v>
      </c>
      <c r="F1591" s="187" t="s">
        <v>1616</v>
      </c>
      <c r="G1591" s="190" t="s">
        <v>1287</v>
      </c>
      <c r="H1591" s="886" t="s">
        <v>1563</v>
      </c>
      <c r="I1591" s="251"/>
      <c r="J1591" s="251"/>
      <c r="K1591" s="560">
        <v>203522385</v>
      </c>
      <c r="L1591" s="561" t="s">
        <v>8</v>
      </c>
      <c r="M1591" s="561" t="s">
        <v>24</v>
      </c>
      <c r="N1591" s="52" t="str">
        <f>IF(AND('331-CT'!$E$7=TH!H1591,OR(L1591="331",M1591="331")),"331",IF(AND(OR(L1591="131",M1591="131"),H1591='131-CT'!$E$7),"131",""))</f>
        <v/>
      </c>
      <c r="O1591" s="818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>x</v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53"/>
      <c r="AB1591" s="552"/>
      <c r="AC1591" s="552"/>
    </row>
    <row r="1592" spans="1:29" s="209" customFormat="1" ht="15.75" customHeight="1">
      <c r="A1592" s="202" t="str">
        <f>IF(B1592&lt;&gt;"",IF(AND(B1592&gt;=_TM1,B1592&lt;=_TM2,OR(TH!L1592="1111",TH!M1592="1111")),TH!D1592,""),"")</f>
        <v>T04</v>
      </c>
      <c r="B1592" s="36">
        <f t="shared" si="73"/>
        <v>10</v>
      </c>
      <c r="C1592" s="182">
        <f t="shared" si="72"/>
        <v>42667</v>
      </c>
      <c r="D1592" s="182" t="s">
        <v>1619</v>
      </c>
      <c r="E1592" s="189">
        <v>42667</v>
      </c>
      <c r="F1592" s="187" t="s">
        <v>776</v>
      </c>
      <c r="G1592" s="190" t="s">
        <v>1287</v>
      </c>
      <c r="H1592" s="191" t="s">
        <v>675</v>
      </c>
      <c r="I1592" s="251"/>
      <c r="J1592" s="251"/>
      <c r="K1592" s="560">
        <v>25500000</v>
      </c>
      <c r="L1592" s="561" t="s">
        <v>47</v>
      </c>
      <c r="M1592" s="561" t="s">
        <v>24</v>
      </c>
      <c r="N1592" s="52" t="str">
        <f>IF(AND('331-CT'!$E$7=TH!H1592,OR(L1592="331",M1592="331")),"331",IF(AND(OR(L1592="131",M1592="131"),H1592='131-CT'!$E$7),"131",""))</f>
        <v/>
      </c>
      <c r="O1592" s="818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>x</v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53"/>
      <c r="AB1592" s="552"/>
    </row>
    <row r="1593" spans="1:29" s="209" customFormat="1" ht="15.75" customHeight="1">
      <c r="A1593" s="202" t="str">
        <f>IF(B1593&lt;&gt;"",IF(AND(B1593&gt;=_TM1,B1593&lt;=_TM2,OR(TH!L1593="1111",TH!M1593="1111")),TH!D1593,""),"")</f>
        <v/>
      </c>
      <c r="B1593" s="36">
        <f t="shared" si="73"/>
        <v>10</v>
      </c>
      <c r="C1593" s="182">
        <f t="shared" si="72"/>
        <v>42667</v>
      </c>
      <c r="D1593" s="182" t="s">
        <v>669</v>
      </c>
      <c r="E1593" s="189">
        <v>42667</v>
      </c>
      <c r="F1593" s="187" t="s">
        <v>1467</v>
      </c>
      <c r="G1593" s="190" t="s">
        <v>1287</v>
      </c>
      <c r="H1593" s="191"/>
      <c r="I1593" s="251"/>
      <c r="J1593" s="251"/>
      <c r="K1593" s="560">
        <v>25000</v>
      </c>
      <c r="L1593" s="561" t="s">
        <v>83</v>
      </c>
      <c r="M1593" s="561" t="s">
        <v>24</v>
      </c>
      <c r="N1593" s="52" t="str">
        <f>IF(AND('331-CT'!$E$7=TH!H1593,OR(L1593="331",M1593="331")),"331",IF(AND(OR(L1593="131",M1593="131"),H1593='131-CT'!$E$7),"131",""))</f>
        <v/>
      </c>
      <c r="O1593" s="818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>x</v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>x</v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53">
        <v>4</v>
      </c>
      <c r="AB1593" s="552"/>
      <c r="AC1593" s="552"/>
    </row>
    <row r="1594" spans="1:29" s="209" customFormat="1" ht="15.75" customHeight="1">
      <c r="A1594" s="202" t="str">
        <f>IF(B1594&lt;&gt;"",IF(AND(B1594&gt;=_TM1,B1594&lt;=_TM2,OR(TH!L1594="1111",TH!M1594="1111")),TH!D1594,""),"")</f>
        <v/>
      </c>
      <c r="B1594" s="36">
        <f t="shared" si="73"/>
        <v>10</v>
      </c>
      <c r="C1594" s="182">
        <f t="shared" si="72"/>
        <v>42667</v>
      </c>
      <c r="D1594" s="182" t="s">
        <v>669</v>
      </c>
      <c r="E1594" s="189">
        <v>42667</v>
      </c>
      <c r="F1594" s="187" t="s">
        <v>1468</v>
      </c>
      <c r="G1594" s="190" t="s">
        <v>1287</v>
      </c>
      <c r="H1594" s="7"/>
      <c r="I1594" s="251"/>
      <c r="J1594" s="251"/>
      <c r="K1594" s="560">
        <v>2500</v>
      </c>
      <c r="L1594" s="192" t="s">
        <v>9</v>
      </c>
      <c r="M1594" s="561" t="s">
        <v>24</v>
      </c>
      <c r="N1594" s="52" t="str">
        <f>IF(AND('331-CT'!$E$7=TH!H1594,OR(L1594="331",M1594="331")),"331",IF(AND(OR(L1594="131",M1594="131"),H1594='131-CT'!$E$7),"131",""))</f>
        <v/>
      </c>
      <c r="O1594" s="818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>x</v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53">
        <v>4</v>
      </c>
      <c r="AB1594" s="552"/>
      <c r="AC1594" s="552"/>
    </row>
    <row r="1595" spans="1:29" s="209" customFormat="1" ht="15.75" customHeight="1">
      <c r="A1595" s="202" t="str">
        <f>IF(B1595&lt;&gt;"",IF(AND(B1595&gt;=_TM1,B1595&lt;=_TM2,OR(TH!L1595="1111",TH!M1595="1111")),TH!D1595,""),"")</f>
        <v/>
      </c>
      <c r="B1595" s="36">
        <f t="shared" si="73"/>
        <v>10</v>
      </c>
      <c r="C1595" s="182">
        <f t="shared" si="72"/>
        <v>42667</v>
      </c>
      <c r="D1595" s="182" t="s">
        <v>1093</v>
      </c>
      <c r="E1595" s="189">
        <v>42667</v>
      </c>
      <c r="F1595" s="40" t="s">
        <v>1255</v>
      </c>
      <c r="G1595" s="451" t="s">
        <v>1339</v>
      </c>
      <c r="H1595" s="7" t="s">
        <v>391</v>
      </c>
      <c r="I1595" s="252">
        <v>1188</v>
      </c>
      <c r="J1595" s="252">
        <v>5000</v>
      </c>
      <c r="K1595" s="38">
        <f>ROUND(I1595*J1595,0)</f>
        <v>5940000</v>
      </c>
      <c r="L1595" s="192" t="s">
        <v>258</v>
      </c>
      <c r="M1595" s="192" t="s">
        <v>173</v>
      </c>
      <c r="N1595" s="52" t="str">
        <f>IF(AND('331-CT'!$E$7=TH!H1595,OR(L1595="331",M1595="331")),"331",IF(AND(OR(L1595="131",M1595="131"),H1595='131-CT'!$E$7),"131",""))</f>
        <v/>
      </c>
      <c r="O1595" s="818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52"/>
      <c r="AB1595" s="552"/>
      <c r="AC1595" s="552"/>
    </row>
    <row r="1596" spans="1:29" s="209" customFormat="1" ht="15.75" customHeight="1">
      <c r="A1596" s="202" t="str">
        <f>IF(B1596&lt;&gt;"",IF(AND(B1596&gt;=_TM1,B1596&lt;=_TM2,OR(TH!L1596="1111",TH!M1596="1111")),TH!D1596,""),"")</f>
        <v/>
      </c>
      <c r="B1596" s="36">
        <f t="shared" si="73"/>
        <v>10</v>
      </c>
      <c r="C1596" s="182">
        <f t="shared" si="72"/>
        <v>42667</v>
      </c>
      <c r="D1596" s="182" t="s">
        <v>1093</v>
      </c>
      <c r="E1596" s="189">
        <v>42667</v>
      </c>
      <c r="F1596" s="40" t="s">
        <v>625</v>
      </c>
      <c r="G1596" s="451" t="s">
        <v>1339</v>
      </c>
      <c r="H1596" s="7" t="s">
        <v>391</v>
      </c>
      <c r="I1596" s="252">
        <v>215</v>
      </c>
      <c r="J1596" s="252">
        <v>8000</v>
      </c>
      <c r="K1596" s="38">
        <f>ROUND(I1596*J1596,0)</f>
        <v>1720000</v>
      </c>
      <c r="L1596" s="192" t="s">
        <v>258</v>
      </c>
      <c r="M1596" s="192" t="s">
        <v>173</v>
      </c>
      <c r="N1596" s="52" t="str">
        <f>IF(AND('331-CT'!$E$7=TH!H1596,OR(L1596="331",M1596="331")),"331",IF(AND(OR(L1596="131",M1596="131"),H1596='131-CT'!$E$7),"131",""))</f>
        <v/>
      </c>
      <c r="O1596" s="818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52"/>
      <c r="AB1596" s="552"/>
      <c r="AC1596" s="552"/>
    </row>
    <row r="1597" spans="1:29" s="209" customFormat="1" ht="15.75" customHeight="1">
      <c r="A1597" s="202" t="str">
        <f>IF(B1597&lt;&gt;"",IF(AND(B1597&gt;=_TM1,B1597&lt;=_TM2,OR(TH!L1597="1111",TH!M1597="1111")),TH!D1597,""),"")</f>
        <v/>
      </c>
      <c r="B1597" s="36">
        <f t="shared" si="73"/>
        <v>10</v>
      </c>
      <c r="C1597" s="182">
        <f t="shared" si="72"/>
        <v>42667</v>
      </c>
      <c r="D1597" s="182" t="s">
        <v>1093</v>
      </c>
      <c r="E1597" s="189">
        <v>42667</v>
      </c>
      <c r="F1597" s="40" t="s">
        <v>1254</v>
      </c>
      <c r="G1597" s="451" t="s">
        <v>1339</v>
      </c>
      <c r="H1597" s="7" t="s">
        <v>391</v>
      </c>
      <c r="I1597" s="252"/>
      <c r="J1597" s="252"/>
      <c r="K1597" s="38">
        <v>766000</v>
      </c>
      <c r="L1597" s="192" t="s">
        <v>258</v>
      </c>
      <c r="M1597" s="192" t="s">
        <v>367</v>
      </c>
      <c r="N1597" s="52" t="str">
        <f>IF(AND('331-CT'!$E$7=TH!H1597,OR(L1597="331",M1597="331")),"331",IF(AND(OR(L1597="131",M1597="131"),H1597='131-CT'!$E$7),"131",""))</f>
        <v/>
      </c>
      <c r="O1597" s="818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52"/>
      <c r="AB1597" s="552"/>
      <c r="AC1597" s="552"/>
    </row>
    <row r="1598" spans="1:29" s="209" customFormat="1" ht="15.75" customHeight="1">
      <c r="A1598" s="202" t="str">
        <f>IF(B1598&lt;&gt;"",IF(AND(B1598&gt;=_TM1,B1598&lt;=_TM2,OR(TH!L1598="1111",TH!M1598="1111")),TH!D1598,""),"")</f>
        <v>C07</v>
      </c>
      <c r="B1598" s="36">
        <f t="shared" si="73"/>
        <v>10</v>
      </c>
      <c r="C1598" s="182">
        <f t="shared" si="72"/>
        <v>42668</v>
      </c>
      <c r="D1598" s="182" t="s">
        <v>1629</v>
      </c>
      <c r="E1598" s="189">
        <v>42668</v>
      </c>
      <c r="F1598" s="190" t="s">
        <v>754</v>
      </c>
      <c r="G1598" s="190" t="s">
        <v>330</v>
      </c>
      <c r="H1598" s="191" t="s">
        <v>675</v>
      </c>
      <c r="I1598" s="251"/>
      <c r="J1598" s="251"/>
      <c r="K1598" s="560">
        <v>4500000</v>
      </c>
      <c r="L1598" s="192" t="s">
        <v>24</v>
      </c>
      <c r="M1598" s="192" t="s">
        <v>47</v>
      </c>
      <c r="N1598" s="52" t="str">
        <f>IF(AND('331-CT'!$E$7=TH!H1598,OR(L1598="331",M1598="331")),"331",IF(AND(OR(L1598="131",M1598="131"),H1598='131-CT'!$E$7),"131",""))</f>
        <v/>
      </c>
      <c r="O1598" s="818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53"/>
      <c r="AB1598" s="552"/>
      <c r="AC1598" s="552"/>
    </row>
    <row r="1599" spans="1:29" s="209" customFormat="1" ht="15.75" customHeight="1">
      <c r="A1599" s="202" t="str">
        <f>IF(B1599&lt;&gt;"",IF(AND(B1599&gt;=_TM1,B1599&lt;=_TM2,OR(TH!L1599="1111",TH!M1599="1111")),TH!D1599,""),"")</f>
        <v/>
      </c>
      <c r="B1599" s="36">
        <f t="shared" si="73"/>
        <v>10</v>
      </c>
      <c r="C1599" s="182">
        <f t="shared" si="72"/>
        <v>42668</v>
      </c>
      <c r="D1599" s="182" t="s">
        <v>665</v>
      </c>
      <c r="E1599" s="189">
        <v>42668</v>
      </c>
      <c r="F1599" s="190" t="s">
        <v>667</v>
      </c>
      <c r="G1599" s="190" t="s">
        <v>330</v>
      </c>
      <c r="H1599" s="7"/>
      <c r="I1599" s="251"/>
      <c r="J1599" s="251"/>
      <c r="K1599" s="560">
        <v>111</v>
      </c>
      <c r="L1599" s="192" t="s">
        <v>24</v>
      </c>
      <c r="M1599" s="192" t="s">
        <v>40</v>
      </c>
      <c r="N1599" s="52" t="str">
        <f>IF(AND('331-CT'!$E$7=TH!H1599,OR(L1599="331",M1599="331")),"331",IF(AND(OR(L1599="131",M1599="131"),H1599='131-CT'!$E$7),"131",""))</f>
        <v/>
      </c>
      <c r="O1599" s="818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53"/>
      <c r="AB1599" s="552"/>
    </row>
    <row r="1600" spans="1:29" s="209" customFormat="1" ht="15.75" customHeight="1">
      <c r="A1600" s="202" t="str">
        <f>IF(B1600&lt;&gt;"",IF(AND(B1600&gt;=_TM1,B1600&lt;=_TM2,OR(TH!L1600="1111",TH!M1600="1111")),TH!D1600,""),"")</f>
        <v/>
      </c>
      <c r="B1600" s="36">
        <f t="shared" si="73"/>
        <v>10</v>
      </c>
      <c r="C1600" s="182">
        <f t="shared" si="72"/>
        <v>42668</v>
      </c>
      <c r="D1600" s="182" t="s">
        <v>669</v>
      </c>
      <c r="E1600" s="189">
        <v>42668</v>
      </c>
      <c r="F1600" s="190" t="s">
        <v>671</v>
      </c>
      <c r="G1600" s="190" t="s">
        <v>330</v>
      </c>
      <c r="H1600" s="7"/>
      <c r="I1600" s="251"/>
      <c r="J1600" s="251"/>
      <c r="K1600" s="560">
        <v>5000000</v>
      </c>
      <c r="L1600" s="192" t="s">
        <v>8</v>
      </c>
      <c r="M1600" s="561" t="s">
        <v>24</v>
      </c>
      <c r="N1600" s="52" t="str">
        <f>IF(AND('331-CT'!$E$7=TH!H1600,OR(L1600="331",M1600="331")),"331",IF(AND(OR(L1600="131",M1600="131"),H1600='131-CT'!$E$7),"131",""))</f>
        <v/>
      </c>
      <c r="O1600" s="818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53"/>
      <c r="AB1600" s="552"/>
    </row>
    <row r="1601" spans="1:29" s="209" customFormat="1" ht="15.75" customHeight="1">
      <c r="A1601" s="202" t="str">
        <f>IF(B1601&lt;&gt;"",IF(AND(B1601&gt;=_TM1,B1601&lt;=_TM2,OR(TH!L1601="1111",TH!M1601="1111")),TH!D1601,""),"")</f>
        <v/>
      </c>
      <c r="B1601" s="36">
        <f t="shared" si="73"/>
        <v>10</v>
      </c>
      <c r="C1601" s="182">
        <f t="shared" si="72"/>
        <v>42668</v>
      </c>
      <c r="D1601" s="182" t="s">
        <v>669</v>
      </c>
      <c r="E1601" s="189">
        <v>42668</v>
      </c>
      <c r="F1601" s="187" t="s">
        <v>672</v>
      </c>
      <c r="G1601" s="190" t="s">
        <v>330</v>
      </c>
      <c r="H1601" s="191"/>
      <c r="I1601" s="251"/>
      <c r="J1601" s="251"/>
      <c r="K1601" s="560">
        <v>13636</v>
      </c>
      <c r="L1601" s="561" t="s">
        <v>83</v>
      </c>
      <c r="M1601" s="561" t="s">
        <v>24</v>
      </c>
      <c r="N1601" s="52" t="str">
        <f>IF(AND('331-CT'!$E$7=TH!H1601,OR(L1601="331",M1601="331")),"331",IF(AND(OR(L1601="131",M1601="131"),H1601='131-CT'!$E$7),"131",""))</f>
        <v/>
      </c>
      <c r="O1601" s="818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>x</v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52">
        <v>4</v>
      </c>
      <c r="AB1601" s="552"/>
      <c r="AC1601" s="552"/>
    </row>
    <row r="1602" spans="1:29" s="209" customFormat="1" ht="15.75" customHeight="1">
      <c r="A1602" s="202" t="str">
        <f>IF(B1602&lt;&gt;"",IF(AND(B1602&gt;=_TM1,B1602&lt;=_TM2,OR(TH!L1602="1111",TH!M1602="1111")),TH!D1602,""),"")</f>
        <v/>
      </c>
      <c r="B1602" s="36">
        <f t="shared" si="73"/>
        <v>10</v>
      </c>
      <c r="C1602" s="182">
        <f t="shared" si="72"/>
        <v>42668</v>
      </c>
      <c r="D1602" s="182" t="s">
        <v>669</v>
      </c>
      <c r="E1602" s="189">
        <v>42668</v>
      </c>
      <c r="F1602" s="187" t="s">
        <v>762</v>
      </c>
      <c r="G1602" s="190" t="s">
        <v>330</v>
      </c>
      <c r="H1602" s="191"/>
      <c r="I1602" s="251"/>
      <c r="J1602" s="251"/>
      <c r="K1602" s="560">
        <v>1364</v>
      </c>
      <c r="L1602" s="192" t="s">
        <v>9</v>
      </c>
      <c r="M1602" s="561" t="s">
        <v>24</v>
      </c>
      <c r="N1602" s="52" t="str">
        <f>IF(AND('331-CT'!$E$7=TH!H1602,OR(L1602="331",M1602="331")),"331",IF(AND(OR(L1602="131",M1602="131"),H1602='131-CT'!$E$7),"131",""))</f>
        <v/>
      </c>
      <c r="O1602" s="818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52">
        <v>4</v>
      </c>
      <c r="AB1602" s="552"/>
      <c r="AC1602" s="552"/>
    </row>
    <row r="1603" spans="1:29" s="209" customFormat="1" ht="15.75" customHeight="1">
      <c r="A1603" s="202" t="str">
        <f>IF(B1603&lt;&gt;"",IF(AND(B1603&gt;=_TM1,B1603&lt;=_TM2,OR(TH!L1603="1111",TH!M1603="1111")),TH!D1603,""),"")</f>
        <v/>
      </c>
      <c r="B1603" s="36">
        <f t="shared" si="73"/>
        <v>10</v>
      </c>
      <c r="C1603" s="182">
        <f t="shared" si="72"/>
        <v>42668</v>
      </c>
      <c r="D1603" s="182" t="s">
        <v>669</v>
      </c>
      <c r="E1603" s="189">
        <v>42668</v>
      </c>
      <c r="F1603" s="190" t="s">
        <v>674</v>
      </c>
      <c r="G1603" s="190" t="s">
        <v>330</v>
      </c>
      <c r="H1603" s="7"/>
      <c r="I1603" s="251"/>
      <c r="J1603" s="251"/>
      <c r="K1603" s="560">
        <v>13636</v>
      </c>
      <c r="L1603" s="561" t="s">
        <v>83</v>
      </c>
      <c r="M1603" s="561" t="s">
        <v>24</v>
      </c>
      <c r="N1603" s="52" t="str">
        <f>IF(AND('331-CT'!$E$7=TH!H1603,OR(L1603="331",M1603="331")),"331",IF(AND(OR(L1603="131",M1603="131"),H1603='131-CT'!$E$7),"131",""))</f>
        <v/>
      </c>
      <c r="O1603" s="818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>x</v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52">
        <v>4</v>
      </c>
      <c r="AB1603" s="552"/>
    </row>
    <row r="1604" spans="1:29" s="209" customFormat="1" ht="15.75" customHeight="1">
      <c r="A1604" s="202" t="str">
        <f>IF(B1604&lt;&gt;"",IF(AND(B1604&gt;=_TM1,B1604&lt;=_TM2,OR(TH!L1604="1111",TH!M1604="1111")),TH!D1604,""),"")</f>
        <v/>
      </c>
      <c r="B1604" s="36">
        <f t="shared" si="73"/>
        <v>10</v>
      </c>
      <c r="C1604" s="182">
        <f t="shared" si="72"/>
        <v>42668</v>
      </c>
      <c r="D1604" s="182" t="s">
        <v>669</v>
      </c>
      <c r="E1604" s="189">
        <v>42668</v>
      </c>
      <c r="F1604" s="190" t="s">
        <v>794</v>
      </c>
      <c r="G1604" s="190" t="s">
        <v>330</v>
      </c>
      <c r="H1604" s="7"/>
      <c r="I1604" s="251"/>
      <c r="J1604" s="251"/>
      <c r="K1604" s="560">
        <v>1364</v>
      </c>
      <c r="L1604" s="192" t="s">
        <v>9</v>
      </c>
      <c r="M1604" s="561" t="s">
        <v>24</v>
      </c>
      <c r="N1604" s="52" t="str">
        <f>IF(AND('331-CT'!$E$7=TH!H1604,OR(L1604="331",M1604="331")),"331",IF(AND(OR(L1604="131",M1604="131"),H1604='131-CT'!$E$7),"131",""))</f>
        <v/>
      </c>
      <c r="O1604" s="818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52">
        <v>4</v>
      </c>
      <c r="AB1604" s="552"/>
      <c r="AC1604" s="552"/>
    </row>
    <row r="1605" spans="1:29" s="209" customFormat="1" ht="15.75" customHeight="1">
      <c r="A1605" s="202" t="str">
        <f>IF(B1605&lt;&gt;"",IF(AND(B1605&gt;=_TM1,B1605&lt;=_TM2,OR(TH!L1605="1111",TH!M1605="1111")),TH!D1605,""),"")</f>
        <v/>
      </c>
      <c r="B1605" s="36">
        <f t="shared" si="73"/>
        <v>10</v>
      </c>
      <c r="C1605" s="182">
        <f t="shared" ref="C1605:C1668" si="75">E1605</f>
        <v>42668</v>
      </c>
      <c r="D1605" s="182" t="s">
        <v>1094</v>
      </c>
      <c r="E1605" s="189">
        <v>42668</v>
      </c>
      <c r="F1605" s="40" t="s">
        <v>1341</v>
      </c>
      <c r="G1605" s="451" t="s">
        <v>1340</v>
      </c>
      <c r="H1605" s="191" t="s">
        <v>565</v>
      </c>
      <c r="I1605" s="252">
        <v>720</v>
      </c>
      <c r="J1605" s="252">
        <v>5900</v>
      </c>
      <c r="K1605" s="38">
        <f>ROUND(I1605*J1605,0)</f>
        <v>4248000</v>
      </c>
      <c r="L1605" s="192" t="s">
        <v>258</v>
      </c>
      <c r="M1605" s="192" t="s">
        <v>173</v>
      </c>
      <c r="N1605" s="52" t="str">
        <f>IF(AND('331-CT'!$E$7=TH!H1605,OR(L1605="331",M1605="331")),"331",IF(AND(OR(L1605="131",M1605="131"),H1605='131-CT'!$E$7),"131",""))</f>
        <v/>
      </c>
      <c r="O1605" s="818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52"/>
      <c r="AB1605" s="552"/>
      <c r="AC1605" s="552"/>
    </row>
    <row r="1606" spans="1:29" s="209" customFormat="1" ht="15.75" customHeight="1">
      <c r="A1606" s="202" t="str">
        <f>IF(B1606&lt;&gt;"",IF(AND(B1606&gt;=_TM1,B1606&lt;=_TM2,OR(TH!L1606="1111",TH!M1606="1111")),TH!D1606,""),"")</f>
        <v/>
      </c>
      <c r="B1606" s="36">
        <f t="shared" si="73"/>
        <v>10</v>
      </c>
      <c r="C1606" s="182">
        <f t="shared" si="75"/>
        <v>42668</v>
      </c>
      <c r="D1606" s="182" t="s">
        <v>1094</v>
      </c>
      <c r="E1606" s="189">
        <v>42668</v>
      </c>
      <c r="F1606" s="40" t="s">
        <v>1342</v>
      </c>
      <c r="G1606" s="451" t="s">
        <v>1340</v>
      </c>
      <c r="H1606" s="191" t="s">
        <v>565</v>
      </c>
      <c r="I1606" s="252">
        <v>313</v>
      </c>
      <c r="J1606" s="252">
        <v>4900</v>
      </c>
      <c r="K1606" s="38">
        <f>ROUND(I1606*J1606,0)</f>
        <v>1533700</v>
      </c>
      <c r="L1606" s="192" t="s">
        <v>258</v>
      </c>
      <c r="M1606" s="192" t="s">
        <v>173</v>
      </c>
      <c r="N1606" s="52" t="str">
        <f>IF(AND('331-CT'!$E$7=TH!H1606,OR(L1606="331",M1606="331")),"331",IF(AND(OR(L1606="131",M1606="131"),H1606='131-CT'!$E$7),"131",""))</f>
        <v/>
      </c>
      <c r="O1606" s="818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52"/>
      <c r="AB1606" s="552"/>
      <c r="AC1606" s="552"/>
    </row>
    <row r="1607" spans="1:29" s="209" customFormat="1" ht="15.75" customHeight="1">
      <c r="A1607" s="202" t="str">
        <f>IF(B1607&lt;&gt;"",IF(AND(B1607&gt;=_TM1,B1607&lt;=_TM2,OR(TH!L1607="1111",TH!M1607="1111")),TH!D1607,""),"")</f>
        <v/>
      </c>
      <c r="B1607" s="36">
        <f t="shared" si="73"/>
        <v>10</v>
      </c>
      <c r="C1607" s="182">
        <f t="shared" si="75"/>
        <v>42668</v>
      </c>
      <c r="D1607" s="182" t="s">
        <v>1094</v>
      </c>
      <c r="E1607" s="189">
        <v>42668</v>
      </c>
      <c r="F1607" s="40" t="s">
        <v>1254</v>
      </c>
      <c r="G1607" s="451" t="s">
        <v>1340</v>
      </c>
      <c r="H1607" s="191" t="s">
        <v>565</v>
      </c>
      <c r="I1607" s="252"/>
      <c r="J1607" s="252"/>
      <c r="K1607" s="38">
        <v>578170</v>
      </c>
      <c r="L1607" s="192" t="s">
        <v>258</v>
      </c>
      <c r="M1607" s="192" t="s">
        <v>367</v>
      </c>
      <c r="N1607" s="52" t="str">
        <f>IF(AND('331-CT'!$E$7=TH!H1607,OR(L1607="331",M1607="331")),"331",IF(AND(OR(L1607="131",M1607="131"),H1607='131-CT'!$E$7),"131",""))</f>
        <v/>
      </c>
      <c r="O1607" s="818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52"/>
      <c r="AB1607" s="552"/>
      <c r="AC1607" s="552"/>
    </row>
    <row r="1608" spans="1:29" s="209" customFormat="1" ht="15.75" customHeight="1">
      <c r="A1608" s="202" t="str">
        <f>IF(B1608&lt;&gt;"",IF(AND(B1608&gt;=_TM1,B1608&lt;=_TM2,OR(TH!L1608="1111",TH!M1608="1111")),TH!D1608,""),"")</f>
        <v/>
      </c>
      <c r="B1608" s="36">
        <f t="shared" si="73"/>
        <v>10</v>
      </c>
      <c r="C1608" s="182">
        <f t="shared" si="75"/>
        <v>42668</v>
      </c>
      <c r="D1608" s="182" t="s">
        <v>332</v>
      </c>
      <c r="E1608" s="189">
        <v>42668</v>
      </c>
      <c r="F1608" s="40" t="s">
        <v>1560</v>
      </c>
      <c r="G1608" s="451" t="s">
        <v>1562</v>
      </c>
      <c r="H1608" s="191" t="s">
        <v>1563</v>
      </c>
      <c r="I1608" s="252"/>
      <c r="J1608" s="252"/>
      <c r="K1608" s="38">
        <v>621363636</v>
      </c>
      <c r="L1608" s="192" t="s">
        <v>168</v>
      </c>
      <c r="M1608" s="192" t="s">
        <v>8</v>
      </c>
      <c r="N1608" s="52" t="str">
        <f>IF(AND('331-CT'!$E$7=TH!H1608,OR(L1608="331",M1608="331")),"331",IF(AND(OR(L1608="131",M1608="131"),H1608='131-CT'!$E$7),"131",""))</f>
        <v/>
      </c>
      <c r="O1608" s="818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52">
        <v>4</v>
      </c>
      <c r="AB1608" s="552"/>
      <c r="AC1608" s="552"/>
    </row>
    <row r="1609" spans="1:29" s="209" customFormat="1" ht="15.75" customHeight="1">
      <c r="A1609" s="202" t="str">
        <f>IF(B1609&lt;&gt;"",IF(AND(B1609&gt;=_TM1,B1609&lt;=_TM2,OR(TH!L1609="1111",TH!M1609="1111")),TH!D1609,""),"")</f>
        <v/>
      </c>
      <c r="B1609" s="36">
        <f t="shared" si="73"/>
        <v>10</v>
      </c>
      <c r="C1609" s="182">
        <f t="shared" si="75"/>
        <v>42668</v>
      </c>
      <c r="D1609" s="182" t="s">
        <v>332</v>
      </c>
      <c r="E1609" s="189">
        <v>42668</v>
      </c>
      <c r="F1609" s="40" t="s">
        <v>1561</v>
      </c>
      <c r="G1609" s="451" t="s">
        <v>1562</v>
      </c>
      <c r="H1609" s="191" t="s">
        <v>1563</v>
      </c>
      <c r="I1609" s="252"/>
      <c r="J1609" s="252"/>
      <c r="K1609" s="38">
        <v>62136364</v>
      </c>
      <c r="L1609" s="192" t="s">
        <v>9</v>
      </c>
      <c r="M1609" s="192" t="s">
        <v>8</v>
      </c>
      <c r="N1609" s="52" t="str">
        <f>IF(AND('331-CT'!$E$7=TH!H1609,OR(L1609="331",M1609="331")),"331",IF(AND(OR(L1609="131",M1609="131"),H1609='131-CT'!$E$7),"131",""))</f>
        <v/>
      </c>
      <c r="O1609" s="818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52">
        <v>4</v>
      </c>
      <c r="AB1609" s="552"/>
      <c r="AC1609" s="552"/>
    </row>
    <row r="1610" spans="1:29" s="209" customFormat="1" ht="15.75" customHeight="1">
      <c r="A1610" s="202" t="str">
        <f>IF(B1610&lt;&gt;"",IF(AND(B1610&gt;=_TM1,B1610&lt;=_TM2,OR(TH!L1610="1111",TH!M1610="1111")),TH!D1610,""),"")</f>
        <v/>
      </c>
      <c r="B1610" s="36">
        <f t="shared" si="73"/>
        <v>10</v>
      </c>
      <c r="C1610" s="182">
        <f t="shared" si="75"/>
        <v>42669</v>
      </c>
      <c r="D1610" s="182" t="s">
        <v>665</v>
      </c>
      <c r="E1610" s="189">
        <v>42669</v>
      </c>
      <c r="F1610" s="190" t="s">
        <v>666</v>
      </c>
      <c r="G1610" s="190" t="s">
        <v>330</v>
      </c>
      <c r="H1610" s="7" t="s">
        <v>615</v>
      </c>
      <c r="I1610" s="251"/>
      <c r="J1610" s="251"/>
      <c r="K1610" s="560">
        <v>14027200</v>
      </c>
      <c r="L1610" s="192" t="s">
        <v>24</v>
      </c>
      <c r="M1610" s="192" t="s">
        <v>258</v>
      </c>
      <c r="N1610" s="52" t="str">
        <f>IF(AND('331-CT'!$E$7=TH!H1610,OR(L1610="331",M1610="331")),"331",IF(AND(OR(L1610="131",M1610="131"),H1610='131-CT'!$E$7),"131",""))</f>
        <v/>
      </c>
      <c r="O1610" s="818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53"/>
      <c r="AB1610" s="552"/>
      <c r="AC1610" s="552"/>
    </row>
    <row r="1611" spans="1:29" s="209" customFormat="1" ht="15.75" customHeight="1">
      <c r="A1611" s="202" t="str">
        <f>IF(B1611&lt;&gt;"",IF(AND(B1611&gt;=_TM1,B1611&lt;=_TM2,OR(TH!L1611="1111",TH!M1611="1111")),TH!D1611,""),"")</f>
        <v/>
      </c>
      <c r="B1611" s="36">
        <f t="shared" si="73"/>
        <v>10</v>
      </c>
      <c r="C1611" s="182">
        <f t="shared" si="75"/>
        <v>42669</v>
      </c>
      <c r="D1611" s="182" t="s">
        <v>1095</v>
      </c>
      <c r="E1611" s="189">
        <v>42669</v>
      </c>
      <c r="F1611" s="40" t="s">
        <v>1068</v>
      </c>
      <c r="G1611" s="451" t="s">
        <v>1343</v>
      </c>
      <c r="H1611" s="208" t="s">
        <v>527</v>
      </c>
      <c r="I1611" s="252">
        <v>60</v>
      </c>
      <c r="J1611" s="252">
        <v>54530</v>
      </c>
      <c r="K1611" s="38">
        <f>ROUND(I1611*J1611,0)</f>
        <v>3271800</v>
      </c>
      <c r="L1611" s="192" t="s">
        <v>258</v>
      </c>
      <c r="M1611" s="192" t="s">
        <v>173</v>
      </c>
      <c r="N1611" s="52" t="str">
        <f>IF(AND('331-CT'!$E$7=TH!H1611,OR(L1611="331",M1611="331")),"331",IF(AND(OR(L1611="131",M1611="131"),H1611='131-CT'!$E$7),"131",""))</f>
        <v/>
      </c>
      <c r="O1611" s="818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52"/>
      <c r="AB1611" s="552"/>
      <c r="AC1611" s="552"/>
    </row>
    <row r="1612" spans="1:29" s="209" customFormat="1" ht="15.75" customHeight="1">
      <c r="A1612" s="202" t="str">
        <f>IF(B1612&lt;&gt;"",IF(AND(B1612&gt;=_TM1,B1612&lt;=_TM2,OR(TH!L1612="1111",TH!M1612="1111")),TH!D1612,""),"")</f>
        <v/>
      </c>
      <c r="B1612" s="36">
        <f t="shared" si="73"/>
        <v>10</v>
      </c>
      <c r="C1612" s="182">
        <f t="shared" si="75"/>
        <v>42669</v>
      </c>
      <c r="D1612" s="182" t="s">
        <v>1095</v>
      </c>
      <c r="E1612" s="189">
        <v>42669</v>
      </c>
      <c r="F1612" s="40" t="s">
        <v>418</v>
      </c>
      <c r="G1612" s="451" t="s">
        <v>1343</v>
      </c>
      <c r="H1612" s="208" t="s">
        <v>527</v>
      </c>
      <c r="I1612" s="252">
        <v>154</v>
      </c>
      <c r="J1612" s="252">
        <v>47449</v>
      </c>
      <c r="K1612" s="38">
        <f>ROUND(I1612*J1612,0)</f>
        <v>7307146</v>
      </c>
      <c r="L1612" s="192" t="s">
        <v>258</v>
      </c>
      <c r="M1612" s="192" t="s">
        <v>173</v>
      </c>
      <c r="N1612" s="52" t="str">
        <f>IF(AND('331-CT'!$E$7=TH!H1612,OR(L1612="331",M1612="331")),"331",IF(AND(OR(L1612="131",M1612="131"),H1612='131-CT'!$E$7),"131",""))</f>
        <v/>
      </c>
      <c r="O1612" s="818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52"/>
      <c r="AB1612" s="552"/>
      <c r="AC1612" s="552"/>
    </row>
    <row r="1613" spans="1:29" s="209" customFormat="1" ht="15.75" customHeight="1">
      <c r="A1613" s="202" t="str">
        <f>IF(B1613&lt;&gt;"",IF(AND(B1613&gt;=_TM1,B1613&lt;=_TM2,OR(TH!L1613="1111",TH!M1613="1111")),TH!D1613,""),"")</f>
        <v/>
      </c>
      <c r="B1613" s="36">
        <f t="shared" si="73"/>
        <v>10</v>
      </c>
      <c r="C1613" s="182">
        <f t="shared" si="75"/>
        <v>42669</v>
      </c>
      <c r="D1613" s="182" t="s">
        <v>1095</v>
      </c>
      <c r="E1613" s="189">
        <v>42669</v>
      </c>
      <c r="F1613" s="40" t="s">
        <v>1254</v>
      </c>
      <c r="G1613" s="451" t="s">
        <v>1343</v>
      </c>
      <c r="H1613" s="208" t="s">
        <v>527</v>
      </c>
      <c r="I1613" s="252"/>
      <c r="J1613" s="252"/>
      <c r="K1613" s="38">
        <v>1057895</v>
      </c>
      <c r="L1613" s="192" t="s">
        <v>258</v>
      </c>
      <c r="M1613" s="192" t="s">
        <v>367</v>
      </c>
      <c r="N1613" s="52" t="str">
        <f>IF(AND('331-CT'!$E$7=TH!H1613,OR(L1613="331",M1613="331")),"331",IF(AND(OR(L1613="131",M1613="131"),H1613='131-CT'!$E$7),"131",""))</f>
        <v/>
      </c>
      <c r="O1613" s="818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52"/>
      <c r="AB1613" s="552"/>
    </row>
    <row r="1614" spans="1:29" s="209" customFormat="1" ht="15.75" customHeight="1">
      <c r="A1614" s="202" t="str">
        <f>IF(B1614&lt;&gt;"",IF(AND(B1614&gt;=_TM1,B1614&lt;=_TM2,OR(TH!L1614="1111",TH!M1614="1111")),TH!D1614,""),"")</f>
        <v/>
      </c>
      <c r="B1614" s="36">
        <f t="shared" si="73"/>
        <v>10</v>
      </c>
      <c r="C1614" s="182">
        <f t="shared" si="75"/>
        <v>42669</v>
      </c>
      <c r="D1614" s="182" t="s">
        <v>1096</v>
      </c>
      <c r="E1614" s="189">
        <v>42669</v>
      </c>
      <c r="F1614" s="40" t="s">
        <v>680</v>
      </c>
      <c r="G1614" s="451" t="s">
        <v>1344</v>
      </c>
      <c r="H1614" s="711" t="s">
        <v>777</v>
      </c>
      <c r="I1614" s="252">
        <v>220</v>
      </c>
      <c r="J1614" s="252">
        <v>9300</v>
      </c>
      <c r="K1614" s="38">
        <f>ROUND(I1614*J1614,0)</f>
        <v>2046000</v>
      </c>
      <c r="L1614" s="192" t="s">
        <v>258</v>
      </c>
      <c r="M1614" s="192" t="s">
        <v>173</v>
      </c>
      <c r="N1614" s="52" t="str">
        <f>IF(AND('331-CT'!$E$7=TH!H1614,OR(L1614="331",M1614="331")),"331",IF(AND(OR(L1614="131",M1614="131"),H1614='131-CT'!$E$7),"131",""))</f>
        <v>131</v>
      </c>
      <c r="O1614" s="818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52"/>
      <c r="AB1614" s="552"/>
      <c r="AC1614" s="552"/>
    </row>
    <row r="1615" spans="1:29" s="209" customFormat="1" ht="15.75" customHeight="1">
      <c r="A1615" s="202" t="str">
        <f>IF(B1615&lt;&gt;"",IF(AND(B1615&gt;=_TM1,B1615&lt;=_TM2,OR(TH!L1615="1111",TH!M1615="1111")),TH!D1615,""),"")</f>
        <v/>
      </c>
      <c r="B1615" s="36">
        <f t="shared" si="73"/>
        <v>10</v>
      </c>
      <c r="C1615" s="182">
        <f t="shared" si="75"/>
        <v>42669</v>
      </c>
      <c r="D1615" s="182" t="s">
        <v>1096</v>
      </c>
      <c r="E1615" s="189">
        <v>42669</v>
      </c>
      <c r="F1615" s="40" t="s">
        <v>1254</v>
      </c>
      <c r="G1615" s="451" t="s">
        <v>1344</v>
      </c>
      <c r="H1615" s="711" t="s">
        <v>777</v>
      </c>
      <c r="I1615" s="252"/>
      <c r="J1615" s="252"/>
      <c r="K1615" s="38">
        <v>204600</v>
      </c>
      <c r="L1615" s="192" t="s">
        <v>258</v>
      </c>
      <c r="M1615" s="192" t="s">
        <v>367</v>
      </c>
      <c r="N1615" s="52" t="str">
        <f>IF(AND('331-CT'!$E$7=TH!H1615,OR(L1615="331",M1615="331")),"331",IF(AND(OR(L1615="131",M1615="131"),H1615='131-CT'!$E$7),"131",""))</f>
        <v>131</v>
      </c>
      <c r="O1615" s="818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52"/>
      <c r="AB1615" s="552"/>
    </row>
    <row r="1616" spans="1:29" s="209" customFormat="1" ht="15.75" customHeight="1">
      <c r="A1616" s="202" t="str">
        <f>IF(B1616&lt;&gt;"",IF(AND(B1616&gt;=_TM1,B1616&lt;=_TM2,OR(TH!L1616="1111",TH!M1616="1111")),TH!D1616,""),"")</f>
        <v/>
      </c>
      <c r="B1616" s="36">
        <f t="shared" si="73"/>
        <v>10</v>
      </c>
      <c r="C1616" s="182">
        <f t="shared" si="75"/>
        <v>42669</v>
      </c>
      <c r="D1616" s="182" t="s">
        <v>1097</v>
      </c>
      <c r="E1616" s="189">
        <v>42669</v>
      </c>
      <c r="F1616" s="40" t="s">
        <v>1444</v>
      </c>
      <c r="G1616" s="451" t="s">
        <v>1345</v>
      </c>
      <c r="H1616" s="191" t="s">
        <v>1346</v>
      </c>
      <c r="I1616" s="252">
        <v>520</v>
      </c>
      <c r="J1616" s="252">
        <v>3311</v>
      </c>
      <c r="K1616" s="38">
        <f>ROUND(I1616*J1616,0)</f>
        <v>1721720</v>
      </c>
      <c r="L1616" s="192" t="s">
        <v>258</v>
      </c>
      <c r="M1616" s="192" t="s">
        <v>173</v>
      </c>
      <c r="N1616" s="52" t="str">
        <f>IF(AND('331-CT'!$E$7=TH!H1616,OR(L1616="331",M1616="331")),"331",IF(AND(OR(L1616="131",M1616="131"),H1616='131-CT'!$E$7),"131",""))</f>
        <v/>
      </c>
      <c r="O1616" s="818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52"/>
      <c r="AB1616" s="552"/>
      <c r="AC1616" s="552"/>
    </row>
    <row r="1617" spans="1:32" s="209" customFormat="1" ht="15.75" customHeight="1">
      <c r="A1617" s="202" t="str">
        <f>IF(B1617&lt;&gt;"",IF(AND(B1617&gt;=_TM1,B1617&lt;=_TM2,OR(TH!L1617="1111",TH!M1617="1111")),TH!D1617,""),"")</f>
        <v/>
      </c>
      <c r="B1617" s="36">
        <f t="shared" si="73"/>
        <v>10</v>
      </c>
      <c r="C1617" s="182">
        <f t="shared" si="75"/>
        <v>42669</v>
      </c>
      <c r="D1617" s="182" t="s">
        <v>1097</v>
      </c>
      <c r="E1617" s="189">
        <v>42669</v>
      </c>
      <c r="F1617" s="40" t="s">
        <v>1444</v>
      </c>
      <c r="G1617" s="451" t="s">
        <v>1345</v>
      </c>
      <c r="H1617" s="191" t="s">
        <v>1346</v>
      </c>
      <c r="I1617" s="252">
        <v>550</v>
      </c>
      <c r="J1617" s="252">
        <v>3542</v>
      </c>
      <c r="K1617" s="38">
        <f>ROUND(I1617*J1617,0)</f>
        <v>1948100</v>
      </c>
      <c r="L1617" s="192" t="s">
        <v>258</v>
      </c>
      <c r="M1617" s="192" t="s">
        <v>173</v>
      </c>
      <c r="N1617" s="52" t="str">
        <f>IF(AND('331-CT'!$E$7=TH!H1617,OR(L1617="331",M1617="331")),"331",IF(AND(OR(L1617="131",M1617="131"),H1617='131-CT'!$E$7),"131",""))</f>
        <v/>
      </c>
      <c r="O1617" s="818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52"/>
      <c r="AB1617" s="552"/>
    </row>
    <row r="1618" spans="1:32" s="209" customFormat="1" ht="15.75" customHeight="1">
      <c r="A1618" s="202" t="str">
        <f>IF(B1618&lt;&gt;"",IF(AND(B1618&gt;=_TM1,B1618&lt;=_TM2,OR(TH!L1618="1111",TH!M1618="1111")),TH!D1618,""),"")</f>
        <v/>
      </c>
      <c r="B1618" s="36">
        <f t="shared" si="73"/>
        <v>10</v>
      </c>
      <c r="C1618" s="182">
        <f t="shared" si="75"/>
        <v>42669</v>
      </c>
      <c r="D1618" s="182" t="s">
        <v>1097</v>
      </c>
      <c r="E1618" s="189">
        <v>42669</v>
      </c>
      <c r="F1618" s="40" t="s">
        <v>1254</v>
      </c>
      <c r="G1618" s="451" t="s">
        <v>1345</v>
      </c>
      <c r="H1618" s="191" t="s">
        <v>1346</v>
      </c>
      <c r="I1618" s="252"/>
      <c r="J1618" s="252"/>
      <c r="K1618" s="38">
        <v>366982</v>
      </c>
      <c r="L1618" s="192" t="s">
        <v>258</v>
      </c>
      <c r="M1618" s="192" t="s">
        <v>367</v>
      </c>
      <c r="N1618" s="52" t="str">
        <f>IF(AND('331-CT'!$E$7=TH!H1618,OR(L1618="331",M1618="331")),"331",IF(AND(OR(L1618="131",M1618="131"),H1618='131-CT'!$E$7),"131",""))</f>
        <v/>
      </c>
      <c r="O1618" s="818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52"/>
      <c r="AB1618" s="552"/>
      <c r="AC1618" s="552"/>
    </row>
    <row r="1619" spans="1:32" s="209" customFormat="1" ht="15.75" customHeight="1">
      <c r="A1619" s="202" t="str">
        <f>IF(B1619&lt;&gt;"",IF(AND(B1619&gt;=_TM1,B1619&lt;=_TM2,OR(TH!L1619="1111",TH!M1619="1111")),TH!D1619,""),"")</f>
        <v/>
      </c>
      <c r="B1619" s="36">
        <f t="shared" si="73"/>
        <v>10</v>
      </c>
      <c r="C1619" s="182">
        <f t="shared" si="75"/>
        <v>42670</v>
      </c>
      <c r="D1619" s="182" t="s">
        <v>669</v>
      </c>
      <c r="E1619" s="189">
        <v>42670</v>
      </c>
      <c r="F1619" s="190" t="s">
        <v>671</v>
      </c>
      <c r="G1619" s="190" t="s">
        <v>330</v>
      </c>
      <c r="H1619" s="7" t="s">
        <v>844</v>
      </c>
      <c r="I1619" s="251"/>
      <c r="J1619" s="251"/>
      <c r="K1619" s="560">
        <v>14000000</v>
      </c>
      <c r="L1619" s="192" t="s">
        <v>8</v>
      </c>
      <c r="M1619" s="561" t="s">
        <v>24</v>
      </c>
      <c r="N1619" s="52" t="str">
        <f>IF(AND('331-CT'!$E$7=TH!H1619,OR(L1619="331",M1619="331")),"331",IF(AND(OR(L1619="131",M1619="131"),H1619='131-CT'!$E$7),"131",""))</f>
        <v/>
      </c>
      <c r="O1619" s="818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53"/>
      <c r="AB1619" s="552"/>
    </row>
    <row r="1620" spans="1:32" s="209" customFormat="1" ht="15.75" customHeight="1">
      <c r="A1620" s="202" t="str">
        <f>IF(B1620&lt;&gt;"",IF(AND(B1620&gt;=_TM1,B1620&lt;=_TM2,OR(TH!L1620="1111",TH!M1620="1111")),TH!D1620,""),"")</f>
        <v/>
      </c>
      <c r="B1620" s="36">
        <f t="shared" ref="B1620:B1683" si="76">IF(C1620&lt;&gt;"",MONTH(C1620),"")</f>
        <v>10</v>
      </c>
      <c r="C1620" s="182">
        <f t="shared" si="75"/>
        <v>42670</v>
      </c>
      <c r="D1620" s="182" t="s">
        <v>669</v>
      </c>
      <c r="E1620" s="189">
        <v>42670</v>
      </c>
      <c r="F1620" s="187" t="s">
        <v>672</v>
      </c>
      <c r="G1620" s="190" t="s">
        <v>330</v>
      </c>
      <c r="H1620" s="191"/>
      <c r="I1620" s="251"/>
      <c r="J1620" s="251"/>
      <c r="K1620" s="560">
        <v>13636</v>
      </c>
      <c r="L1620" s="561" t="s">
        <v>83</v>
      </c>
      <c r="M1620" s="561" t="s">
        <v>24</v>
      </c>
      <c r="N1620" s="52" t="str">
        <f>IF(AND('331-CT'!$E$7=TH!H1620,OR(L1620="331",M1620="331")),"331",IF(AND(OR(L1620="131",M1620="131"),H1620='131-CT'!$E$7),"131",""))</f>
        <v/>
      </c>
      <c r="O1620" s="818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>x</v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52">
        <v>4</v>
      </c>
      <c r="AB1620" s="552"/>
      <c r="AC1620" s="552"/>
    </row>
    <row r="1621" spans="1:32" s="209" customFormat="1" ht="15.75" customHeight="1">
      <c r="A1621" s="202" t="str">
        <f>IF(B1621&lt;&gt;"",IF(AND(B1621&gt;=_TM1,B1621&lt;=_TM2,OR(TH!L1621="1111",TH!M1621="1111")),TH!D1621,""),"")</f>
        <v/>
      </c>
      <c r="B1621" s="36">
        <f t="shared" si="76"/>
        <v>10</v>
      </c>
      <c r="C1621" s="182">
        <f t="shared" si="75"/>
        <v>42670</v>
      </c>
      <c r="D1621" s="182" t="s">
        <v>669</v>
      </c>
      <c r="E1621" s="189">
        <v>42670</v>
      </c>
      <c r="F1621" s="187" t="s">
        <v>762</v>
      </c>
      <c r="G1621" s="190" t="s">
        <v>330</v>
      </c>
      <c r="H1621" s="7"/>
      <c r="I1621" s="251"/>
      <c r="J1621" s="251"/>
      <c r="K1621" s="560">
        <v>1364</v>
      </c>
      <c r="L1621" s="192" t="s">
        <v>9</v>
      </c>
      <c r="M1621" s="561" t="s">
        <v>24</v>
      </c>
      <c r="N1621" s="52" t="str">
        <f>IF(AND('331-CT'!$E$7=TH!H1621,OR(L1621="331",M1621="331")),"331",IF(AND(OR(L1621="131",M1621="131"),H1621='131-CT'!$E$7),"131",""))</f>
        <v/>
      </c>
      <c r="O1621" s="818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52">
        <v>4</v>
      </c>
      <c r="AB1621" s="552"/>
    </row>
    <row r="1622" spans="1:32" s="209" customFormat="1" ht="15.75" customHeight="1">
      <c r="A1622" s="202" t="str">
        <f>IF(B1622&lt;&gt;"",IF(AND(B1622&gt;=_TM1,B1622&lt;=_TM2,OR(TH!L1622="1111",TH!M1622="1111")),TH!D1622,""),"")</f>
        <v/>
      </c>
      <c r="B1622" s="36">
        <f t="shared" si="76"/>
        <v>10</v>
      </c>
      <c r="C1622" s="182">
        <f t="shared" si="75"/>
        <v>42670</v>
      </c>
      <c r="D1622" s="182" t="s">
        <v>1098</v>
      </c>
      <c r="E1622" s="189">
        <v>42670</v>
      </c>
      <c r="F1622" s="40" t="s">
        <v>1348</v>
      </c>
      <c r="G1622" s="451" t="s">
        <v>1347</v>
      </c>
      <c r="H1622" s="191" t="s">
        <v>1346</v>
      </c>
      <c r="I1622" s="252">
        <v>100</v>
      </c>
      <c r="J1622" s="252">
        <v>20000</v>
      </c>
      <c r="K1622" s="38">
        <f>ROUND(I1622*J1622,0)</f>
        <v>2000000</v>
      </c>
      <c r="L1622" s="192" t="s">
        <v>258</v>
      </c>
      <c r="M1622" s="192" t="s">
        <v>173</v>
      </c>
      <c r="N1622" s="52" t="str">
        <f>IF(AND('331-CT'!$E$7=TH!H1622,OR(L1622="331",M1622="331")),"331",IF(AND(OR(L1622="131",M1622="131"),H1622='131-CT'!$E$7),"131",""))</f>
        <v/>
      </c>
      <c r="O1622" s="818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52"/>
      <c r="AB1622" s="552"/>
    </row>
    <row r="1623" spans="1:32" s="209" customFormat="1" ht="15.75" customHeight="1">
      <c r="A1623" s="202" t="str">
        <f>IF(B1623&lt;&gt;"",IF(AND(B1623&gt;=_TM1,B1623&lt;=_TM2,OR(TH!L1623="1111",TH!M1623="1111")),TH!D1623,""),"")</f>
        <v/>
      </c>
      <c r="B1623" s="36">
        <f t="shared" si="76"/>
        <v>10</v>
      </c>
      <c r="C1623" s="182">
        <f t="shared" si="75"/>
        <v>42670</v>
      </c>
      <c r="D1623" s="182" t="s">
        <v>1098</v>
      </c>
      <c r="E1623" s="189">
        <v>42670</v>
      </c>
      <c r="F1623" s="40" t="s">
        <v>1254</v>
      </c>
      <c r="G1623" s="451" t="s">
        <v>1347</v>
      </c>
      <c r="H1623" s="191" t="s">
        <v>1346</v>
      </c>
      <c r="I1623" s="252"/>
      <c r="J1623" s="252"/>
      <c r="K1623" s="38">
        <v>200000</v>
      </c>
      <c r="L1623" s="192" t="s">
        <v>258</v>
      </c>
      <c r="M1623" s="192" t="s">
        <v>367</v>
      </c>
      <c r="N1623" s="52" t="str">
        <f>IF(AND('331-CT'!$E$7=TH!H1623,OR(L1623="331",M1623="331")),"331",IF(AND(OR(L1623="131",M1623="131"),H1623='131-CT'!$E$7),"131",""))</f>
        <v/>
      </c>
      <c r="O1623" s="818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52"/>
      <c r="AB1623" s="552"/>
      <c r="AC1623" s="552"/>
    </row>
    <row r="1624" spans="1:32" s="209" customFormat="1" ht="15.75" customHeight="1">
      <c r="A1624" s="202" t="str">
        <f>IF(B1624&lt;&gt;"",IF(AND(B1624&gt;=_TM1,B1624&lt;=_TM2,OR(TH!L1624="1111",TH!M1624="1111")),TH!D1624,""),"")</f>
        <v/>
      </c>
      <c r="B1624" s="36">
        <f t="shared" si="76"/>
        <v>10</v>
      </c>
      <c r="C1624" s="182">
        <f t="shared" si="75"/>
        <v>42670</v>
      </c>
      <c r="D1624" s="182" t="s">
        <v>1099</v>
      </c>
      <c r="E1624" s="189">
        <v>42670</v>
      </c>
      <c r="F1624" s="40" t="s">
        <v>680</v>
      </c>
      <c r="G1624" s="451" t="s">
        <v>1349</v>
      </c>
      <c r="H1624" s="711" t="s">
        <v>777</v>
      </c>
      <c r="I1624" s="252">
        <v>313</v>
      </c>
      <c r="J1624" s="252">
        <v>9300</v>
      </c>
      <c r="K1624" s="38">
        <f>ROUND(I1624*J1624,0)</f>
        <v>2910900</v>
      </c>
      <c r="L1624" s="192" t="s">
        <v>258</v>
      </c>
      <c r="M1624" s="192" t="s">
        <v>173</v>
      </c>
      <c r="N1624" s="52" t="str">
        <f>IF(AND('331-CT'!$E$7=TH!H1624,OR(L1624="331",M1624="331")),"331",IF(AND(OR(L1624="131",M1624="131"),H1624='131-CT'!$E$7),"131",""))</f>
        <v>131</v>
      </c>
      <c r="O1624" s="818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52"/>
      <c r="AB1624" s="552"/>
    </row>
    <row r="1625" spans="1:32" s="209" customFormat="1" ht="15.75" customHeight="1">
      <c r="A1625" s="202" t="str">
        <f>IF(B1625&lt;&gt;"",IF(AND(B1625&gt;=_TM1,B1625&lt;=_TM2,OR(TH!L1625="1111",TH!M1625="1111")),TH!D1625,""),"")</f>
        <v/>
      </c>
      <c r="B1625" s="36">
        <f t="shared" si="76"/>
        <v>10</v>
      </c>
      <c r="C1625" s="182">
        <f t="shared" si="75"/>
        <v>42670</v>
      </c>
      <c r="D1625" s="182" t="s">
        <v>1099</v>
      </c>
      <c r="E1625" s="189">
        <v>42670</v>
      </c>
      <c r="F1625" s="40" t="s">
        <v>1254</v>
      </c>
      <c r="G1625" s="451" t="s">
        <v>1349</v>
      </c>
      <c r="H1625" s="711" t="s">
        <v>777</v>
      </c>
      <c r="I1625" s="252"/>
      <c r="J1625" s="252"/>
      <c r="K1625" s="38">
        <v>291090</v>
      </c>
      <c r="L1625" s="192" t="s">
        <v>258</v>
      </c>
      <c r="M1625" s="192" t="s">
        <v>367</v>
      </c>
      <c r="N1625" s="52" t="str">
        <f>IF(AND('331-CT'!$E$7=TH!H1625,OR(L1625="331",M1625="331")),"331",IF(AND(OR(L1625="131",M1625="131"),H1625='131-CT'!$E$7),"131",""))</f>
        <v>131</v>
      </c>
      <c r="O1625" s="818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52"/>
      <c r="AB1625" s="552"/>
    </row>
    <row r="1626" spans="1:32" s="209" customFormat="1" ht="15.75" customHeight="1">
      <c r="A1626" s="202" t="str">
        <f>IF(B1626&lt;&gt;"",IF(AND(B1626&gt;=_TM1,B1626&lt;=_TM2,OR(TH!L1626="1111",TH!M1626="1111")),TH!D1626,""),"")</f>
        <v/>
      </c>
      <c r="B1626" s="36">
        <f t="shared" si="76"/>
        <v>10</v>
      </c>
      <c r="C1626" s="182">
        <f t="shared" si="75"/>
        <v>42670</v>
      </c>
      <c r="D1626" s="182" t="s">
        <v>1100</v>
      </c>
      <c r="E1626" s="189">
        <v>42670</v>
      </c>
      <c r="F1626" s="40" t="s">
        <v>1351</v>
      </c>
      <c r="G1626" s="451" t="s">
        <v>1350</v>
      </c>
      <c r="H1626" s="191" t="s">
        <v>1328</v>
      </c>
      <c r="I1626" s="252">
        <v>25</v>
      </c>
      <c r="J1626" s="252">
        <v>7750</v>
      </c>
      <c r="K1626" s="38">
        <f>ROUND(I1626*J1626,0)</f>
        <v>193750</v>
      </c>
      <c r="L1626" s="192" t="s">
        <v>258</v>
      </c>
      <c r="M1626" s="192" t="s">
        <v>173</v>
      </c>
      <c r="N1626" s="52" t="str">
        <f>IF(AND('331-CT'!$E$7=TH!H1626,OR(L1626="331",M1626="331")),"331",IF(AND(OR(L1626="131",M1626="131"),H1626='131-CT'!$E$7),"131",""))</f>
        <v/>
      </c>
      <c r="O1626" s="818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52"/>
      <c r="AB1626" s="552"/>
      <c r="AC1626" s="552"/>
    </row>
    <row r="1627" spans="1:32" s="209" customFormat="1" ht="15.75" customHeight="1">
      <c r="A1627" s="202" t="str">
        <f>IF(B1627&lt;&gt;"",IF(AND(B1627&gt;=_TM1,B1627&lt;=_TM2,OR(TH!L1627="1111",TH!M1627="1111")),TH!D1627,""),"")</f>
        <v/>
      </c>
      <c r="B1627" s="36">
        <f t="shared" si="76"/>
        <v>10</v>
      </c>
      <c r="C1627" s="182">
        <f t="shared" si="75"/>
        <v>42670</v>
      </c>
      <c r="D1627" s="182" t="s">
        <v>1100</v>
      </c>
      <c r="E1627" s="189">
        <v>42670</v>
      </c>
      <c r="F1627" s="40" t="s">
        <v>1254</v>
      </c>
      <c r="G1627" s="451" t="s">
        <v>1350</v>
      </c>
      <c r="H1627" s="191" t="s">
        <v>1328</v>
      </c>
      <c r="I1627" s="252"/>
      <c r="J1627" s="252"/>
      <c r="K1627" s="38">
        <v>19375</v>
      </c>
      <c r="L1627" s="192" t="s">
        <v>258</v>
      </c>
      <c r="M1627" s="192" t="s">
        <v>367</v>
      </c>
      <c r="N1627" s="52" t="str">
        <f>IF(AND('331-CT'!$E$7=TH!H1627,OR(L1627="331",M1627="331")),"331",IF(AND(OR(L1627="131",M1627="131"),H1627='131-CT'!$E$7),"131",""))</f>
        <v/>
      </c>
      <c r="O1627" s="818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52"/>
      <c r="AB1627" s="552"/>
      <c r="AC1627" s="552"/>
    </row>
    <row r="1628" spans="1:32" s="209" customFormat="1" ht="15.75" customHeight="1">
      <c r="A1628" s="202" t="str">
        <f>IF(B1628&lt;&gt;"",IF(AND(B1628&gt;=_TM1,B1628&lt;=_TM2,OR(TH!L1628="1111",TH!M1628="1111")),TH!D1628,""),"")</f>
        <v/>
      </c>
      <c r="B1628" s="36">
        <f t="shared" si="76"/>
        <v>10</v>
      </c>
      <c r="C1628" s="182">
        <f t="shared" si="75"/>
        <v>42671</v>
      </c>
      <c r="D1628" s="182" t="s">
        <v>665</v>
      </c>
      <c r="E1628" s="189">
        <v>42671</v>
      </c>
      <c r="F1628" s="190" t="s">
        <v>666</v>
      </c>
      <c r="G1628" s="190" t="s">
        <v>330</v>
      </c>
      <c r="H1628" s="7" t="s">
        <v>391</v>
      </c>
      <c r="I1628" s="251"/>
      <c r="J1628" s="251"/>
      <c r="K1628" s="560">
        <v>8426000</v>
      </c>
      <c r="L1628" s="192" t="s">
        <v>24</v>
      </c>
      <c r="M1628" s="192" t="s">
        <v>258</v>
      </c>
      <c r="N1628" s="52" t="str">
        <f>IF(AND('331-CT'!$E$7=TH!H1628,OR(L1628="331",M1628="331")),"331",IF(AND(OR(L1628="131",M1628="131"),H1628='131-CT'!$E$7),"131",""))</f>
        <v/>
      </c>
      <c r="O1628" s="818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53"/>
      <c r="AB1628" s="552"/>
    </row>
    <row r="1629" spans="1:32" s="209" customFormat="1" ht="15.75" customHeight="1">
      <c r="A1629" s="202" t="str">
        <f>IF(B1629&lt;&gt;"",IF(AND(B1629&gt;=_TM1,B1629&lt;=_TM2,OR(TH!L1629="1111",TH!M1629="1111")),TH!D1629,""),"")</f>
        <v/>
      </c>
      <c r="B1629" s="36">
        <f t="shared" si="76"/>
        <v>10</v>
      </c>
      <c r="C1629" s="182">
        <f t="shared" si="75"/>
        <v>42671</v>
      </c>
      <c r="D1629" s="182" t="s">
        <v>669</v>
      </c>
      <c r="E1629" s="189">
        <v>42671</v>
      </c>
      <c r="F1629" s="190" t="s">
        <v>666</v>
      </c>
      <c r="G1629" s="190" t="s">
        <v>1287</v>
      </c>
      <c r="H1629" s="886" t="s">
        <v>1395</v>
      </c>
      <c r="I1629" s="251"/>
      <c r="J1629" s="251"/>
      <c r="K1629" s="560">
        <v>7057303</v>
      </c>
      <c r="L1629" s="192" t="s">
        <v>24</v>
      </c>
      <c r="M1629" s="192" t="s">
        <v>258</v>
      </c>
      <c r="N1629" s="52" t="str">
        <f>IF(AND('331-CT'!$E$7=TH!H1629,OR(L1629="331",M1629="331")),"331",IF(AND(OR(L1629="131",M1629="131"),H1629='131-CT'!$E$7),"131",""))</f>
        <v/>
      </c>
      <c r="O1629" s="818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>x</v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53"/>
      <c r="AB1629" s="552"/>
    </row>
    <row r="1630" spans="1:32" s="209" customFormat="1" ht="15.75" customHeight="1">
      <c r="A1630" s="202" t="str">
        <f>IF(B1630&lt;&gt;"",IF(AND(B1630&gt;=_TM1,B1630&lt;=_TM2,OR(TH!L1630="1111",TH!M1630="1111")),TH!D1630,""),"")</f>
        <v/>
      </c>
      <c r="B1630" s="36">
        <f t="shared" si="76"/>
        <v>10</v>
      </c>
      <c r="C1630" s="839">
        <f t="shared" si="75"/>
        <v>42674</v>
      </c>
      <c r="D1630" s="839" t="s">
        <v>332</v>
      </c>
      <c r="E1630" s="839">
        <v>42674</v>
      </c>
      <c r="F1630" s="845" t="s">
        <v>1429</v>
      </c>
      <c r="G1630" s="874"/>
      <c r="H1630" s="875"/>
      <c r="I1630" s="842"/>
      <c r="J1630" s="842"/>
      <c r="K1630" s="849">
        <v>5390000</v>
      </c>
      <c r="L1630" s="876" t="s">
        <v>83</v>
      </c>
      <c r="M1630" s="876" t="s">
        <v>261</v>
      </c>
      <c r="N1630" s="52" t="str">
        <f>IF(AND('331-CT'!$E$7=TH!H1630,OR(L1630="331",M1630="331")),"331",IF(AND(OR(L1630="131",M1630="131"),H1630='131-CT'!$E$7),"131",""))</f>
        <v/>
      </c>
      <c r="O1630" s="818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>x</v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196"/>
      <c r="AB1630" s="196"/>
      <c r="AC1630" s="196"/>
      <c r="AD1630" s="196"/>
      <c r="AE1630" s="196"/>
      <c r="AF1630" s="196"/>
    </row>
    <row r="1631" spans="1:32" s="209" customFormat="1" ht="15.75" customHeight="1">
      <c r="A1631" s="202" t="str">
        <f>IF(B1631&lt;&gt;"",IF(AND(B1631&gt;=_TM1,B1631&lt;=_TM2,OR(TH!L1631="1111",TH!M1631="1111")),TH!D1631,""),"")</f>
        <v/>
      </c>
      <c r="B1631" s="36">
        <f t="shared" si="76"/>
        <v>10</v>
      </c>
      <c r="C1631" s="839">
        <f t="shared" si="75"/>
        <v>42674</v>
      </c>
      <c r="D1631" s="839" t="s">
        <v>332</v>
      </c>
      <c r="E1631" s="839">
        <v>42674</v>
      </c>
      <c r="F1631" s="845" t="s">
        <v>1430</v>
      </c>
      <c r="G1631" s="874"/>
      <c r="H1631" s="875"/>
      <c r="I1631" s="842"/>
      <c r="J1631" s="842"/>
      <c r="K1631" s="849">
        <v>16170000</v>
      </c>
      <c r="L1631" s="876" t="s">
        <v>164</v>
      </c>
      <c r="M1631" s="876" t="s">
        <v>261</v>
      </c>
      <c r="N1631" s="52" t="str">
        <f>IF(AND('331-CT'!$E$7=TH!H1631,OR(L1631="331",M1631="331")),"331",IF(AND(OR(L1631="131",M1631="131"),H1631='131-CT'!$E$7),"131",""))</f>
        <v/>
      </c>
      <c r="O1631" s="818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96"/>
      <c r="AB1631" s="196"/>
      <c r="AC1631" s="196"/>
      <c r="AD1631" s="196"/>
      <c r="AE1631" s="196"/>
      <c r="AF1631" s="196"/>
    </row>
    <row r="1632" spans="1:32" s="209" customFormat="1" ht="15.75" customHeight="1">
      <c r="A1632" s="202" t="str">
        <f>IF(B1632&lt;&gt;"",IF(AND(B1632&gt;=_TM1,B1632&lt;=_TM2,OR(TH!L1632="1111",TH!M1632="1111")),TH!D1632,""),"")</f>
        <v>C08</v>
      </c>
      <c r="B1632" s="36">
        <f t="shared" si="76"/>
        <v>10</v>
      </c>
      <c r="C1632" s="839">
        <f t="shared" si="75"/>
        <v>42674</v>
      </c>
      <c r="D1632" s="839" t="s">
        <v>1639</v>
      </c>
      <c r="E1632" s="839">
        <v>42674</v>
      </c>
      <c r="F1632" s="845" t="str">
        <f>"Thanh toán tiền lương tháng "&amp;MONTH(E1632)&amp;"/"&amp;YEAR(E1632)</f>
        <v>Thanh toán tiền lương tháng 10/2016</v>
      </c>
      <c r="G1632" s="874"/>
      <c r="H1632" s="875" t="s">
        <v>1680</v>
      </c>
      <c r="I1632" s="842"/>
      <c r="J1632" s="842"/>
      <c r="K1632" s="849">
        <f>K1630+K1631</f>
        <v>21560000</v>
      </c>
      <c r="L1632" s="876" t="s">
        <v>261</v>
      </c>
      <c r="M1632" s="876" t="s">
        <v>47</v>
      </c>
      <c r="N1632" s="52" t="str">
        <f>IF(AND('331-CT'!$E$7=TH!H1632,OR(L1632="331",M1632="331")),"331",IF(AND(OR(L1632="131",M1632="131"),H1632='131-CT'!$E$7),"131",""))</f>
        <v/>
      </c>
      <c r="O1632" s="818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96"/>
      <c r="AB1632" s="196"/>
      <c r="AC1632" s="196"/>
      <c r="AD1632" s="196"/>
      <c r="AE1632" s="196"/>
      <c r="AF1632" s="196"/>
    </row>
    <row r="1633" spans="1:32" s="209" customFormat="1" ht="15.75" customHeight="1">
      <c r="A1633" s="202" t="str">
        <f>IF(B1633&lt;&gt;"",IF(AND(B1633&gt;=_TM1,B1633&lt;=_TM2,OR(TH!L1633="1111",TH!M1633="1111")),TH!D1633,""),"")</f>
        <v>T05</v>
      </c>
      <c r="B1633" s="36">
        <f t="shared" si="76"/>
        <v>10</v>
      </c>
      <c r="C1633" s="182">
        <f t="shared" si="75"/>
        <v>42674</v>
      </c>
      <c r="D1633" s="182" t="s">
        <v>1620</v>
      </c>
      <c r="E1633" s="189">
        <v>42674</v>
      </c>
      <c r="F1633" s="190" t="s">
        <v>670</v>
      </c>
      <c r="G1633" s="190" t="s">
        <v>330</v>
      </c>
      <c r="H1633" s="191" t="s">
        <v>1282</v>
      </c>
      <c r="I1633" s="251"/>
      <c r="J1633" s="251"/>
      <c r="K1633" s="560">
        <v>3500000</v>
      </c>
      <c r="L1633" s="192" t="s">
        <v>47</v>
      </c>
      <c r="M1633" s="561" t="s">
        <v>24</v>
      </c>
      <c r="N1633" s="52" t="str">
        <f>IF(AND('331-CT'!$E$7=TH!H1633,OR(L1633="331",M1633="331")),"331",IF(AND(OR(L1633="131",M1633="131"),H1633='131-CT'!$E$7),"131",""))</f>
        <v/>
      </c>
      <c r="O1633" s="818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53"/>
      <c r="AB1633" s="552"/>
      <c r="AC1633" s="552"/>
    </row>
    <row r="1634" spans="1:32" s="209" customFormat="1" ht="15.75" customHeight="1">
      <c r="A1634" s="202" t="str">
        <f>IF(B1634&lt;&gt;"",IF(AND(B1634&gt;=_TM1,B1634&lt;=_TM2,OR(TH!L1634="1111",TH!M1634="1111")),TH!D1634,""),"")</f>
        <v/>
      </c>
      <c r="B1634" s="36">
        <f t="shared" si="76"/>
        <v>10</v>
      </c>
      <c r="C1634" s="182">
        <f t="shared" si="75"/>
        <v>42674</v>
      </c>
      <c r="D1634" s="182" t="s">
        <v>669</v>
      </c>
      <c r="E1634" s="189">
        <v>42674</v>
      </c>
      <c r="F1634" s="190" t="s">
        <v>671</v>
      </c>
      <c r="G1634" s="190" t="s">
        <v>330</v>
      </c>
      <c r="H1634" s="7" t="s">
        <v>1453</v>
      </c>
      <c r="I1634" s="251"/>
      <c r="J1634" s="251"/>
      <c r="K1634" s="560">
        <v>5000000</v>
      </c>
      <c r="L1634" s="192" t="s">
        <v>8</v>
      </c>
      <c r="M1634" s="561" t="s">
        <v>24</v>
      </c>
      <c r="N1634" s="52" t="str">
        <f>IF(AND('331-CT'!$E$7=TH!H1634,OR(L1634="331",M1634="331")),"331",IF(AND(OR(L1634="131",M1634="131"),H1634='131-CT'!$E$7),"131",""))</f>
        <v/>
      </c>
      <c r="O1634" s="818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53"/>
      <c r="AB1634" s="552"/>
    </row>
    <row r="1635" spans="1:32" s="209" customFormat="1" ht="15.75" customHeight="1">
      <c r="A1635" s="202" t="str">
        <f>IF(B1635&lt;&gt;"",IF(AND(B1635&gt;=_TM1,B1635&lt;=_TM2,OR(TH!L1635="1111",TH!M1635="1111")),TH!D1635,""),"")</f>
        <v/>
      </c>
      <c r="B1635" s="36">
        <f t="shared" si="76"/>
        <v>10</v>
      </c>
      <c r="C1635" s="182">
        <f t="shared" si="75"/>
        <v>42674</v>
      </c>
      <c r="D1635" s="182" t="s">
        <v>669</v>
      </c>
      <c r="E1635" s="189">
        <v>42674</v>
      </c>
      <c r="F1635" s="187" t="s">
        <v>672</v>
      </c>
      <c r="G1635" s="190" t="s">
        <v>330</v>
      </c>
      <c r="H1635" s="191"/>
      <c r="I1635" s="251"/>
      <c r="J1635" s="251"/>
      <c r="K1635" s="560">
        <v>13636</v>
      </c>
      <c r="L1635" s="561" t="s">
        <v>83</v>
      </c>
      <c r="M1635" s="561" t="s">
        <v>24</v>
      </c>
      <c r="N1635" s="52" t="str">
        <f>IF(AND('331-CT'!$E$7=TH!H1635,OR(L1635="331",M1635="331")),"331",IF(AND(OR(L1635="131",M1635="131"),H1635='131-CT'!$E$7),"131",""))</f>
        <v/>
      </c>
      <c r="O1635" s="818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>x</v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52">
        <v>4</v>
      </c>
      <c r="AB1635" s="552"/>
      <c r="AC1635" s="552"/>
    </row>
    <row r="1636" spans="1:32" s="209" customFormat="1" ht="15.75" customHeight="1">
      <c r="A1636" s="202" t="str">
        <f>IF(B1636&lt;&gt;"",IF(AND(B1636&gt;=_TM1,B1636&lt;=_TM2,OR(TH!L1636="1111",TH!M1636="1111")),TH!D1636,""),"")</f>
        <v/>
      </c>
      <c r="B1636" s="36">
        <f t="shared" si="76"/>
        <v>10</v>
      </c>
      <c r="C1636" s="182">
        <f t="shared" si="75"/>
        <v>42674</v>
      </c>
      <c r="D1636" s="182" t="s">
        <v>669</v>
      </c>
      <c r="E1636" s="189">
        <v>42674</v>
      </c>
      <c r="F1636" s="187" t="s">
        <v>762</v>
      </c>
      <c r="G1636" s="190" t="s">
        <v>330</v>
      </c>
      <c r="H1636" s="7"/>
      <c r="I1636" s="251"/>
      <c r="J1636" s="251"/>
      <c r="K1636" s="560">
        <v>1364</v>
      </c>
      <c r="L1636" s="192" t="s">
        <v>9</v>
      </c>
      <c r="M1636" s="561" t="s">
        <v>24</v>
      </c>
      <c r="N1636" s="52" t="str">
        <f>IF(AND('331-CT'!$E$7=TH!H1636,OR(L1636="331",M1636="331")),"331",IF(AND(OR(L1636="131",M1636="131"),H1636='131-CT'!$E$7),"131",""))</f>
        <v/>
      </c>
      <c r="O1636" s="818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52">
        <v>4</v>
      </c>
      <c r="AB1636" s="552"/>
    </row>
    <row r="1637" spans="1:32" s="209" customFormat="1" ht="15.75" customHeight="1">
      <c r="A1637" s="202" t="str">
        <f>IF(B1637&lt;&gt;"",IF(AND(B1637&gt;=_TM1,B1637&lt;=_TM2,OR(TH!L1637="1111",TH!M1637="1111")),TH!D1637,""),"")</f>
        <v>T06</v>
      </c>
      <c r="B1637" s="36">
        <f t="shared" si="76"/>
        <v>10</v>
      </c>
      <c r="C1637" s="182">
        <f t="shared" si="75"/>
        <v>42674</v>
      </c>
      <c r="D1637" s="182" t="s">
        <v>1621</v>
      </c>
      <c r="E1637" s="189">
        <v>42674</v>
      </c>
      <c r="F1637" s="187" t="s">
        <v>776</v>
      </c>
      <c r="G1637" s="190" t="s">
        <v>1287</v>
      </c>
      <c r="H1637" s="191" t="s">
        <v>1282</v>
      </c>
      <c r="I1637" s="251"/>
      <c r="J1637" s="251"/>
      <c r="K1637" s="560">
        <v>7000000</v>
      </c>
      <c r="L1637" s="561" t="s">
        <v>47</v>
      </c>
      <c r="M1637" s="561" t="s">
        <v>24</v>
      </c>
      <c r="N1637" s="52" t="str">
        <f>IF(AND('331-CT'!$E$7=TH!H1637,OR(L1637="331",M1637="331")),"331",IF(AND(OR(L1637="131",M1637="131"),H1637='131-CT'!$E$7),"131",""))</f>
        <v/>
      </c>
      <c r="O1637" s="818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>x</v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53"/>
      <c r="AB1637" s="552"/>
      <c r="AC1637" s="552"/>
    </row>
    <row r="1638" spans="1:32" s="209" customFormat="1" ht="15.75" customHeight="1">
      <c r="A1638" s="202" t="str">
        <f>IF(B1638&lt;&gt;"",IF(AND(B1638&gt;=_TM1,B1638&lt;=_TM2,OR(TH!L1638="1111",TH!M1638="1111")),TH!D1638,""),"")</f>
        <v/>
      </c>
      <c r="B1638" s="36">
        <f t="shared" si="76"/>
        <v>10</v>
      </c>
      <c r="C1638" s="182">
        <f t="shared" si="75"/>
        <v>42674</v>
      </c>
      <c r="D1638" s="182" t="s">
        <v>669</v>
      </c>
      <c r="E1638" s="189">
        <v>42674</v>
      </c>
      <c r="F1638" s="187" t="s">
        <v>667</v>
      </c>
      <c r="G1638" s="190" t="s">
        <v>1287</v>
      </c>
      <c r="H1638" s="191"/>
      <c r="I1638" s="251"/>
      <c r="J1638" s="251"/>
      <c r="K1638" s="560">
        <v>3500</v>
      </c>
      <c r="L1638" s="561" t="s">
        <v>24</v>
      </c>
      <c r="M1638" s="561" t="s">
        <v>40</v>
      </c>
      <c r="N1638" s="52" t="str">
        <f>IF(AND('331-CT'!$E$7=TH!H1638,OR(L1638="331",M1638="331")),"331",IF(AND(OR(L1638="131",M1638="131"),H1638='131-CT'!$E$7),"131",""))</f>
        <v/>
      </c>
      <c r="O1638" s="818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>x</v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53"/>
      <c r="AB1638" s="552"/>
      <c r="AC1638" s="552"/>
    </row>
    <row r="1639" spans="1:32" s="209" customFormat="1" ht="15.75" customHeight="1">
      <c r="A1639" s="202" t="str">
        <f>IF(B1639&lt;&gt;"",IF(AND(B1639&gt;=_TM1,B1639&lt;=_TM2,OR(TH!L1639="1111",TH!M1639="1111")),TH!D1639,""),"")</f>
        <v/>
      </c>
      <c r="B1639" s="36">
        <f t="shared" si="76"/>
        <v>10</v>
      </c>
      <c r="C1639" s="182">
        <f t="shared" si="75"/>
        <v>42674</v>
      </c>
      <c r="D1639" s="189" t="s">
        <v>1613</v>
      </c>
      <c r="E1639" s="189">
        <v>42674</v>
      </c>
      <c r="F1639" s="187" t="s">
        <v>1552</v>
      </c>
      <c r="G1639" s="451" t="s">
        <v>1551</v>
      </c>
      <c r="H1639" s="712" t="s">
        <v>1356</v>
      </c>
      <c r="I1639" s="251">
        <v>7</v>
      </c>
      <c r="J1639" s="251">
        <v>50400</v>
      </c>
      <c r="K1639" s="38">
        <f>ROUND(I1639*J1639,0)</f>
        <v>352800</v>
      </c>
      <c r="L1639" s="192" t="s">
        <v>160</v>
      </c>
      <c r="M1639" s="192" t="s">
        <v>8</v>
      </c>
      <c r="N1639" s="52" t="str">
        <f>IF(AND('331-CT'!$E$7=TH!H1639,OR(L1639="331",M1639="331")),"331",IF(AND(OR(L1639="131",M1639="131"),H1639='131-CT'!$E$7),"131",""))</f>
        <v/>
      </c>
      <c r="O1639" s="818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751">
        <v>4</v>
      </c>
      <c r="AB1639" s="552"/>
      <c r="AC1639" s="209" t="str">
        <f>IF(VLOOKUP(H1639,DSKH,1,0)=H1639,"","x")</f>
        <v/>
      </c>
      <c r="AE1639" s="552"/>
      <c r="AF1639" s="552"/>
    </row>
    <row r="1640" spans="1:32" s="861" customFormat="1" ht="15.75" customHeight="1">
      <c r="A1640" s="202" t="str">
        <f>IF(B1640&lt;&gt;"",IF(AND(B1640&gt;=_TM1,B1640&lt;=_TM2,OR(TH!L1640="1111",TH!M1640="1111")),TH!D1640,""),"")</f>
        <v/>
      </c>
      <c r="B1640" s="36">
        <f t="shared" si="76"/>
        <v>10</v>
      </c>
      <c r="C1640" s="182">
        <f t="shared" si="75"/>
        <v>42674</v>
      </c>
      <c r="D1640" s="189" t="s">
        <v>1613</v>
      </c>
      <c r="E1640" s="189">
        <v>42674</v>
      </c>
      <c r="F1640" s="187" t="s">
        <v>1553</v>
      </c>
      <c r="G1640" s="451" t="s">
        <v>1551</v>
      </c>
      <c r="H1640" s="712" t="s">
        <v>1356</v>
      </c>
      <c r="I1640" s="251"/>
      <c r="J1640" s="251"/>
      <c r="K1640" s="560">
        <v>35280</v>
      </c>
      <c r="L1640" s="192" t="s">
        <v>9</v>
      </c>
      <c r="M1640" s="192" t="s">
        <v>8</v>
      </c>
      <c r="N1640" s="52" t="str">
        <f>IF(AND('331-CT'!$E$7=TH!H1640,OR(L1640="331",M1640="331")),"331",IF(AND(OR(L1640="131",M1640="131"),H1640='131-CT'!$E$7),"131",""))</f>
        <v/>
      </c>
      <c r="O1640" s="818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751">
        <v>4</v>
      </c>
      <c r="AB1640" s="552"/>
      <c r="AC1640" s="209" t="str">
        <f>IF(VLOOKUP(H1640,DSKH,1,0)=H1640,"","x")</f>
        <v/>
      </c>
      <c r="AD1640" s="209"/>
      <c r="AE1640" s="552"/>
      <c r="AF1640" s="552"/>
    </row>
    <row r="1641" spans="1:32" s="861" customFormat="1" ht="15.75" customHeight="1">
      <c r="A1641" s="202" t="str">
        <f>IF(B1641&lt;&gt;"",IF(AND(B1641&gt;=_TM1,B1641&lt;=_TM2,OR(TH!L1641="1111",TH!M1641="1111")),TH!D1641,""),"")</f>
        <v>C09</v>
      </c>
      <c r="B1641" s="36">
        <f t="shared" si="76"/>
        <v>10</v>
      </c>
      <c r="C1641" s="182">
        <f t="shared" si="75"/>
        <v>42674</v>
      </c>
      <c r="D1641" s="189" t="s">
        <v>1640</v>
      </c>
      <c r="E1641" s="189">
        <v>42674</v>
      </c>
      <c r="F1641" s="187" t="s">
        <v>671</v>
      </c>
      <c r="G1641" s="451" t="s">
        <v>1551</v>
      </c>
      <c r="H1641" s="712" t="s">
        <v>1356</v>
      </c>
      <c r="I1641" s="251"/>
      <c r="J1641" s="251"/>
      <c r="K1641" s="560">
        <v>388080</v>
      </c>
      <c r="L1641" s="192" t="s">
        <v>8</v>
      </c>
      <c r="M1641" s="192" t="s">
        <v>47</v>
      </c>
      <c r="N1641" s="52" t="str">
        <f>IF(AND('331-CT'!$E$7=TH!H1641,OR(L1641="331",M1641="331")),"331",IF(AND(OR(L1641="131",M1641="131"),H1641='131-CT'!$E$7),"131",""))</f>
        <v/>
      </c>
      <c r="O1641" s="818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751"/>
      <c r="AB1641" s="552"/>
      <c r="AC1641" s="209"/>
      <c r="AD1641" s="209"/>
      <c r="AE1641" s="552"/>
      <c r="AF1641" s="552"/>
    </row>
    <row r="1642" spans="1:32" s="861" customFormat="1" ht="15.75" customHeight="1">
      <c r="A1642" s="202" t="str">
        <f>IF(B1642&lt;&gt;"",IF(AND(B1642&gt;=_TM1,B1642&lt;=_TM2,OR(TH!L1642="1111",TH!M1642="1111")),TH!D1642,""),"")</f>
        <v>C10</v>
      </c>
      <c r="B1642" s="36">
        <f t="shared" si="76"/>
        <v>10</v>
      </c>
      <c r="C1642" s="182">
        <f t="shared" si="75"/>
        <v>42674</v>
      </c>
      <c r="D1642" s="189" t="s">
        <v>1641</v>
      </c>
      <c r="E1642" s="189">
        <v>42674</v>
      </c>
      <c r="F1642" s="187" t="s">
        <v>1558</v>
      </c>
      <c r="G1642" s="451" t="s">
        <v>1556</v>
      </c>
      <c r="H1642" s="712" t="s">
        <v>1555</v>
      </c>
      <c r="I1642" s="251"/>
      <c r="J1642" s="251"/>
      <c r="K1642" s="38">
        <v>933000</v>
      </c>
      <c r="L1642" s="192" t="s">
        <v>83</v>
      </c>
      <c r="M1642" s="192" t="s">
        <v>47</v>
      </c>
      <c r="N1642" s="52" t="str">
        <f>IF(AND('331-CT'!$E$7=TH!H1642,OR(L1642="331",M1642="331")),"331",IF(AND(OR(L1642="131",M1642="131"),H1642='131-CT'!$E$7),"131",""))</f>
        <v/>
      </c>
      <c r="O1642" s="818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>x</v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751">
        <v>4</v>
      </c>
      <c r="AB1642" s="552"/>
      <c r="AC1642" s="209"/>
      <c r="AD1642" s="209"/>
      <c r="AE1642" s="552"/>
      <c r="AF1642" s="552"/>
    </row>
    <row r="1643" spans="1:32" s="861" customFormat="1" ht="15.75" customHeight="1">
      <c r="A1643" s="202" t="str">
        <f>IF(B1643&lt;&gt;"",IF(AND(B1643&gt;=_TM1,B1643&lt;=_TM2,OR(TH!L1643="1111",TH!M1643="1111")),TH!D1643,""),"")</f>
        <v>C10</v>
      </c>
      <c r="B1643" s="36">
        <f t="shared" si="76"/>
        <v>10</v>
      </c>
      <c r="C1643" s="182">
        <f t="shared" si="75"/>
        <v>42674</v>
      </c>
      <c r="D1643" s="189" t="s">
        <v>1641</v>
      </c>
      <c r="E1643" s="189">
        <v>42674</v>
      </c>
      <c r="F1643" s="187" t="s">
        <v>1559</v>
      </c>
      <c r="G1643" s="451" t="s">
        <v>1556</v>
      </c>
      <c r="H1643" s="712" t="s">
        <v>1555</v>
      </c>
      <c r="I1643" s="251"/>
      <c r="J1643" s="251"/>
      <c r="K1643" s="38">
        <v>50000</v>
      </c>
      <c r="L1643" s="192" t="s">
        <v>83</v>
      </c>
      <c r="M1643" s="192" t="s">
        <v>47</v>
      </c>
      <c r="N1643" s="52" t="str">
        <f>IF(AND('331-CT'!$E$7=TH!H1643,OR(L1643="331",M1643="331")),"331",IF(AND(OR(L1643="131",M1643="131"),H1643='131-CT'!$E$7),"131",""))</f>
        <v/>
      </c>
      <c r="O1643" s="818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>x</v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751"/>
      <c r="AB1643" s="552"/>
      <c r="AC1643" s="209"/>
      <c r="AD1643" s="209"/>
      <c r="AE1643" s="552"/>
      <c r="AF1643" s="552"/>
    </row>
    <row r="1644" spans="1:32" s="861" customFormat="1" ht="15.75" customHeight="1">
      <c r="A1644" s="202" t="str">
        <f>IF(B1644&lt;&gt;"",IF(AND(B1644&gt;=_TM1,B1644&lt;=_TM2,OR(TH!L1644="1111",TH!M1644="1111")),TH!D1644,""),"")</f>
        <v>C10</v>
      </c>
      <c r="B1644" s="36">
        <f t="shared" si="76"/>
        <v>10</v>
      </c>
      <c r="C1644" s="182">
        <f t="shared" si="75"/>
        <v>42674</v>
      </c>
      <c r="D1644" s="189" t="s">
        <v>1641</v>
      </c>
      <c r="E1644" s="189">
        <v>42674</v>
      </c>
      <c r="F1644" s="187" t="s">
        <v>1557</v>
      </c>
      <c r="G1644" s="451" t="s">
        <v>1556</v>
      </c>
      <c r="H1644" s="712" t="s">
        <v>1555</v>
      </c>
      <c r="I1644" s="251"/>
      <c r="J1644" s="251"/>
      <c r="K1644" s="560">
        <v>93300</v>
      </c>
      <c r="L1644" s="192" t="s">
        <v>9</v>
      </c>
      <c r="M1644" s="192" t="s">
        <v>47</v>
      </c>
      <c r="N1644" s="52" t="str">
        <f>IF(AND('331-CT'!$E$7=TH!H1644,OR(L1644="331",M1644="331")),"331",IF(AND(OR(L1644="131",M1644="131"),H1644='131-CT'!$E$7),"131",""))</f>
        <v/>
      </c>
      <c r="O1644" s="818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751">
        <v>4</v>
      </c>
      <c r="AB1644" s="552"/>
      <c r="AC1644" s="209"/>
      <c r="AD1644" s="209"/>
      <c r="AE1644" s="552"/>
      <c r="AF1644" s="552"/>
    </row>
    <row r="1645" spans="1:32" s="861" customFormat="1" ht="15.75" customHeight="1">
      <c r="A1645" s="202" t="str">
        <f>IF(B1645&lt;&gt;"",IF(AND(B1645&gt;=_TM1,B1645&lt;=_TM2,OR(TH!L1645="1111",TH!M1645="1111")),TH!D1645,""),"")</f>
        <v/>
      </c>
      <c r="B1645" s="36">
        <f t="shared" si="76"/>
        <v>11</v>
      </c>
      <c r="C1645" s="182">
        <f t="shared" si="75"/>
        <v>42676</v>
      </c>
      <c r="D1645" s="182" t="s">
        <v>669</v>
      </c>
      <c r="E1645" s="189">
        <v>42676</v>
      </c>
      <c r="F1645" s="190" t="s">
        <v>666</v>
      </c>
      <c r="G1645" s="190" t="s">
        <v>1287</v>
      </c>
      <c r="H1645" s="191" t="s">
        <v>1319</v>
      </c>
      <c r="I1645" s="251"/>
      <c r="J1645" s="251"/>
      <c r="K1645" s="560">
        <v>8386724</v>
      </c>
      <c r="L1645" s="561" t="s">
        <v>24</v>
      </c>
      <c r="M1645" s="561" t="s">
        <v>258</v>
      </c>
      <c r="N1645" s="52" t="str">
        <f>IF(AND('331-CT'!$E$7=TH!H1645,OR(L1645="331",M1645="331")),"331",IF(AND(OR(L1645="131",M1645="131"),H1645='131-CT'!$E$7),"131",""))</f>
        <v/>
      </c>
      <c r="O1645" s="818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>x</v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53"/>
      <c r="AB1645" s="552"/>
      <c r="AC1645" s="209"/>
      <c r="AD1645" s="209"/>
      <c r="AE1645" s="209"/>
      <c r="AF1645" s="209"/>
    </row>
    <row r="1646" spans="1:32" s="861" customFormat="1" ht="15.75" customHeight="1">
      <c r="A1646" s="202" t="str">
        <f>IF(B1646&lt;&gt;"",IF(AND(B1646&gt;=_TM1,B1646&lt;=_TM2,OR(TH!L1646="1111",TH!M1646="1111")),TH!D1646,""),"")</f>
        <v/>
      </c>
      <c r="B1646" s="36">
        <f t="shared" si="76"/>
        <v>11</v>
      </c>
      <c r="C1646" s="182">
        <f t="shared" si="75"/>
        <v>42676</v>
      </c>
      <c r="D1646" s="182" t="s">
        <v>1101</v>
      </c>
      <c r="E1646" s="189">
        <v>42676</v>
      </c>
      <c r="F1646" s="187" t="s">
        <v>1441</v>
      </c>
      <c r="G1646" s="451" t="s">
        <v>1352</v>
      </c>
      <c r="H1646" s="7" t="s">
        <v>615</v>
      </c>
      <c r="I1646" s="252">
        <v>1800</v>
      </c>
      <c r="J1646" s="252">
        <v>3970</v>
      </c>
      <c r="K1646" s="38">
        <f t="shared" ref="K1646:K1653" si="77">ROUND(I1646*J1646,0)</f>
        <v>7146000</v>
      </c>
      <c r="L1646" s="192" t="s">
        <v>258</v>
      </c>
      <c r="M1646" s="192" t="s">
        <v>173</v>
      </c>
      <c r="N1646" s="52" t="str">
        <f>IF(AND('331-CT'!$E$7=TH!H1646,OR(L1646="331",M1646="331")),"331",IF(AND(OR(L1646="131",M1646="131"),H1646='131-CT'!$E$7),"131",""))</f>
        <v/>
      </c>
      <c r="O1646" s="818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52"/>
      <c r="AB1646" s="552"/>
      <c r="AC1646" s="209"/>
      <c r="AD1646" s="209"/>
      <c r="AE1646" s="209"/>
      <c r="AF1646" s="209"/>
    </row>
    <row r="1647" spans="1:32" s="861" customFormat="1" ht="15.75" customHeight="1">
      <c r="A1647" s="202" t="str">
        <f>IF(B1647&lt;&gt;"",IF(AND(B1647&gt;=_TM1,B1647&lt;=_TM2,OR(TH!L1647="1111",TH!M1647="1111")),TH!D1647,""),"")</f>
        <v/>
      </c>
      <c r="B1647" s="36">
        <f t="shared" si="76"/>
        <v>11</v>
      </c>
      <c r="C1647" s="182">
        <f t="shared" si="75"/>
        <v>42676</v>
      </c>
      <c r="D1647" s="182" t="s">
        <v>1101</v>
      </c>
      <c r="E1647" s="189">
        <v>42676</v>
      </c>
      <c r="F1647" s="187" t="s">
        <v>1307</v>
      </c>
      <c r="G1647" s="451" t="s">
        <v>1352</v>
      </c>
      <c r="H1647" s="7" t="s">
        <v>615</v>
      </c>
      <c r="I1647" s="252">
        <v>30</v>
      </c>
      <c r="J1647" s="252">
        <v>12400</v>
      </c>
      <c r="K1647" s="38">
        <f t="shared" si="77"/>
        <v>372000</v>
      </c>
      <c r="L1647" s="192" t="s">
        <v>258</v>
      </c>
      <c r="M1647" s="192" t="s">
        <v>173</v>
      </c>
      <c r="N1647" s="52" t="str">
        <f>IF(AND('331-CT'!$E$7=TH!H1647,OR(L1647="331",M1647="331")),"331",IF(AND(OR(L1647="131",M1647="131"),H1647='131-CT'!$E$7),"131",""))</f>
        <v/>
      </c>
      <c r="O1647" s="818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52"/>
      <c r="AB1647" s="552"/>
      <c r="AC1647" s="552"/>
      <c r="AD1647" s="209"/>
      <c r="AE1647" s="209"/>
      <c r="AF1647" s="209"/>
    </row>
    <row r="1648" spans="1:32" s="861" customFormat="1" ht="15.75" customHeight="1">
      <c r="A1648" s="202" t="str">
        <f>IF(B1648&lt;&gt;"",IF(AND(B1648&gt;=_TM1,B1648&lt;=_TM2,OR(TH!L1648="1111",TH!M1648="1111")),TH!D1648,""),"")</f>
        <v/>
      </c>
      <c r="B1648" s="36">
        <f t="shared" si="76"/>
        <v>11</v>
      </c>
      <c r="C1648" s="182">
        <f t="shared" si="75"/>
        <v>42676</v>
      </c>
      <c r="D1648" s="182" t="s">
        <v>1101</v>
      </c>
      <c r="E1648" s="189">
        <v>42676</v>
      </c>
      <c r="F1648" s="187" t="s">
        <v>1307</v>
      </c>
      <c r="G1648" s="451" t="s">
        <v>1352</v>
      </c>
      <c r="H1648" s="7" t="s">
        <v>615</v>
      </c>
      <c r="I1648" s="252">
        <v>30</v>
      </c>
      <c r="J1648" s="252">
        <v>14200</v>
      </c>
      <c r="K1648" s="38">
        <f t="shared" si="77"/>
        <v>426000</v>
      </c>
      <c r="L1648" s="192" t="s">
        <v>258</v>
      </c>
      <c r="M1648" s="192" t="s">
        <v>173</v>
      </c>
      <c r="N1648" s="52" t="str">
        <f>IF(AND('331-CT'!$E$7=TH!H1648,OR(L1648="331",M1648="331")),"331",IF(AND(OR(L1648="131",M1648="131"),H1648='131-CT'!$E$7),"131",""))</f>
        <v/>
      </c>
      <c r="O1648" s="818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52"/>
      <c r="AB1648" s="552"/>
      <c r="AC1648" s="552"/>
      <c r="AD1648" s="209"/>
      <c r="AE1648" s="209"/>
      <c r="AF1648" s="209"/>
    </row>
    <row r="1649" spans="1:32" s="861" customFormat="1" ht="15.75" customHeight="1">
      <c r="A1649" s="202" t="str">
        <f>IF(B1649&lt;&gt;"",IF(AND(B1649&gt;=_TM1,B1649&lt;=_TM2,OR(TH!L1649="1111",TH!M1649="1111")),TH!D1649,""),"")</f>
        <v/>
      </c>
      <c r="B1649" s="36">
        <f t="shared" si="76"/>
        <v>11</v>
      </c>
      <c r="C1649" s="182">
        <f t="shared" si="75"/>
        <v>42676</v>
      </c>
      <c r="D1649" s="182" t="s">
        <v>1101</v>
      </c>
      <c r="E1649" s="189">
        <v>42676</v>
      </c>
      <c r="F1649" s="187" t="s">
        <v>1310</v>
      </c>
      <c r="G1649" s="451" t="s">
        <v>1352</v>
      </c>
      <c r="H1649" s="7" t="s">
        <v>615</v>
      </c>
      <c r="I1649" s="252">
        <v>30</v>
      </c>
      <c r="J1649" s="252">
        <v>15300</v>
      </c>
      <c r="K1649" s="38">
        <f t="shared" si="77"/>
        <v>459000</v>
      </c>
      <c r="L1649" s="192" t="s">
        <v>258</v>
      </c>
      <c r="M1649" s="192" t="s">
        <v>173</v>
      </c>
      <c r="N1649" s="52" t="str">
        <f>IF(AND('331-CT'!$E$7=TH!H1649,OR(L1649="331",M1649="331")),"331",IF(AND(OR(L1649="131",M1649="131"),H1649='131-CT'!$E$7),"131",""))</f>
        <v/>
      </c>
      <c r="O1649" s="818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52"/>
      <c r="AB1649" s="552"/>
      <c r="AC1649" s="552"/>
      <c r="AD1649" s="209"/>
      <c r="AE1649" s="209"/>
      <c r="AF1649" s="209"/>
    </row>
    <row r="1650" spans="1:32" s="209" customFormat="1" ht="15.75" customHeight="1">
      <c r="A1650" s="202" t="str">
        <f>IF(B1650&lt;&gt;"",IF(AND(B1650&gt;=_TM1,B1650&lt;=_TM2,OR(TH!L1650="1111",TH!M1650="1111")),TH!D1650,""),"")</f>
        <v/>
      </c>
      <c r="B1650" s="36">
        <f t="shared" si="76"/>
        <v>11</v>
      </c>
      <c r="C1650" s="182">
        <f t="shared" si="75"/>
        <v>42676</v>
      </c>
      <c r="D1650" s="182" t="s">
        <v>1101</v>
      </c>
      <c r="E1650" s="189">
        <v>42676</v>
      </c>
      <c r="F1650" s="187" t="s">
        <v>1308</v>
      </c>
      <c r="G1650" s="451" t="s">
        <v>1352</v>
      </c>
      <c r="H1650" s="7" t="s">
        <v>615</v>
      </c>
      <c r="I1650" s="252">
        <v>30</v>
      </c>
      <c r="J1650" s="252">
        <v>16500</v>
      </c>
      <c r="K1650" s="38">
        <f t="shared" si="77"/>
        <v>495000</v>
      </c>
      <c r="L1650" s="192" t="s">
        <v>258</v>
      </c>
      <c r="M1650" s="192" t="s">
        <v>173</v>
      </c>
      <c r="N1650" s="52" t="str">
        <f>IF(AND('331-CT'!$E$7=TH!H1650,OR(L1650="331",M1650="331")),"331",IF(AND(OR(L1650="131",M1650="131"),H1650='131-CT'!$E$7),"131",""))</f>
        <v/>
      </c>
      <c r="O1650" s="818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52"/>
      <c r="AB1650" s="552"/>
    </row>
    <row r="1651" spans="1:32" s="209" customFormat="1" ht="15.75" customHeight="1">
      <c r="A1651" s="202" t="str">
        <f>IF(B1651&lt;&gt;"",IF(AND(B1651&gt;=_TM1,B1651&lt;=_TM2,OR(TH!L1651="1111",TH!M1651="1111")),TH!D1651,""),"")</f>
        <v/>
      </c>
      <c r="B1651" s="36">
        <f t="shared" si="76"/>
        <v>11</v>
      </c>
      <c r="C1651" s="182">
        <f t="shared" si="75"/>
        <v>42676</v>
      </c>
      <c r="D1651" s="182" t="s">
        <v>1101</v>
      </c>
      <c r="E1651" s="189">
        <v>42676</v>
      </c>
      <c r="F1651" s="187" t="s">
        <v>1309</v>
      </c>
      <c r="G1651" s="451" t="s">
        <v>1352</v>
      </c>
      <c r="H1651" s="7" t="s">
        <v>615</v>
      </c>
      <c r="I1651" s="252">
        <v>100</v>
      </c>
      <c r="J1651" s="252">
        <v>19700</v>
      </c>
      <c r="K1651" s="38">
        <f t="shared" si="77"/>
        <v>1970000</v>
      </c>
      <c r="L1651" s="192" t="s">
        <v>258</v>
      </c>
      <c r="M1651" s="192" t="s">
        <v>173</v>
      </c>
      <c r="N1651" s="52" t="str">
        <f>IF(AND('331-CT'!$E$7=TH!H1651,OR(L1651="331",M1651="331")),"331",IF(AND(OR(L1651="131",M1651="131"),H1651='131-CT'!$E$7),"131",""))</f>
        <v/>
      </c>
      <c r="O1651" s="818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52"/>
      <c r="AB1651" s="552"/>
      <c r="AC1651" s="552"/>
    </row>
    <row r="1652" spans="1:32" s="209" customFormat="1" ht="15.75" customHeight="1">
      <c r="A1652" s="202" t="str">
        <f>IF(B1652&lt;&gt;"",IF(AND(B1652&gt;=_TM1,B1652&lt;=_TM2,OR(TH!L1652="1111",TH!M1652="1111")),TH!D1652,""),"")</f>
        <v/>
      </c>
      <c r="B1652" s="36">
        <f t="shared" si="76"/>
        <v>11</v>
      </c>
      <c r="C1652" s="182">
        <f t="shared" si="75"/>
        <v>42676</v>
      </c>
      <c r="D1652" s="182" t="s">
        <v>1101</v>
      </c>
      <c r="E1652" s="189">
        <v>42676</v>
      </c>
      <c r="F1652" s="187" t="s">
        <v>1436</v>
      </c>
      <c r="G1652" s="451" t="s">
        <v>1352</v>
      </c>
      <c r="H1652" s="7" t="s">
        <v>615</v>
      </c>
      <c r="I1652" s="252">
        <v>30</v>
      </c>
      <c r="J1652" s="252">
        <v>20100</v>
      </c>
      <c r="K1652" s="38">
        <f t="shared" si="77"/>
        <v>603000</v>
      </c>
      <c r="L1652" s="192" t="s">
        <v>258</v>
      </c>
      <c r="M1652" s="192" t="s">
        <v>173</v>
      </c>
      <c r="N1652" s="52" t="str">
        <f>IF(AND('331-CT'!$E$7=TH!H1652,OR(L1652="331",M1652="331")),"331",IF(AND(OR(L1652="131",M1652="131"),H1652='131-CT'!$E$7),"131",""))</f>
        <v/>
      </c>
      <c r="O1652" s="818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52"/>
      <c r="AB1652" s="552"/>
      <c r="AC1652" s="552"/>
    </row>
    <row r="1653" spans="1:32" s="209" customFormat="1" ht="15.75" customHeight="1">
      <c r="A1653" s="202" t="str">
        <f>IF(B1653&lt;&gt;"",IF(AND(B1653&gt;=_TM1,B1653&lt;=_TM2,OR(TH!L1653="1111",TH!M1653="1111")),TH!D1653,""),"")</f>
        <v/>
      </c>
      <c r="B1653" s="36">
        <f t="shared" si="76"/>
        <v>11</v>
      </c>
      <c r="C1653" s="182">
        <f t="shared" si="75"/>
        <v>42676</v>
      </c>
      <c r="D1653" s="182" t="s">
        <v>1101</v>
      </c>
      <c r="E1653" s="189">
        <v>42676</v>
      </c>
      <c r="F1653" s="190" t="s">
        <v>1446</v>
      </c>
      <c r="G1653" s="451" t="s">
        <v>1352</v>
      </c>
      <c r="H1653" s="7" t="s">
        <v>615</v>
      </c>
      <c r="I1653" s="252">
        <v>70</v>
      </c>
      <c r="J1653" s="252">
        <v>18300</v>
      </c>
      <c r="K1653" s="38">
        <f t="shared" si="77"/>
        <v>1281000</v>
      </c>
      <c r="L1653" s="192" t="s">
        <v>258</v>
      </c>
      <c r="M1653" s="192" t="s">
        <v>173</v>
      </c>
      <c r="N1653" s="52" t="str">
        <f>IF(AND('331-CT'!$E$7=TH!H1653,OR(L1653="331",M1653="331")),"331",IF(AND(OR(L1653="131",M1653="131"),H1653='131-CT'!$E$7),"131",""))</f>
        <v/>
      </c>
      <c r="O1653" s="818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52"/>
      <c r="AB1653" s="552"/>
      <c r="AC1653" s="552"/>
    </row>
    <row r="1654" spans="1:32" s="209" customFormat="1" ht="15.75" customHeight="1">
      <c r="A1654" s="202" t="str">
        <f>IF(B1654&lt;&gt;"",IF(AND(B1654&gt;=_TM1,B1654&lt;=_TM2,OR(TH!L1654="1111",TH!M1654="1111")),TH!D1654,""),"")</f>
        <v/>
      </c>
      <c r="B1654" s="36">
        <f t="shared" si="76"/>
        <v>11</v>
      </c>
      <c r="C1654" s="182">
        <f t="shared" si="75"/>
        <v>42676</v>
      </c>
      <c r="D1654" s="182" t="s">
        <v>1101</v>
      </c>
      <c r="E1654" s="189">
        <v>42676</v>
      </c>
      <c r="F1654" s="40" t="s">
        <v>1254</v>
      </c>
      <c r="G1654" s="451" t="s">
        <v>1352</v>
      </c>
      <c r="H1654" s="7" t="s">
        <v>615</v>
      </c>
      <c r="I1654" s="252"/>
      <c r="J1654" s="252"/>
      <c r="K1654" s="38">
        <v>1275200</v>
      </c>
      <c r="L1654" s="192" t="s">
        <v>258</v>
      </c>
      <c r="M1654" s="192" t="s">
        <v>367</v>
      </c>
      <c r="N1654" s="52" t="str">
        <f>IF(AND('331-CT'!$E$7=TH!H1654,OR(L1654="331",M1654="331")),"331",IF(AND(OR(L1654="131",M1654="131"),H1654='131-CT'!$E$7),"131",""))</f>
        <v/>
      </c>
      <c r="O1654" s="818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52"/>
      <c r="AB1654" s="552"/>
      <c r="AC1654" s="552"/>
    </row>
    <row r="1655" spans="1:32" s="209" customFormat="1" ht="15.75" customHeight="1">
      <c r="A1655" s="202" t="str">
        <f>IF(B1655&lt;&gt;"",IF(AND(B1655&gt;=_TM1,B1655&lt;=_TM2,OR(TH!L1655="1111",TH!M1655="1111")),TH!D1655,""),"")</f>
        <v/>
      </c>
      <c r="B1655" s="36">
        <f t="shared" si="76"/>
        <v>11</v>
      </c>
      <c r="C1655" s="182">
        <f t="shared" si="75"/>
        <v>42677</v>
      </c>
      <c r="D1655" s="182" t="s">
        <v>1102</v>
      </c>
      <c r="E1655" s="189">
        <v>42677</v>
      </c>
      <c r="F1655" s="40" t="s">
        <v>1315</v>
      </c>
      <c r="G1655" s="451" t="s">
        <v>1353</v>
      </c>
      <c r="H1655" s="7" t="s">
        <v>780</v>
      </c>
      <c r="I1655" s="252">
        <v>974</v>
      </c>
      <c r="J1655" s="252">
        <v>6700</v>
      </c>
      <c r="K1655" s="38">
        <f>ROUND(I1655*J1655,0)</f>
        <v>6525800</v>
      </c>
      <c r="L1655" s="192" t="s">
        <v>258</v>
      </c>
      <c r="M1655" s="192" t="s">
        <v>173</v>
      </c>
      <c r="N1655" s="52" t="str">
        <f>IF(AND('331-CT'!$E$7=TH!H1655,OR(L1655="331",M1655="331")),"331",IF(AND(OR(L1655="131",M1655="131"),H1655='131-CT'!$E$7),"131",""))</f>
        <v/>
      </c>
      <c r="O1655" s="818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52"/>
      <c r="AB1655" s="552"/>
      <c r="AC1655" s="552"/>
    </row>
    <row r="1656" spans="1:32" s="209" customFormat="1" ht="15.75" customHeight="1">
      <c r="A1656" s="202" t="str">
        <f>IF(B1656&lt;&gt;"",IF(AND(B1656&gt;=_TM1,B1656&lt;=_TM2,OR(TH!L1656="1111",TH!M1656="1111")),TH!D1656,""),"")</f>
        <v/>
      </c>
      <c r="B1656" s="36">
        <f t="shared" si="76"/>
        <v>11</v>
      </c>
      <c r="C1656" s="182">
        <f t="shared" si="75"/>
        <v>42677</v>
      </c>
      <c r="D1656" s="182" t="s">
        <v>1102</v>
      </c>
      <c r="E1656" s="189">
        <v>42677</v>
      </c>
      <c r="F1656" s="40" t="s">
        <v>1254</v>
      </c>
      <c r="G1656" s="451" t="s">
        <v>1353</v>
      </c>
      <c r="H1656" s="7" t="s">
        <v>780</v>
      </c>
      <c r="I1656" s="252"/>
      <c r="J1656" s="252"/>
      <c r="K1656" s="38">
        <v>652580</v>
      </c>
      <c r="L1656" s="192" t="s">
        <v>258</v>
      </c>
      <c r="M1656" s="192" t="s">
        <v>367</v>
      </c>
      <c r="N1656" s="52" t="str">
        <f>IF(AND('331-CT'!$E$7=TH!H1656,OR(L1656="331",M1656="331")),"331",IF(AND(OR(L1656="131",M1656="131"),H1656='131-CT'!$E$7),"131",""))</f>
        <v/>
      </c>
      <c r="O1656" s="818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52"/>
      <c r="AB1656" s="552"/>
      <c r="AC1656" s="552"/>
    </row>
    <row r="1657" spans="1:32" s="209" customFormat="1" ht="15.75" customHeight="1">
      <c r="A1657" s="202" t="str">
        <f>IF(B1657&lt;&gt;"",IF(AND(B1657&gt;=_TM1,B1657&lt;=_TM2,OR(TH!L1657="1111",TH!M1657="1111")),TH!D1657,""),"")</f>
        <v/>
      </c>
      <c r="B1657" s="36">
        <f t="shared" si="76"/>
        <v>11</v>
      </c>
      <c r="C1657" s="182">
        <f t="shared" si="75"/>
        <v>42678</v>
      </c>
      <c r="D1657" s="182" t="s">
        <v>669</v>
      </c>
      <c r="E1657" s="189">
        <v>42678</v>
      </c>
      <c r="F1657" s="187" t="s">
        <v>671</v>
      </c>
      <c r="G1657" s="190" t="s">
        <v>1287</v>
      </c>
      <c r="H1657" s="191"/>
      <c r="I1657" s="251"/>
      <c r="J1657" s="251"/>
      <c r="K1657" s="560">
        <v>8000000</v>
      </c>
      <c r="L1657" s="561" t="s">
        <v>8</v>
      </c>
      <c r="M1657" s="561" t="s">
        <v>24</v>
      </c>
      <c r="N1657" s="52" t="str">
        <f>IF(AND('331-CT'!$E$7=TH!H1657,OR(L1657="331",M1657="331")),"331",IF(AND(OR(L1657="131",M1657="131"),H1657='131-CT'!$E$7),"131",""))</f>
        <v/>
      </c>
      <c r="O1657" s="818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>x</v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53"/>
      <c r="AB1657" s="552"/>
      <c r="AC1657" s="552"/>
    </row>
    <row r="1658" spans="1:32" s="209" customFormat="1" ht="15.75" customHeight="1">
      <c r="A1658" s="202" t="str">
        <f>IF(B1658&lt;&gt;"",IF(AND(B1658&gt;=_TM1,B1658&lt;=_TM2,OR(TH!L1658="1111",TH!M1658="1111")),TH!D1658,""),"")</f>
        <v/>
      </c>
      <c r="B1658" s="36">
        <f t="shared" si="76"/>
        <v>11</v>
      </c>
      <c r="C1658" s="182">
        <f t="shared" si="75"/>
        <v>42678</v>
      </c>
      <c r="D1658" s="182" t="s">
        <v>669</v>
      </c>
      <c r="E1658" s="189">
        <v>42678</v>
      </c>
      <c r="F1658" s="190" t="s">
        <v>672</v>
      </c>
      <c r="G1658" s="190" t="s">
        <v>1287</v>
      </c>
      <c r="H1658" s="7"/>
      <c r="I1658" s="251"/>
      <c r="J1658" s="251"/>
      <c r="K1658" s="560">
        <v>15000</v>
      </c>
      <c r="L1658" s="561" t="s">
        <v>83</v>
      </c>
      <c r="M1658" s="561" t="s">
        <v>24</v>
      </c>
      <c r="N1658" s="52" t="str">
        <f>IF(AND('331-CT'!$E$7=TH!H1658,OR(L1658="331",M1658="331")),"331",IF(AND(OR(L1658="131",M1658="131"),H1658='131-CT'!$E$7),"131",""))</f>
        <v/>
      </c>
      <c r="O1658" s="818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>x</v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>x</v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53">
        <v>4</v>
      </c>
      <c r="AB1658" s="552"/>
      <c r="AC1658" s="552"/>
    </row>
    <row r="1659" spans="1:32" s="209" customFormat="1" ht="15.75" customHeight="1">
      <c r="A1659" s="202" t="str">
        <f>IF(B1659&lt;&gt;"",IF(AND(B1659&gt;=_TM1,B1659&lt;=_TM2,OR(TH!L1659="1111",TH!M1659="1111")),TH!D1659,""),"")</f>
        <v/>
      </c>
      <c r="B1659" s="36">
        <f t="shared" si="76"/>
        <v>11</v>
      </c>
      <c r="C1659" s="182">
        <f t="shared" si="75"/>
        <v>42678</v>
      </c>
      <c r="D1659" s="182" t="s">
        <v>669</v>
      </c>
      <c r="E1659" s="189">
        <v>42678</v>
      </c>
      <c r="F1659" s="190" t="s">
        <v>762</v>
      </c>
      <c r="G1659" s="190" t="s">
        <v>1287</v>
      </c>
      <c r="H1659" s="7"/>
      <c r="I1659" s="251"/>
      <c r="J1659" s="251"/>
      <c r="K1659" s="560">
        <v>1500</v>
      </c>
      <c r="L1659" s="192" t="s">
        <v>9</v>
      </c>
      <c r="M1659" s="561" t="s">
        <v>24</v>
      </c>
      <c r="N1659" s="52" t="str">
        <f>IF(AND('331-CT'!$E$7=TH!H1659,OR(L1659="331",M1659="331")),"331",IF(AND(OR(L1659="131",M1659="131"),H1659='131-CT'!$E$7),"131",""))</f>
        <v/>
      </c>
      <c r="O1659" s="818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>x</v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53">
        <v>4</v>
      </c>
      <c r="AB1659" s="552"/>
    </row>
    <row r="1660" spans="1:32" s="209" customFormat="1" ht="15.75" customHeight="1">
      <c r="A1660" s="202" t="str">
        <f>IF(B1660&lt;&gt;"",IF(AND(B1660&gt;=_TM1,B1660&lt;=_TM2,OR(TH!L1660="1111",TH!M1660="1111")),TH!D1660,""),"")</f>
        <v/>
      </c>
      <c r="B1660" s="36">
        <f t="shared" si="76"/>
        <v>11</v>
      </c>
      <c r="C1660" s="182">
        <f t="shared" si="75"/>
        <v>42679</v>
      </c>
      <c r="D1660" s="182" t="s">
        <v>1103</v>
      </c>
      <c r="E1660" s="189">
        <v>42679</v>
      </c>
      <c r="F1660" s="713" t="s">
        <v>1443</v>
      </c>
      <c r="G1660" s="451" t="s">
        <v>1354</v>
      </c>
      <c r="H1660" s="7" t="s">
        <v>399</v>
      </c>
      <c r="I1660" s="252">
        <v>450</v>
      </c>
      <c r="J1660" s="252">
        <v>10500</v>
      </c>
      <c r="K1660" s="38">
        <f>ROUND(I1660*J1660,0)</f>
        <v>4725000</v>
      </c>
      <c r="L1660" s="192" t="s">
        <v>258</v>
      </c>
      <c r="M1660" s="192" t="s">
        <v>173</v>
      </c>
      <c r="N1660" s="52" t="str">
        <f>IF(AND('331-CT'!$E$7=TH!H1660,OR(L1660="331",M1660="331")),"331",IF(AND(OR(L1660="131",M1660="131"),H1660='131-CT'!$E$7),"131",""))</f>
        <v/>
      </c>
      <c r="O1660" s="818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52"/>
      <c r="AB1660" s="552"/>
      <c r="AC1660" s="552"/>
    </row>
    <row r="1661" spans="1:32" s="209" customFormat="1" ht="15.75" customHeight="1">
      <c r="A1661" s="202" t="str">
        <f>IF(B1661&lt;&gt;"",IF(AND(B1661&gt;=_TM1,B1661&lt;=_TM2,OR(TH!L1661="1111",TH!M1661="1111")),TH!D1661,""),"")</f>
        <v/>
      </c>
      <c r="B1661" s="36">
        <f t="shared" si="76"/>
        <v>11</v>
      </c>
      <c r="C1661" s="182">
        <f t="shared" si="75"/>
        <v>42679</v>
      </c>
      <c r="D1661" s="182" t="s">
        <v>1103</v>
      </c>
      <c r="E1661" s="189">
        <v>42679</v>
      </c>
      <c r="F1661" s="190" t="s">
        <v>1443</v>
      </c>
      <c r="G1661" s="451" t="s">
        <v>1354</v>
      </c>
      <c r="H1661" s="7" t="s">
        <v>399</v>
      </c>
      <c r="I1661" s="252">
        <v>200</v>
      </c>
      <c r="J1661" s="252">
        <v>10500</v>
      </c>
      <c r="K1661" s="38">
        <f>ROUND(I1661*J1661,0)</f>
        <v>2100000</v>
      </c>
      <c r="L1661" s="192" t="s">
        <v>258</v>
      </c>
      <c r="M1661" s="192" t="s">
        <v>173</v>
      </c>
      <c r="N1661" s="52" t="str">
        <f>IF(AND('331-CT'!$E$7=TH!H1661,OR(L1661="331",M1661="331")),"331",IF(AND(OR(L1661="131",M1661="131"),H1661='131-CT'!$E$7),"131",""))</f>
        <v/>
      </c>
      <c r="O1661" s="818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52"/>
      <c r="AB1661" s="552"/>
      <c r="AC1661" s="552"/>
    </row>
    <row r="1662" spans="1:32" s="209" customFormat="1" ht="15.75" customHeight="1">
      <c r="A1662" s="202" t="str">
        <f>IF(B1662&lt;&gt;"",IF(AND(B1662&gt;=_TM1,B1662&lt;=_TM2,OR(TH!L1662="1111",TH!M1662="1111")),TH!D1662,""),"")</f>
        <v/>
      </c>
      <c r="B1662" s="36">
        <f t="shared" si="76"/>
        <v>11</v>
      </c>
      <c r="C1662" s="182">
        <f t="shared" si="75"/>
        <v>42679</v>
      </c>
      <c r="D1662" s="182" t="s">
        <v>1103</v>
      </c>
      <c r="E1662" s="189">
        <v>42679</v>
      </c>
      <c r="F1662" s="901" t="s">
        <v>1355</v>
      </c>
      <c r="G1662" s="451" t="s">
        <v>1354</v>
      </c>
      <c r="H1662" s="7" t="s">
        <v>399</v>
      </c>
      <c r="I1662" s="252">
        <v>530</v>
      </c>
      <c r="J1662" s="252">
        <v>8800</v>
      </c>
      <c r="K1662" s="38">
        <f>ROUND(I1662*J1662,0)</f>
        <v>4664000</v>
      </c>
      <c r="L1662" s="192" t="s">
        <v>258</v>
      </c>
      <c r="M1662" s="192" t="s">
        <v>173</v>
      </c>
      <c r="N1662" s="52" t="str">
        <f>IF(AND('331-CT'!$E$7=TH!H1662,OR(L1662="331",M1662="331")),"331",IF(AND(OR(L1662="131",M1662="131"),H1662='131-CT'!$E$7),"131",""))</f>
        <v/>
      </c>
      <c r="O1662" s="818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52"/>
      <c r="AB1662" s="552"/>
      <c r="AC1662" s="552"/>
    </row>
    <row r="1663" spans="1:32" s="209" customFormat="1" ht="15.75" customHeight="1">
      <c r="A1663" s="202" t="str">
        <f>IF(B1663&lt;&gt;"",IF(AND(B1663&gt;=_TM1,B1663&lt;=_TM2,OR(TH!L1663="1111",TH!M1663="1111")),TH!D1663,""),"")</f>
        <v/>
      </c>
      <c r="B1663" s="36">
        <f t="shared" si="76"/>
        <v>11</v>
      </c>
      <c r="C1663" s="182">
        <f t="shared" si="75"/>
        <v>42679</v>
      </c>
      <c r="D1663" s="182" t="s">
        <v>1103</v>
      </c>
      <c r="E1663" s="189">
        <v>42679</v>
      </c>
      <c r="F1663" s="40" t="s">
        <v>1254</v>
      </c>
      <c r="G1663" s="451" t="s">
        <v>1354</v>
      </c>
      <c r="H1663" s="7" t="s">
        <v>399</v>
      </c>
      <c r="I1663" s="252"/>
      <c r="J1663" s="252"/>
      <c r="K1663" s="38">
        <v>1148900</v>
      </c>
      <c r="L1663" s="192" t="s">
        <v>258</v>
      </c>
      <c r="M1663" s="192" t="s">
        <v>367</v>
      </c>
      <c r="N1663" s="52" t="str">
        <f>IF(AND('331-CT'!$E$7=TH!H1663,OR(L1663="331",M1663="331")),"331",IF(AND(OR(L1663="131",M1663="131"),H1663='131-CT'!$E$7),"131",""))</f>
        <v/>
      </c>
      <c r="O1663" s="818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52"/>
      <c r="AB1663" s="552"/>
      <c r="AC1663" s="552"/>
    </row>
    <row r="1664" spans="1:32" s="209" customFormat="1" ht="15.75" customHeight="1">
      <c r="A1664" s="202" t="str">
        <f>IF(B1664&lt;&gt;"",IF(AND(B1664&gt;=_TM1,B1664&lt;=_TM2,OR(TH!L1664="1111",TH!M1664="1111")),TH!D1664,""),"")</f>
        <v/>
      </c>
      <c r="B1664" s="36">
        <f t="shared" si="76"/>
        <v>11</v>
      </c>
      <c r="C1664" s="182">
        <f t="shared" si="75"/>
        <v>42682</v>
      </c>
      <c r="D1664" s="182" t="s">
        <v>1187</v>
      </c>
      <c r="E1664" s="189">
        <v>42682</v>
      </c>
      <c r="F1664" s="190" t="s">
        <v>676</v>
      </c>
      <c r="G1664" s="451" t="s">
        <v>1423</v>
      </c>
      <c r="H1664" s="191" t="s">
        <v>824</v>
      </c>
      <c r="I1664" s="252">
        <v>8300</v>
      </c>
      <c r="J1664" s="252">
        <v>8500</v>
      </c>
      <c r="K1664" s="38">
        <f>ROUND(I1664*J1664,0)</f>
        <v>70550000</v>
      </c>
      <c r="L1664" s="192" t="s">
        <v>158</v>
      </c>
      <c r="M1664" s="192" t="s">
        <v>8</v>
      </c>
      <c r="N1664" s="52" t="str">
        <f>IF(AND('331-CT'!$E$7=TH!H1664,OR(L1664="331",M1664="331")),"331",IF(AND(OR(L1664="131",M1664="131"),H1664='131-CT'!$E$7),"131",""))</f>
        <v/>
      </c>
      <c r="O1664" s="818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751">
        <v>4</v>
      </c>
      <c r="AB1664" s="552"/>
      <c r="AC1664" s="552"/>
    </row>
    <row r="1665" spans="1:29" s="209" customFormat="1" ht="15.75" customHeight="1">
      <c r="A1665" s="202" t="str">
        <f>IF(B1665&lt;&gt;"",IF(AND(B1665&gt;=_TM1,B1665&lt;=_TM2,OR(TH!L1665="1111",TH!M1665="1111")),TH!D1665,""),"")</f>
        <v/>
      </c>
      <c r="B1665" s="36">
        <f t="shared" si="76"/>
        <v>11</v>
      </c>
      <c r="C1665" s="182">
        <f t="shared" si="75"/>
        <v>42682</v>
      </c>
      <c r="D1665" s="182" t="s">
        <v>1187</v>
      </c>
      <c r="E1665" s="189">
        <v>42682</v>
      </c>
      <c r="F1665" s="40" t="s">
        <v>684</v>
      </c>
      <c r="G1665" s="451" t="s">
        <v>1423</v>
      </c>
      <c r="H1665" s="191" t="s">
        <v>824</v>
      </c>
      <c r="I1665" s="252"/>
      <c r="J1665" s="252"/>
      <c r="K1665" s="38">
        <v>7055000</v>
      </c>
      <c r="L1665" s="192" t="s">
        <v>9</v>
      </c>
      <c r="M1665" s="192" t="s">
        <v>8</v>
      </c>
      <c r="N1665" s="52" t="str">
        <f>IF(AND('331-CT'!$E$7=TH!H1665,OR(L1665="331",M1665="331")),"331",IF(AND(OR(L1665="131",M1665="131"),H1665='131-CT'!$E$7),"131",""))</f>
        <v/>
      </c>
      <c r="O1665" s="818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751">
        <v>4</v>
      </c>
      <c r="AB1665" s="552"/>
      <c r="AC1665" s="552"/>
    </row>
    <row r="1666" spans="1:29" s="209" customFormat="1" ht="15.75" customHeight="1">
      <c r="A1666" s="202" t="str">
        <f>IF(B1666&lt;&gt;"",IF(AND(B1666&gt;=_TM1,B1666&lt;=_TM2,OR(TH!L1666="1111",TH!M1666="1111")),TH!D1666,""),"")</f>
        <v>C11</v>
      </c>
      <c r="B1666" s="36">
        <f t="shared" si="76"/>
        <v>11</v>
      </c>
      <c r="C1666" s="182">
        <f t="shared" si="75"/>
        <v>42682</v>
      </c>
      <c r="D1666" s="182" t="s">
        <v>1642</v>
      </c>
      <c r="E1666" s="189">
        <v>42682</v>
      </c>
      <c r="F1666" s="190" t="s">
        <v>1525</v>
      </c>
      <c r="G1666" s="451" t="s">
        <v>1527</v>
      </c>
      <c r="H1666" s="191" t="s">
        <v>1528</v>
      </c>
      <c r="I1666" s="252"/>
      <c r="J1666" s="252"/>
      <c r="K1666" s="38">
        <v>509091</v>
      </c>
      <c r="L1666" s="192" t="s">
        <v>83</v>
      </c>
      <c r="M1666" s="192" t="s">
        <v>47</v>
      </c>
      <c r="N1666" s="52" t="str">
        <f>IF(AND('331-CT'!$E$7=TH!H1666,OR(L1666="331",M1666="331")),"331",IF(AND(OR(L1666="131",M1666="131"),H1666='131-CT'!$E$7),"131",""))</f>
        <v/>
      </c>
      <c r="O1666" s="818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>x</v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751">
        <v>4</v>
      </c>
      <c r="AB1666" s="552"/>
      <c r="AC1666" s="552"/>
    </row>
    <row r="1667" spans="1:29" s="209" customFormat="1" ht="15.75" customHeight="1">
      <c r="A1667" s="202" t="str">
        <f>IF(B1667&lt;&gt;"",IF(AND(B1667&gt;=_TM1,B1667&lt;=_TM2,OR(TH!L1667="1111",TH!M1667="1111")),TH!D1667,""),"")</f>
        <v>C11</v>
      </c>
      <c r="B1667" s="36">
        <f t="shared" si="76"/>
        <v>11</v>
      </c>
      <c r="C1667" s="182">
        <f t="shared" si="75"/>
        <v>42682</v>
      </c>
      <c r="D1667" s="182" t="s">
        <v>1642</v>
      </c>
      <c r="E1667" s="189">
        <v>42682</v>
      </c>
      <c r="F1667" s="190" t="s">
        <v>1529</v>
      </c>
      <c r="G1667" s="451" t="s">
        <v>1527</v>
      </c>
      <c r="H1667" s="191" t="s">
        <v>1528</v>
      </c>
      <c r="I1667" s="252"/>
      <c r="J1667" s="252"/>
      <c r="K1667" s="38">
        <v>50000</v>
      </c>
      <c r="L1667" s="192" t="s">
        <v>83</v>
      </c>
      <c r="M1667" s="192" t="s">
        <v>47</v>
      </c>
      <c r="N1667" s="52" t="str">
        <f>IF(AND('331-CT'!$E$7=TH!H1667,OR(L1667="331",M1667="331")),"331",IF(AND(OR(L1667="131",M1667="131"),H1667='131-CT'!$E$7),"131",""))</f>
        <v/>
      </c>
      <c r="O1667" s="818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>x</v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751"/>
      <c r="AB1667" s="552"/>
      <c r="AC1667" s="552"/>
    </row>
    <row r="1668" spans="1:29" s="209" customFormat="1" ht="15.75" customHeight="1">
      <c r="A1668" s="202" t="str">
        <f>IF(B1668&lt;&gt;"",IF(AND(B1668&gt;=_TM1,B1668&lt;=_TM2,OR(TH!L1668="1111",TH!M1668="1111")),TH!D1668,""),"")</f>
        <v>C11</v>
      </c>
      <c r="B1668" s="36">
        <f t="shared" si="76"/>
        <v>11</v>
      </c>
      <c r="C1668" s="182">
        <f t="shared" si="75"/>
        <v>42682</v>
      </c>
      <c r="D1668" s="182" t="s">
        <v>1642</v>
      </c>
      <c r="E1668" s="189">
        <v>42682</v>
      </c>
      <c r="F1668" s="190" t="s">
        <v>1526</v>
      </c>
      <c r="G1668" s="451" t="s">
        <v>1527</v>
      </c>
      <c r="H1668" s="191" t="s">
        <v>1528</v>
      </c>
      <c r="I1668" s="252"/>
      <c r="J1668" s="252"/>
      <c r="K1668" s="38">
        <v>50909</v>
      </c>
      <c r="L1668" s="192" t="s">
        <v>9</v>
      </c>
      <c r="M1668" s="192" t="s">
        <v>47</v>
      </c>
      <c r="N1668" s="52" t="str">
        <f>IF(AND('331-CT'!$E$7=TH!H1668,OR(L1668="331",M1668="331")),"331",IF(AND(OR(L1668="131",M1668="131"),H1668='131-CT'!$E$7),"131",""))</f>
        <v/>
      </c>
      <c r="O1668" s="818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751">
        <v>4</v>
      </c>
      <c r="AB1668" s="552"/>
      <c r="AC1668" s="552"/>
    </row>
    <row r="1669" spans="1:29" s="209" customFormat="1" ht="15.75" customHeight="1">
      <c r="A1669" s="202" t="str">
        <f>IF(B1669&lt;&gt;"",IF(AND(B1669&gt;=_TM1,B1669&lt;=_TM2,OR(TH!L1669="1111",TH!M1669="1111")),TH!D1669,""),"")</f>
        <v>C11</v>
      </c>
      <c r="B1669" s="36">
        <f t="shared" si="76"/>
        <v>11</v>
      </c>
      <c r="C1669" s="182">
        <f t="shared" ref="C1669:C1732" si="78">E1669</f>
        <v>42682</v>
      </c>
      <c r="D1669" s="182" t="s">
        <v>1642</v>
      </c>
      <c r="E1669" s="189">
        <v>42682</v>
      </c>
      <c r="F1669" s="190" t="s">
        <v>1534</v>
      </c>
      <c r="G1669" s="451" t="s">
        <v>1536</v>
      </c>
      <c r="H1669" s="191" t="s">
        <v>1528</v>
      </c>
      <c r="I1669" s="252"/>
      <c r="J1669" s="252"/>
      <c r="K1669" s="38">
        <v>254545</v>
      </c>
      <c r="L1669" s="192" t="s">
        <v>83</v>
      </c>
      <c r="M1669" s="192" t="s">
        <v>47</v>
      </c>
      <c r="N1669" s="52" t="str">
        <f>IF(AND('331-CT'!$E$7=TH!H1669,OR(L1669="331",M1669="331")),"331",IF(AND(OR(L1669="131",M1669="131"),H1669='131-CT'!$E$7),"131",""))</f>
        <v/>
      </c>
      <c r="O1669" s="818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>x</v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751">
        <v>4</v>
      </c>
      <c r="AB1669" s="552"/>
      <c r="AC1669" s="552"/>
    </row>
    <row r="1670" spans="1:29" s="209" customFormat="1" ht="15.75" customHeight="1">
      <c r="A1670" s="202" t="str">
        <f>IF(B1670&lt;&gt;"",IF(AND(B1670&gt;=_TM1,B1670&lt;=_TM2,OR(TH!L1670="1111",TH!M1670="1111")),TH!D1670,""),"")</f>
        <v>C11</v>
      </c>
      <c r="B1670" s="36">
        <f t="shared" si="76"/>
        <v>11</v>
      </c>
      <c r="C1670" s="182">
        <f t="shared" si="78"/>
        <v>42682</v>
      </c>
      <c r="D1670" s="182" t="s">
        <v>1642</v>
      </c>
      <c r="E1670" s="189">
        <v>42682</v>
      </c>
      <c r="F1670" s="190" t="s">
        <v>1529</v>
      </c>
      <c r="G1670" s="451" t="s">
        <v>1536</v>
      </c>
      <c r="H1670" s="191" t="s">
        <v>1528</v>
      </c>
      <c r="I1670" s="252"/>
      <c r="J1670" s="252"/>
      <c r="K1670" s="38">
        <v>50000</v>
      </c>
      <c r="L1670" s="192" t="s">
        <v>83</v>
      </c>
      <c r="M1670" s="192" t="s">
        <v>47</v>
      </c>
      <c r="N1670" s="52" t="str">
        <f>IF(AND('331-CT'!$E$7=TH!H1670,OR(L1670="331",M1670="331")),"331",IF(AND(OR(L1670="131",M1670="131"),H1670='131-CT'!$E$7),"131",""))</f>
        <v/>
      </c>
      <c r="O1670" s="818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>x</v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751"/>
      <c r="AB1670" s="552"/>
      <c r="AC1670" s="552"/>
    </row>
    <row r="1671" spans="1:29" s="209" customFormat="1" ht="15.75" customHeight="1">
      <c r="A1671" s="202" t="str">
        <f>IF(B1671&lt;&gt;"",IF(AND(B1671&gt;=_TM1,B1671&lt;=_TM2,OR(TH!L1671="1111",TH!M1671="1111")),TH!D1671,""),"")</f>
        <v>C11</v>
      </c>
      <c r="B1671" s="36">
        <f t="shared" si="76"/>
        <v>11</v>
      </c>
      <c r="C1671" s="182">
        <f t="shared" si="78"/>
        <v>42682</v>
      </c>
      <c r="D1671" s="182" t="s">
        <v>1642</v>
      </c>
      <c r="E1671" s="189">
        <v>42682</v>
      </c>
      <c r="F1671" s="190" t="s">
        <v>1535</v>
      </c>
      <c r="G1671" s="451" t="s">
        <v>1536</v>
      </c>
      <c r="H1671" s="191" t="s">
        <v>1528</v>
      </c>
      <c r="I1671" s="252"/>
      <c r="J1671" s="252"/>
      <c r="K1671" s="38">
        <v>25455</v>
      </c>
      <c r="L1671" s="192" t="s">
        <v>9</v>
      </c>
      <c r="M1671" s="192" t="s">
        <v>47</v>
      </c>
      <c r="N1671" s="52" t="str">
        <f>IF(AND('331-CT'!$E$7=TH!H1671,OR(L1671="331",M1671="331")),"331",IF(AND(OR(L1671="131",M1671="131"),H1671='131-CT'!$E$7),"131",""))</f>
        <v/>
      </c>
      <c r="O1671" s="818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751">
        <v>4</v>
      </c>
      <c r="AB1671" s="552"/>
      <c r="AC1671" s="552"/>
    </row>
    <row r="1672" spans="1:29" s="209" customFormat="1" ht="15.75" customHeight="1">
      <c r="A1672" s="202" t="str">
        <f>IF(B1672&lt;&gt;"",IF(AND(B1672&gt;=_TM1,B1672&lt;=_TM2,OR(TH!L1672="1111",TH!M1672="1111")),TH!D1672,""),"")</f>
        <v/>
      </c>
      <c r="B1672" s="36">
        <f t="shared" si="76"/>
        <v>11</v>
      </c>
      <c r="C1672" s="182">
        <f t="shared" si="78"/>
        <v>42682</v>
      </c>
      <c r="D1672" s="182" t="s">
        <v>1104</v>
      </c>
      <c r="E1672" s="189">
        <v>42682</v>
      </c>
      <c r="F1672" s="40" t="s">
        <v>1358</v>
      </c>
      <c r="G1672" s="451" t="s">
        <v>1357</v>
      </c>
      <c r="H1672" s="191" t="s">
        <v>1356</v>
      </c>
      <c r="I1672" s="252">
        <v>1140</v>
      </c>
      <c r="J1672" s="252">
        <v>840</v>
      </c>
      <c r="K1672" s="38">
        <f>ROUND(I1672*J1672,0)</f>
        <v>957600</v>
      </c>
      <c r="L1672" s="192" t="s">
        <v>258</v>
      </c>
      <c r="M1672" s="192" t="s">
        <v>1361</v>
      </c>
      <c r="N1672" s="52" t="str">
        <f>IF(AND('331-CT'!$E$7=TH!H1672,OR(L1672="331",M1672="331")),"331",IF(AND(OR(L1672="131",M1672="131"),H1672='131-CT'!$E$7),"131",""))</f>
        <v/>
      </c>
      <c r="O1672" s="818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52"/>
      <c r="AB1672" s="552"/>
    </row>
    <row r="1673" spans="1:29" s="209" customFormat="1" ht="15.75" customHeight="1">
      <c r="A1673" s="202" t="str">
        <f>IF(B1673&lt;&gt;"",IF(AND(B1673&gt;=_TM1,B1673&lt;=_TM2,OR(TH!L1673="1111",TH!M1673="1111")),TH!D1673,""),"")</f>
        <v/>
      </c>
      <c r="B1673" s="36">
        <f t="shared" si="76"/>
        <v>11</v>
      </c>
      <c r="C1673" s="182">
        <f t="shared" si="78"/>
        <v>42682</v>
      </c>
      <c r="D1673" s="182" t="s">
        <v>1104</v>
      </c>
      <c r="E1673" s="189">
        <v>42682</v>
      </c>
      <c r="F1673" s="40" t="s">
        <v>1359</v>
      </c>
      <c r="G1673" s="451" t="s">
        <v>1357</v>
      </c>
      <c r="H1673" s="191" t="s">
        <v>1356</v>
      </c>
      <c r="I1673" s="252">
        <v>10540</v>
      </c>
      <c r="J1673" s="252">
        <v>750</v>
      </c>
      <c r="K1673" s="38">
        <f>ROUND(I1673*J1673,0)</f>
        <v>7905000</v>
      </c>
      <c r="L1673" s="192" t="s">
        <v>258</v>
      </c>
      <c r="M1673" s="192" t="s">
        <v>1361</v>
      </c>
      <c r="N1673" s="52" t="str">
        <f>IF(AND('331-CT'!$E$7=TH!H1673,OR(L1673="331",M1673="331")),"331",IF(AND(OR(L1673="131",M1673="131"),H1673='131-CT'!$E$7),"131",""))</f>
        <v/>
      </c>
      <c r="O1673" s="818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52"/>
      <c r="AB1673" s="552"/>
      <c r="AC1673" s="552"/>
    </row>
    <row r="1674" spans="1:29" s="209" customFormat="1" ht="15.75" customHeight="1">
      <c r="A1674" s="202" t="str">
        <f>IF(B1674&lt;&gt;"",IF(AND(B1674&gt;=_TM1,B1674&lt;=_TM2,OR(TH!L1674="1111",TH!M1674="1111")),TH!D1674,""),"")</f>
        <v/>
      </c>
      <c r="B1674" s="36">
        <f t="shared" si="76"/>
        <v>11</v>
      </c>
      <c r="C1674" s="182">
        <f t="shared" si="78"/>
        <v>42682</v>
      </c>
      <c r="D1674" s="182" t="s">
        <v>1104</v>
      </c>
      <c r="E1674" s="189">
        <v>42682</v>
      </c>
      <c r="F1674" s="40" t="s">
        <v>1360</v>
      </c>
      <c r="G1674" s="451" t="s">
        <v>1357</v>
      </c>
      <c r="H1674" s="191" t="s">
        <v>1356</v>
      </c>
      <c r="I1674" s="252"/>
      <c r="J1674" s="252"/>
      <c r="K1674" s="38">
        <v>886260</v>
      </c>
      <c r="L1674" s="192" t="s">
        <v>258</v>
      </c>
      <c r="M1674" s="192" t="s">
        <v>367</v>
      </c>
      <c r="N1674" s="52" t="str">
        <f>IF(AND('331-CT'!$E$7=TH!H1674,OR(L1674="331",M1674="331")),"331",IF(AND(OR(L1674="131",M1674="131"),H1674='131-CT'!$E$7),"131",""))</f>
        <v/>
      </c>
      <c r="O1674" s="818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52"/>
      <c r="AB1674" s="552"/>
    </row>
    <row r="1675" spans="1:29" s="209" customFormat="1" ht="15.75" customHeight="1">
      <c r="A1675" s="202" t="str">
        <f>IF(B1675&lt;&gt;"",IF(AND(B1675&gt;=_TM1,B1675&lt;=_TM2,OR(TH!L1675="1111",TH!M1675="1111")),TH!D1675,""),"")</f>
        <v/>
      </c>
      <c r="B1675" s="36">
        <f t="shared" si="76"/>
        <v>11</v>
      </c>
      <c r="C1675" s="182">
        <f t="shared" si="78"/>
        <v>42683</v>
      </c>
      <c r="D1675" s="182" t="s">
        <v>665</v>
      </c>
      <c r="E1675" s="189">
        <v>42683</v>
      </c>
      <c r="F1675" s="190" t="s">
        <v>666</v>
      </c>
      <c r="G1675" s="190" t="s">
        <v>330</v>
      </c>
      <c r="H1675" s="191" t="s">
        <v>1372</v>
      </c>
      <c r="I1675" s="251"/>
      <c r="J1675" s="251"/>
      <c r="K1675" s="560">
        <v>4989600</v>
      </c>
      <c r="L1675" s="192" t="s">
        <v>24</v>
      </c>
      <c r="M1675" s="192" t="s">
        <v>258</v>
      </c>
      <c r="N1675" s="52" t="str">
        <f>IF(AND('331-CT'!$E$7=TH!H1675,OR(L1675="331",M1675="331")),"331",IF(AND(OR(L1675="131",M1675="131"),H1675='131-CT'!$E$7),"131",""))</f>
        <v/>
      </c>
      <c r="O1675" s="818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53"/>
      <c r="AB1675" s="552"/>
    </row>
    <row r="1676" spans="1:29" s="209" customFormat="1" ht="15.75" customHeight="1">
      <c r="A1676" s="202" t="str">
        <f>IF(B1676&lt;&gt;"",IF(AND(B1676&gt;=_TM1,B1676&lt;=_TM2,OR(TH!L1676="1111",TH!M1676="1111")),TH!D1676,""),"")</f>
        <v/>
      </c>
      <c r="B1676" s="36">
        <f t="shared" si="76"/>
        <v>11</v>
      </c>
      <c r="C1676" s="182">
        <f t="shared" si="78"/>
        <v>42683</v>
      </c>
      <c r="D1676" s="182" t="s">
        <v>1105</v>
      </c>
      <c r="E1676" s="189">
        <v>42683</v>
      </c>
      <c r="F1676" s="40" t="s">
        <v>1366</v>
      </c>
      <c r="G1676" s="451" t="s">
        <v>1363</v>
      </c>
      <c r="H1676" s="191" t="s">
        <v>1364</v>
      </c>
      <c r="I1676" s="252">
        <v>233</v>
      </c>
      <c r="J1676" s="252">
        <v>7507</v>
      </c>
      <c r="K1676" s="38">
        <f>ROUND(I1676*J1676,0)</f>
        <v>1749131</v>
      </c>
      <c r="L1676" s="192" t="s">
        <v>258</v>
      </c>
      <c r="M1676" s="192" t="s">
        <v>173</v>
      </c>
      <c r="N1676" s="52" t="str">
        <f>IF(AND('331-CT'!$E$7=TH!H1676,OR(L1676="331",M1676="331")),"331",IF(AND(OR(L1676="131",M1676="131"),H1676='131-CT'!$E$7),"131",""))</f>
        <v/>
      </c>
      <c r="O1676" s="818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52"/>
      <c r="AB1676" s="552"/>
      <c r="AC1676" s="552"/>
    </row>
    <row r="1677" spans="1:29" s="209" customFormat="1" ht="15.75" customHeight="1">
      <c r="A1677" s="202" t="str">
        <f>IF(B1677&lt;&gt;"",IF(AND(B1677&gt;=_TM1,B1677&lt;=_TM2,OR(TH!L1677="1111",TH!M1677="1111")),TH!D1677,""),"")</f>
        <v/>
      </c>
      <c r="B1677" s="36">
        <f t="shared" si="76"/>
        <v>11</v>
      </c>
      <c r="C1677" s="182">
        <f t="shared" si="78"/>
        <v>42683</v>
      </c>
      <c r="D1677" s="182" t="s">
        <v>1105</v>
      </c>
      <c r="E1677" s="189">
        <v>42683</v>
      </c>
      <c r="F1677" s="40" t="s">
        <v>1367</v>
      </c>
      <c r="G1677" s="451" t="s">
        <v>1363</v>
      </c>
      <c r="H1677" s="191" t="s">
        <v>1364</v>
      </c>
      <c r="I1677" s="252">
        <v>13</v>
      </c>
      <c r="J1677" s="252">
        <v>8602</v>
      </c>
      <c r="K1677" s="38">
        <f>ROUND(I1677*J1677,0)</f>
        <v>111826</v>
      </c>
      <c r="L1677" s="192" t="s">
        <v>258</v>
      </c>
      <c r="M1677" s="192" t="s">
        <v>173</v>
      </c>
      <c r="N1677" s="52" t="str">
        <f>IF(AND('331-CT'!$E$7=TH!H1677,OR(L1677="331",M1677="331")),"331",IF(AND(OR(L1677="131",M1677="131"),H1677='131-CT'!$E$7),"131",""))</f>
        <v/>
      </c>
      <c r="O1677" s="818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52"/>
      <c r="AB1677" s="552"/>
      <c r="AC1677" s="552"/>
    </row>
    <row r="1678" spans="1:29" s="209" customFormat="1" ht="15.75" customHeight="1">
      <c r="A1678" s="202" t="str">
        <f>IF(B1678&lt;&gt;"",IF(AND(B1678&gt;=_TM1,B1678&lt;=_TM2,OR(TH!L1678="1111",TH!M1678="1111")),TH!D1678,""),"")</f>
        <v/>
      </c>
      <c r="B1678" s="36">
        <f t="shared" si="76"/>
        <v>11</v>
      </c>
      <c r="C1678" s="182">
        <f t="shared" si="78"/>
        <v>42683</v>
      </c>
      <c r="D1678" s="182" t="s">
        <v>1105</v>
      </c>
      <c r="E1678" s="189">
        <v>42683</v>
      </c>
      <c r="F1678" s="40" t="s">
        <v>1368</v>
      </c>
      <c r="G1678" s="451" t="s">
        <v>1363</v>
      </c>
      <c r="H1678" s="191" t="s">
        <v>1364</v>
      </c>
      <c r="I1678" s="252">
        <v>42</v>
      </c>
      <c r="J1678" s="252">
        <v>26344</v>
      </c>
      <c r="K1678" s="38">
        <f>ROUND(I1678*J1678,0)</f>
        <v>1106448</v>
      </c>
      <c r="L1678" s="192" t="s">
        <v>258</v>
      </c>
      <c r="M1678" s="192" t="s">
        <v>173</v>
      </c>
      <c r="N1678" s="52" t="str">
        <f>IF(AND('331-CT'!$E$7=TH!H1678,OR(L1678="331",M1678="331")),"331",IF(AND(OR(L1678="131",M1678="131"),H1678='131-CT'!$E$7),"131",""))</f>
        <v/>
      </c>
      <c r="O1678" s="818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52"/>
      <c r="AB1678" s="552"/>
    </row>
    <row r="1679" spans="1:29" s="209" customFormat="1" ht="15.75" customHeight="1">
      <c r="A1679" s="202" t="str">
        <f>IF(B1679&lt;&gt;"",IF(AND(B1679&gt;=_TM1,B1679&lt;=_TM2,OR(TH!L1679="1111",TH!M1679="1111")),TH!D1679,""),"")</f>
        <v/>
      </c>
      <c r="B1679" s="36">
        <f t="shared" si="76"/>
        <v>11</v>
      </c>
      <c r="C1679" s="182">
        <f t="shared" si="78"/>
        <v>42683</v>
      </c>
      <c r="D1679" s="182" t="s">
        <v>1105</v>
      </c>
      <c r="E1679" s="189">
        <v>42683</v>
      </c>
      <c r="F1679" s="40" t="s">
        <v>1369</v>
      </c>
      <c r="G1679" s="451" t="s">
        <v>1363</v>
      </c>
      <c r="H1679" s="191" t="s">
        <v>1364</v>
      </c>
      <c r="I1679" s="252">
        <v>164</v>
      </c>
      <c r="J1679" s="252">
        <v>1296</v>
      </c>
      <c r="K1679" s="38">
        <f>ROUND(I1679*J1679,0)</f>
        <v>212544</v>
      </c>
      <c r="L1679" s="192" t="s">
        <v>258</v>
      </c>
      <c r="M1679" s="192" t="s">
        <v>173</v>
      </c>
      <c r="N1679" s="52" t="str">
        <f>IF(AND('331-CT'!$E$7=TH!H1679,OR(L1679="331",M1679="331")),"331",IF(AND(OR(L1679="131",M1679="131"),H1679='131-CT'!$E$7),"131",""))</f>
        <v/>
      </c>
      <c r="O1679" s="818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52"/>
      <c r="AB1679" s="552"/>
      <c r="AC1679" s="552"/>
    </row>
    <row r="1680" spans="1:29" s="209" customFormat="1" ht="15.75" customHeight="1">
      <c r="A1680" s="202" t="str">
        <f>IF(B1680&lt;&gt;"",IF(AND(B1680&gt;=_TM1,B1680&lt;=_TM2,OR(TH!L1680="1111",TH!M1680="1111")),TH!D1680,""),"")</f>
        <v/>
      </c>
      <c r="B1680" s="36">
        <f t="shared" si="76"/>
        <v>11</v>
      </c>
      <c r="C1680" s="182">
        <f t="shared" si="78"/>
        <v>42683</v>
      </c>
      <c r="D1680" s="182" t="s">
        <v>1105</v>
      </c>
      <c r="E1680" s="189">
        <v>42683</v>
      </c>
      <c r="F1680" s="40" t="s">
        <v>1370</v>
      </c>
      <c r="G1680" s="451" t="s">
        <v>1363</v>
      </c>
      <c r="H1680" s="191" t="s">
        <v>1364</v>
      </c>
      <c r="I1680" s="252">
        <v>123</v>
      </c>
      <c r="J1680" s="252">
        <v>810</v>
      </c>
      <c r="K1680" s="38">
        <f>ROUND(I1680*J1680,0)</f>
        <v>99630</v>
      </c>
      <c r="L1680" s="192" t="s">
        <v>258</v>
      </c>
      <c r="M1680" s="192" t="s">
        <v>173</v>
      </c>
      <c r="N1680" s="52" t="str">
        <f>IF(AND('331-CT'!$E$7=TH!H1680,OR(L1680="331",M1680="331")),"331",IF(AND(OR(L1680="131",M1680="131"),H1680='131-CT'!$E$7),"131",""))</f>
        <v/>
      </c>
      <c r="O1680" s="818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52"/>
      <c r="AB1680" s="552"/>
      <c r="AC1680" s="552"/>
    </row>
    <row r="1681" spans="1:29" s="209" customFormat="1" ht="15.75" customHeight="1">
      <c r="A1681" s="202" t="str">
        <f>IF(B1681&lt;&gt;"",IF(AND(B1681&gt;=_TM1,B1681&lt;=_TM2,OR(TH!L1681="1111",TH!M1681="1111")),TH!D1681,""),"")</f>
        <v/>
      </c>
      <c r="B1681" s="36">
        <f t="shared" si="76"/>
        <v>11</v>
      </c>
      <c r="C1681" s="182">
        <f t="shared" si="78"/>
        <v>42683</v>
      </c>
      <c r="D1681" s="182" t="s">
        <v>1105</v>
      </c>
      <c r="E1681" s="189">
        <v>42683</v>
      </c>
      <c r="F1681" s="40" t="s">
        <v>1254</v>
      </c>
      <c r="G1681" s="451" t="s">
        <v>1363</v>
      </c>
      <c r="H1681" s="191" t="s">
        <v>1364</v>
      </c>
      <c r="I1681" s="252"/>
      <c r="J1681" s="252"/>
      <c r="K1681" s="38">
        <v>327958</v>
      </c>
      <c r="L1681" s="192" t="s">
        <v>258</v>
      </c>
      <c r="M1681" s="192" t="s">
        <v>367</v>
      </c>
      <c r="N1681" s="52" t="str">
        <f>IF(AND('331-CT'!$E$7=TH!H1681,OR(L1681="331",M1681="331")),"331",IF(AND(OR(L1681="131",M1681="131"),H1681='131-CT'!$E$7),"131",""))</f>
        <v/>
      </c>
      <c r="O1681" s="818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52"/>
      <c r="AB1681" s="552"/>
      <c r="AC1681" s="552"/>
    </row>
    <row r="1682" spans="1:29" s="209" customFormat="1" ht="15.75" customHeight="1">
      <c r="A1682" s="202" t="str">
        <f>IF(B1682&lt;&gt;"",IF(AND(B1682&gt;=_TM1,B1682&lt;=_TM2,OR(TH!L1682="1111",TH!M1682="1111")),TH!D1682,""),"")</f>
        <v/>
      </c>
      <c r="B1682" s="36">
        <f t="shared" si="76"/>
        <v>11</v>
      </c>
      <c r="C1682" s="182">
        <f t="shared" si="78"/>
        <v>42683</v>
      </c>
      <c r="D1682" s="182" t="s">
        <v>1106</v>
      </c>
      <c r="E1682" s="189">
        <v>42683</v>
      </c>
      <c r="F1682" s="40" t="s">
        <v>1373</v>
      </c>
      <c r="G1682" s="451" t="s">
        <v>1371</v>
      </c>
      <c r="H1682" s="191" t="s">
        <v>1372</v>
      </c>
      <c r="I1682" s="252">
        <v>92</v>
      </c>
      <c r="J1682" s="252">
        <v>13500</v>
      </c>
      <c r="K1682" s="38">
        <f>ROUND(I1682*J1682,0)</f>
        <v>1242000</v>
      </c>
      <c r="L1682" s="192" t="s">
        <v>258</v>
      </c>
      <c r="M1682" s="192" t="s">
        <v>173</v>
      </c>
      <c r="N1682" s="52" t="str">
        <f>IF(AND('331-CT'!$E$7=TH!H1682,OR(L1682="331",M1682="331")),"331",IF(AND(OR(L1682="131",M1682="131"),H1682='131-CT'!$E$7),"131",""))</f>
        <v/>
      </c>
      <c r="O1682" s="818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52"/>
      <c r="AB1682" s="552"/>
      <c r="AC1682" s="552"/>
    </row>
    <row r="1683" spans="1:29" s="209" customFormat="1" ht="15.75" customHeight="1">
      <c r="A1683" s="202" t="str">
        <f>IF(B1683&lt;&gt;"",IF(AND(B1683&gt;=_TM1,B1683&lt;=_TM2,OR(TH!L1683="1111",TH!M1683="1111")),TH!D1683,""),"")</f>
        <v/>
      </c>
      <c r="B1683" s="36">
        <f t="shared" si="76"/>
        <v>11</v>
      </c>
      <c r="C1683" s="182">
        <f t="shared" si="78"/>
        <v>42683</v>
      </c>
      <c r="D1683" s="182" t="s">
        <v>1106</v>
      </c>
      <c r="E1683" s="189">
        <v>42683</v>
      </c>
      <c r="F1683" s="40" t="s">
        <v>1374</v>
      </c>
      <c r="G1683" s="451" t="s">
        <v>1371</v>
      </c>
      <c r="H1683" s="191" t="s">
        <v>1372</v>
      </c>
      <c r="I1683" s="252">
        <v>52</v>
      </c>
      <c r="J1683" s="252">
        <v>13500</v>
      </c>
      <c r="K1683" s="38">
        <f>ROUND(I1683*J1683,0)</f>
        <v>702000</v>
      </c>
      <c r="L1683" s="192" t="s">
        <v>258</v>
      </c>
      <c r="M1683" s="192" t="s">
        <v>173</v>
      </c>
      <c r="N1683" s="52" t="str">
        <f>IF(AND('331-CT'!$E$7=TH!H1683,OR(L1683="331",M1683="331")),"331",IF(AND(OR(L1683="131",M1683="131"),H1683='131-CT'!$E$7),"131",""))</f>
        <v/>
      </c>
      <c r="O1683" s="818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52"/>
      <c r="AB1683" s="552"/>
      <c r="AC1683" s="552"/>
    </row>
    <row r="1684" spans="1:29" s="209" customFormat="1" ht="15.75" customHeight="1">
      <c r="A1684" s="202" t="str">
        <f>IF(B1684&lt;&gt;"",IF(AND(B1684&gt;=_TM1,B1684&lt;=_TM2,OR(TH!L1684="1111",TH!M1684="1111")),TH!D1684,""),"")</f>
        <v/>
      </c>
      <c r="B1684" s="36">
        <f t="shared" ref="B1684:B1747" si="79">IF(C1684&lt;&gt;"",MONTH(C1684),"")</f>
        <v>11</v>
      </c>
      <c r="C1684" s="182">
        <f t="shared" si="78"/>
        <v>42683</v>
      </c>
      <c r="D1684" s="182" t="s">
        <v>1106</v>
      </c>
      <c r="E1684" s="189">
        <v>42683</v>
      </c>
      <c r="F1684" s="40" t="s">
        <v>1375</v>
      </c>
      <c r="G1684" s="451" t="s">
        <v>1371</v>
      </c>
      <c r="H1684" s="191" t="s">
        <v>1372</v>
      </c>
      <c r="I1684" s="252">
        <v>192</v>
      </c>
      <c r="J1684" s="252">
        <v>13500</v>
      </c>
      <c r="K1684" s="38">
        <f>ROUND(I1684*J1684,0)</f>
        <v>2592000</v>
      </c>
      <c r="L1684" s="192" t="s">
        <v>258</v>
      </c>
      <c r="M1684" s="192" t="s">
        <v>173</v>
      </c>
      <c r="N1684" s="52" t="str">
        <f>IF(AND('331-CT'!$E$7=TH!H1684,OR(L1684="331",M1684="331")),"331",IF(AND(OR(L1684="131",M1684="131"),H1684='131-CT'!$E$7),"131",""))</f>
        <v/>
      </c>
      <c r="O1684" s="818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52"/>
      <c r="AB1684" s="552"/>
      <c r="AC1684" s="552"/>
    </row>
    <row r="1685" spans="1:29" s="209" customFormat="1" ht="15.75" customHeight="1">
      <c r="A1685" s="202" t="str">
        <f>IF(B1685&lt;&gt;"",IF(AND(B1685&gt;=_TM1,B1685&lt;=_TM2,OR(TH!L1685="1111",TH!M1685="1111")),TH!D1685,""),"")</f>
        <v/>
      </c>
      <c r="B1685" s="36">
        <f t="shared" si="79"/>
        <v>11</v>
      </c>
      <c r="C1685" s="182">
        <f t="shared" si="78"/>
        <v>42683</v>
      </c>
      <c r="D1685" s="182" t="s">
        <v>1106</v>
      </c>
      <c r="E1685" s="189">
        <v>42683</v>
      </c>
      <c r="F1685" s="901" t="s">
        <v>1254</v>
      </c>
      <c r="G1685" s="451" t="s">
        <v>1371</v>
      </c>
      <c r="H1685" s="191" t="s">
        <v>1372</v>
      </c>
      <c r="I1685" s="252"/>
      <c r="J1685" s="252"/>
      <c r="K1685" s="38">
        <v>453600</v>
      </c>
      <c r="L1685" s="192" t="s">
        <v>258</v>
      </c>
      <c r="M1685" s="192" t="s">
        <v>367</v>
      </c>
      <c r="N1685" s="52" t="str">
        <f>IF(AND('331-CT'!$E$7=TH!H1685,OR(L1685="331",M1685="331")),"331",IF(AND(OR(L1685="131",M1685="131"),H1685='131-CT'!$E$7),"131",""))</f>
        <v/>
      </c>
      <c r="O1685" s="818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52"/>
      <c r="AB1685" s="552"/>
      <c r="AC1685" s="552"/>
    </row>
    <row r="1686" spans="1:29" s="209" customFormat="1" ht="15.75" customHeight="1">
      <c r="A1686" s="202" t="str">
        <f>IF(B1686&lt;&gt;"",IF(AND(B1686&gt;=_TM1,B1686&lt;=_TM2,OR(TH!L1686="1111",TH!M1686="1111")),TH!D1686,""),"")</f>
        <v/>
      </c>
      <c r="B1686" s="36">
        <f t="shared" si="79"/>
        <v>11</v>
      </c>
      <c r="C1686" s="182">
        <f t="shared" si="78"/>
        <v>42683</v>
      </c>
      <c r="D1686" s="182" t="s">
        <v>1107</v>
      </c>
      <c r="E1686" s="189">
        <v>42683</v>
      </c>
      <c r="F1686" s="40" t="s">
        <v>1378</v>
      </c>
      <c r="G1686" s="451" t="s">
        <v>1376</v>
      </c>
      <c r="H1686" s="191" t="s">
        <v>1328</v>
      </c>
      <c r="I1686" s="252">
        <v>364</v>
      </c>
      <c r="J1686" s="252">
        <v>13600</v>
      </c>
      <c r="K1686" s="38">
        <f>ROUND(I1686*J1686,0)</f>
        <v>4950400</v>
      </c>
      <c r="L1686" s="192" t="s">
        <v>258</v>
      </c>
      <c r="M1686" s="192" t="s">
        <v>173</v>
      </c>
      <c r="N1686" s="52" t="str">
        <f>IF(AND('331-CT'!$E$7=TH!H1686,OR(L1686="331",M1686="331")),"331",IF(AND(OR(L1686="131",M1686="131"),H1686='131-CT'!$E$7),"131",""))</f>
        <v/>
      </c>
      <c r="O1686" s="818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52"/>
      <c r="AB1686" s="552"/>
      <c r="AC1686" s="552"/>
    </row>
    <row r="1687" spans="1:29" s="209" customFormat="1" ht="15.75" customHeight="1">
      <c r="A1687" s="202" t="str">
        <f>IF(B1687&lt;&gt;"",IF(AND(B1687&gt;=_TM1,B1687&lt;=_TM2,OR(TH!L1687="1111",TH!M1687="1111")),TH!D1687,""),"")</f>
        <v/>
      </c>
      <c r="B1687" s="36">
        <f t="shared" si="79"/>
        <v>11</v>
      </c>
      <c r="C1687" s="182">
        <f t="shared" si="78"/>
        <v>42683</v>
      </c>
      <c r="D1687" s="182" t="s">
        <v>1107</v>
      </c>
      <c r="E1687" s="189">
        <v>42683</v>
      </c>
      <c r="F1687" s="40" t="s">
        <v>1379</v>
      </c>
      <c r="G1687" s="451" t="s">
        <v>1376</v>
      </c>
      <c r="H1687" s="191" t="s">
        <v>1328</v>
      </c>
      <c r="I1687" s="252">
        <v>20</v>
      </c>
      <c r="J1687" s="252">
        <v>11800</v>
      </c>
      <c r="K1687" s="38">
        <f>ROUND(I1687*J1687,0)</f>
        <v>236000</v>
      </c>
      <c r="L1687" s="192" t="s">
        <v>258</v>
      </c>
      <c r="M1687" s="192" t="s">
        <v>173</v>
      </c>
      <c r="N1687" s="52" t="str">
        <f>IF(AND('331-CT'!$E$7=TH!H1687,OR(L1687="331",M1687="331")),"331",IF(AND(OR(L1687="131",M1687="131"),H1687='131-CT'!$E$7),"131",""))</f>
        <v/>
      </c>
      <c r="O1687" s="818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52"/>
      <c r="AB1687" s="552"/>
      <c r="AC1687" s="552"/>
    </row>
    <row r="1688" spans="1:29" s="209" customFormat="1" ht="15.75" customHeight="1">
      <c r="A1688" s="202" t="str">
        <f>IF(B1688&lt;&gt;"",IF(AND(B1688&gt;=_TM1,B1688&lt;=_TM2,OR(TH!L1688="1111",TH!M1688="1111")),TH!D1688,""),"")</f>
        <v/>
      </c>
      <c r="B1688" s="36">
        <f t="shared" si="79"/>
        <v>11</v>
      </c>
      <c r="C1688" s="182">
        <f t="shared" si="78"/>
        <v>42683</v>
      </c>
      <c r="D1688" s="182" t="s">
        <v>1107</v>
      </c>
      <c r="E1688" s="189">
        <v>42683</v>
      </c>
      <c r="F1688" s="40" t="s">
        <v>1254</v>
      </c>
      <c r="G1688" s="451" t="s">
        <v>1376</v>
      </c>
      <c r="H1688" s="191" t="s">
        <v>1328</v>
      </c>
      <c r="I1688" s="252"/>
      <c r="J1688" s="252"/>
      <c r="K1688" s="38">
        <v>518640</v>
      </c>
      <c r="L1688" s="192" t="s">
        <v>258</v>
      </c>
      <c r="M1688" s="192" t="s">
        <v>367</v>
      </c>
      <c r="N1688" s="52" t="str">
        <f>IF(AND('331-CT'!$E$7=TH!H1688,OR(L1688="331",M1688="331")),"331",IF(AND(OR(L1688="131",M1688="131"),H1688='131-CT'!$E$7),"131",""))</f>
        <v/>
      </c>
      <c r="O1688" s="818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52"/>
      <c r="AB1688" s="552"/>
    </row>
    <row r="1689" spans="1:29" s="209" customFormat="1" ht="15.75" customHeight="1">
      <c r="A1689" s="202" t="str">
        <f>IF(B1689&lt;&gt;"",IF(AND(B1689&gt;=_TM1,B1689&lt;=_TM2,OR(TH!L1689="1111",TH!M1689="1111")),TH!D1689,""),"")</f>
        <v/>
      </c>
      <c r="B1689" s="36">
        <f t="shared" si="79"/>
        <v>11</v>
      </c>
      <c r="C1689" s="182">
        <f t="shared" si="78"/>
        <v>42684</v>
      </c>
      <c r="D1689" s="182" t="s">
        <v>665</v>
      </c>
      <c r="E1689" s="189">
        <v>42684</v>
      </c>
      <c r="F1689" s="190" t="s">
        <v>666</v>
      </c>
      <c r="G1689" s="190" t="s">
        <v>330</v>
      </c>
      <c r="H1689" s="191" t="s">
        <v>1261</v>
      </c>
      <c r="I1689" s="251"/>
      <c r="J1689" s="251"/>
      <c r="K1689" s="560">
        <v>5340214</v>
      </c>
      <c r="L1689" s="192" t="s">
        <v>24</v>
      </c>
      <c r="M1689" s="192" t="s">
        <v>258</v>
      </c>
      <c r="N1689" s="52" t="str">
        <f>IF(AND('331-CT'!$E$7=TH!H1689,OR(L1689="331",M1689="331")),"331",IF(AND(OR(L1689="131",M1689="131"),H1689='131-CT'!$E$7),"131",""))</f>
        <v/>
      </c>
      <c r="O1689" s="818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53"/>
      <c r="AB1689" s="552"/>
    </row>
    <row r="1690" spans="1:29" s="209" customFormat="1" ht="15.75" customHeight="1">
      <c r="A1690" s="202" t="str">
        <f>IF(B1690&lt;&gt;"",IF(AND(B1690&gt;=_TM1,B1690&lt;=_TM2,OR(TH!L1690="1111",TH!M1690="1111")),TH!D1690,""),"")</f>
        <v>T07</v>
      </c>
      <c r="B1690" s="36">
        <f t="shared" si="79"/>
        <v>11</v>
      </c>
      <c r="C1690" s="182">
        <f t="shared" si="78"/>
        <v>42684</v>
      </c>
      <c r="D1690" s="182" t="s">
        <v>1623</v>
      </c>
      <c r="E1690" s="189">
        <v>42684</v>
      </c>
      <c r="F1690" s="190" t="s">
        <v>670</v>
      </c>
      <c r="G1690" s="190" t="s">
        <v>330</v>
      </c>
      <c r="H1690" s="191" t="s">
        <v>1282</v>
      </c>
      <c r="I1690" s="251"/>
      <c r="J1690" s="251"/>
      <c r="K1690" s="560">
        <v>5000000</v>
      </c>
      <c r="L1690" s="192" t="s">
        <v>47</v>
      </c>
      <c r="M1690" s="561" t="s">
        <v>24</v>
      </c>
      <c r="N1690" s="52" t="str">
        <f>IF(AND('331-CT'!$E$7=TH!H1690,OR(L1690="331",M1690="331")),"331",IF(AND(OR(L1690="131",M1690="131"),H1690='131-CT'!$E$7),"131",""))</f>
        <v/>
      </c>
      <c r="O1690" s="818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53"/>
      <c r="AB1690" s="552"/>
      <c r="AC1690" s="552"/>
    </row>
    <row r="1691" spans="1:29" s="209" customFormat="1" ht="15.75" customHeight="1">
      <c r="A1691" s="202" t="str">
        <f>IF(B1691&lt;&gt;"",IF(AND(B1691&gt;=_TM1,B1691&lt;=_TM2,OR(TH!L1691="1111",TH!M1691="1111")),TH!D1691,""),"")</f>
        <v/>
      </c>
      <c r="B1691" s="36">
        <f t="shared" si="79"/>
        <v>11</v>
      </c>
      <c r="C1691" s="182">
        <f t="shared" si="78"/>
        <v>42684</v>
      </c>
      <c r="D1691" s="182" t="s">
        <v>669</v>
      </c>
      <c r="E1691" s="189">
        <v>42684</v>
      </c>
      <c r="F1691" s="187" t="s">
        <v>1290</v>
      </c>
      <c r="G1691" s="190" t="s">
        <v>1287</v>
      </c>
      <c r="H1691" s="191" t="s">
        <v>1513</v>
      </c>
      <c r="I1691" s="668"/>
      <c r="J1691" s="668"/>
      <c r="K1691" s="560">
        <v>50000000</v>
      </c>
      <c r="L1691" s="561" t="s">
        <v>24</v>
      </c>
      <c r="M1691" s="561" t="s">
        <v>759</v>
      </c>
      <c r="N1691" s="52" t="str">
        <f>IF(AND('331-CT'!$E$7=TH!H1691,OR(L1691="331",M1691="331")),"331",IF(AND(OR(L1691="131",M1691="131"),H1691='131-CT'!$E$7),"131",""))</f>
        <v/>
      </c>
      <c r="O1691" s="818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>x</v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53"/>
      <c r="AB1691" s="552"/>
      <c r="AC1691" s="552"/>
    </row>
    <row r="1692" spans="1:29" s="209" customFormat="1" ht="15.75" customHeight="1">
      <c r="A1692" s="202" t="str">
        <f>IF(B1692&lt;&gt;"",IF(AND(B1692&gt;=_TM1,B1692&lt;=_TM2,OR(TH!L1692="1111",TH!M1692="1111")),TH!D1692,""),"")</f>
        <v/>
      </c>
      <c r="B1692" s="36">
        <f t="shared" si="79"/>
        <v>11</v>
      </c>
      <c r="C1692" s="182">
        <f t="shared" si="78"/>
        <v>42684</v>
      </c>
      <c r="D1692" s="182" t="s">
        <v>669</v>
      </c>
      <c r="E1692" s="189">
        <v>42684</v>
      </c>
      <c r="F1692" s="187" t="s">
        <v>671</v>
      </c>
      <c r="G1692" s="190" t="s">
        <v>1287</v>
      </c>
      <c r="H1692" s="7"/>
      <c r="I1692" s="668"/>
      <c r="J1692" s="668"/>
      <c r="K1692" s="560">
        <v>50000000</v>
      </c>
      <c r="L1692" s="561" t="s">
        <v>8</v>
      </c>
      <c r="M1692" s="561" t="s">
        <v>24</v>
      </c>
      <c r="N1692" s="52" t="str">
        <f>IF(AND('331-CT'!$E$7=TH!H1692,OR(L1692="331",M1692="331")),"331",IF(AND(OR(L1692="131",M1692="131"),H1692='131-CT'!$E$7),"131",""))</f>
        <v/>
      </c>
      <c r="O1692" s="818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>x</v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53"/>
      <c r="AB1692" s="552"/>
      <c r="AC1692" s="552"/>
    </row>
    <row r="1693" spans="1:29" s="209" customFormat="1" ht="15.75" customHeight="1">
      <c r="A1693" s="202" t="str">
        <f>IF(B1693&lt;&gt;"",IF(AND(B1693&gt;=_TM1,B1693&lt;=_TM2,OR(TH!L1693="1111",TH!M1693="1111")),TH!D1693,""),"")</f>
        <v/>
      </c>
      <c r="B1693" s="36">
        <f t="shared" si="79"/>
        <v>11</v>
      </c>
      <c r="C1693" s="182">
        <f t="shared" si="78"/>
        <v>42684</v>
      </c>
      <c r="D1693" s="182" t="s">
        <v>669</v>
      </c>
      <c r="E1693" s="189">
        <v>42684</v>
      </c>
      <c r="F1693" s="190" t="s">
        <v>672</v>
      </c>
      <c r="G1693" s="190" t="s">
        <v>1287</v>
      </c>
      <c r="H1693" s="7"/>
      <c r="I1693" s="251"/>
      <c r="J1693" s="251"/>
      <c r="K1693" s="560">
        <v>20000</v>
      </c>
      <c r="L1693" s="561" t="s">
        <v>83</v>
      </c>
      <c r="M1693" s="561" t="s">
        <v>24</v>
      </c>
      <c r="N1693" s="52" t="str">
        <f>IF(AND('331-CT'!$E$7=TH!H1693,OR(L1693="331",M1693="331")),"331",IF(AND(OR(L1693="131",M1693="131"),H1693='131-CT'!$E$7),"131",""))</f>
        <v/>
      </c>
      <c r="O1693" s="818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>x</v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>x</v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53">
        <v>4</v>
      </c>
      <c r="AB1693" s="552"/>
    </row>
    <row r="1694" spans="1:29" s="209" customFormat="1" ht="15.75" customHeight="1">
      <c r="A1694" s="202" t="str">
        <f>IF(B1694&lt;&gt;"",IF(AND(B1694&gt;=_TM1,B1694&lt;=_TM2,OR(TH!L1694="1111",TH!M1694="1111")),TH!D1694,""),"")</f>
        <v/>
      </c>
      <c r="B1694" s="36">
        <f t="shared" si="79"/>
        <v>11</v>
      </c>
      <c r="C1694" s="182">
        <f t="shared" si="78"/>
        <v>42684</v>
      </c>
      <c r="D1694" s="182" t="s">
        <v>669</v>
      </c>
      <c r="E1694" s="189">
        <v>42684</v>
      </c>
      <c r="F1694" s="190" t="s">
        <v>762</v>
      </c>
      <c r="G1694" s="190" t="s">
        <v>1287</v>
      </c>
      <c r="H1694" s="7"/>
      <c r="I1694" s="251"/>
      <c r="J1694" s="251"/>
      <c r="K1694" s="560">
        <v>2000</v>
      </c>
      <c r="L1694" s="192" t="s">
        <v>9</v>
      </c>
      <c r="M1694" s="561" t="s">
        <v>24</v>
      </c>
      <c r="N1694" s="52" t="str">
        <f>IF(AND('331-CT'!$E$7=TH!H1694,OR(L1694="331",M1694="331")),"331",IF(AND(OR(L1694="131",M1694="131"),H1694='131-CT'!$E$7),"131",""))</f>
        <v/>
      </c>
      <c r="O1694" s="818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>x</v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53">
        <v>4</v>
      </c>
      <c r="AB1694" s="552"/>
      <c r="AC1694" s="552"/>
    </row>
    <row r="1695" spans="1:29" s="209" customFormat="1" ht="15.75" customHeight="1">
      <c r="A1695" s="202" t="str">
        <f>IF(B1695&lt;&gt;"",IF(AND(B1695&gt;=_TM1,B1695&lt;=_TM2,OR(TH!L1695="1111",TH!M1695="1111")),TH!D1695,""),"")</f>
        <v/>
      </c>
      <c r="B1695" s="36">
        <f t="shared" si="79"/>
        <v>11</v>
      </c>
      <c r="C1695" s="182">
        <f t="shared" si="78"/>
        <v>42684</v>
      </c>
      <c r="D1695" s="182" t="s">
        <v>1108</v>
      </c>
      <c r="E1695" s="189">
        <v>42684</v>
      </c>
      <c r="F1695" s="40" t="s">
        <v>1380</v>
      </c>
      <c r="G1695" s="451" t="s">
        <v>1377</v>
      </c>
      <c r="H1695" s="7" t="s">
        <v>797</v>
      </c>
      <c r="I1695" s="252">
        <v>200</v>
      </c>
      <c r="J1695" s="252">
        <v>7500</v>
      </c>
      <c r="K1695" s="38">
        <f>ROUND(I1695*J1695,0)</f>
        <v>1500000</v>
      </c>
      <c r="L1695" s="192" t="s">
        <v>258</v>
      </c>
      <c r="M1695" s="192" t="s">
        <v>173</v>
      </c>
      <c r="N1695" s="52" t="str">
        <f>IF(AND('331-CT'!$E$7=TH!H1695,OR(L1695="331",M1695="331")),"331",IF(AND(OR(L1695="131",M1695="131"),H1695='131-CT'!$E$7),"131",""))</f>
        <v/>
      </c>
      <c r="O1695" s="818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52"/>
      <c r="AB1695" s="552"/>
      <c r="AC1695" s="552"/>
    </row>
    <row r="1696" spans="1:29" s="209" customFormat="1" ht="15.75" customHeight="1">
      <c r="A1696" s="202" t="str">
        <f>IF(B1696&lt;&gt;"",IF(AND(B1696&gt;=_TM1,B1696&lt;=_TM2,OR(TH!L1696="1111",TH!M1696="1111")),TH!D1696,""),"")</f>
        <v/>
      </c>
      <c r="B1696" s="36">
        <f t="shared" si="79"/>
        <v>11</v>
      </c>
      <c r="C1696" s="182">
        <f t="shared" si="78"/>
        <v>42684</v>
      </c>
      <c r="D1696" s="182" t="s">
        <v>1108</v>
      </c>
      <c r="E1696" s="189">
        <v>42684</v>
      </c>
      <c r="F1696" s="40" t="s">
        <v>1254</v>
      </c>
      <c r="G1696" s="451" t="s">
        <v>1377</v>
      </c>
      <c r="H1696" s="7" t="s">
        <v>797</v>
      </c>
      <c r="I1696" s="252"/>
      <c r="J1696" s="252"/>
      <c r="K1696" s="38">
        <v>150000</v>
      </c>
      <c r="L1696" s="192" t="s">
        <v>258</v>
      </c>
      <c r="M1696" s="192" t="s">
        <v>367</v>
      </c>
      <c r="N1696" s="52" t="str">
        <f>IF(AND('331-CT'!$E$7=TH!H1696,OR(L1696="331",M1696="331")),"331",IF(AND(OR(L1696="131",M1696="131"),H1696='131-CT'!$E$7),"131",""))</f>
        <v/>
      </c>
      <c r="O1696" s="818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52"/>
      <c r="AB1696" s="552"/>
      <c r="AC1696" s="552"/>
    </row>
    <row r="1697" spans="1:29" s="209" customFormat="1" ht="15.75" customHeight="1">
      <c r="A1697" s="202" t="str">
        <f>IF(B1697&lt;&gt;"",IF(AND(B1697&gt;=_TM1,B1697&lt;=_TM2,OR(TH!L1697="1111",TH!M1697="1111")),TH!D1697,""),"")</f>
        <v/>
      </c>
      <c r="B1697" s="36">
        <f t="shared" si="79"/>
        <v>11</v>
      </c>
      <c r="C1697" s="182">
        <f t="shared" si="78"/>
        <v>42684</v>
      </c>
      <c r="D1697" s="182" t="s">
        <v>1109</v>
      </c>
      <c r="E1697" s="189">
        <v>42684</v>
      </c>
      <c r="F1697" s="40" t="s">
        <v>1382</v>
      </c>
      <c r="G1697" s="451" t="s">
        <v>1381</v>
      </c>
      <c r="H1697" s="191" t="s">
        <v>1328</v>
      </c>
      <c r="I1697" s="252">
        <v>300</v>
      </c>
      <c r="J1697" s="252">
        <v>7300</v>
      </c>
      <c r="K1697" s="38">
        <f>ROUND(I1697*J1697,0)</f>
        <v>2190000</v>
      </c>
      <c r="L1697" s="192" t="s">
        <v>258</v>
      </c>
      <c r="M1697" s="192" t="s">
        <v>173</v>
      </c>
      <c r="N1697" s="52" t="str">
        <f>IF(AND('331-CT'!$E$7=TH!H1697,OR(L1697="331",M1697="331")),"331",IF(AND(OR(L1697="131",M1697="131"),H1697='131-CT'!$E$7),"131",""))</f>
        <v/>
      </c>
      <c r="O1697" s="818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52"/>
      <c r="AB1697" s="552"/>
      <c r="AC1697" s="552"/>
    </row>
    <row r="1698" spans="1:29" s="209" customFormat="1" ht="15.75" customHeight="1">
      <c r="A1698" s="202" t="str">
        <f>IF(B1698&lt;&gt;"",IF(AND(B1698&gt;=_TM1,B1698&lt;=_TM2,OR(TH!L1698="1111",TH!M1698="1111")),TH!D1698,""),"")</f>
        <v/>
      </c>
      <c r="B1698" s="36">
        <f t="shared" si="79"/>
        <v>11</v>
      </c>
      <c r="C1698" s="182">
        <f t="shared" si="78"/>
        <v>42684</v>
      </c>
      <c r="D1698" s="182" t="s">
        <v>1109</v>
      </c>
      <c r="E1698" s="189">
        <v>42684</v>
      </c>
      <c r="F1698" s="40" t="s">
        <v>1383</v>
      </c>
      <c r="G1698" s="451" t="s">
        <v>1381</v>
      </c>
      <c r="H1698" s="191" t="s">
        <v>1328</v>
      </c>
      <c r="I1698" s="252">
        <v>35</v>
      </c>
      <c r="J1698" s="252">
        <v>13200</v>
      </c>
      <c r="K1698" s="38">
        <f>ROUND(I1698*J1698,0)</f>
        <v>462000</v>
      </c>
      <c r="L1698" s="192" t="s">
        <v>258</v>
      </c>
      <c r="M1698" s="192" t="s">
        <v>173</v>
      </c>
      <c r="N1698" s="52" t="str">
        <f>IF(AND('331-CT'!$E$7=TH!H1698,OR(L1698="331",M1698="331")),"331",IF(AND(OR(L1698="131",M1698="131"),H1698='131-CT'!$E$7),"131",""))</f>
        <v/>
      </c>
      <c r="O1698" s="818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52"/>
      <c r="AB1698" s="552"/>
      <c r="AC1698" s="552"/>
    </row>
    <row r="1699" spans="1:29" s="209" customFormat="1" ht="15.75" customHeight="1">
      <c r="A1699" s="202" t="str">
        <f>IF(B1699&lt;&gt;"",IF(AND(B1699&gt;=_TM1,B1699&lt;=_TM2,OR(TH!L1699="1111",TH!M1699="1111")),TH!D1699,""),"")</f>
        <v/>
      </c>
      <c r="B1699" s="36">
        <f t="shared" si="79"/>
        <v>11</v>
      </c>
      <c r="C1699" s="182">
        <f t="shared" si="78"/>
        <v>42684</v>
      </c>
      <c r="D1699" s="182" t="s">
        <v>1109</v>
      </c>
      <c r="E1699" s="189">
        <v>42684</v>
      </c>
      <c r="F1699" s="40" t="s">
        <v>1384</v>
      </c>
      <c r="G1699" s="451" t="s">
        <v>1381</v>
      </c>
      <c r="H1699" s="191" t="s">
        <v>1328</v>
      </c>
      <c r="I1699" s="252">
        <v>37</v>
      </c>
      <c r="J1699" s="252">
        <v>25200</v>
      </c>
      <c r="K1699" s="38">
        <f>ROUND(I1699*J1699,0)</f>
        <v>932400</v>
      </c>
      <c r="L1699" s="192" t="s">
        <v>258</v>
      </c>
      <c r="M1699" s="192" t="s">
        <v>173</v>
      </c>
      <c r="N1699" s="52" t="str">
        <f>IF(AND('331-CT'!$E$7=TH!H1699,OR(L1699="331",M1699="331")),"331",IF(AND(OR(L1699="131",M1699="131"),H1699='131-CT'!$E$7),"131",""))</f>
        <v/>
      </c>
      <c r="O1699" s="818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52"/>
      <c r="AB1699" s="552"/>
      <c r="AC1699" s="552"/>
    </row>
    <row r="1700" spans="1:29" s="209" customFormat="1" ht="15.75" customHeight="1">
      <c r="A1700" s="202" t="str">
        <f>IF(B1700&lt;&gt;"",IF(AND(B1700&gt;=_TM1,B1700&lt;=_TM2,OR(TH!L1700="1111",TH!M1700="1111")),TH!D1700,""),"")</f>
        <v/>
      </c>
      <c r="B1700" s="36">
        <f t="shared" si="79"/>
        <v>11</v>
      </c>
      <c r="C1700" s="182">
        <f t="shared" si="78"/>
        <v>42684</v>
      </c>
      <c r="D1700" s="182" t="s">
        <v>1109</v>
      </c>
      <c r="E1700" s="189">
        <v>42684</v>
      </c>
      <c r="F1700" s="40" t="s">
        <v>1385</v>
      </c>
      <c r="G1700" s="451" t="s">
        <v>1381</v>
      </c>
      <c r="H1700" s="191" t="s">
        <v>1328</v>
      </c>
      <c r="I1700" s="252">
        <v>85</v>
      </c>
      <c r="J1700" s="252">
        <v>12600</v>
      </c>
      <c r="K1700" s="38">
        <f>ROUND(I1700*J1700,0)</f>
        <v>1071000</v>
      </c>
      <c r="L1700" s="192" t="s">
        <v>258</v>
      </c>
      <c r="M1700" s="192" t="s">
        <v>173</v>
      </c>
      <c r="N1700" s="52" t="str">
        <f>IF(AND('331-CT'!$E$7=TH!H1700,OR(L1700="331",M1700="331")),"331",IF(AND(OR(L1700="131",M1700="131"),H1700='131-CT'!$E$7),"131",""))</f>
        <v/>
      </c>
      <c r="O1700" s="818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52"/>
      <c r="AB1700" s="552"/>
    </row>
    <row r="1701" spans="1:29" s="209" customFormat="1" ht="15.75" customHeight="1">
      <c r="A1701" s="202" t="str">
        <f>IF(B1701&lt;&gt;"",IF(AND(B1701&gt;=_TM1,B1701&lt;=_TM2,OR(TH!L1701="1111",TH!M1701="1111")),TH!D1701,""),"")</f>
        <v/>
      </c>
      <c r="B1701" s="36">
        <f t="shared" si="79"/>
        <v>11</v>
      </c>
      <c r="C1701" s="182">
        <f t="shared" si="78"/>
        <v>42684</v>
      </c>
      <c r="D1701" s="182" t="s">
        <v>1109</v>
      </c>
      <c r="E1701" s="189">
        <v>42684</v>
      </c>
      <c r="F1701" s="40" t="s">
        <v>1254</v>
      </c>
      <c r="G1701" s="451" t="s">
        <v>1381</v>
      </c>
      <c r="H1701" s="191" t="s">
        <v>1328</v>
      </c>
      <c r="I1701" s="252"/>
      <c r="J1701" s="252"/>
      <c r="K1701" s="38">
        <v>465540</v>
      </c>
      <c r="L1701" s="192" t="s">
        <v>258</v>
      </c>
      <c r="M1701" s="192" t="s">
        <v>367</v>
      </c>
      <c r="N1701" s="52" t="str">
        <f>IF(AND('331-CT'!$E$7=TH!H1701,OR(L1701="331",M1701="331")),"331",IF(AND(OR(L1701="131",M1701="131"),H1701='131-CT'!$E$7),"131",""))</f>
        <v/>
      </c>
      <c r="O1701" s="818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52"/>
      <c r="AB1701" s="552"/>
      <c r="AC1701" s="552"/>
    </row>
    <row r="1702" spans="1:29" s="209" customFormat="1" ht="15.75" customHeight="1">
      <c r="A1702" s="202" t="str">
        <f>IF(B1702&lt;&gt;"",IF(AND(B1702&gt;=_TM1,B1702&lt;=_TM2,OR(TH!L1702="1111",TH!M1702="1111")),TH!D1702,""),"")</f>
        <v/>
      </c>
      <c r="B1702" s="36">
        <f t="shared" si="79"/>
        <v>11</v>
      </c>
      <c r="C1702" s="182">
        <f t="shared" si="78"/>
        <v>42684</v>
      </c>
      <c r="D1702" s="182" t="s">
        <v>1110</v>
      </c>
      <c r="E1702" s="189">
        <v>42684</v>
      </c>
      <c r="F1702" s="187" t="s">
        <v>1442</v>
      </c>
      <c r="G1702" s="451" t="s">
        <v>1386</v>
      </c>
      <c r="H1702" s="7" t="s">
        <v>615</v>
      </c>
      <c r="I1702" s="252">
        <v>300</v>
      </c>
      <c r="J1702" s="252">
        <v>6400</v>
      </c>
      <c r="K1702" s="38">
        <f>ROUND(I1702*J1702,0)</f>
        <v>1920000</v>
      </c>
      <c r="L1702" s="192" t="s">
        <v>258</v>
      </c>
      <c r="M1702" s="192" t="s">
        <v>173</v>
      </c>
      <c r="N1702" s="52" t="str">
        <f>IF(AND('331-CT'!$E$7=TH!H1702,OR(L1702="331",M1702="331")),"331",IF(AND(OR(L1702="131",M1702="131"),H1702='131-CT'!$E$7),"131",""))</f>
        <v/>
      </c>
      <c r="O1702" s="818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52"/>
      <c r="AB1702" s="552"/>
    </row>
    <row r="1703" spans="1:29" s="209" customFormat="1" ht="15.75" customHeight="1">
      <c r="A1703" s="202" t="str">
        <f>IF(B1703&lt;&gt;"",IF(AND(B1703&gt;=_TM1,B1703&lt;=_TM2,OR(TH!L1703="1111",TH!M1703="1111")),TH!D1703,""),"")</f>
        <v/>
      </c>
      <c r="B1703" s="36">
        <f t="shared" si="79"/>
        <v>11</v>
      </c>
      <c r="C1703" s="182">
        <f t="shared" si="78"/>
        <v>42684</v>
      </c>
      <c r="D1703" s="182" t="s">
        <v>1110</v>
      </c>
      <c r="E1703" s="189">
        <v>42684</v>
      </c>
      <c r="F1703" s="40" t="s">
        <v>1254</v>
      </c>
      <c r="G1703" s="451" t="s">
        <v>1386</v>
      </c>
      <c r="H1703" s="7" t="s">
        <v>615</v>
      </c>
      <c r="I1703" s="252"/>
      <c r="J1703" s="252"/>
      <c r="K1703" s="38">
        <v>192000</v>
      </c>
      <c r="L1703" s="192" t="s">
        <v>258</v>
      </c>
      <c r="M1703" s="192" t="s">
        <v>367</v>
      </c>
      <c r="N1703" s="52" t="str">
        <f>IF(AND('331-CT'!$E$7=TH!H1703,OR(L1703="331",M1703="331")),"331",IF(AND(OR(L1703="131",M1703="131"),H1703='131-CT'!$E$7),"131",""))</f>
        <v/>
      </c>
      <c r="O1703" s="818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52"/>
      <c r="AB1703" s="552"/>
      <c r="AC1703" s="552"/>
    </row>
    <row r="1704" spans="1:29" s="209" customFormat="1" ht="15.75" customHeight="1">
      <c r="A1704" s="202" t="str">
        <f>IF(B1704&lt;&gt;"",IF(AND(B1704&gt;=_TM1,B1704&lt;=_TM2,OR(TH!L1704="1111",TH!M1704="1111")),TH!D1704,""),"")</f>
        <v/>
      </c>
      <c r="B1704" s="36">
        <f t="shared" si="79"/>
        <v>11</v>
      </c>
      <c r="C1704" s="182">
        <f t="shared" si="78"/>
        <v>42685</v>
      </c>
      <c r="D1704" s="182" t="s">
        <v>665</v>
      </c>
      <c r="E1704" s="189">
        <v>42685</v>
      </c>
      <c r="F1704" s="190" t="s">
        <v>666</v>
      </c>
      <c r="G1704" s="190" t="s">
        <v>330</v>
      </c>
      <c r="H1704" s="7" t="s">
        <v>615</v>
      </c>
      <c r="I1704" s="251"/>
      <c r="J1704" s="251"/>
      <c r="K1704" s="560">
        <v>599500</v>
      </c>
      <c r="L1704" s="192" t="s">
        <v>24</v>
      </c>
      <c r="M1704" s="192" t="s">
        <v>258</v>
      </c>
      <c r="N1704" s="52" t="str">
        <f>IF(AND('331-CT'!$E$7=TH!H1704,OR(L1704="331",M1704="331")),"331",IF(AND(OR(L1704="131",M1704="131"),H1704='131-CT'!$E$7),"131",""))</f>
        <v/>
      </c>
      <c r="O1704" s="818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53"/>
      <c r="AB1704" s="552"/>
    </row>
    <row r="1705" spans="1:29" s="209" customFormat="1" ht="15.75" customHeight="1">
      <c r="A1705" s="202" t="str">
        <f>IF(B1705&lt;&gt;"",IF(AND(B1705&gt;=_TM1,B1705&lt;=_TM2,OR(TH!L1705="1111",TH!M1705="1111")),TH!D1705,""),"")</f>
        <v>T08</v>
      </c>
      <c r="B1705" s="36">
        <f t="shared" si="79"/>
        <v>11</v>
      </c>
      <c r="C1705" s="182">
        <f t="shared" si="78"/>
        <v>42685</v>
      </c>
      <c r="D1705" s="182" t="s">
        <v>1625</v>
      </c>
      <c r="E1705" s="189">
        <v>42685</v>
      </c>
      <c r="F1705" s="190" t="s">
        <v>670</v>
      </c>
      <c r="G1705" s="190" t="s">
        <v>330</v>
      </c>
      <c r="H1705" s="191" t="s">
        <v>1282</v>
      </c>
      <c r="I1705" s="251"/>
      <c r="J1705" s="251"/>
      <c r="K1705" s="560">
        <v>5300000</v>
      </c>
      <c r="L1705" s="192" t="s">
        <v>47</v>
      </c>
      <c r="M1705" s="561" t="s">
        <v>24</v>
      </c>
      <c r="N1705" s="52" t="str">
        <f>IF(AND('331-CT'!$E$7=TH!H1705,OR(L1705="331",M1705="331")),"331",IF(AND(OR(L1705="131",M1705="131"),H1705='131-CT'!$E$7),"131",""))</f>
        <v/>
      </c>
      <c r="O1705" s="818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53"/>
      <c r="AB1705" s="552"/>
    </row>
    <row r="1706" spans="1:29" s="209" customFormat="1" ht="15.75" customHeight="1">
      <c r="A1706" s="202" t="str">
        <f>IF(B1706&lt;&gt;"",IF(AND(B1706&gt;=_TM1,B1706&lt;=_TM2,OR(TH!L1706="1111",TH!M1706="1111")),TH!D1706,""),"")</f>
        <v/>
      </c>
      <c r="B1706" s="36">
        <f t="shared" si="79"/>
        <v>11</v>
      </c>
      <c r="C1706" s="182">
        <f t="shared" si="78"/>
        <v>42686</v>
      </c>
      <c r="D1706" s="182" t="s">
        <v>1111</v>
      </c>
      <c r="E1706" s="189">
        <v>42686</v>
      </c>
      <c r="F1706" s="40" t="s">
        <v>1388</v>
      </c>
      <c r="G1706" s="451" t="s">
        <v>1387</v>
      </c>
      <c r="H1706" s="7" t="s">
        <v>399</v>
      </c>
      <c r="I1706" s="252">
        <v>319</v>
      </c>
      <c r="J1706" s="252">
        <v>10200</v>
      </c>
      <c r="K1706" s="38">
        <f>ROUND(I1706*J1706,0)</f>
        <v>3253800</v>
      </c>
      <c r="L1706" s="192" t="s">
        <v>258</v>
      </c>
      <c r="M1706" s="192" t="s">
        <v>173</v>
      </c>
      <c r="N1706" s="52" t="str">
        <f>IF(AND('331-CT'!$E$7=TH!H1706,OR(L1706="331",M1706="331")),"331",IF(AND(OR(L1706="131",M1706="131"),H1706='131-CT'!$E$7),"131",""))</f>
        <v/>
      </c>
      <c r="O1706" s="818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52"/>
      <c r="AB1706" s="552"/>
    </row>
    <row r="1707" spans="1:29" s="209" customFormat="1" ht="15.75" customHeight="1">
      <c r="A1707" s="202" t="str">
        <f>IF(B1707&lt;&gt;"",IF(AND(B1707&gt;=_TM1,B1707&lt;=_TM2,OR(TH!L1707="1111",TH!M1707="1111")),TH!D1707,""),"")</f>
        <v/>
      </c>
      <c r="B1707" s="36">
        <f t="shared" si="79"/>
        <v>11</v>
      </c>
      <c r="C1707" s="182">
        <f t="shared" si="78"/>
        <v>42686</v>
      </c>
      <c r="D1707" s="182" t="s">
        <v>1111</v>
      </c>
      <c r="E1707" s="189">
        <v>42686</v>
      </c>
      <c r="F1707" s="40" t="s">
        <v>1254</v>
      </c>
      <c r="G1707" s="451" t="s">
        <v>1387</v>
      </c>
      <c r="H1707" s="7" t="s">
        <v>399</v>
      </c>
      <c r="I1707" s="252"/>
      <c r="J1707" s="252"/>
      <c r="K1707" s="38">
        <v>325380</v>
      </c>
      <c r="L1707" s="192" t="s">
        <v>258</v>
      </c>
      <c r="M1707" s="192" t="s">
        <v>367</v>
      </c>
      <c r="N1707" s="52" t="str">
        <f>IF(AND('331-CT'!$E$7=TH!H1707,OR(L1707="331",M1707="331")),"331",IF(AND(OR(L1707="131",M1707="131"),H1707='131-CT'!$E$7),"131",""))</f>
        <v/>
      </c>
      <c r="O1707" s="818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52"/>
      <c r="AB1707" s="552"/>
      <c r="AC1707" s="552"/>
    </row>
    <row r="1708" spans="1:29" s="209" customFormat="1" ht="15.75" customHeight="1">
      <c r="A1708" s="202" t="str">
        <f>IF(B1708&lt;&gt;"",IF(AND(B1708&gt;=_TM1,B1708&lt;=_TM2,OR(TH!L1708="1111",TH!M1708="1111")),TH!D1708,""),"")</f>
        <v/>
      </c>
      <c r="B1708" s="36">
        <f t="shared" si="79"/>
        <v>11</v>
      </c>
      <c r="C1708" s="182">
        <f t="shared" si="78"/>
        <v>42688</v>
      </c>
      <c r="D1708" s="182" t="s">
        <v>1112</v>
      </c>
      <c r="E1708" s="189">
        <v>42688</v>
      </c>
      <c r="F1708" s="40" t="s">
        <v>1255</v>
      </c>
      <c r="G1708" s="451" t="s">
        <v>1389</v>
      </c>
      <c r="H1708" s="7" t="s">
        <v>391</v>
      </c>
      <c r="I1708" s="252">
        <v>980</v>
      </c>
      <c r="J1708" s="252">
        <v>5000</v>
      </c>
      <c r="K1708" s="38">
        <f>ROUND(I1708*J1708,0)</f>
        <v>4900000</v>
      </c>
      <c r="L1708" s="192" t="s">
        <v>258</v>
      </c>
      <c r="M1708" s="192" t="s">
        <v>173</v>
      </c>
      <c r="N1708" s="52" t="str">
        <f>IF(AND('331-CT'!$E$7=TH!H1708,OR(L1708="331",M1708="331")),"331",IF(AND(OR(L1708="131",M1708="131"),H1708='131-CT'!$E$7),"131",""))</f>
        <v/>
      </c>
      <c r="O1708" s="818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52"/>
      <c r="AB1708" s="552"/>
      <c r="AC1708" s="552"/>
    </row>
    <row r="1709" spans="1:29" s="209" customFormat="1" ht="15.75" customHeight="1">
      <c r="A1709" s="202" t="str">
        <f>IF(B1709&lt;&gt;"",IF(AND(B1709&gt;=_TM1,B1709&lt;=_TM2,OR(TH!L1709="1111",TH!M1709="1111")),TH!D1709,""),"")</f>
        <v/>
      </c>
      <c r="B1709" s="36">
        <f t="shared" si="79"/>
        <v>11</v>
      </c>
      <c r="C1709" s="182">
        <f t="shared" si="78"/>
        <v>42688</v>
      </c>
      <c r="D1709" s="182" t="s">
        <v>1112</v>
      </c>
      <c r="E1709" s="189">
        <v>42688</v>
      </c>
      <c r="F1709" s="40" t="s">
        <v>1256</v>
      </c>
      <c r="G1709" s="451" t="s">
        <v>1389</v>
      </c>
      <c r="H1709" s="7" t="s">
        <v>391</v>
      </c>
      <c r="I1709" s="252">
        <v>1066</v>
      </c>
      <c r="J1709" s="252">
        <v>5550</v>
      </c>
      <c r="K1709" s="38">
        <f>ROUND(I1709*J1709,0)</f>
        <v>5916300</v>
      </c>
      <c r="L1709" s="192" t="s">
        <v>258</v>
      </c>
      <c r="M1709" s="192" t="s">
        <v>173</v>
      </c>
      <c r="N1709" s="52" t="str">
        <f>IF(AND('331-CT'!$E$7=TH!H1709,OR(L1709="331",M1709="331")),"331",IF(AND(OR(L1709="131",M1709="131"),H1709='131-CT'!$E$7),"131",""))</f>
        <v/>
      </c>
      <c r="O1709" s="818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52"/>
      <c r="AB1709" s="552"/>
    </row>
    <row r="1710" spans="1:29" s="209" customFormat="1" ht="15.75" customHeight="1">
      <c r="A1710" s="202" t="str">
        <f>IF(B1710&lt;&gt;"",IF(AND(B1710&gt;=_TM1,B1710&lt;=_TM2,OR(TH!L1710="1111",TH!M1710="1111")),TH!D1710,""),"")</f>
        <v/>
      </c>
      <c r="B1710" s="36">
        <f t="shared" si="79"/>
        <v>11</v>
      </c>
      <c r="C1710" s="182">
        <f t="shared" si="78"/>
        <v>42688</v>
      </c>
      <c r="D1710" s="182" t="s">
        <v>1112</v>
      </c>
      <c r="E1710" s="189">
        <v>42688</v>
      </c>
      <c r="F1710" s="40" t="s">
        <v>392</v>
      </c>
      <c r="G1710" s="451" t="s">
        <v>1389</v>
      </c>
      <c r="H1710" s="7" t="s">
        <v>391</v>
      </c>
      <c r="I1710" s="252">
        <v>560</v>
      </c>
      <c r="J1710" s="252">
        <v>5800</v>
      </c>
      <c r="K1710" s="38">
        <f>ROUND(I1710*J1710,0)</f>
        <v>3248000</v>
      </c>
      <c r="L1710" s="192" t="s">
        <v>258</v>
      </c>
      <c r="M1710" s="192" t="s">
        <v>173</v>
      </c>
      <c r="N1710" s="52" t="str">
        <f>IF(AND('331-CT'!$E$7=TH!H1710,OR(L1710="331",M1710="331")),"331",IF(AND(OR(L1710="131",M1710="131"),H1710='131-CT'!$E$7),"131",""))</f>
        <v/>
      </c>
      <c r="O1710" s="818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52"/>
      <c r="AB1710" s="552"/>
      <c r="AC1710" s="552"/>
    </row>
    <row r="1711" spans="1:29" s="209" customFormat="1" ht="15.75" customHeight="1">
      <c r="A1711" s="202" t="str">
        <f>IF(B1711&lt;&gt;"",IF(AND(B1711&gt;=_TM1,B1711&lt;=_TM2,OR(TH!L1711="1111",TH!M1711="1111")),TH!D1711,""),"")</f>
        <v/>
      </c>
      <c r="B1711" s="36">
        <f t="shared" si="79"/>
        <v>11</v>
      </c>
      <c r="C1711" s="182">
        <f t="shared" si="78"/>
        <v>42688</v>
      </c>
      <c r="D1711" s="182" t="s">
        <v>1112</v>
      </c>
      <c r="E1711" s="189">
        <v>42688</v>
      </c>
      <c r="F1711" s="40" t="s">
        <v>1254</v>
      </c>
      <c r="G1711" s="451" t="s">
        <v>1389</v>
      </c>
      <c r="H1711" s="7" t="s">
        <v>391</v>
      </c>
      <c r="I1711" s="252"/>
      <c r="J1711" s="252"/>
      <c r="K1711" s="38">
        <v>1406430</v>
      </c>
      <c r="L1711" s="192" t="s">
        <v>258</v>
      </c>
      <c r="M1711" s="192" t="s">
        <v>367</v>
      </c>
      <c r="N1711" s="52" t="str">
        <f>IF(AND('331-CT'!$E$7=TH!H1711,OR(L1711="331",M1711="331")),"331",IF(AND(OR(L1711="131",M1711="131"),H1711='131-CT'!$E$7),"131",""))</f>
        <v/>
      </c>
      <c r="O1711" s="818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52"/>
      <c r="AB1711" s="552"/>
    </row>
    <row r="1712" spans="1:29" s="209" customFormat="1" ht="15.75" customHeight="1">
      <c r="A1712" s="202" t="str">
        <f>IF(B1712&lt;&gt;"",IF(AND(B1712&gt;=_TM1,B1712&lt;=_TM2,OR(TH!L1712="1111",TH!M1712="1111")),TH!D1712,""),"")</f>
        <v/>
      </c>
      <c r="B1712" s="36">
        <f t="shared" si="79"/>
        <v>11</v>
      </c>
      <c r="C1712" s="182">
        <f t="shared" si="78"/>
        <v>42689</v>
      </c>
      <c r="D1712" s="182" t="s">
        <v>669</v>
      </c>
      <c r="E1712" s="189">
        <v>42689</v>
      </c>
      <c r="F1712" s="190" t="s">
        <v>672</v>
      </c>
      <c r="G1712" s="190" t="s">
        <v>1287</v>
      </c>
      <c r="H1712" s="7"/>
      <c r="I1712" s="251"/>
      <c r="J1712" s="251"/>
      <c r="K1712" s="560">
        <v>47000</v>
      </c>
      <c r="L1712" s="561" t="s">
        <v>83</v>
      </c>
      <c r="M1712" s="561" t="s">
        <v>24</v>
      </c>
      <c r="N1712" s="52" t="str">
        <f>IF(AND('331-CT'!$E$7=TH!H1712,OR(L1712="331",M1712="331")),"331",IF(AND(OR(L1712="131",M1712="131"),H1712='131-CT'!$E$7),"131",""))</f>
        <v/>
      </c>
      <c r="O1712" s="818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>x</v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>x</v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53">
        <v>4</v>
      </c>
      <c r="AB1712" s="552"/>
    </row>
    <row r="1713" spans="1:32" s="209" customFormat="1" ht="15.75" customHeight="1">
      <c r="A1713" s="202" t="str">
        <f>IF(B1713&lt;&gt;"",IF(AND(B1713&gt;=_TM1,B1713&lt;=_TM2,OR(TH!L1713="1111",TH!M1713="1111")),TH!D1713,""),"")</f>
        <v/>
      </c>
      <c r="B1713" s="36">
        <f t="shared" si="79"/>
        <v>11</v>
      </c>
      <c r="C1713" s="182">
        <f t="shared" si="78"/>
        <v>42689</v>
      </c>
      <c r="D1713" s="182" t="s">
        <v>669</v>
      </c>
      <c r="E1713" s="189">
        <v>42689</v>
      </c>
      <c r="F1713" s="190" t="s">
        <v>762</v>
      </c>
      <c r="G1713" s="190" t="s">
        <v>1287</v>
      </c>
      <c r="H1713" s="7"/>
      <c r="I1713" s="251"/>
      <c r="J1713" s="251"/>
      <c r="K1713" s="560">
        <v>4700</v>
      </c>
      <c r="L1713" s="192" t="s">
        <v>9</v>
      </c>
      <c r="M1713" s="561" t="s">
        <v>24</v>
      </c>
      <c r="N1713" s="52" t="str">
        <f>IF(AND('331-CT'!$E$7=TH!H1713,OR(L1713="331",M1713="331")),"331",IF(AND(OR(L1713="131",M1713="131"),H1713='131-CT'!$E$7),"131",""))</f>
        <v/>
      </c>
      <c r="O1713" s="818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>x</v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53">
        <v>4</v>
      </c>
      <c r="AB1713" s="552"/>
      <c r="AC1713" s="552"/>
    </row>
    <row r="1714" spans="1:32" s="209" customFormat="1" ht="15.75" customHeight="1">
      <c r="A1714" s="202" t="str">
        <f>IF(B1714&lt;&gt;"",IF(AND(B1714&gt;=_TM1,B1714&lt;=_TM2,OR(TH!L1714="1111",TH!M1714="1111")),TH!D1714,""),"")</f>
        <v/>
      </c>
      <c r="B1714" s="36">
        <f t="shared" si="79"/>
        <v>11</v>
      </c>
      <c r="C1714" s="182">
        <f t="shared" si="78"/>
        <v>42689</v>
      </c>
      <c r="D1714" s="182" t="s">
        <v>1113</v>
      </c>
      <c r="E1714" s="189">
        <v>42689</v>
      </c>
      <c r="F1714" s="40" t="s">
        <v>1541</v>
      </c>
      <c r="G1714" s="451" t="s">
        <v>1540</v>
      </c>
      <c r="H1714" s="7" t="s">
        <v>1323</v>
      </c>
      <c r="I1714" s="252">
        <v>127</v>
      </c>
      <c r="J1714" s="252">
        <v>19500</v>
      </c>
      <c r="K1714" s="38">
        <f>ROUND(I1714*J1714,0)</f>
        <v>2476500</v>
      </c>
      <c r="L1714" s="192" t="s">
        <v>258</v>
      </c>
      <c r="M1714" s="192" t="s">
        <v>173</v>
      </c>
      <c r="N1714" s="52" t="str">
        <f>IF(AND('331-CT'!$E$7=TH!H1714,OR(L1714="331",M1714="331")),"331",IF(AND(OR(L1714="131",M1714="131"),H1714='131-CT'!$E$7),"131",""))</f>
        <v/>
      </c>
      <c r="O1714" s="818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52"/>
      <c r="AB1714" s="552"/>
      <c r="AC1714" s="552"/>
    </row>
    <row r="1715" spans="1:32" s="209" customFormat="1" ht="15.75" customHeight="1">
      <c r="A1715" s="202" t="str">
        <f>IF(B1715&lt;&gt;"",IF(AND(B1715&gt;=_TM1,B1715&lt;=_TM2,OR(TH!L1715="1111",TH!M1715="1111")),TH!D1715,""),"")</f>
        <v/>
      </c>
      <c r="B1715" s="36">
        <f t="shared" si="79"/>
        <v>11</v>
      </c>
      <c r="C1715" s="182">
        <f t="shared" si="78"/>
        <v>42689</v>
      </c>
      <c r="D1715" s="182" t="s">
        <v>1113</v>
      </c>
      <c r="E1715" s="189">
        <v>42689</v>
      </c>
      <c r="F1715" s="40" t="s">
        <v>1254</v>
      </c>
      <c r="G1715" s="451" t="s">
        <v>1540</v>
      </c>
      <c r="H1715" s="7" t="s">
        <v>1323</v>
      </c>
      <c r="I1715" s="252"/>
      <c r="J1715" s="252"/>
      <c r="K1715" s="38">
        <v>247650</v>
      </c>
      <c r="L1715" s="192" t="s">
        <v>258</v>
      </c>
      <c r="M1715" s="192" t="s">
        <v>367</v>
      </c>
      <c r="N1715" s="52" t="str">
        <f>IF(AND('331-CT'!$E$7=TH!H1715,OR(L1715="331",M1715="331")),"331",IF(AND(OR(L1715="131",M1715="131"),H1715='131-CT'!$E$7),"131",""))</f>
        <v/>
      </c>
      <c r="O1715" s="818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52"/>
      <c r="AB1715" s="552"/>
    </row>
    <row r="1716" spans="1:32" s="209" customFormat="1" ht="15.75" customHeight="1">
      <c r="A1716" s="202" t="str">
        <f>IF(B1716&lt;&gt;"",IF(AND(B1716&gt;=_TM1,B1716&lt;=_TM2,OR(TH!L1716="1111",TH!M1716="1111")),TH!D1716,""),"")</f>
        <v/>
      </c>
      <c r="B1716" s="36">
        <f t="shared" si="79"/>
        <v>11</v>
      </c>
      <c r="C1716" s="182">
        <f t="shared" si="78"/>
        <v>42689</v>
      </c>
      <c r="D1716" s="182" t="s">
        <v>1114</v>
      </c>
      <c r="E1716" s="189">
        <v>42689</v>
      </c>
      <c r="F1716" s="40" t="s">
        <v>1473</v>
      </c>
      <c r="G1716" s="451" t="s">
        <v>1542</v>
      </c>
      <c r="H1716" s="191" t="s">
        <v>1471</v>
      </c>
      <c r="I1716" s="252">
        <v>3900</v>
      </c>
      <c r="J1716" s="252">
        <v>4500</v>
      </c>
      <c r="K1716" s="38">
        <f>ROUND(I1716*J1716,0)</f>
        <v>17550000</v>
      </c>
      <c r="L1716" s="192" t="s">
        <v>258</v>
      </c>
      <c r="M1716" s="192" t="s">
        <v>173</v>
      </c>
      <c r="N1716" s="52" t="str">
        <f>IF(AND('331-CT'!$E$7=TH!H1716,OR(L1716="331",M1716="331")),"331",IF(AND(OR(L1716="131",M1716="131"),H1716='131-CT'!$E$7),"131",""))</f>
        <v/>
      </c>
      <c r="O1716" s="818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52"/>
      <c r="AB1716" s="552"/>
    </row>
    <row r="1717" spans="1:32" s="209" customFormat="1" ht="15.75" customHeight="1">
      <c r="A1717" s="202" t="str">
        <f>IF(B1717&lt;&gt;"",IF(AND(B1717&gt;=_TM1,B1717&lt;=_TM2,OR(TH!L1717="1111",TH!M1717="1111")),TH!D1717,""),"")</f>
        <v/>
      </c>
      <c r="B1717" s="36">
        <f t="shared" si="79"/>
        <v>11</v>
      </c>
      <c r="C1717" s="182">
        <f t="shared" si="78"/>
        <v>42689</v>
      </c>
      <c r="D1717" s="182" t="s">
        <v>1114</v>
      </c>
      <c r="E1717" s="189">
        <v>42689</v>
      </c>
      <c r="F1717" s="40" t="s">
        <v>1254</v>
      </c>
      <c r="G1717" s="451" t="s">
        <v>1542</v>
      </c>
      <c r="H1717" s="191" t="s">
        <v>1471</v>
      </c>
      <c r="I1717" s="252"/>
      <c r="J1717" s="252"/>
      <c r="K1717" s="38">
        <v>1755000</v>
      </c>
      <c r="L1717" s="192" t="s">
        <v>258</v>
      </c>
      <c r="M1717" s="192" t="s">
        <v>367</v>
      </c>
      <c r="N1717" s="52" t="str">
        <f>IF(AND('331-CT'!$E$7=TH!H1717,OR(L1717="331",M1717="331")),"331",IF(AND(OR(L1717="131",M1717="131"),H1717='131-CT'!$E$7),"131",""))</f>
        <v/>
      </c>
      <c r="O1717" s="818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52"/>
      <c r="AB1717" s="552"/>
      <c r="AC1717" s="552"/>
    </row>
    <row r="1718" spans="1:32" s="209" customFormat="1" ht="15.75" customHeight="1">
      <c r="A1718" s="202" t="str">
        <f>IF(B1718&lt;&gt;"",IF(AND(B1718&gt;=_TM1,B1718&lt;=_TM2,OR(TH!L1718="1111",TH!M1718="1111")),TH!D1718,""),"")</f>
        <v>T09</v>
      </c>
      <c r="B1718" s="36">
        <f t="shared" si="79"/>
        <v>11</v>
      </c>
      <c r="C1718" s="182">
        <f t="shared" si="78"/>
        <v>42689</v>
      </c>
      <c r="D1718" s="182" t="s">
        <v>1630</v>
      </c>
      <c r="E1718" s="189">
        <v>42689</v>
      </c>
      <c r="F1718" s="40" t="s">
        <v>1472</v>
      </c>
      <c r="G1718" s="451" t="s">
        <v>1542</v>
      </c>
      <c r="H1718" s="191" t="s">
        <v>1471</v>
      </c>
      <c r="I1718" s="252"/>
      <c r="J1718" s="252"/>
      <c r="K1718" s="38">
        <v>19305000</v>
      </c>
      <c r="L1718" s="192" t="s">
        <v>47</v>
      </c>
      <c r="M1718" s="192" t="s">
        <v>258</v>
      </c>
      <c r="N1718" s="52" t="str">
        <f>IF(AND('331-CT'!$E$7=TH!H1718,OR(L1718="331",M1718="331")),"331",IF(AND(OR(L1718="131",M1718="131"),H1718='131-CT'!$E$7),"131",""))</f>
        <v/>
      </c>
      <c r="O1718" s="818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52"/>
      <c r="AB1718" s="552"/>
      <c r="AC1718" s="552"/>
    </row>
    <row r="1719" spans="1:32" s="209" customFormat="1" ht="15.75" customHeight="1">
      <c r="A1719" s="202" t="str">
        <f>IF(B1719&lt;&gt;"",IF(AND(B1719&gt;=_TM1,B1719&lt;=_TM2,OR(TH!L1719="1111",TH!M1719="1111")),TH!D1719,""),"")</f>
        <v/>
      </c>
      <c r="B1719" s="779">
        <f t="shared" si="79"/>
        <v>11</v>
      </c>
      <c r="C1719" s="780">
        <f t="shared" si="78"/>
        <v>42689</v>
      </c>
      <c r="D1719" s="780" t="s">
        <v>669</v>
      </c>
      <c r="E1719" s="189">
        <v>42689</v>
      </c>
      <c r="F1719" s="789" t="s">
        <v>1617</v>
      </c>
      <c r="G1719" s="782" t="s">
        <v>1287</v>
      </c>
      <c r="H1719" s="886" t="s">
        <v>1517</v>
      </c>
      <c r="I1719" s="785"/>
      <c r="J1719" s="785"/>
      <c r="K1719" s="786">
        <v>470000000</v>
      </c>
      <c r="L1719" s="891" t="s">
        <v>24</v>
      </c>
      <c r="M1719" s="891" t="s">
        <v>755</v>
      </c>
      <c r="N1719" s="52" t="str">
        <f>IF(AND('331-CT'!$E$7=TH!H1719,OR(L1719="331",M1719="331")),"331",IF(AND(OR(L1719="131",M1719="131"),H1719='131-CT'!$E$7),"131",""))</f>
        <v/>
      </c>
      <c r="O1719" s="818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>x</v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92"/>
      <c r="AB1719" s="787"/>
      <c r="AC1719" s="787"/>
      <c r="AD1719" s="788"/>
      <c r="AE1719" s="788"/>
      <c r="AF1719" s="788"/>
    </row>
    <row r="1720" spans="1:32" s="209" customFormat="1" ht="15.75" customHeight="1">
      <c r="A1720" s="202" t="str">
        <f>IF(B1720&lt;&gt;"",IF(AND(B1720&gt;=_TM1,B1720&lt;=_TM2,OR(TH!L1720="1111",TH!M1720="1111")),TH!D1720,""),"")</f>
        <v/>
      </c>
      <c r="B1720" s="779">
        <f t="shared" si="79"/>
        <v>11</v>
      </c>
      <c r="C1720" s="780">
        <f t="shared" si="78"/>
        <v>42689</v>
      </c>
      <c r="D1720" s="780" t="s">
        <v>669</v>
      </c>
      <c r="E1720" s="189">
        <v>42689</v>
      </c>
      <c r="F1720" s="789" t="s">
        <v>1615</v>
      </c>
      <c r="G1720" s="782" t="s">
        <v>1287</v>
      </c>
      <c r="H1720" s="886" t="s">
        <v>1563</v>
      </c>
      <c r="I1720" s="785"/>
      <c r="J1720" s="785"/>
      <c r="K1720" s="786">
        <v>470000000</v>
      </c>
      <c r="L1720" s="891" t="s">
        <v>8</v>
      </c>
      <c r="M1720" s="891" t="s">
        <v>24</v>
      </c>
      <c r="N1720" s="52" t="str">
        <f>IF(AND('331-CT'!$E$7=TH!H1720,OR(L1720="331",M1720="331")),"331",IF(AND(OR(L1720="131",M1720="131"),H1720='131-CT'!$E$7),"131",""))</f>
        <v/>
      </c>
      <c r="O1720" s="818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>x</v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92"/>
      <c r="AB1720" s="787"/>
      <c r="AC1720" s="787"/>
      <c r="AD1720" s="788"/>
      <c r="AE1720" s="788"/>
      <c r="AF1720" s="788"/>
    </row>
    <row r="1721" spans="1:32" s="209" customFormat="1" ht="15.75" customHeight="1">
      <c r="A1721" s="202" t="str">
        <f>IF(B1721&lt;&gt;"",IF(AND(B1721&gt;=_TM1,B1721&lt;=_TM2,OR(TH!L1721="1111",TH!M1721="1111")),TH!D1721,""),"")</f>
        <v/>
      </c>
      <c r="B1721" s="36">
        <f t="shared" si="79"/>
        <v>11</v>
      </c>
      <c r="C1721" s="182">
        <f t="shared" si="78"/>
        <v>42690</v>
      </c>
      <c r="D1721" s="182" t="s">
        <v>669</v>
      </c>
      <c r="E1721" s="189">
        <v>42690</v>
      </c>
      <c r="F1721" s="187" t="s">
        <v>1462</v>
      </c>
      <c r="G1721" s="190" t="s">
        <v>1287</v>
      </c>
      <c r="H1721" s="191"/>
      <c r="I1721" s="251"/>
      <c r="J1721" s="251"/>
      <c r="K1721" s="560">
        <v>40000</v>
      </c>
      <c r="L1721" s="561" t="s">
        <v>83</v>
      </c>
      <c r="M1721" s="561" t="s">
        <v>24</v>
      </c>
      <c r="N1721" s="52" t="str">
        <f>IF(AND('331-CT'!$E$7=TH!H1721,OR(L1721="331",M1721="331")),"331",IF(AND(OR(L1721="131",M1721="131"),H1721='131-CT'!$E$7),"131",""))</f>
        <v/>
      </c>
      <c r="O1721" s="818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>x</v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>x</v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53">
        <v>4</v>
      </c>
      <c r="AB1721" s="552"/>
      <c r="AC1721" s="552"/>
    </row>
    <row r="1722" spans="1:32" s="209" customFormat="1" ht="15.75" customHeight="1">
      <c r="A1722" s="202" t="str">
        <f>IF(B1722&lt;&gt;"",IF(AND(B1722&gt;=_TM1,B1722&lt;=_TM2,OR(TH!L1722="1111",TH!M1722="1111")),TH!D1722,""),"")</f>
        <v/>
      </c>
      <c r="B1722" s="36">
        <f t="shared" si="79"/>
        <v>11</v>
      </c>
      <c r="C1722" s="182">
        <f t="shared" si="78"/>
        <v>42690</v>
      </c>
      <c r="D1722" s="182" t="s">
        <v>669</v>
      </c>
      <c r="E1722" s="189">
        <v>42690</v>
      </c>
      <c r="F1722" s="187" t="s">
        <v>1463</v>
      </c>
      <c r="G1722" s="190" t="s">
        <v>1287</v>
      </c>
      <c r="H1722" s="191"/>
      <c r="I1722" s="251"/>
      <c r="J1722" s="251"/>
      <c r="K1722" s="560">
        <v>4000</v>
      </c>
      <c r="L1722" s="192" t="s">
        <v>9</v>
      </c>
      <c r="M1722" s="561" t="s">
        <v>24</v>
      </c>
      <c r="N1722" s="52" t="str">
        <f>IF(AND('331-CT'!$E$7=TH!H1722,OR(L1722="331",M1722="331")),"331",IF(AND(OR(L1722="131",M1722="131"),H1722='131-CT'!$E$7),"131",""))</f>
        <v/>
      </c>
      <c r="O1722" s="818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>x</v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53">
        <v>4</v>
      </c>
      <c r="AB1722" s="552"/>
    </row>
    <row r="1723" spans="1:32" s="209" customFormat="1" ht="15.75" customHeight="1">
      <c r="A1723" s="202" t="str">
        <f>IF(B1723&lt;&gt;"",IF(AND(B1723&gt;=_TM1,B1723&lt;=_TM2,OR(TH!L1723="1111",TH!M1723="1111")),TH!D1723,""),"")</f>
        <v/>
      </c>
      <c r="B1723" s="36">
        <f t="shared" si="79"/>
        <v>11</v>
      </c>
      <c r="C1723" s="182">
        <f t="shared" si="78"/>
        <v>42690</v>
      </c>
      <c r="D1723" s="182" t="s">
        <v>1115</v>
      </c>
      <c r="E1723" s="189">
        <v>42690</v>
      </c>
      <c r="F1723" s="901" t="s">
        <v>1447</v>
      </c>
      <c r="G1723" s="451" t="s">
        <v>1390</v>
      </c>
      <c r="H1723" s="7" t="s">
        <v>615</v>
      </c>
      <c r="I1723" s="252">
        <v>200</v>
      </c>
      <c r="J1723" s="252">
        <v>12000</v>
      </c>
      <c r="K1723" s="38">
        <f>ROUND(I1723*J1723,0)</f>
        <v>2400000</v>
      </c>
      <c r="L1723" s="192" t="s">
        <v>258</v>
      </c>
      <c r="M1723" s="192" t="s">
        <v>173</v>
      </c>
      <c r="N1723" s="52" t="str">
        <f>IF(AND('331-CT'!$E$7=TH!H1723,OR(L1723="331",M1723="331")),"331",IF(AND(OR(L1723="131",M1723="131"),H1723='131-CT'!$E$7),"131",""))</f>
        <v/>
      </c>
      <c r="O1723" s="818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52"/>
      <c r="AB1723" s="552"/>
      <c r="AC1723" s="552"/>
    </row>
    <row r="1724" spans="1:32" s="209" customFormat="1" ht="15.75" customHeight="1">
      <c r="A1724" s="202" t="str">
        <f>IF(B1724&lt;&gt;"",IF(AND(B1724&gt;=_TM1,B1724&lt;=_TM2,OR(TH!L1724="1111",TH!M1724="1111")),TH!D1724,""),"")</f>
        <v/>
      </c>
      <c r="B1724" s="36">
        <f t="shared" si="79"/>
        <v>11</v>
      </c>
      <c r="C1724" s="182">
        <f t="shared" si="78"/>
        <v>42690</v>
      </c>
      <c r="D1724" s="182" t="s">
        <v>1115</v>
      </c>
      <c r="E1724" s="189">
        <v>42690</v>
      </c>
      <c r="F1724" s="40" t="s">
        <v>1254</v>
      </c>
      <c r="G1724" s="451" t="s">
        <v>1390</v>
      </c>
      <c r="H1724" s="7" t="s">
        <v>615</v>
      </c>
      <c r="I1724" s="252"/>
      <c r="J1724" s="252"/>
      <c r="K1724" s="38">
        <v>240000</v>
      </c>
      <c r="L1724" s="192" t="s">
        <v>258</v>
      </c>
      <c r="M1724" s="192" t="s">
        <v>367</v>
      </c>
      <c r="N1724" s="52" t="str">
        <f>IF(AND('331-CT'!$E$7=TH!H1724,OR(L1724="331",M1724="331")),"331",IF(AND(OR(L1724="131",M1724="131"),H1724='131-CT'!$E$7),"131",""))</f>
        <v/>
      </c>
      <c r="O1724" s="818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52"/>
      <c r="AB1724" s="552"/>
    </row>
    <row r="1725" spans="1:32" s="209" customFormat="1" ht="15.75" customHeight="1">
      <c r="A1725" s="202" t="str">
        <f>IF(B1725&lt;&gt;"",IF(AND(B1725&gt;=_TM1,B1725&lt;=_TM2,OR(TH!L1725="1111",TH!M1725="1111")),TH!D1725,""),"")</f>
        <v/>
      </c>
      <c r="B1725" s="36">
        <f t="shared" si="79"/>
        <v>11</v>
      </c>
      <c r="C1725" s="182">
        <f t="shared" si="78"/>
        <v>42691</v>
      </c>
      <c r="D1725" s="182" t="s">
        <v>1116</v>
      </c>
      <c r="E1725" s="189">
        <v>42691</v>
      </c>
      <c r="F1725" s="40" t="s">
        <v>1392</v>
      </c>
      <c r="G1725" s="451" t="s">
        <v>1391</v>
      </c>
      <c r="H1725" s="191" t="s">
        <v>1395</v>
      </c>
      <c r="I1725" s="252">
        <v>509</v>
      </c>
      <c r="J1725" s="252">
        <v>9409</v>
      </c>
      <c r="K1725" s="38">
        <f>ROUND(I1725*J1725,0)</f>
        <v>4789181</v>
      </c>
      <c r="L1725" s="192" t="s">
        <v>258</v>
      </c>
      <c r="M1725" s="192" t="s">
        <v>173</v>
      </c>
      <c r="N1725" s="52" t="str">
        <f>IF(AND('331-CT'!$E$7=TH!H1725,OR(L1725="331",M1725="331")),"331",IF(AND(OR(L1725="131",M1725="131"),H1725='131-CT'!$E$7),"131",""))</f>
        <v/>
      </c>
      <c r="O1725" s="818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52"/>
      <c r="AB1725" s="552"/>
      <c r="AC1725" s="552"/>
    </row>
    <row r="1726" spans="1:32" s="209" customFormat="1" ht="15.75" customHeight="1">
      <c r="A1726" s="202" t="str">
        <f>IF(B1726&lt;&gt;"",IF(AND(B1726&gt;=_TM1,B1726&lt;=_TM2,OR(TH!L1726="1111",TH!M1726="1111")),TH!D1726,""),"")</f>
        <v/>
      </c>
      <c r="B1726" s="36">
        <f t="shared" si="79"/>
        <v>11</v>
      </c>
      <c r="C1726" s="182">
        <f t="shared" si="78"/>
        <v>42691</v>
      </c>
      <c r="D1726" s="182" t="s">
        <v>1116</v>
      </c>
      <c r="E1726" s="189">
        <v>42691</v>
      </c>
      <c r="F1726" s="40" t="s">
        <v>1393</v>
      </c>
      <c r="G1726" s="451" t="s">
        <v>1391</v>
      </c>
      <c r="H1726" s="191" t="s">
        <v>1395</v>
      </c>
      <c r="I1726" s="252">
        <v>208</v>
      </c>
      <c r="J1726" s="252">
        <v>10409</v>
      </c>
      <c r="K1726" s="38">
        <f>ROUND(I1726*J1726,0)</f>
        <v>2165072</v>
      </c>
      <c r="L1726" s="192" t="s">
        <v>258</v>
      </c>
      <c r="M1726" s="192" t="s">
        <v>173</v>
      </c>
      <c r="N1726" s="52" t="str">
        <f>IF(AND('331-CT'!$E$7=TH!H1726,OR(L1726="331",M1726="331")),"331",IF(AND(OR(L1726="131",M1726="131"),H1726='131-CT'!$E$7),"131",""))</f>
        <v/>
      </c>
      <c r="O1726" s="818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52"/>
      <c r="AB1726" s="552"/>
    </row>
    <row r="1727" spans="1:32" s="209" customFormat="1" ht="15.75" customHeight="1">
      <c r="A1727" s="202" t="str">
        <f>IF(B1727&lt;&gt;"",IF(AND(B1727&gt;=_TM1,B1727&lt;=_TM2,OR(TH!L1727="1111",TH!M1727="1111")),TH!D1727,""),"")</f>
        <v/>
      </c>
      <c r="B1727" s="36">
        <f t="shared" si="79"/>
        <v>11</v>
      </c>
      <c r="C1727" s="182">
        <f t="shared" si="78"/>
        <v>42691</v>
      </c>
      <c r="D1727" s="182" t="s">
        <v>1116</v>
      </c>
      <c r="E1727" s="189">
        <v>42691</v>
      </c>
      <c r="F1727" s="40" t="s">
        <v>1394</v>
      </c>
      <c r="G1727" s="451" t="s">
        <v>1391</v>
      </c>
      <c r="H1727" s="191" t="s">
        <v>1395</v>
      </c>
      <c r="I1727" s="252">
        <v>205</v>
      </c>
      <c r="J1727" s="252">
        <v>11400</v>
      </c>
      <c r="K1727" s="38">
        <f>ROUND(I1727*J1727,0)</f>
        <v>2337000</v>
      </c>
      <c r="L1727" s="192" t="s">
        <v>258</v>
      </c>
      <c r="M1727" s="192" t="s">
        <v>173</v>
      </c>
      <c r="N1727" s="52" t="str">
        <f>IF(AND('331-CT'!$E$7=TH!H1727,OR(L1727="331",M1727="331")),"331",IF(AND(OR(L1727="131",M1727="131"),H1727='131-CT'!$E$7),"131",""))</f>
        <v/>
      </c>
      <c r="O1727" s="818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52"/>
      <c r="AB1727" s="552"/>
      <c r="AC1727" s="552"/>
    </row>
    <row r="1728" spans="1:32" s="209" customFormat="1" ht="15.75" customHeight="1">
      <c r="A1728" s="202" t="str">
        <f>IF(B1728&lt;&gt;"",IF(AND(B1728&gt;=_TM1,B1728&lt;=_TM2,OR(TH!L1728="1111",TH!M1728="1111")),TH!D1728,""),"")</f>
        <v/>
      </c>
      <c r="B1728" s="36">
        <f t="shared" si="79"/>
        <v>11</v>
      </c>
      <c r="C1728" s="182">
        <f t="shared" si="78"/>
        <v>42691</v>
      </c>
      <c r="D1728" s="182" t="s">
        <v>1116</v>
      </c>
      <c r="E1728" s="189">
        <v>42691</v>
      </c>
      <c r="F1728" s="40" t="s">
        <v>1254</v>
      </c>
      <c r="G1728" s="451" t="s">
        <v>1391</v>
      </c>
      <c r="H1728" s="191" t="s">
        <v>1395</v>
      </c>
      <c r="I1728" s="252"/>
      <c r="J1728" s="252"/>
      <c r="K1728" s="38">
        <v>929125</v>
      </c>
      <c r="L1728" s="192" t="s">
        <v>258</v>
      </c>
      <c r="M1728" s="192" t="s">
        <v>367</v>
      </c>
      <c r="N1728" s="52" t="str">
        <f>IF(AND('331-CT'!$E$7=TH!H1728,OR(L1728="331",M1728="331")),"331",IF(AND(OR(L1728="131",M1728="131"),H1728='131-CT'!$E$7),"131",""))</f>
        <v/>
      </c>
      <c r="O1728" s="818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52"/>
      <c r="AB1728" s="552"/>
      <c r="AC1728" s="552"/>
    </row>
    <row r="1729" spans="1:29" s="209" customFormat="1" ht="15.75" customHeight="1">
      <c r="A1729" s="202" t="str">
        <f>IF(B1729&lt;&gt;"",IF(AND(B1729&gt;=_TM1,B1729&lt;=_TM2,OR(TH!L1729="1111",TH!M1729="1111")),TH!D1729,""),"")</f>
        <v/>
      </c>
      <c r="B1729" s="36">
        <f t="shared" si="79"/>
        <v>11</v>
      </c>
      <c r="C1729" s="182">
        <f t="shared" si="78"/>
        <v>42692</v>
      </c>
      <c r="D1729" s="182" t="s">
        <v>1117</v>
      </c>
      <c r="E1729" s="189">
        <v>42692</v>
      </c>
      <c r="F1729" s="40" t="s">
        <v>532</v>
      </c>
      <c r="G1729" s="451" t="s">
        <v>1396</v>
      </c>
      <c r="H1729" s="7" t="s">
        <v>788</v>
      </c>
      <c r="I1729" s="252">
        <v>500</v>
      </c>
      <c r="J1729" s="252">
        <v>12950</v>
      </c>
      <c r="K1729" s="38">
        <f>ROUND(I1729*J1729,0)</f>
        <v>6475000</v>
      </c>
      <c r="L1729" s="192" t="s">
        <v>258</v>
      </c>
      <c r="M1729" s="192" t="s">
        <v>173</v>
      </c>
      <c r="N1729" s="52" t="str">
        <f>IF(AND('331-CT'!$E$7=TH!H1729,OR(L1729="331",M1729="331")),"331",IF(AND(OR(L1729="131",M1729="131"),H1729='131-CT'!$E$7),"131",""))</f>
        <v/>
      </c>
      <c r="O1729" s="818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52"/>
      <c r="AB1729" s="552"/>
      <c r="AC1729" s="552"/>
    </row>
    <row r="1730" spans="1:29" s="209" customFormat="1" ht="15.75" customHeight="1">
      <c r="A1730" s="202" t="str">
        <f>IF(B1730&lt;&gt;"",IF(AND(B1730&gt;=_TM1,B1730&lt;=_TM2,OR(TH!L1730="1111",TH!M1730="1111")),TH!D1730,""),"")</f>
        <v/>
      </c>
      <c r="B1730" s="36">
        <f t="shared" si="79"/>
        <v>11</v>
      </c>
      <c r="C1730" s="182">
        <f t="shared" si="78"/>
        <v>42692</v>
      </c>
      <c r="D1730" s="182" t="s">
        <v>1117</v>
      </c>
      <c r="E1730" s="189">
        <v>42692</v>
      </c>
      <c r="F1730" s="40" t="s">
        <v>1254</v>
      </c>
      <c r="G1730" s="451" t="s">
        <v>1396</v>
      </c>
      <c r="H1730" s="7" t="s">
        <v>788</v>
      </c>
      <c r="I1730" s="252"/>
      <c r="J1730" s="252"/>
      <c r="K1730" s="38">
        <v>647500</v>
      </c>
      <c r="L1730" s="192" t="s">
        <v>258</v>
      </c>
      <c r="M1730" s="192" t="s">
        <v>367</v>
      </c>
      <c r="N1730" s="52" t="str">
        <f>IF(AND('331-CT'!$E$7=TH!H1730,OR(L1730="331",M1730="331")),"331",IF(AND(OR(L1730="131",M1730="131"),H1730='131-CT'!$E$7),"131",""))</f>
        <v/>
      </c>
      <c r="O1730" s="818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52"/>
      <c r="AB1730" s="552"/>
    </row>
    <row r="1731" spans="1:29" s="209" customFormat="1" ht="15.75" customHeight="1">
      <c r="A1731" s="202" t="str">
        <f>IF(B1731&lt;&gt;"",IF(AND(B1731&gt;=_TM1,B1731&lt;=_TM2,OR(TH!L1731="1111",TH!M1731="1111")),TH!D1731,""),"")</f>
        <v/>
      </c>
      <c r="B1731" s="36">
        <f t="shared" si="79"/>
        <v>11</v>
      </c>
      <c r="C1731" s="182">
        <f t="shared" si="78"/>
        <v>42693</v>
      </c>
      <c r="D1731" s="182" t="s">
        <v>665</v>
      </c>
      <c r="E1731" s="189">
        <v>42693</v>
      </c>
      <c r="F1731" s="190" t="s">
        <v>666</v>
      </c>
      <c r="G1731" s="190" t="s">
        <v>330</v>
      </c>
      <c r="H1731" s="7" t="s">
        <v>391</v>
      </c>
      <c r="I1731" s="251"/>
      <c r="J1731" s="251"/>
      <c r="K1731" s="560">
        <v>15470730</v>
      </c>
      <c r="L1731" s="192" t="s">
        <v>24</v>
      </c>
      <c r="M1731" s="192" t="s">
        <v>258</v>
      </c>
      <c r="N1731" s="52" t="str">
        <f>IF(AND('331-CT'!$E$7=TH!H1731,OR(L1731="331",M1731="331")),"331",IF(AND(OR(L1731="131",M1731="131"),H1731='131-CT'!$E$7),"131",""))</f>
        <v/>
      </c>
      <c r="O1731" s="818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53"/>
      <c r="AB1731" s="552"/>
    </row>
    <row r="1732" spans="1:29" s="209" customFormat="1" ht="15.75" customHeight="1">
      <c r="A1732" s="202" t="str">
        <f>IF(B1732&lt;&gt;"",IF(AND(B1732&gt;=_TM1,B1732&lt;=_TM2,OR(TH!L1732="1111",TH!M1732="1111")),TH!D1732,""),"")</f>
        <v/>
      </c>
      <c r="B1732" s="36">
        <f t="shared" si="79"/>
        <v>11</v>
      </c>
      <c r="C1732" s="182">
        <f t="shared" si="78"/>
        <v>42693</v>
      </c>
      <c r="D1732" s="182" t="s">
        <v>669</v>
      </c>
      <c r="E1732" s="189">
        <v>42693</v>
      </c>
      <c r="F1732" s="190" t="s">
        <v>671</v>
      </c>
      <c r="G1732" s="190" t="s">
        <v>330</v>
      </c>
      <c r="H1732" s="7" t="s">
        <v>855</v>
      </c>
      <c r="I1732" s="251"/>
      <c r="J1732" s="251"/>
      <c r="K1732" s="560">
        <v>15000000</v>
      </c>
      <c r="L1732" s="192" t="s">
        <v>8</v>
      </c>
      <c r="M1732" s="561" t="s">
        <v>24</v>
      </c>
      <c r="N1732" s="52" t="str">
        <f>IF(AND('331-CT'!$E$7=TH!H1732,OR(L1732="331",M1732="331")),"331",IF(AND(OR(L1732="131",M1732="131"),H1732='131-CT'!$E$7),"131",""))</f>
        <v/>
      </c>
      <c r="O1732" s="818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53"/>
      <c r="AB1732" s="552"/>
      <c r="AC1732" s="552"/>
    </row>
    <row r="1733" spans="1:29" s="209" customFormat="1" ht="15.75" customHeight="1">
      <c r="A1733" s="202" t="str">
        <f>IF(B1733&lt;&gt;"",IF(AND(B1733&gt;=_TM1,B1733&lt;=_TM2,OR(TH!L1733="1111",TH!M1733="1111")),TH!D1733,""),"")</f>
        <v/>
      </c>
      <c r="B1733" s="36">
        <f t="shared" si="79"/>
        <v>11</v>
      </c>
      <c r="C1733" s="182">
        <f t="shared" ref="C1733:C1796" si="80">E1733</f>
        <v>42693</v>
      </c>
      <c r="D1733" s="182" t="s">
        <v>669</v>
      </c>
      <c r="E1733" s="189">
        <v>42693</v>
      </c>
      <c r="F1733" s="190" t="s">
        <v>674</v>
      </c>
      <c r="G1733" s="190" t="s">
        <v>330</v>
      </c>
      <c r="H1733" s="7"/>
      <c r="I1733" s="251"/>
      <c r="J1733" s="251"/>
      <c r="K1733" s="560">
        <v>13636</v>
      </c>
      <c r="L1733" s="561" t="s">
        <v>83</v>
      </c>
      <c r="M1733" s="561" t="s">
        <v>24</v>
      </c>
      <c r="N1733" s="52" t="str">
        <f>IF(AND('331-CT'!$E$7=TH!H1733,OR(L1733="331",M1733="331")),"331",IF(AND(OR(L1733="131",M1733="131"),H1733='131-CT'!$E$7),"131",""))</f>
        <v/>
      </c>
      <c r="O1733" s="818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>x</v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52">
        <v>4</v>
      </c>
      <c r="AB1733" s="552"/>
    </row>
    <row r="1734" spans="1:29" s="209" customFormat="1" ht="15.75" customHeight="1">
      <c r="A1734" s="202" t="str">
        <f>IF(B1734&lt;&gt;"",IF(AND(B1734&gt;=_TM1,B1734&lt;=_TM2,OR(TH!L1734="1111",TH!M1734="1111")),TH!D1734,""),"")</f>
        <v/>
      </c>
      <c r="B1734" s="36">
        <f t="shared" si="79"/>
        <v>11</v>
      </c>
      <c r="C1734" s="182">
        <f t="shared" si="80"/>
        <v>42693</v>
      </c>
      <c r="D1734" s="182" t="s">
        <v>669</v>
      </c>
      <c r="E1734" s="189">
        <v>42693</v>
      </c>
      <c r="F1734" s="190" t="s">
        <v>794</v>
      </c>
      <c r="G1734" s="190" t="s">
        <v>330</v>
      </c>
      <c r="H1734" s="191"/>
      <c r="I1734" s="251"/>
      <c r="J1734" s="251"/>
      <c r="K1734" s="560">
        <v>1364</v>
      </c>
      <c r="L1734" s="192" t="s">
        <v>9</v>
      </c>
      <c r="M1734" s="561" t="s">
        <v>24</v>
      </c>
      <c r="N1734" s="52" t="str">
        <f>IF(AND('331-CT'!$E$7=TH!H1734,OR(L1734="331",M1734="331")),"331",IF(AND(OR(L1734="131",M1734="131"),H1734='131-CT'!$E$7),"131",""))</f>
        <v/>
      </c>
      <c r="O1734" s="818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52">
        <v>4</v>
      </c>
      <c r="AB1734" s="552"/>
      <c r="AC1734" s="552"/>
    </row>
    <row r="1735" spans="1:29" s="209" customFormat="1" ht="15.75" customHeight="1">
      <c r="A1735" s="202" t="str">
        <f>IF(B1735&lt;&gt;"",IF(AND(B1735&gt;=_TM1,B1735&lt;=_TM2,OR(TH!L1735="1111",TH!M1735="1111")),TH!D1735,""),"")</f>
        <v>C12</v>
      </c>
      <c r="B1735" s="36">
        <f t="shared" si="79"/>
        <v>11</v>
      </c>
      <c r="C1735" s="182">
        <f t="shared" si="80"/>
        <v>42695</v>
      </c>
      <c r="D1735" s="182" t="s">
        <v>1643</v>
      </c>
      <c r="E1735" s="189">
        <v>42695</v>
      </c>
      <c r="F1735" s="190" t="s">
        <v>754</v>
      </c>
      <c r="G1735" s="190" t="s">
        <v>330</v>
      </c>
      <c r="H1735" s="7" t="s">
        <v>1282</v>
      </c>
      <c r="I1735" s="251"/>
      <c r="J1735" s="251"/>
      <c r="K1735" s="560">
        <v>9000000</v>
      </c>
      <c r="L1735" s="192" t="s">
        <v>24</v>
      </c>
      <c r="M1735" s="192" t="s">
        <v>47</v>
      </c>
      <c r="N1735" s="52" t="str">
        <f>IF(AND('331-CT'!$E$7=TH!H1735,OR(L1735="331",M1735="331")),"331",IF(AND(OR(L1735="131",M1735="131"),H1735='131-CT'!$E$7),"131",""))</f>
        <v/>
      </c>
      <c r="O1735" s="818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53"/>
      <c r="AB1735" s="552"/>
    </row>
    <row r="1736" spans="1:29" s="209" customFormat="1" ht="15.75" customHeight="1">
      <c r="A1736" s="202" t="str">
        <f>IF(B1736&lt;&gt;"",IF(AND(B1736&gt;=_TM1,B1736&lt;=_TM2,OR(TH!L1736="1111",TH!M1736="1111")),TH!D1736,""),"")</f>
        <v/>
      </c>
      <c r="B1736" s="36">
        <f t="shared" si="79"/>
        <v>11</v>
      </c>
      <c r="C1736" s="182">
        <f t="shared" si="80"/>
        <v>42695</v>
      </c>
      <c r="D1736" s="182" t="s">
        <v>669</v>
      </c>
      <c r="E1736" s="189">
        <v>42695</v>
      </c>
      <c r="F1736" s="190" t="s">
        <v>671</v>
      </c>
      <c r="G1736" s="190" t="s">
        <v>330</v>
      </c>
      <c r="H1736" s="7" t="s">
        <v>829</v>
      </c>
      <c r="I1736" s="251"/>
      <c r="J1736" s="251"/>
      <c r="K1736" s="560">
        <v>10000000</v>
      </c>
      <c r="L1736" s="192" t="s">
        <v>8</v>
      </c>
      <c r="M1736" s="561" t="s">
        <v>24</v>
      </c>
      <c r="N1736" s="52" t="str">
        <f>IF(AND('331-CT'!$E$7=TH!H1736,OR(L1736="331",M1736="331")),"331",IF(AND(OR(L1736="131",M1736="131"),H1736='131-CT'!$E$7),"131",""))</f>
        <v/>
      </c>
      <c r="O1736" s="818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53"/>
      <c r="AB1736" s="552"/>
    </row>
    <row r="1737" spans="1:29" s="209" customFormat="1" ht="15.75" customHeight="1">
      <c r="A1737" s="202" t="str">
        <f>IF(B1737&lt;&gt;"",IF(AND(B1737&gt;=_TM1,B1737&lt;=_TM2,OR(TH!L1737="1111",TH!M1737="1111")),TH!D1737,""),"")</f>
        <v/>
      </c>
      <c r="B1737" s="36">
        <f t="shared" si="79"/>
        <v>11</v>
      </c>
      <c r="C1737" s="182">
        <f t="shared" si="80"/>
        <v>42695</v>
      </c>
      <c r="D1737" s="182" t="s">
        <v>669</v>
      </c>
      <c r="E1737" s="189">
        <v>42695</v>
      </c>
      <c r="F1737" s="187" t="s">
        <v>672</v>
      </c>
      <c r="G1737" s="190" t="s">
        <v>330</v>
      </c>
      <c r="H1737" s="191"/>
      <c r="I1737" s="251"/>
      <c r="J1737" s="251"/>
      <c r="K1737" s="560">
        <v>13636</v>
      </c>
      <c r="L1737" s="561" t="s">
        <v>83</v>
      </c>
      <c r="M1737" s="561" t="s">
        <v>24</v>
      </c>
      <c r="N1737" s="52" t="str">
        <f>IF(AND('331-CT'!$E$7=TH!H1737,OR(L1737="331",M1737="331")),"331",IF(AND(OR(L1737="131",M1737="131"),H1737='131-CT'!$E$7),"131",""))</f>
        <v/>
      </c>
      <c r="O1737" s="818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>x</v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52">
        <v>4</v>
      </c>
      <c r="AB1737" s="552"/>
      <c r="AC1737" s="552"/>
    </row>
    <row r="1738" spans="1:29" s="209" customFormat="1" ht="15.75" customHeight="1">
      <c r="A1738" s="202" t="str">
        <f>IF(B1738&lt;&gt;"",IF(AND(B1738&gt;=_TM1,B1738&lt;=_TM2,OR(TH!L1738="1111",TH!M1738="1111")),TH!D1738,""),"")</f>
        <v/>
      </c>
      <c r="B1738" s="36">
        <f t="shared" si="79"/>
        <v>11</v>
      </c>
      <c r="C1738" s="182">
        <f t="shared" si="80"/>
        <v>42695</v>
      </c>
      <c r="D1738" s="182" t="s">
        <v>669</v>
      </c>
      <c r="E1738" s="189">
        <v>42695</v>
      </c>
      <c r="F1738" s="187" t="s">
        <v>762</v>
      </c>
      <c r="G1738" s="190" t="s">
        <v>330</v>
      </c>
      <c r="H1738" s="7"/>
      <c r="I1738" s="251"/>
      <c r="J1738" s="251"/>
      <c r="K1738" s="560">
        <v>1364</v>
      </c>
      <c r="L1738" s="192" t="s">
        <v>9</v>
      </c>
      <c r="M1738" s="561" t="s">
        <v>24</v>
      </c>
      <c r="N1738" s="52" t="str">
        <f>IF(AND('331-CT'!$E$7=TH!H1738,OR(L1738="331",M1738="331")),"331",IF(AND(OR(L1738="131",M1738="131"),H1738='131-CT'!$E$7),"131",""))</f>
        <v/>
      </c>
      <c r="O1738" s="818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52">
        <v>4</v>
      </c>
      <c r="AB1738" s="552"/>
    </row>
    <row r="1739" spans="1:29" s="209" customFormat="1" ht="15.75" customHeight="1">
      <c r="A1739" s="202" t="str">
        <f>IF(B1739&lt;&gt;"",IF(AND(B1739&gt;=_TM1,B1739&lt;=_TM2,OR(TH!L1739="1111",TH!M1739="1111")),TH!D1739,""),"")</f>
        <v>C13</v>
      </c>
      <c r="B1739" s="36">
        <f t="shared" si="79"/>
        <v>11</v>
      </c>
      <c r="C1739" s="182">
        <f t="shared" si="80"/>
        <v>42695</v>
      </c>
      <c r="D1739" s="182" t="s">
        <v>1644</v>
      </c>
      <c r="E1739" s="189">
        <v>42695</v>
      </c>
      <c r="F1739" s="187" t="s">
        <v>754</v>
      </c>
      <c r="G1739" s="190" t="s">
        <v>1287</v>
      </c>
      <c r="H1739" s="191" t="s">
        <v>675</v>
      </c>
      <c r="I1739" s="251"/>
      <c r="J1739" s="251"/>
      <c r="K1739" s="560">
        <v>15800000</v>
      </c>
      <c r="L1739" s="561" t="s">
        <v>24</v>
      </c>
      <c r="M1739" s="561" t="s">
        <v>47</v>
      </c>
      <c r="N1739" s="52" t="str">
        <f>IF(AND('331-CT'!$E$7=TH!H1739,OR(L1739="331",M1739="331")),"331",IF(AND(OR(L1739="131",M1739="131"),H1739='131-CT'!$E$7),"131",""))</f>
        <v/>
      </c>
      <c r="O1739" s="818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>x</v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53"/>
      <c r="AB1739" s="552"/>
      <c r="AC1739" s="552"/>
    </row>
    <row r="1740" spans="1:29" s="209" customFormat="1" ht="15.75" customHeight="1">
      <c r="A1740" s="202" t="str">
        <f>IF(B1740&lt;&gt;"",IF(AND(B1740&gt;=_TM1,B1740&lt;=_TM2,OR(TH!L1740="1111",TH!M1740="1111")),TH!D1740,""),"")</f>
        <v/>
      </c>
      <c r="B1740" s="36">
        <f t="shared" si="79"/>
        <v>11</v>
      </c>
      <c r="C1740" s="182">
        <f t="shared" si="80"/>
        <v>42695</v>
      </c>
      <c r="D1740" s="182" t="s">
        <v>669</v>
      </c>
      <c r="E1740" s="189">
        <v>42695</v>
      </c>
      <c r="F1740" s="190" t="s">
        <v>1296</v>
      </c>
      <c r="G1740" s="190" t="s">
        <v>1287</v>
      </c>
      <c r="H1740" s="191" t="s">
        <v>1291</v>
      </c>
      <c r="I1740" s="251"/>
      <c r="J1740" s="251"/>
      <c r="K1740" s="560">
        <v>12090000</v>
      </c>
      <c r="L1740" s="561" t="s">
        <v>81</v>
      </c>
      <c r="M1740" s="561" t="s">
        <v>24</v>
      </c>
      <c r="N1740" s="52" t="str">
        <f>IF(AND('331-CT'!$E$7=TH!H1740,OR(L1740="331",M1740="331")),"331",IF(AND(OR(L1740="131",M1740="131"),H1740='131-CT'!$E$7),"131",""))</f>
        <v/>
      </c>
      <c r="O1740" s="818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>x</v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53"/>
      <c r="AB1740" s="552"/>
    </row>
    <row r="1741" spans="1:29" s="209" customFormat="1" ht="15.75" customHeight="1">
      <c r="A1741" s="202" t="str">
        <f>IF(B1741&lt;&gt;"",IF(AND(B1741&gt;=_TM1,B1741&lt;=_TM2,OR(TH!L1741="1111",TH!M1741="1111")),TH!D1741,""),"")</f>
        <v/>
      </c>
      <c r="B1741" s="36">
        <f t="shared" si="79"/>
        <v>11</v>
      </c>
      <c r="C1741" s="182">
        <f t="shared" si="80"/>
        <v>42695</v>
      </c>
      <c r="D1741" s="182" t="s">
        <v>669</v>
      </c>
      <c r="E1741" s="189">
        <v>42695</v>
      </c>
      <c r="F1741" s="190" t="s">
        <v>1296</v>
      </c>
      <c r="G1741" s="190" t="s">
        <v>1287</v>
      </c>
      <c r="H1741" s="191" t="s">
        <v>1294</v>
      </c>
      <c r="I1741" s="251"/>
      <c r="J1741" s="251"/>
      <c r="K1741" s="560">
        <v>1119444</v>
      </c>
      <c r="L1741" s="561" t="s">
        <v>81</v>
      </c>
      <c r="M1741" s="561" t="s">
        <v>24</v>
      </c>
      <c r="N1741" s="52" t="str">
        <f>IF(AND('331-CT'!$E$7=TH!H1741,OR(L1741="331",M1741="331")),"331",IF(AND(OR(L1741="131",M1741="131"),H1741='131-CT'!$E$7),"131",""))</f>
        <v/>
      </c>
      <c r="O1741" s="818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>x</v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53"/>
      <c r="AB1741" s="552"/>
      <c r="AC1741" s="552"/>
    </row>
    <row r="1742" spans="1:29" s="209" customFormat="1" ht="15.75" customHeight="1">
      <c r="A1742" s="202" t="str">
        <f>IF(B1742&lt;&gt;"",IF(AND(B1742&gt;=_TM1,B1742&lt;=_TM2,OR(TH!L1742="1111",TH!M1742="1111")),TH!D1742,""),"")</f>
        <v/>
      </c>
      <c r="B1742" s="36">
        <f t="shared" si="79"/>
        <v>11</v>
      </c>
      <c r="C1742" s="182">
        <f t="shared" si="80"/>
        <v>42695</v>
      </c>
      <c r="D1742" s="182" t="s">
        <v>669</v>
      </c>
      <c r="E1742" s="189">
        <v>42695</v>
      </c>
      <c r="F1742" s="190" t="s">
        <v>1296</v>
      </c>
      <c r="G1742" s="190" t="s">
        <v>1287</v>
      </c>
      <c r="H1742" s="191" t="s">
        <v>1295</v>
      </c>
      <c r="I1742" s="251"/>
      <c r="J1742" s="251"/>
      <c r="K1742" s="560">
        <v>605668</v>
      </c>
      <c r="L1742" s="561" t="s">
        <v>81</v>
      </c>
      <c r="M1742" s="561" t="s">
        <v>24</v>
      </c>
      <c r="N1742" s="52" t="str">
        <f>IF(AND('331-CT'!$E$7=TH!H1742,OR(L1742="331",M1742="331")),"331",IF(AND(OR(L1742="131",M1742="131"),H1742='131-CT'!$E$7),"131",""))</f>
        <v/>
      </c>
      <c r="O1742" s="818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>x</v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53"/>
      <c r="AB1742" s="552"/>
      <c r="AC1742" s="552"/>
    </row>
    <row r="1743" spans="1:29" s="209" customFormat="1" ht="15.75" customHeight="1">
      <c r="A1743" s="202" t="str">
        <f>IF(B1743&lt;&gt;"",IF(AND(B1743&gt;=_TM1,B1743&lt;=_TM2,OR(TH!L1743="1111",TH!M1743="1111")),TH!D1743,""),"")</f>
        <v/>
      </c>
      <c r="B1743" s="36">
        <f t="shared" si="79"/>
        <v>11</v>
      </c>
      <c r="C1743" s="182">
        <f t="shared" si="80"/>
        <v>42695</v>
      </c>
      <c r="D1743" s="182" t="s">
        <v>669</v>
      </c>
      <c r="E1743" s="189">
        <v>42695</v>
      </c>
      <c r="F1743" s="190" t="s">
        <v>1296</v>
      </c>
      <c r="G1743" s="190" t="s">
        <v>1287</v>
      </c>
      <c r="H1743" s="191" t="s">
        <v>1465</v>
      </c>
      <c r="I1743" s="251"/>
      <c r="J1743" s="251"/>
      <c r="K1743" s="560">
        <v>279861</v>
      </c>
      <c r="L1743" s="561" t="s">
        <v>81</v>
      </c>
      <c r="M1743" s="561" t="s">
        <v>24</v>
      </c>
      <c r="N1743" s="52" t="str">
        <f>IF(AND('331-CT'!$E$7=TH!H1743,OR(L1743="331",M1743="331")),"331",IF(AND(OR(L1743="131",M1743="131"),H1743='131-CT'!$E$7),"131",""))</f>
        <v/>
      </c>
      <c r="O1743" s="818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>x</v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53"/>
      <c r="AB1743" s="552"/>
    </row>
    <row r="1744" spans="1:29" s="209" customFormat="1" ht="15.75" customHeight="1">
      <c r="A1744" s="202" t="str">
        <f>IF(B1744&lt;&gt;"",IF(AND(B1744&gt;=_TM1,B1744&lt;=_TM2,OR(TH!L1744="1111",TH!M1744="1111")),TH!D1744,""),"")</f>
        <v/>
      </c>
      <c r="B1744" s="36">
        <f t="shared" si="79"/>
        <v>11</v>
      </c>
      <c r="C1744" s="182">
        <f t="shared" si="80"/>
        <v>42695</v>
      </c>
      <c r="D1744" s="182" t="s">
        <v>669</v>
      </c>
      <c r="E1744" s="189">
        <v>42695</v>
      </c>
      <c r="F1744" s="190" t="s">
        <v>1296</v>
      </c>
      <c r="G1744" s="190" t="s">
        <v>1287</v>
      </c>
      <c r="H1744" s="191" t="s">
        <v>1460</v>
      </c>
      <c r="I1744" s="251"/>
      <c r="J1744" s="251"/>
      <c r="K1744" s="560">
        <v>279861</v>
      </c>
      <c r="L1744" s="561" t="s">
        <v>81</v>
      </c>
      <c r="M1744" s="561" t="s">
        <v>24</v>
      </c>
      <c r="N1744" s="52" t="str">
        <f>IF(AND('331-CT'!$E$7=TH!H1744,OR(L1744="331",M1744="331")),"331",IF(AND(OR(L1744="131",M1744="131"),H1744='131-CT'!$E$7),"131",""))</f>
        <v/>
      </c>
      <c r="O1744" s="818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>x</v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53"/>
      <c r="AB1744" s="552"/>
      <c r="AC1744" s="552"/>
    </row>
    <row r="1745" spans="1:29" s="209" customFormat="1" ht="15.75" customHeight="1">
      <c r="A1745" s="202" t="str">
        <f>IF(B1745&lt;&gt;"",IF(AND(B1745&gt;=_TM1,B1745&lt;=_TM2,OR(TH!L1745="1111",TH!M1745="1111")),TH!D1745,""),"")</f>
        <v/>
      </c>
      <c r="B1745" s="36">
        <f t="shared" si="79"/>
        <v>11</v>
      </c>
      <c r="C1745" s="182">
        <f t="shared" si="80"/>
        <v>42695</v>
      </c>
      <c r="D1745" s="182" t="s">
        <v>669</v>
      </c>
      <c r="E1745" s="189">
        <v>42695</v>
      </c>
      <c r="F1745" s="190" t="s">
        <v>1296</v>
      </c>
      <c r="G1745" s="190" t="s">
        <v>1287</v>
      </c>
      <c r="H1745" s="191" t="s">
        <v>1466</v>
      </c>
      <c r="I1745" s="251"/>
      <c r="J1745" s="251"/>
      <c r="K1745" s="560">
        <v>1218750</v>
      </c>
      <c r="L1745" s="561" t="s">
        <v>81</v>
      </c>
      <c r="M1745" s="561" t="s">
        <v>24</v>
      </c>
      <c r="N1745" s="52" t="str">
        <f>IF(AND('331-CT'!$E$7=TH!H1745,OR(L1745="331",M1745="331")),"331",IF(AND(OR(L1745="131",M1745="131"),H1745='131-CT'!$E$7),"131",""))</f>
        <v/>
      </c>
      <c r="O1745" s="818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>x</v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53"/>
      <c r="AB1745" s="552"/>
      <c r="AC1745" s="552"/>
    </row>
    <row r="1746" spans="1:29" s="209" customFormat="1" ht="15.75" customHeight="1">
      <c r="A1746" s="202" t="str">
        <f>IF(B1746&lt;&gt;"",IF(AND(B1746&gt;=_TM1,B1746&lt;=_TM2,OR(TH!L1746="1111",TH!M1746="1111")),TH!D1746,""),"")</f>
        <v/>
      </c>
      <c r="B1746" s="36">
        <f t="shared" si="79"/>
        <v>11</v>
      </c>
      <c r="C1746" s="182">
        <f t="shared" si="80"/>
        <v>42695</v>
      </c>
      <c r="D1746" s="182" t="s">
        <v>669</v>
      </c>
      <c r="E1746" s="189">
        <v>42695</v>
      </c>
      <c r="F1746" s="190" t="s">
        <v>1296</v>
      </c>
      <c r="G1746" s="190" t="s">
        <v>1287</v>
      </c>
      <c r="H1746" s="191" t="s">
        <v>1513</v>
      </c>
      <c r="I1746" s="251"/>
      <c r="J1746" s="251"/>
      <c r="K1746" s="560">
        <v>118056</v>
      </c>
      <c r="L1746" s="561" t="s">
        <v>81</v>
      </c>
      <c r="M1746" s="561" t="s">
        <v>24</v>
      </c>
      <c r="N1746" s="52" t="str">
        <f>IF(AND('331-CT'!$E$7=TH!H1746,OR(L1746="331",M1746="331")),"331",IF(AND(OR(L1746="131",M1746="131"),H1746='131-CT'!$E$7),"131",""))</f>
        <v/>
      </c>
      <c r="O1746" s="818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>x</v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53"/>
      <c r="AB1746" s="552"/>
    </row>
    <row r="1747" spans="1:29" s="209" customFormat="1" ht="15.75" customHeight="1">
      <c r="A1747" s="202" t="str">
        <f>IF(B1747&lt;&gt;"",IF(AND(B1747&gt;=_TM1,B1747&lt;=_TM2,OR(TH!L1747="1111",TH!M1747="1111")),TH!D1747,""),"")</f>
        <v/>
      </c>
      <c r="B1747" s="36">
        <f t="shared" si="79"/>
        <v>11</v>
      </c>
      <c r="C1747" s="182">
        <f t="shared" si="80"/>
        <v>42696</v>
      </c>
      <c r="D1747" s="182" t="s">
        <v>1118</v>
      </c>
      <c r="E1747" s="189">
        <v>42696</v>
      </c>
      <c r="F1747" s="40" t="s">
        <v>923</v>
      </c>
      <c r="G1747" s="451" t="s">
        <v>1397</v>
      </c>
      <c r="H1747" s="191" t="s">
        <v>1268</v>
      </c>
      <c r="I1747" s="252">
        <v>135</v>
      </c>
      <c r="J1747" s="252">
        <v>19700</v>
      </c>
      <c r="K1747" s="38">
        <f>ROUND(I1747*J1747,0)</f>
        <v>2659500</v>
      </c>
      <c r="L1747" s="192" t="s">
        <v>258</v>
      </c>
      <c r="M1747" s="192" t="s">
        <v>173</v>
      </c>
      <c r="N1747" s="52" t="str">
        <f>IF(AND('331-CT'!$E$7=TH!H1747,OR(L1747="331",M1747="331")),"331",IF(AND(OR(L1747="131",M1747="131"),H1747='131-CT'!$E$7),"131",""))</f>
        <v/>
      </c>
      <c r="O1747" s="818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52"/>
      <c r="AB1747" s="552"/>
      <c r="AC1747" s="552"/>
    </row>
    <row r="1748" spans="1:29" s="209" customFormat="1" ht="15.75" customHeight="1">
      <c r="A1748" s="202" t="str">
        <f>IF(B1748&lt;&gt;"",IF(AND(B1748&gt;=_TM1,B1748&lt;=_TM2,OR(TH!L1748="1111",TH!M1748="1111")),TH!D1748,""),"")</f>
        <v/>
      </c>
      <c r="B1748" s="36">
        <f t="shared" ref="B1748:B1811" si="81">IF(C1748&lt;&gt;"",MONTH(C1748),"")</f>
        <v>11</v>
      </c>
      <c r="C1748" s="182">
        <f t="shared" si="80"/>
        <v>42696</v>
      </c>
      <c r="D1748" s="182" t="s">
        <v>1118</v>
      </c>
      <c r="E1748" s="189">
        <v>42696</v>
      </c>
      <c r="F1748" s="40" t="s">
        <v>1254</v>
      </c>
      <c r="G1748" s="451" t="s">
        <v>1397</v>
      </c>
      <c r="H1748" s="191" t="s">
        <v>1268</v>
      </c>
      <c r="I1748" s="252"/>
      <c r="J1748" s="252"/>
      <c r="K1748" s="38">
        <v>265950</v>
      </c>
      <c r="L1748" s="192" t="s">
        <v>258</v>
      </c>
      <c r="M1748" s="192" t="s">
        <v>367</v>
      </c>
      <c r="N1748" s="52" t="str">
        <f>IF(AND('331-CT'!$E$7=TH!H1748,OR(L1748="331",M1748="331")),"331",IF(AND(OR(L1748="131",M1748="131"),H1748='131-CT'!$E$7),"131",""))</f>
        <v/>
      </c>
      <c r="O1748" s="818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52"/>
      <c r="AB1748" s="552"/>
    </row>
    <row r="1749" spans="1:29" s="209" customFormat="1" ht="15.75" customHeight="1">
      <c r="A1749" s="202" t="str">
        <f>IF(B1749&lt;&gt;"",IF(AND(B1749&gt;=_TM1,B1749&lt;=_TM2,OR(TH!L1749="1111",TH!M1749="1111")),TH!D1749,""),"")</f>
        <v/>
      </c>
      <c r="B1749" s="36">
        <f t="shared" si="81"/>
        <v>11</v>
      </c>
      <c r="C1749" s="182">
        <f t="shared" si="80"/>
        <v>42696</v>
      </c>
      <c r="D1749" s="182" t="s">
        <v>1119</v>
      </c>
      <c r="E1749" s="189">
        <v>42696</v>
      </c>
      <c r="F1749" s="187" t="s">
        <v>1434</v>
      </c>
      <c r="G1749" s="451" t="s">
        <v>1398</v>
      </c>
      <c r="H1749" s="7" t="s">
        <v>615</v>
      </c>
      <c r="I1749" s="252">
        <v>300</v>
      </c>
      <c r="J1749" s="252">
        <v>10900</v>
      </c>
      <c r="K1749" s="38">
        <f>ROUND(I1749*J1749,0)</f>
        <v>3270000</v>
      </c>
      <c r="L1749" s="192" t="s">
        <v>258</v>
      </c>
      <c r="M1749" s="192" t="s">
        <v>173</v>
      </c>
      <c r="N1749" s="52" t="str">
        <f>IF(AND('331-CT'!$E$7=TH!H1749,OR(L1749="331",M1749="331")),"331",IF(AND(OR(L1749="131",M1749="131"),H1749='131-CT'!$E$7),"131",""))</f>
        <v/>
      </c>
      <c r="O1749" s="818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52"/>
      <c r="AB1749" s="552"/>
      <c r="AC1749" s="552"/>
    </row>
    <row r="1750" spans="1:29" s="209" customFormat="1" ht="15.75" customHeight="1">
      <c r="A1750" s="202" t="str">
        <f>IF(B1750&lt;&gt;"",IF(AND(B1750&gt;=_TM1,B1750&lt;=_TM2,OR(TH!L1750="1111",TH!M1750="1111")),TH!D1750,""),"")</f>
        <v/>
      </c>
      <c r="B1750" s="36">
        <f t="shared" si="81"/>
        <v>11</v>
      </c>
      <c r="C1750" s="182">
        <f t="shared" si="80"/>
        <v>42696</v>
      </c>
      <c r="D1750" s="182" t="s">
        <v>1119</v>
      </c>
      <c r="E1750" s="189">
        <v>42696</v>
      </c>
      <c r="F1750" s="40" t="s">
        <v>1254</v>
      </c>
      <c r="G1750" s="451" t="s">
        <v>1398</v>
      </c>
      <c r="H1750" s="7" t="s">
        <v>615</v>
      </c>
      <c r="I1750" s="252"/>
      <c r="J1750" s="252"/>
      <c r="K1750" s="38">
        <v>327000</v>
      </c>
      <c r="L1750" s="192" t="s">
        <v>258</v>
      </c>
      <c r="M1750" s="192" t="s">
        <v>367</v>
      </c>
      <c r="N1750" s="52" t="str">
        <f>IF(AND('331-CT'!$E$7=TH!H1750,OR(L1750="331",M1750="331")),"331",IF(AND(OR(L1750="131",M1750="131"),H1750='131-CT'!$E$7),"131",""))</f>
        <v/>
      </c>
      <c r="O1750" s="818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52"/>
      <c r="AB1750" s="552"/>
    </row>
    <row r="1751" spans="1:29" s="209" customFormat="1" ht="15.75" customHeight="1">
      <c r="A1751" s="202" t="str">
        <f>IF(B1751&lt;&gt;"",IF(AND(B1751&gt;=_TM1,B1751&lt;=_TM2,OR(TH!L1751="1111",TH!M1751="1111")),TH!D1751,""),"")</f>
        <v/>
      </c>
      <c r="B1751" s="36">
        <f t="shared" si="81"/>
        <v>11</v>
      </c>
      <c r="C1751" s="182">
        <f t="shared" si="80"/>
        <v>42697</v>
      </c>
      <c r="D1751" s="182" t="s">
        <v>665</v>
      </c>
      <c r="E1751" s="189">
        <v>42697</v>
      </c>
      <c r="F1751" s="190" t="s">
        <v>666</v>
      </c>
      <c r="G1751" s="190" t="s">
        <v>330</v>
      </c>
      <c r="H1751" s="191" t="s">
        <v>1323</v>
      </c>
      <c r="I1751" s="251"/>
      <c r="J1751" s="251"/>
      <c r="K1751" s="560">
        <v>18835080</v>
      </c>
      <c r="L1751" s="192" t="s">
        <v>24</v>
      </c>
      <c r="M1751" s="192" t="s">
        <v>258</v>
      </c>
      <c r="N1751" s="52" t="str">
        <f>IF(AND('331-CT'!$E$7=TH!H1751,OR(L1751="331",M1751="331")),"331",IF(AND(OR(L1751="131",M1751="131"),H1751='131-CT'!$E$7),"131",""))</f>
        <v/>
      </c>
      <c r="O1751" s="818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53"/>
      <c r="AB1751" s="552"/>
    </row>
    <row r="1752" spans="1:29" s="209" customFormat="1" ht="15.75" customHeight="1">
      <c r="A1752" s="202" t="str">
        <f>IF(B1752&lt;&gt;"",IF(AND(B1752&gt;=_TM1,B1752&lt;=_TM2,OR(TH!L1752="1111",TH!M1752="1111")),TH!D1752,""),"")</f>
        <v/>
      </c>
      <c r="B1752" s="36">
        <f t="shared" si="81"/>
        <v>11</v>
      </c>
      <c r="C1752" s="182">
        <f t="shared" si="80"/>
        <v>42697</v>
      </c>
      <c r="D1752" s="182" t="s">
        <v>1188</v>
      </c>
      <c r="E1752" s="189">
        <v>42697</v>
      </c>
      <c r="F1752" s="893" t="s">
        <v>676</v>
      </c>
      <c r="G1752" s="451" t="s">
        <v>1537</v>
      </c>
      <c r="H1752" s="191" t="s">
        <v>824</v>
      </c>
      <c r="I1752" s="251">
        <v>4710</v>
      </c>
      <c r="J1752" s="251">
        <v>8500</v>
      </c>
      <c r="K1752" s="560">
        <v>40035000</v>
      </c>
      <c r="L1752" s="192" t="s">
        <v>158</v>
      </c>
      <c r="M1752" s="192" t="s">
        <v>8</v>
      </c>
      <c r="N1752" s="52" t="str">
        <f>IF(AND('331-CT'!$E$7=TH!H1752,OR(L1752="331",M1752="331")),"331",IF(AND(OR(L1752="131",M1752="131"),H1752='131-CT'!$E$7),"131",""))</f>
        <v/>
      </c>
      <c r="O1752" s="818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751">
        <v>4</v>
      </c>
      <c r="AB1752" s="552"/>
      <c r="AC1752" s="552"/>
    </row>
    <row r="1753" spans="1:29" s="209" customFormat="1" ht="15.75" customHeight="1">
      <c r="A1753" s="202" t="str">
        <f>IF(B1753&lt;&gt;"",IF(AND(B1753&gt;=_TM1,B1753&lt;=_TM2,OR(TH!L1753="1111",TH!M1753="1111")),TH!D1753,""),"")</f>
        <v/>
      </c>
      <c r="B1753" s="36">
        <f t="shared" si="81"/>
        <v>11</v>
      </c>
      <c r="C1753" s="182">
        <f t="shared" si="80"/>
        <v>42697</v>
      </c>
      <c r="D1753" s="182" t="s">
        <v>1188</v>
      </c>
      <c r="E1753" s="189">
        <v>42697</v>
      </c>
      <c r="F1753" s="190" t="s">
        <v>1538</v>
      </c>
      <c r="G1753" s="451" t="s">
        <v>1537</v>
      </c>
      <c r="H1753" s="191" t="s">
        <v>824</v>
      </c>
      <c r="I1753" s="251"/>
      <c r="J1753" s="251"/>
      <c r="K1753" s="560">
        <v>4003500</v>
      </c>
      <c r="L1753" s="192" t="s">
        <v>9</v>
      </c>
      <c r="M1753" s="192" t="s">
        <v>8</v>
      </c>
      <c r="N1753" s="52" t="str">
        <f>IF(AND('331-CT'!$E$7=TH!H1753,OR(L1753="331",M1753="331")),"331",IF(AND(OR(L1753="131",M1753="131"),H1753='131-CT'!$E$7),"131",""))</f>
        <v/>
      </c>
      <c r="O1753" s="818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751">
        <v>4</v>
      </c>
      <c r="AB1753" s="552"/>
      <c r="AC1753" s="552"/>
    </row>
    <row r="1754" spans="1:29" s="209" customFormat="1" ht="15.75" customHeight="1">
      <c r="A1754" s="202" t="str">
        <f>IF(B1754&lt;&gt;"",IF(AND(B1754&gt;=_TM1,B1754&lt;=_TM2,OR(TH!L1754="1111",TH!M1754="1111")),TH!D1754,""),"")</f>
        <v/>
      </c>
      <c r="B1754" s="36">
        <f t="shared" si="81"/>
        <v>11</v>
      </c>
      <c r="C1754" s="182">
        <f t="shared" si="80"/>
        <v>42697</v>
      </c>
      <c r="D1754" s="182" t="s">
        <v>1120</v>
      </c>
      <c r="E1754" s="189">
        <v>42697</v>
      </c>
      <c r="F1754" s="40" t="s">
        <v>1401</v>
      </c>
      <c r="G1754" s="451" t="s">
        <v>1399</v>
      </c>
      <c r="H1754" s="191" t="s">
        <v>1400</v>
      </c>
      <c r="I1754" s="252">
        <v>10170</v>
      </c>
      <c r="J1754" s="252">
        <v>9000</v>
      </c>
      <c r="K1754" s="38">
        <f>ROUND(I1754*J1754,0)</f>
        <v>91530000</v>
      </c>
      <c r="L1754" s="192" t="s">
        <v>258</v>
      </c>
      <c r="M1754" s="192" t="s">
        <v>173</v>
      </c>
      <c r="N1754" s="52" t="str">
        <f>IF(AND('331-CT'!$E$7=TH!H1754,OR(L1754="331",M1754="331")),"331",IF(AND(OR(L1754="131",M1754="131"),H1754='131-CT'!$E$7),"131",""))</f>
        <v/>
      </c>
      <c r="O1754" s="818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52"/>
      <c r="AB1754" s="552"/>
      <c r="AC1754" s="552"/>
    </row>
    <row r="1755" spans="1:29" s="209" customFormat="1" ht="15.75" customHeight="1">
      <c r="A1755" s="202" t="str">
        <f>IF(B1755&lt;&gt;"",IF(AND(B1755&gt;=_TM1,B1755&lt;=_TM2,OR(TH!L1755="1111",TH!M1755="1111")),TH!D1755,""),"")</f>
        <v/>
      </c>
      <c r="B1755" s="36">
        <f t="shared" si="81"/>
        <v>11</v>
      </c>
      <c r="C1755" s="182">
        <f t="shared" si="80"/>
        <v>42697</v>
      </c>
      <c r="D1755" s="182" t="s">
        <v>1120</v>
      </c>
      <c r="E1755" s="189">
        <v>42697</v>
      </c>
      <c r="F1755" s="40" t="s">
        <v>1254</v>
      </c>
      <c r="G1755" s="451" t="s">
        <v>1399</v>
      </c>
      <c r="H1755" s="191" t="s">
        <v>1400</v>
      </c>
      <c r="I1755" s="252"/>
      <c r="J1755" s="252"/>
      <c r="K1755" s="38">
        <v>9153000</v>
      </c>
      <c r="L1755" s="192" t="s">
        <v>258</v>
      </c>
      <c r="M1755" s="192" t="s">
        <v>367</v>
      </c>
      <c r="N1755" s="52" t="str">
        <f>IF(AND('331-CT'!$E$7=TH!H1755,OR(L1755="331",M1755="331")),"331",IF(AND(OR(L1755="131",M1755="131"),H1755='131-CT'!$E$7),"131",""))</f>
        <v/>
      </c>
      <c r="O1755" s="818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52"/>
      <c r="AB1755" s="552"/>
    </row>
    <row r="1756" spans="1:29" s="209" customFormat="1" ht="15.75" customHeight="1">
      <c r="A1756" s="202" t="str">
        <f>IF(B1756&lt;&gt;"",IF(AND(B1756&gt;=_TM1,B1756&lt;=_TM2,OR(TH!L1756="1111",TH!M1756="1111")),TH!D1756,""),"")</f>
        <v/>
      </c>
      <c r="B1756" s="36">
        <f t="shared" si="81"/>
        <v>11</v>
      </c>
      <c r="C1756" s="182">
        <f t="shared" si="80"/>
        <v>42697</v>
      </c>
      <c r="D1756" s="182" t="s">
        <v>1121</v>
      </c>
      <c r="E1756" s="189">
        <v>42697</v>
      </c>
      <c r="F1756" s="40" t="s">
        <v>1255</v>
      </c>
      <c r="G1756" s="451" t="s">
        <v>1402</v>
      </c>
      <c r="H1756" s="7" t="s">
        <v>391</v>
      </c>
      <c r="I1756" s="252">
        <v>637</v>
      </c>
      <c r="J1756" s="252">
        <v>5000</v>
      </c>
      <c r="K1756" s="38">
        <f>ROUND(I1756*J1756,0)</f>
        <v>3185000</v>
      </c>
      <c r="L1756" s="192" t="s">
        <v>258</v>
      </c>
      <c r="M1756" s="192" t="s">
        <v>173</v>
      </c>
      <c r="N1756" s="52" t="str">
        <f>IF(AND('331-CT'!$E$7=TH!H1756,OR(L1756="331",M1756="331")),"331",IF(AND(OR(L1756="131",M1756="131"),H1756='131-CT'!$E$7),"131",""))</f>
        <v/>
      </c>
      <c r="O1756" s="818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52"/>
      <c r="AB1756" s="552"/>
      <c r="AC1756" s="552"/>
    </row>
    <row r="1757" spans="1:29" s="209" customFormat="1" ht="15.75" customHeight="1">
      <c r="A1757" s="202" t="str">
        <f>IF(B1757&lt;&gt;"",IF(AND(B1757&gt;=_TM1,B1757&lt;=_TM2,OR(TH!L1757="1111",TH!M1757="1111")),TH!D1757,""),"")</f>
        <v/>
      </c>
      <c r="B1757" s="36">
        <f t="shared" si="81"/>
        <v>11</v>
      </c>
      <c r="C1757" s="182">
        <f t="shared" si="80"/>
        <v>42697</v>
      </c>
      <c r="D1757" s="182" t="s">
        <v>1121</v>
      </c>
      <c r="E1757" s="189">
        <v>42697</v>
      </c>
      <c r="F1757" s="40" t="s">
        <v>1403</v>
      </c>
      <c r="G1757" s="451" t="s">
        <v>1402</v>
      </c>
      <c r="H1757" s="7" t="s">
        <v>391</v>
      </c>
      <c r="I1757" s="252">
        <v>469</v>
      </c>
      <c r="J1757" s="252">
        <v>9700</v>
      </c>
      <c r="K1757" s="38">
        <f>ROUND(I1757*J1757,0)</f>
        <v>4549300</v>
      </c>
      <c r="L1757" s="192" t="s">
        <v>258</v>
      </c>
      <c r="M1757" s="192" t="s">
        <v>173</v>
      </c>
      <c r="N1757" s="52" t="str">
        <f>IF(AND('331-CT'!$E$7=TH!H1757,OR(L1757="331",M1757="331")),"331",IF(AND(OR(L1757="131",M1757="131"),H1757='131-CT'!$E$7),"131",""))</f>
        <v/>
      </c>
      <c r="O1757" s="818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52"/>
      <c r="AB1757" s="552"/>
    </row>
    <row r="1758" spans="1:29" s="209" customFormat="1" ht="15.75" customHeight="1">
      <c r="A1758" s="202" t="str">
        <f>IF(B1758&lt;&gt;"",IF(AND(B1758&gt;=_TM1,B1758&lt;=_TM2,OR(TH!L1758="1111",TH!M1758="1111")),TH!D1758,""),"")</f>
        <v/>
      </c>
      <c r="B1758" s="36">
        <f t="shared" si="81"/>
        <v>11</v>
      </c>
      <c r="C1758" s="182">
        <f t="shared" si="80"/>
        <v>42697</v>
      </c>
      <c r="D1758" s="182" t="s">
        <v>1121</v>
      </c>
      <c r="E1758" s="189">
        <v>42697</v>
      </c>
      <c r="F1758" s="901" t="s">
        <v>1254</v>
      </c>
      <c r="G1758" s="451" t="s">
        <v>1402</v>
      </c>
      <c r="H1758" s="7" t="s">
        <v>391</v>
      </c>
      <c r="I1758" s="252"/>
      <c r="J1758" s="252"/>
      <c r="K1758" s="38">
        <v>773430</v>
      </c>
      <c r="L1758" s="192" t="s">
        <v>258</v>
      </c>
      <c r="M1758" s="192" t="s">
        <v>367</v>
      </c>
      <c r="N1758" s="52" t="str">
        <f>IF(AND('331-CT'!$E$7=TH!H1758,OR(L1758="331",M1758="331")),"331",IF(AND(OR(L1758="131",M1758="131"),H1758='131-CT'!$E$7),"131",""))</f>
        <v/>
      </c>
      <c r="O1758" s="818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52"/>
      <c r="AB1758" s="552"/>
      <c r="AC1758" s="552"/>
    </row>
    <row r="1759" spans="1:29" s="209" customFormat="1" ht="15.75" customHeight="1">
      <c r="A1759" s="202" t="str">
        <f>IF(B1759&lt;&gt;"",IF(AND(B1759&gt;=_TM1,B1759&lt;=_TM2,OR(TH!L1759="1111",TH!M1759="1111")),TH!D1759,""),"")</f>
        <v/>
      </c>
      <c r="B1759" s="36">
        <f t="shared" si="81"/>
        <v>11</v>
      </c>
      <c r="C1759" s="182">
        <f t="shared" si="80"/>
        <v>42699</v>
      </c>
      <c r="D1759" s="182" t="s">
        <v>665</v>
      </c>
      <c r="E1759" s="189">
        <v>42699</v>
      </c>
      <c r="F1759" s="190" t="s">
        <v>666</v>
      </c>
      <c r="G1759" s="190" t="s">
        <v>330</v>
      </c>
      <c r="H1759" s="7" t="s">
        <v>615</v>
      </c>
      <c r="I1759" s="251"/>
      <c r="J1759" s="251"/>
      <c r="K1759" s="560">
        <v>4752000</v>
      </c>
      <c r="L1759" s="192" t="s">
        <v>24</v>
      </c>
      <c r="M1759" s="192" t="s">
        <v>258</v>
      </c>
      <c r="N1759" s="52" t="str">
        <f>IF(AND('331-CT'!$E$7=TH!H1759,OR(L1759="331",M1759="331")),"331",IF(AND(OR(L1759="131",M1759="131"),H1759='131-CT'!$E$7),"131",""))</f>
        <v/>
      </c>
      <c r="O1759" s="818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53"/>
      <c r="AB1759" s="552"/>
    </row>
    <row r="1760" spans="1:29" s="209" customFormat="1" ht="15.75" customHeight="1">
      <c r="A1760" s="202" t="str">
        <f>IF(B1760&lt;&gt;"",IF(AND(B1760&gt;=_TM1,B1760&lt;=_TM2,OR(TH!L1760="1111",TH!M1760="1111")),TH!D1760,""),"")</f>
        <v/>
      </c>
      <c r="B1760" s="36">
        <f t="shared" si="81"/>
        <v>11</v>
      </c>
      <c r="C1760" s="182">
        <f t="shared" si="80"/>
        <v>42699</v>
      </c>
      <c r="D1760" s="182" t="s">
        <v>665</v>
      </c>
      <c r="E1760" s="189">
        <v>42699</v>
      </c>
      <c r="F1760" s="190" t="s">
        <v>667</v>
      </c>
      <c r="G1760" s="190" t="s">
        <v>330</v>
      </c>
      <c r="H1760" s="7"/>
      <c r="I1760" s="251"/>
      <c r="J1760" s="251"/>
      <c r="K1760" s="560">
        <v>512</v>
      </c>
      <c r="L1760" s="192" t="s">
        <v>24</v>
      </c>
      <c r="M1760" s="192" t="s">
        <v>40</v>
      </c>
      <c r="N1760" s="52" t="str">
        <f>IF(AND('331-CT'!$E$7=TH!H1760,OR(L1760="331",M1760="331")),"331",IF(AND(OR(L1760="131",M1760="131"),H1760='131-CT'!$E$7),"131",""))</f>
        <v/>
      </c>
      <c r="O1760" s="818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53"/>
      <c r="AB1760" s="552"/>
    </row>
    <row r="1761" spans="1:29" s="209" customFormat="1" ht="15.75" customHeight="1">
      <c r="A1761" s="202" t="str">
        <f>IF(B1761&lt;&gt;"",IF(AND(B1761&gt;=_TM1,B1761&lt;=_TM2,OR(TH!L1761="1111",TH!M1761="1111")),TH!D1761,""),"")</f>
        <v>C14</v>
      </c>
      <c r="B1761" s="36">
        <f t="shared" si="81"/>
        <v>11</v>
      </c>
      <c r="C1761" s="182">
        <f t="shared" si="80"/>
        <v>42699</v>
      </c>
      <c r="D1761" s="182" t="s">
        <v>1646</v>
      </c>
      <c r="E1761" s="189">
        <v>42699</v>
      </c>
      <c r="F1761" s="190" t="s">
        <v>754</v>
      </c>
      <c r="G1761" s="190" t="s">
        <v>330</v>
      </c>
      <c r="H1761" s="7" t="s">
        <v>1282</v>
      </c>
      <c r="I1761" s="251"/>
      <c r="J1761" s="251"/>
      <c r="K1761" s="560">
        <v>2300000</v>
      </c>
      <c r="L1761" s="192" t="s">
        <v>24</v>
      </c>
      <c r="M1761" s="192" t="s">
        <v>47</v>
      </c>
      <c r="N1761" s="52" t="str">
        <f>IF(AND('331-CT'!$E$7=TH!H1761,OR(L1761="331",M1761="331")),"331",IF(AND(OR(L1761="131",M1761="131"),H1761='131-CT'!$E$7),"131",""))</f>
        <v/>
      </c>
      <c r="O1761" s="818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53"/>
      <c r="AB1761" s="552"/>
    </row>
    <row r="1762" spans="1:29" s="209" customFormat="1" ht="15.75" customHeight="1">
      <c r="A1762" s="202" t="str">
        <f>IF(B1762&lt;&gt;"",IF(AND(B1762&gt;=_TM1,B1762&lt;=_TM2,OR(TH!L1762="1111",TH!M1762="1111")),TH!D1762,""),"")</f>
        <v/>
      </c>
      <c r="B1762" s="36">
        <f t="shared" si="81"/>
        <v>11</v>
      </c>
      <c r="C1762" s="182">
        <f t="shared" si="80"/>
        <v>42699</v>
      </c>
      <c r="D1762" s="182" t="s">
        <v>669</v>
      </c>
      <c r="E1762" s="189">
        <v>42699</v>
      </c>
      <c r="F1762" s="190" t="s">
        <v>671</v>
      </c>
      <c r="G1762" s="190" t="s">
        <v>330</v>
      </c>
      <c r="H1762" s="7"/>
      <c r="I1762" s="251"/>
      <c r="J1762" s="251"/>
      <c r="K1762" s="560">
        <v>9000000</v>
      </c>
      <c r="L1762" s="192" t="s">
        <v>8</v>
      </c>
      <c r="M1762" s="561" t="s">
        <v>24</v>
      </c>
      <c r="N1762" s="52" t="str">
        <f>IF(AND('331-CT'!$E$7=TH!H1762,OR(L1762="331",M1762="331")),"331",IF(AND(OR(L1762="131",M1762="131"),H1762='131-CT'!$E$7),"131",""))</f>
        <v/>
      </c>
      <c r="O1762" s="818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53"/>
      <c r="AB1762" s="552"/>
      <c r="AC1762" s="552"/>
    </row>
    <row r="1763" spans="1:29" s="209" customFormat="1" ht="15.75" customHeight="1">
      <c r="A1763" s="202" t="str">
        <f>IF(B1763&lt;&gt;"",IF(AND(B1763&gt;=_TM1,B1763&lt;=_TM2,OR(TH!L1763="1111",TH!M1763="1111")),TH!D1763,""),"")</f>
        <v/>
      </c>
      <c r="B1763" s="36">
        <f t="shared" si="81"/>
        <v>11</v>
      </c>
      <c r="C1763" s="182">
        <f t="shared" si="80"/>
        <v>42699</v>
      </c>
      <c r="D1763" s="182" t="s">
        <v>669</v>
      </c>
      <c r="E1763" s="189">
        <v>42699</v>
      </c>
      <c r="F1763" s="187" t="s">
        <v>672</v>
      </c>
      <c r="G1763" s="190" t="s">
        <v>330</v>
      </c>
      <c r="H1763" s="7"/>
      <c r="I1763" s="251"/>
      <c r="J1763" s="251"/>
      <c r="K1763" s="560">
        <v>13636</v>
      </c>
      <c r="L1763" s="561" t="s">
        <v>83</v>
      </c>
      <c r="M1763" s="561" t="s">
        <v>24</v>
      </c>
      <c r="N1763" s="52" t="str">
        <f>IF(AND('331-CT'!$E$7=TH!H1763,OR(L1763="331",M1763="331")),"331",IF(AND(OR(L1763="131",M1763="131"),H1763='131-CT'!$E$7),"131",""))</f>
        <v/>
      </c>
      <c r="O1763" s="818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>x</v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52">
        <v>4</v>
      </c>
      <c r="AB1763" s="552"/>
    </row>
    <row r="1764" spans="1:29" s="209" customFormat="1" ht="15.75" customHeight="1">
      <c r="A1764" s="202" t="str">
        <f>IF(B1764&lt;&gt;"",IF(AND(B1764&gt;=_TM1,B1764&lt;=_TM2,OR(TH!L1764="1111",TH!M1764="1111")),TH!D1764,""),"")</f>
        <v/>
      </c>
      <c r="B1764" s="36">
        <f t="shared" si="81"/>
        <v>11</v>
      </c>
      <c r="C1764" s="182">
        <f t="shared" si="80"/>
        <v>42699</v>
      </c>
      <c r="D1764" s="182" t="s">
        <v>669</v>
      </c>
      <c r="E1764" s="189">
        <v>42699</v>
      </c>
      <c r="F1764" s="187" t="s">
        <v>762</v>
      </c>
      <c r="G1764" s="190" t="s">
        <v>330</v>
      </c>
      <c r="H1764" s="191"/>
      <c r="I1764" s="251"/>
      <c r="J1764" s="251"/>
      <c r="K1764" s="560">
        <v>1364</v>
      </c>
      <c r="L1764" s="192" t="s">
        <v>9</v>
      </c>
      <c r="M1764" s="561" t="s">
        <v>24</v>
      </c>
      <c r="N1764" s="52" t="str">
        <f>IF(AND('331-CT'!$E$7=TH!H1764,OR(L1764="331",M1764="331")),"331",IF(AND(OR(L1764="131",M1764="131"),H1764='131-CT'!$E$7),"131",""))</f>
        <v/>
      </c>
      <c r="O1764" s="818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52">
        <v>4</v>
      </c>
      <c r="AB1764" s="552"/>
      <c r="AC1764" s="552"/>
    </row>
    <row r="1765" spans="1:29" s="209" customFormat="1" ht="15.75" customHeight="1">
      <c r="A1765" s="202" t="str">
        <f>IF(B1765&lt;&gt;"",IF(AND(B1765&gt;=_TM1,B1765&lt;=_TM2,OR(TH!L1765="1111",TH!M1765="1111")),TH!D1765,""),"")</f>
        <v/>
      </c>
      <c r="B1765" s="36">
        <f t="shared" si="81"/>
        <v>11</v>
      </c>
      <c r="C1765" s="182">
        <f t="shared" si="80"/>
        <v>42699</v>
      </c>
      <c r="D1765" s="182" t="s">
        <v>669</v>
      </c>
      <c r="E1765" s="189">
        <v>42699</v>
      </c>
      <c r="F1765" s="190" t="s">
        <v>671</v>
      </c>
      <c r="G1765" s="190" t="s">
        <v>330</v>
      </c>
      <c r="H1765" s="7" t="s">
        <v>844</v>
      </c>
      <c r="I1765" s="251"/>
      <c r="J1765" s="251"/>
      <c r="K1765" s="560">
        <v>10000000</v>
      </c>
      <c r="L1765" s="192" t="s">
        <v>8</v>
      </c>
      <c r="M1765" s="561" t="s">
        <v>24</v>
      </c>
      <c r="N1765" s="52" t="str">
        <f>IF(AND('331-CT'!$E$7=TH!H1765,OR(L1765="331",M1765="331")),"331",IF(AND(OR(L1765="131",M1765="131"),H1765='131-CT'!$E$7),"131",""))</f>
        <v/>
      </c>
      <c r="O1765" s="818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53"/>
      <c r="AB1765" s="552"/>
    </row>
    <row r="1766" spans="1:29" s="209" customFormat="1" ht="15.75" customHeight="1">
      <c r="A1766" s="202" t="str">
        <f>IF(B1766&lt;&gt;"",IF(AND(B1766&gt;=_TM1,B1766&lt;=_TM2,OR(TH!L1766="1111",TH!M1766="1111")),TH!D1766,""),"")</f>
        <v/>
      </c>
      <c r="B1766" s="36">
        <f t="shared" si="81"/>
        <v>11</v>
      </c>
      <c r="C1766" s="182">
        <f t="shared" si="80"/>
        <v>42699</v>
      </c>
      <c r="D1766" s="182" t="s">
        <v>669</v>
      </c>
      <c r="E1766" s="189">
        <v>42699</v>
      </c>
      <c r="F1766" s="187" t="s">
        <v>672</v>
      </c>
      <c r="G1766" s="190" t="s">
        <v>330</v>
      </c>
      <c r="H1766" s="191"/>
      <c r="I1766" s="251"/>
      <c r="J1766" s="251"/>
      <c r="K1766" s="560">
        <v>13636</v>
      </c>
      <c r="L1766" s="561" t="s">
        <v>83</v>
      </c>
      <c r="M1766" s="561" t="s">
        <v>24</v>
      </c>
      <c r="N1766" s="52" t="str">
        <f>IF(AND('331-CT'!$E$7=TH!H1766,OR(L1766="331",M1766="331")),"331",IF(AND(OR(L1766="131",M1766="131"),H1766='131-CT'!$E$7),"131",""))</f>
        <v/>
      </c>
      <c r="O1766" s="818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>x</v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52">
        <v>4</v>
      </c>
      <c r="AB1766" s="552"/>
      <c r="AC1766" s="552"/>
    </row>
    <row r="1767" spans="1:29" s="209" customFormat="1" ht="15.75" customHeight="1">
      <c r="A1767" s="202" t="str">
        <f>IF(B1767&lt;&gt;"",IF(AND(B1767&gt;=_TM1,B1767&lt;=_TM2,OR(TH!L1767="1111",TH!M1767="1111")),TH!D1767,""),"")</f>
        <v/>
      </c>
      <c r="B1767" s="36">
        <f t="shared" si="81"/>
        <v>11</v>
      </c>
      <c r="C1767" s="182">
        <f t="shared" si="80"/>
        <v>42699</v>
      </c>
      <c r="D1767" s="182" t="s">
        <v>669</v>
      </c>
      <c r="E1767" s="189">
        <v>42699</v>
      </c>
      <c r="F1767" s="187" t="s">
        <v>762</v>
      </c>
      <c r="G1767" s="190" t="s">
        <v>330</v>
      </c>
      <c r="H1767" s="7"/>
      <c r="I1767" s="251"/>
      <c r="J1767" s="251"/>
      <c r="K1767" s="560">
        <v>1364</v>
      </c>
      <c r="L1767" s="192" t="s">
        <v>9</v>
      </c>
      <c r="M1767" s="561" t="s">
        <v>24</v>
      </c>
      <c r="N1767" s="52" t="str">
        <f>IF(AND('331-CT'!$E$7=TH!H1767,OR(L1767="331",M1767="331")),"331",IF(AND(OR(L1767="131",M1767="131"),H1767='131-CT'!$E$7),"131",""))</f>
        <v/>
      </c>
      <c r="O1767" s="818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52">
        <v>4</v>
      </c>
      <c r="AB1767" s="552"/>
    </row>
    <row r="1768" spans="1:29" s="209" customFormat="1" ht="15.75" customHeight="1">
      <c r="A1768" s="202" t="str">
        <f>IF(B1768&lt;&gt;"",IF(AND(B1768&gt;=_TM1,B1768&lt;=_TM2,OR(TH!L1768="1111",TH!M1768="1111")),TH!D1768,""),"")</f>
        <v/>
      </c>
      <c r="B1768" s="36">
        <f t="shared" si="81"/>
        <v>11</v>
      </c>
      <c r="C1768" s="182">
        <f t="shared" si="80"/>
        <v>42699</v>
      </c>
      <c r="D1768" s="182" t="s">
        <v>669</v>
      </c>
      <c r="E1768" s="189">
        <v>42699</v>
      </c>
      <c r="F1768" s="190" t="s">
        <v>666</v>
      </c>
      <c r="G1768" s="190" t="s">
        <v>1287</v>
      </c>
      <c r="H1768" s="191" t="s">
        <v>1328</v>
      </c>
      <c r="I1768" s="251"/>
      <c r="J1768" s="251"/>
      <c r="K1768" s="560">
        <v>3327720</v>
      </c>
      <c r="L1768" s="561" t="s">
        <v>24</v>
      </c>
      <c r="M1768" s="561" t="s">
        <v>258</v>
      </c>
      <c r="N1768" s="52" t="str">
        <f>IF(AND('331-CT'!$E$7=TH!H1768,OR(L1768="331",M1768="331")),"331",IF(AND(OR(L1768="131",M1768="131"),H1768='131-CT'!$E$7),"131",""))</f>
        <v/>
      </c>
      <c r="O1768" s="818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>x</v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53"/>
      <c r="AB1768" s="552"/>
      <c r="AC1768" s="552"/>
    </row>
    <row r="1769" spans="1:29" s="209" customFormat="1" ht="15.75" customHeight="1">
      <c r="A1769" s="202" t="str">
        <f>IF(B1769&lt;&gt;"",IF(AND(B1769&gt;=_TM1,B1769&lt;=_TM2,OR(TH!L1769="1111",TH!M1769="1111")),TH!D1769,""),"")</f>
        <v/>
      </c>
      <c r="B1769" s="36">
        <f t="shared" si="81"/>
        <v>11</v>
      </c>
      <c r="C1769" s="182">
        <f t="shared" si="80"/>
        <v>42699</v>
      </c>
      <c r="D1769" s="182" t="s">
        <v>1122</v>
      </c>
      <c r="E1769" s="189">
        <v>42699</v>
      </c>
      <c r="F1769" s="190" t="s">
        <v>1443</v>
      </c>
      <c r="G1769" s="451" t="s">
        <v>1404</v>
      </c>
      <c r="H1769" s="7" t="s">
        <v>399</v>
      </c>
      <c r="I1769" s="252">
        <v>520</v>
      </c>
      <c r="J1769" s="252">
        <v>10500</v>
      </c>
      <c r="K1769" s="38">
        <f>ROUND(I1769*J1769,0)</f>
        <v>5460000</v>
      </c>
      <c r="L1769" s="192" t="s">
        <v>258</v>
      </c>
      <c r="M1769" s="192" t="s">
        <v>173</v>
      </c>
      <c r="N1769" s="52" t="str">
        <f>IF(AND('331-CT'!$E$7=TH!H1769,OR(L1769="331",M1769="331")),"331",IF(AND(OR(L1769="131",M1769="131"),H1769='131-CT'!$E$7),"131",""))</f>
        <v/>
      </c>
      <c r="O1769" s="818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52"/>
      <c r="AB1769" s="552"/>
    </row>
    <row r="1770" spans="1:29" s="209" customFormat="1" ht="15.75" customHeight="1">
      <c r="A1770" s="202" t="str">
        <f>IF(B1770&lt;&gt;"",IF(AND(B1770&gt;=_TM1,B1770&lt;=_TM2,OR(TH!L1770="1111",TH!M1770="1111")),TH!D1770,""),"")</f>
        <v/>
      </c>
      <c r="B1770" s="36">
        <f t="shared" si="81"/>
        <v>11</v>
      </c>
      <c r="C1770" s="182">
        <f t="shared" si="80"/>
        <v>42699</v>
      </c>
      <c r="D1770" s="182" t="s">
        <v>1122</v>
      </c>
      <c r="E1770" s="189">
        <v>42699</v>
      </c>
      <c r="F1770" s="190" t="s">
        <v>1443</v>
      </c>
      <c r="G1770" s="451" t="s">
        <v>1404</v>
      </c>
      <c r="H1770" s="7" t="s">
        <v>399</v>
      </c>
      <c r="I1770" s="252">
        <v>506</v>
      </c>
      <c r="J1770" s="252">
        <v>10500</v>
      </c>
      <c r="K1770" s="38">
        <f>ROUND(I1770*J1770,0)</f>
        <v>5313000</v>
      </c>
      <c r="L1770" s="192" t="s">
        <v>258</v>
      </c>
      <c r="M1770" s="192" t="s">
        <v>173</v>
      </c>
      <c r="N1770" s="52" t="str">
        <f>IF(AND('331-CT'!$E$7=TH!H1770,OR(L1770="331",M1770="331")),"331",IF(AND(OR(L1770="131",M1770="131"),H1770='131-CT'!$E$7),"131",""))</f>
        <v/>
      </c>
      <c r="O1770" s="818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52"/>
      <c r="AB1770" s="552"/>
      <c r="AC1770" s="552"/>
    </row>
    <row r="1771" spans="1:29" s="209" customFormat="1" ht="15.75" customHeight="1">
      <c r="A1771" s="202" t="str">
        <f>IF(B1771&lt;&gt;"",IF(AND(B1771&gt;=_TM1,B1771&lt;=_TM2,OR(TH!L1771="1111",TH!M1771="1111")),TH!D1771,""),"")</f>
        <v/>
      </c>
      <c r="B1771" s="36">
        <f t="shared" si="81"/>
        <v>11</v>
      </c>
      <c r="C1771" s="182">
        <f t="shared" si="80"/>
        <v>42699</v>
      </c>
      <c r="D1771" s="182" t="s">
        <v>1122</v>
      </c>
      <c r="E1771" s="189">
        <v>42699</v>
      </c>
      <c r="F1771" s="40" t="s">
        <v>1254</v>
      </c>
      <c r="G1771" s="451" t="s">
        <v>1404</v>
      </c>
      <c r="H1771" s="7" t="s">
        <v>399</v>
      </c>
      <c r="I1771" s="252"/>
      <c r="J1771" s="252"/>
      <c r="K1771" s="38">
        <v>1077300</v>
      </c>
      <c r="L1771" s="192" t="s">
        <v>258</v>
      </c>
      <c r="M1771" s="192" t="s">
        <v>367</v>
      </c>
      <c r="N1771" s="52" t="str">
        <f>IF(AND('331-CT'!$E$7=TH!H1771,OR(L1771="331",M1771="331")),"331",IF(AND(OR(L1771="131",M1771="131"),H1771='131-CT'!$E$7),"131",""))</f>
        <v/>
      </c>
      <c r="O1771" s="818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52"/>
      <c r="AB1771" s="552"/>
      <c r="AC1771" s="552"/>
    </row>
    <row r="1772" spans="1:29" s="209" customFormat="1" ht="15.75" customHeight="1">
      <c r="A1772" s="202" t="str">
        <f>IF(B1772&lt;&gt;"",IF(AND(B1772&gt;=_TM1,B1772&lt;=_TM2,OR(TH!L1772="1111",TH!M1772="1111")),TH!D1772,""),"")</f>
        <v/>
      </c>
      <c r="B1772" s="36">
        <f t="shared" si="81"/>
        <v>11</v>
      </c>
      <c r="C1772" s="182">
        <f t="shared" si="80"/>
        <v>42699</v>
      </c>
      <c r="D1772" s="182" t="s">
        <v>1123</v>
      </c>
      <c r="E1772" s="189">
        <v>42699</v>
      </c>
      <c r="F1772" s="40" t="s">
        <v>1378</v>
      </c>
      <c r="G1772" s="451" t="s">
        <v>1405</v>
      </c>
      <c r="H1772" s="191" t="s">
        <v>1328</v>
      </c>
      <c r="I1772" s="252">
        <v>131</v>
      </c>
      <c r="J1772" s="252">
        <v>13600</v>
      </c>
      <c r="K1772" s="38">
        <f>ROUND(I1772*J1772,0)</f>
        <v>1781600</v>
      </c>
      <c r="L1772" s="192" t="s">
        <v>258</v>
      </c>
      <c r="M1772" s="192" t="s">
        <v>173</v>
      </c>
      <c r="N1772" s="52" t="str">
        <f>IF(AND('331-CT'!$E$7=TH!H1772,OR(L1772="331",M1772="331")),"331",IF(AND(OR(L1772="131",M1772="131"),H1772='131-CT'!$E$7),"131",""))</f>
        <v/>
      </c>
      <c r="O1772" s="818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52"/>
      <c r="AB1772" s="552"/>
    </row>
    <row r="1773" spans="1:29" s="209" customFormat="1" ht="15.75" customHeight="1">
      <c r="A1773" s="202" t="str">
        <f>IF(B1773&lt;&gt;"",IF(AND(B1773&gt;=_TM1,B1773&lt;=_TM2,OR(TH!L1773="1111",TH!M1773="1111")),TH!D1773,""),"")</f>
        <v/>
      </c>
      <c r="B1773" s="36">
        <f t="shared" si="81"/>
        <v>11</v>
      </c>
      <c r="C1773" s="182">
        <f t="shared" si="80"/>
        <v>42699</v>
      </c>
      <c r="D1773" s="182" t="s">
        <v>1123</v>
      </c>
      <c r="E1773" s="189">
        <v>42699</v>
      </c>
      <c r="F1773" s="40" t="s">
        <v>1406</v>
      </c>
      <c r="G1773" s="451" t="s">
        <v>1405</v>
      </c>
      <c r="H1773" s="191" t="s">
        <v>1328</v>
      </c>
      <c r="I1773" s="252">
        <v>156</v>
      </c>
      <c r="J1773" s="252">
        <v>7200</v>
      </c>
      <c r="K1773" s="38">
        <f>ROUND(I1773*J1773,0)</f>
        <v>1123200</v>
      </c>
      <c r="L1773" s="192" t="s">
        <v>258</v>
      </c>
      <c r="M1773" s="192" t="s">
        <v>173</v>
      </c>
      <c r="N1773" s="52" t="str">
        <f>IF(AND('331-CT'!$E$7=TH!H1773,OR(L1773="331",M1773="331")),"331",IF(AND(OR(L1773="131",M1773="131"),H1773='131-CT'!$E$7),"131",""))</f>
        <v/>
      </c>
      <c r="O1773" s="818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52"/>
      <c r="AB1773" s="552"/>
      <c r="AC1773" s="552"/>
    </row>
    <row r="1774" spans="1:29" s="209" customFormat="1" ht="15.75" customHeight="1">
      <c r="A1774" s="202" t="str">
        <f>IF(B1774&lt;&gt;"",IF(AND(B1774&gt;=_TM1,B1774&lt;=_TM2,OR(TH!L1774="1111",TH!M1774="1111")),TH!D1774,""),"")</f>
        <v/>
      </c>
      <c r="B1774" s="36">
        <f t="shared" si="81"/>
        <v>11</v>
      </c>
      <c r="C1774" s="182">
        <f t="shared" si="80"/>
        <v>42699</v>
      </c>
      <c r="D1774" s="182" t="s">
        <v>1123</v>
      </c>
      <c r="E1774" s="189">
        <v>42699</v>
      </c>
      <c r="F1774" s="40" t="s">
        <v>1254</v>
      </c>
      <c r="G1774" s="451" t="s">
        <v>1405</v>
      </c>
      <c r="H1774" s="191" t="s">
        <v>1328</v>
      </c>
      <c r="I1774" s="252"/>
      <c r="J1774" s="252"/>
      <c r="K1774" s="38">
        <v>290480</v>
      </c>
      <c r="L1774" s="192" t="s">
        <v>258</v>
      </c>
      <c r="M1774" s="192" t="s">
        <v>367</v>
      </c>
      <c r="N1774" s="52" t="str">
        <f>IF(AND('331-CT'!$E$7=TH!H1774,OR(L1774="331",M1774="331")),"331",IF(AND(OR(L1774="131",M1774="131"),H1774='131-CT'!$E$7),"131",""))</f>
        <v/>
      </c>
      <c r="O1774" s="818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52"/>
      <c r="AB1774" s="552"/>
    </row>
    <row r="1775" spans="1:29" s="209" customFormat="1" ht="15.75" customHeight="1">
      <c r="A1775" s="202" t="str">
        <f>IF(B1775&lt;&gt;"",IF(AND(B1775&gt;=_TM1,B1775&lt;=_TM2,OR(TH!L1775="1111",TH!M1775="1111")),TH!D1775,""),"")</f>
        <v/>
      </c>
      <c r="B1775" s="36">
        <f t="shared" si="81"/>
        <v>11</v>
      </c>
      <c r="C1775" s="182">
        <f t="shared" si="80"/>
        <v>42699</v>
      </c>
      <c r="D1775" s="182" t="s">
        <v>1124</v>
      </c>
      <c r="E1775" s="189">
        <v>42699</v>
      </c>
      <c r="F1775" s="40" t="s">
        <v>1408</v>
      </c>
      <c r="G1775" s="451" t="s">
        <v>1407</v>
      </c>
      <c r="H1775" s="191" t="s">
        <v>1328</v>
      </c>
      <c r="I1775" s="252">
        <v>23</v>
      </c>
      <c r="J1775" s="252">
        <v>13200</v>
      </c>
      <c r="K1775" s="38">
        <f>ROUND(I1775*J1775,0)</f>
        <v>303600</v>
      </c>
      <c r="L1775" s="192" t="s">
        <v>258</v>
      </c>
      <c r="M1775" s="192" t="s">
        <v>173</v>
      </c>
      <c r="N1775" s="52" t="str">
        <f>IF(AND('331-CT'!$E$7=TH!H1775,OR(L1775="331",M1775="331")),"331",IF(AND(OR(L1775="131",M1775="131"),H1775='131-CT'!$E$7),"131",""))</f>
        <v/>
      </c>
      <c r="O1775" s="818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52"/>
      <c r="AB1775" s="552"/>
      <c r="AC1775" s="552"/>
    </row>
    <row r="1776" spans="1:29" s="209" customFormat="1" ht="15.75" customHeight="1">
      <c r="A1776" s="202" t="str">
        <f>IF(B1776&lt;&gt;"",IF(AND(B1776&gt;=_TM1,B1776&lt;=_TM2,OR(TH!L1776="1111",TH!M1776="1111")),TH!D1776,""),"")</f>
        <v/>
      </c>
      <c r="B1776" s="36">
        <f t="shared" si="81"/>
        <v>11</v>
      </c>
      <c r="C1776" s="182">
        <f t="shared" si="80"/>
        <v>42699</v>
      </c>
      <c r="D1776" s="182" t="s">
        <v>1124</v>
      </c>
      <c r="E1776" s="189">
        <v>42699</v>
      </c>
      <c r="F1776" s="40" t="s">
        <v>1409</v>
      </c>
      <c r="G1776" s="451" t="s">
        <v>1407</v>
      </c>
      <c r="H1776" s="191" t="s">
        <v>1328</v>
      </c>
      <c r="I1776" s="252">
        <v>500</v>
      </c>
      <c r="J1776" s="252">
        <v>7300</v>
      </c>
      <c r="K1776" s="38">
        <f>ROUND(I1776*J1776,0)</f>
        <v>3650000</v>
      </c>
      <c r="L1776" s="192" t="s">
        <v>258</v>
      </c>
      <c r="M1776" s="192" t="s">
        <v>173</v>
      </c>
      <c r="N1776" s="52" t="str">
        <f>IF(AND('331-CT'!$E$7=TH!H1776,OR(L1776="331",M1776="331")),"331",IF(AND(OR(L1776="131",M1776="131"),H1776='131-CT'!$E$7),"131",""))</f>
        <v/>
      </c>
      <c r="O1776" s="818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52"/>
      <c r="AB1776" s="552"/>
      <c r="AC1776" s="552"/>
    </row>
    <row r="1777" spans="1:29" s="209" customFormat="1" ht="15.75" customHeight="1">
      <c r="A1777" s="202" t="str">
        <f>IF(B1777&lt;&gt;"",IF(AND(B1777&gt;=_TM1,B1777&lt;=_TM2,OR(TH!L1777="1111",TH!M1777="1111")),TH!D1777,""),"")</f>
        <v/>
      </c>
      <c r="B1777" s="36">
        <f t="shared" si="81"/>
        <v>11</v>
      </c>
      <c r="C1777" s="182">
        <f t="shared" si="80"/>
        <v>42699</v>
      </c>
      <c r="D1777" s="182" t="s">
        <v>1124</v>
      </c>
      <c r="E1777" s="189">
        <v>42699</v>
      </c>
      <c r="F1777" s="40" t="s">
        <v>1254</v>
      </c>
      <c r="G1777" s="451" t="s">
        <v>1407</v>
      </c>
      <c r="H1777" s="191" t="s">
        <v>1328</v>
      </c>
      <c r="I1777" s="252"/>
      <c r="J1777" s="252"/>
      <c r="K1777" s="38">
        <v>395360</v>
      </c>
      <c r="L1777" s="192" t="s">
        <v>258</v>
      </c>
      <c r="M1777" s="192" t="s">
        <v>367</v>
      </c>
      <c r="N1777" s="52" t="str">
        <f>IF(AND('331-CT'!$E$7=TH!H1777,OR(L1777="331",M1777="331")),"331",IF(AND(OR(L1777="131",M1777="131"),H1777='131-CT'!$E$7),"131",""))</f>
        <v/>
      </c>
      <c r="O1777" s="818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52"/>
      <c r="AB1777" s="552"/>
    </row>
    <row r="1778" spans="1:29" s="209" customFormat="1" ht="15.75" customHeight="1">
      <c r="A1778" s="202" t="str">
        <f>IF(B1778&lt;&gt;"",IF(AND(B1778&gt;=_TM1,B1778&lt;=_TM2,OR(TH!L1778="1111",TH!M1778="1111")),TH!D1778,""),"")</f>
        <v/>
      </c>
      <c r="B1778" s="36">
        <f t="shared" si="81"/>
        <v>11</v>
      </c>
      <c r="C1778" s="182">
        <f t="shared" si="80"/>
        <v>42700</v>
      </c>
      <c r="D1778" s="182" t="s">
        <v>1125</v>
      </c>
      <c r="E1778" s="189">
        <v>42700</v>
      </c>
      <c r="F1778" s="40" t="s">
        <v>1412</v>
      </c>
      <c r="G1778" s="451" t="s">
        <v>1410</v>
      </c>
      <c r="H1778" s="191" t="s">
        <v>1356</v>
      </c>
      <c r="I1778" s="252">
        <v>5772</v>
      </c>
      <c r="J1778" s="252">
        <v>250</v>
      </c>
      <c r="K1778" s="38">
        <f>ROUND(I1778*J1778,0)</f>
        <v>1443000</v>
      </c>
      <c r="L1778" s="192" t="s">
        <v>258</v>
      </c>
      <c r="M1778" s="192" t="s">
        <v>1361</v>
      </c>
      <c r="N1778" s="52" t="str">
        <f>IF(AND('331-CT'!$E$7=TH!H1778,OR(L1778="331",M1778="331")),"331",IF(AND(OR(L1778="131",M1778="131"),H1778='131-CT'!$E$7),"131",""))</f>
        <v/>
      </c>
      <c r="O1778" s="818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52"/>
      <c r="AB1778" s="552"/>
      <c r="AC1778" s="552"/>
    </row>
    <row r="1779" spans="1:29" s="209" customFormat="1" ht="15.75" customHeight="1">
      <c r="A1779" s="202" t="str">
        <f>IF(B1779&lt;&gt;"",IF(AND(B1779&gt;=_TM1,B1779&lt;=_TM2,OR(TH!L1779="1111",TH!M1779="1111")),TH!D1779,""),"")</f>
        <v/>
      </c>
      <c r="B1779" s="36">
        <f t="shared" si="81"/>
        <v>11</v>
      </c>
      <c r="C1779" s="182">
        <f t="shared" si="80"/>
        <v>42700</v>
      </c>
      <c r="D1779" s="182" t="s">
        <v>1125</v>
      </c>
      <c r="E1779" s="189">
        <v>42700</v>
      </c>
      <c r="F1779" s="40" t="s">
        <v>1413</v>
      </c>
      <c r="G1779" s="451" t="s">
        <v>1410</v>
      </c>
      <c r="H1779" s="191" t="s">
        <v>1356</v>
      </c>
      <c r="I1779" s="252">
        <v>3983</v>
      </c>
      <c r="J1779" s="252">
        <v>250</v>
      </c>
      <c r="K1779" s="38">
        <f>ROUND(I1779*J1779,0)</f>
        <v>995750</v>
      </c>
      <c r="L1779" s="192" t="s">
        <v>258</v>
      </c>
      <c r="M1779" s="192" t="s">
        <v>1361</v>
      </c>
      <c r="N1779" s="52" t="str">
        <f>IF(AND('331-CT'!$E$7=TH!H1779,OR(L1779="331",M1779="331")),"331",IF(AND(OR(L1779="131",M1779="131"),H1779='131-CT'!$E$7),"131",""))</f>
        <v/>
      </c>
      <c r="O1779" s="818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52"/>
      <c r="AB1779" s="552"/>
      <c r="AC1779" s="552"/>
    </row>
    <row r="1780" spans="1:29" s="209" customFormat="1" ht="15.75" customHeight="1">
      <c r="A1780" s="202" t="str">
        <f>IF(B1780&lt;&gt;"",IF(AND(B1780&gt;=_TM1,B1780&lt;=_TM2,OR(TH!L1780="1111",TH!M1780="1111")),TH!D1780,""),"")</f>
        <v/>
      </c>
      <c r="B1780" s="36">
        <f t="shared" si="81"/>
        <v>11</v>
      </c>
      <c r="C1780" s="182">
        <f t="shared" si="80"/>
        <v>42700</v>
      </c>
      <c r="D1780" s="182" t="s">
        <v>1125</v>
      </c>
      <c r="E1780" s="189">
        <v>42700</v>
      </c>
      <c r="F1780" s="40" t="s">
        <v>1411</v>
      </c>
      <c r="G1780" s="451" t="s">
        <v>1410</v>
      </c>
      <c r="H1780" s="191" t="s">
        <v>1356</v>
      </c>
      <c r="I1780" s="252">
        <v>4073</v>
      </c>
      <c r="J1780" s="252">
        <v>250</v>
      </c>
      <c r="K1780" s="38">
        <f>ROUND(I1780*J1780,0)</f>
        <v>1018250</v>
      </c>
      <c r="L1780" s="192" t="s">
        <v>258</v>
      </c>
      <c r="M1780" s="192" t="s">
        <v>1361</v>
      </c>
      <c r="N1780" s="52" t="str">
        <f>IF(AND('331-CT'!$E$7=TH!H1780,OR(L1780="331",M1780="331")),"331",IF(AND(OR(L1780="131",M1780="131"),H1780='131-CT'!$E$7),"131",""))</f>
        <v/>
      </c>
      <c r="O1780" s="818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52"/>
      <c r="AB1780" s="552"/>
      <c r="AC1780" s="552"/>
    </row>
    <row r="1781" spans="1:29" s="209" customFormat="1" ht="15.75" customHeight="1">
      <c r="A1781" s="202" t="str">
        <f>IF(B1781&lt;&gt;"",IF(AND(B1781&gt;=_TM1,B1781&lt;=_TM2,OR(TH!L1781="1111",TH!M1781="1111")),TH!D1781,""),"")</f>
        <v/>
      </c>
      <c r="B1781" s="36">
        <f t="shared" si="81"/>
        <v>11</v>
      </c>
      <c r="C1781" s="182">
        <f t="shared" si="80"/>
        <v>42700</v>
      </c>
      <c r="D1781" s="182" t="s">
        <v>1125</v>
      </c>
      <c r="E1781" s="189">
        <v>42700</v>
      </c>
      <c r="F1781" s="40" t="s">
        <v>1360</v>
      </c>
      <c r="G1781" s="451" t="s">
        <v>1410</v>
      </c>
      <c r="H1781" s="191" t="s">
        <v>1356</v>
      </c>
      <c r="I1781" s="252"/>
      <c r="J1781" s="252"/>
      <c r="K1781" s="38">
        <v>345700</v>
      </c>
      <c r="L1781" s="192" t="s">
        <v>258</v>
      </c>
      <c r="M1781" s="192" t="s">
        <v>367</v>
      </c>
      <c r="N1781" s="52" t="str">
        <f>IF(AND('331-CT'!$E$7=TH!H1781,OR(L1781="331",M1781="331")),"331",IF(AND(OR(L1781="131",M1781="131"),H1781='131-CT'!$E$7),"131",""))</f>
        <v/>
      </c>
      <c r="O1781" s="818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52"/>
      <c r="AB1781" s="552"/>
      <c r="AC1781" s="552"/>
    </row>
    <row r="1782" spans="1:29" s="209" customFormat="1" ht="15.75" customHeight="1">
      <c r="A1782" s="202" t="str">
        <f>IF(B1782&lt;&gt;"",IF(AND(B1782&gt;=_TM1,B1782&lt;=_TM2,OR(TH!L1782="1111",TH!M1782="1111")),TH!D1782,""),"")</f>
        <v/>
      </c>
      <c r="B1782" s="36">
        <f t="shared" si="81"/>
        <v>11</v>
      </c>
      <c r="C1782" s="182">
        <f t="shared" si="80"/>
        <v>42700</v>
      </c>
      <c r="D1782" s="182" t="s">
        <v>1126</v>
      </c>
      <c r="E1782" s="189">
        <v>42700</v>
      </c>
      <c r="F1782" s="190" t="s">
        <v>1446</v>
      </c>
      <c r="G1782" s="451" t="s">
        <v>1414</v>
      </c>
      <c r="H1782" s="7" t="s">
        <v>615</v>
      </c>
      <c r="I1782" s="252">
        <v>200</v>
      </c>
      <c r="J1782" s="252">
        <v>18300</v>
      </c>
      <c r="K1782" s="38">
        <f>ROUND(I1782*J1782,0)</f>
        <v>3660000</v>
      </c>
      <c r="L1782" s="192" t="s">
        <v>258</v>
      </c>
      <c r="M1782" s="192" t="s">
        <v>173</v>
      </c>
      <c r="N1782" s="52" t="str">
        <f>IF(AND('331-CT'!$E$7=TH!H1782,OR(L1782="331",M1782="331")),"331",IF(AND(OR(L1782="131",M1782="131"),H1782='131-CT'!$E$7),"131",""))</f>
        <v/>
      </c>
      <c r="O1782" s="818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52"/>
      <c r="AB1782" s="552"/>
    </row>
    <row r="1783" spans="1:29" s="209" customFormat="1" ht="15.75" customHeight="1">
      <c r="A1783" s="202" t="str">
        <f>IF(B1783&lt;&gt;"",IF(AND(B1783&gt;=_TM1,B1783&lt;=_TM2,OR(TH!L1783="1111",TH!M1783="1111")),TH!D1783,""),"")</f>
        <v/>
      </c>
      <c r="B1783" s="36">
        <f t="shared" si="81"/>
        <v>11</v>
      </c>
      <c r="C1783" s="182">
        <f t="shared" si="80"/>
        <v>42700</v>
      </c>
      <c r="D1783" s="182" t="s">
        <v>1126</v>
      </c>
      <c r="E1783" s="189">
        <v>42700</v>
      </c>
      <c r="F1783" s="40" t="s">
        <v>1254</v>
      </c>
      <c r="G1783" s="451" t="s">
        <v>1414</v>
      </c>
      <c r="H1783" s="7" t="s">
        <v>615</v>
      </c>
      <c r="I1783" s="252"/>
      <c r="J1783" s="252"/>
      <c r="K1783" s="38">
        <v>366000</v>
      </c>
      <c r="L1783" s="192" t="s">
        <v>258</v>
      </c>
      <c r="M1783" s="192" t="s">
        <v>367</v>
      </c>
      <c r="N1783" s="52" t="str">
        <f>IF(AND('331-CT'!$E$7=TH!H1783,OR(L1783="331",M1783="331")),"331",IF(AND(OR(L1783="131",M1783="131"),H1783='131-CT'!$E$7),"131",""))</f>
        <v/>
      </c>
      <c r="O1783" s="818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52"/>
      <c r="AB1783" s="552"/>
      <c r="AC1783" s="552"/>
    </row>
    <row r="1784" spans="1:29" s="209" customFormat="1" ht="15.75" customHeight="1">
      <c r="A1784" s="202" t="str">
        <f>IF(B1784&lt;&gt;"",IF(AND(B1784&gt;=_TM1,B1784&lt;=_TM2,OR(TH!L1784="1111",TH!M1784="1111")),TH!D1784,""),"")</f>
        <v/>
      </c>
      <c r="B1784" s="36">
        <f t="shared" si="81"/>
        <v>11</v>
      </c>
      <c r="C1784" s="182">
        <f t="shared" si="80"/>
        <v>42700</v>
      </c>
      <c r="D1784" s="182" t="s">
        <v>1127</v>
      </c>
      <c r="E1784" s="189">
        <v>42700</v>
      </c>
      <c r="F1784" s="40" t="s">
        <v>1335</v>
      </c>
      <c r="G1784" s="451" t="s">
        <v>810</v>
      </c>
      <c r="H1784" s="7" t="s">
        <v>417</v>
      </c>
      <c r="I1784" s="252">
        <v>259</v>
      </c>
      <c r="J1784" s="252">
        <v>9800</v>
      </c>
      <c r="K1784" s="38">
        <f>ROUND(I1784*J1784,0)</f>
        <v>2538200</v>
      </c>
      <c r="L1784" s="192" t="s">
        <v>258</v>
      </c>
      <c r="M1784" s="192" t="s">
        <v>173</v>
      </c>
      <c r="N1784" s="52" t="str">
        <f>IF(AND('331-CT'!$E$7=TH!H1784,OR(L1784="331",M1784="331")),"331",IF(AND(OR(L1784="131",M1784="131"),H1784='131-CT'!$E$7),"131",""))</f>
        <v/>
      </c>
      <c r="O1784" s="818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52"/>
      <c r="AB1784" s="552"/>
      <c r="AC1784" s="552"/>
    </row>
    <row r="1785" spans="1:29" s="209" customFormat="1" ht="15.75" customHeight="1">
      <c r="A1785" s="202" t="str">
        <f>IF(B1785&lt;&gt;"",IF(AND(B1785&gt;=_TM1,B1785&lt;=_TM2,OR(TH!L1785="1111",TH!M1785="1111")),TH!D1785,""),"")</f>
        <v/>
      </c>
      <c r="B1785" s="36">
        <f t="shared" si="81"/>
        <v>11</v>
      </c>
      <c r="C1785" s="182">
        <f t="shared" si="80"/>
        <v>42700</v>
      </c>
      <c r="D1785" s="182" t="s">
        <v>1127</v>
      </c>
      <c r="E1785" s="189">
        <v>42700</v>
      </c>
      <c r="F1785" s="40" t="s">
        <v>1415</v>
      </c>
      <c r="G1785" s="451" t="s">
        <v>810</v>
      </c>
      <c r="H1785" s="7" t="s">
        <v>417</v>
      </c>
      <c r="I1785" s="252">
        <v>286</v>
      </c>
      <c r="J1785" s="252">
        <v>7900</v>
      </c>
      <c r="K1785" s="38">
        <f>ROUND(I1785*J1785,0)</f>
        <v>2259400</v>
      </c>
      <c r="L1785" s="192" t="s">
        <v>258</v>
      </c>
      <c r="M1785" s="192" t="s">
        <v>173</v>
      </c>
      <c r="N1785" s="52" t="str">
        <f>IF(AND('331-CT'!$E$7=TH!H1785,OR(L1785="331",M1785="331")),"331",IF(AND(OR(L1785="131",M1785="131"),H1785='131-CT'!$E$7),"131",""))</f>
        <v/>
      </c>
      <c r="O1785" s="818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52"/>
      <c r="AB1785" s="552"/>
    </row>
    <row r="1786" spans="1:29" s="209" customFormat="1" ht="15.75" customHeight="1">
      <c r="A1786" s="202" t="str">
        <f>IF(B1786&lt;&gt;"",IF(AND(B1786&gt;=_TM1,B1786&lt;=_TM2,OR(TH!L1786="1111",TH!M1786="1111")),TH!D1786,""),"")</f>
        <v/>
      </c>
      <c r="B1786" s="36">
        <f t="shared" si="81"/>
        <v>11</v>
      </c>
      <c r="C1786" s="182">
        <f t="shared" si="80"/>
        <v>42700</v>
      </c>
      <c r="D1786" s="182" t="s">
        <v>1127</v>
      </c>
      <c r="E1786" s="189">
        <v>42700</v>
      </c>
      <c r="F1786" s="40" t="s">
        <v>1416</v>
      </c>
      <c r="G1786" s="451" t="s">
        <v>810</v>
      </c>
      <c r="H1786" s="7" t="s">
        <v>417</v>
      </c>
      <c r="I1786" s="252">
        <v>308</v>
      </c>
      <c r="J1786" s="252">
        <v>9400</v>
      </c>
      <c r="K1786" s="38">
        <f>ROUND(I1786*J1786,0)</f>
        <v>2895200</v>
      </c>
      <c r="L1786" s="192" t="s">
        <v>258</v>
      </c>
      <c r="M1786" s="192" t="s">
        <v>173</v>
      </c>
      <c r="N1786" s="52" t="str">
        <f>IF(AND('331-CT'!$E$7=TH!H1786,OR(L1786="331",M1786="331")),"331",IF(AND(OR(L1786="131",M1786="131"),H1786='131-CT'!$E$7),"131",""))</f>
        <v/>
      </c>
      <c r="O1786" s="818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52"/>
      <c r="AB1786" s="552"/>
      <c r="AC1786" s="552"/>
    </row>
    <row r="1787" spans="1:29" s="209" customFormat="1" ht="15.75" customHeight="1">
      <c r="A1787" s="202" t="str">
        <f>IF(B1787&lt;&gt;"",IF(AND(B1787&gt;=_TM1,B1787&lt;=_TM2,OR(TH!L1787="1111",TH!M1787="1111")),TH!D1787,""),"")</f>
        <v/>
      </c>
      <c r="B1787" s="36">
        <f t="shared" si="81"/>
        <v>11</v>
      </c>
      <c r="C1787" s="182">
        <f t="shared" si="80"/>
        <v>42700</v>
      </c>
      <c r="D1787" s="182" t="s">
        <v>1127</v>
      </c>
      <c r="E1787" s="189">
        <v>42700</v>
      </c>
      <c r="F1787" s="40" t="s">
        <v>1254</v>
      </c>
      <c r="G1787" s="451" t="s">
        <v>810</v>
      </c>
      <c r="H1787" s="7" t="s">
        <v>417</v>
      </c>
      <c r="I1787" s="252"/>
      <c r="J1787" s="252"/>
      <c r="K1787" s="38">
        <v>769280</v>
      </c>
      <c r="L1787" s="192" t="s">
        <v>258</v>
      </c>
      <c r="M1787" s="192" t="s">
        <v>367</v>
      </c>
      <c r="N1787" s="52" t="str">
        <f>IF(AND('331-CT'!$E$7=TH!H1787,OR(L1787="331",M1787="331")),"331",IF(AND(OR(L1787="131",M1787="131"),H1787='131-CT'!$E$7),"131",""))</f>
        <v/>
      </c>
      <c r="O1787" s="818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52"/>
      <c r="AB1787" s="552"/>
    </row>
    <row r="1788" spans="1:29" s="209" customFormat="1" ht="15.75" customHeight="1">
      <c r="A1788" s="202" t="str">
        <f>IF(B1788&lt;&gt;"",IF(AND(B1788&gt;=_TM1,B1788&lt;=_TM2,OR(TH!L1788="1111",TH!M1788="1111")),TH!D1788,""),"")</f>
        <v>C15</v>
      </c>
      <c r="B1788" s="36">
        <f t="shared" si="81"/>
        <v>11</v>
      </c>
      <c r="C1788" s="182">
        <f t="shared" si="80"/>
        <v>42700</v>
      </c>
      <c r="D1788" s="182" t="s">
        <v>1647</v>
      </c>
      <c r="E1788" s="189">
        <v>42700</v>
      </c>
      <c r="F1788" s="190" t="s">
        <v>1530</v>
      </c>
      <c r="G1788" s="451" t="s">
        <v>1532</v>
      </c>
      <c r="H1788" s="191" t="s">
        <v>1533</v>
      </c>
      <c r="I1788" s="252"/>
      <c r="J1788" s="252"/>
      <c r="K1788" s="38">
        <v>1135200</v>
      </c>
      <c r="L1788" s="192" t="s">
        <v>83</v>
      </c>
      <c r="M1788" s="192" t="s">
        <v>47</v>
      </c>
      <c r="N1788" s="52" t="str">
        <f>IF(AND('331-CT'!$E$7=TH!H1788,OR(L1788="331",M1788="331")),"331",IF(AND(OR(L1788="131",M1788="131"),H1788='131-CT'!$E$7),"131",""))</f>
        <v/>
      </c>
      <c r="O1788" s="818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>x</v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751">
        <v>4</v>
      </c>
      <c r="AB1788" s="552"/>
      <c r="AC1788" s="552"/>
    </row>
    <row r="1789" spans="1:29" s="209" customFormat="1" ht="15.75" customHeight="1">
      <c r="A1789" s="202" t="str">
        <f>IF(B1789&lt;&gt;"",IF(AND(B1789&gt;=_TM1,B1789&lt;=_TM2,OR(TH!L1789="1111",TH!M1789="1111")),TH!D1789,""),"")</f>
        <v>C15</v>
      </c>
      <c r="B1789" s="36">
        <f t="shared" si="81"/>
        <v>11</v>
      </c>
      <c r="C1789" s="182">
        <f t="shared" si="80"/>
        <v>42700</v>
      </c>
      <c r="D1789" s="182" t="s">
        <v>1647</v>
      </c>
      <c r="E1789" s="189">
        <v>42700</v>
      </c>
      <c r="F1789" s="190" t="s">
        <v>1531</v>
      </c>
      <c r="G1789" s="451" t="s">
        <v>1532</v>
      </c>
      <c r="H1789" s="191" t="s">
        <v>1533</v>
      </c>
      <c r="I1789" s="252"/>
      <c r="J1789" s="252"/>
      <c r="K1789" s="38">
        <v>113520</v>
      </c>
      <c r="L1789" s="192" t="s">
        <v>9</v>
      </c>
      <c r="M1789" s="192" t="s">
        <v>47</v>
      </c>
      <c r="N1789" s="52" t="str">
        <f>IF(AND('331-CT'!$E$7=TH!H1789,OR(L1789="331",M1789="331")),"331",IF(AND(OR(L1789="131",M1789="131"),H1789='131-CT'!$E$7),"131",""))</f>
        <v/>
      </c>
      <c r="O1789" s="818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751">
        <v>4</v>
      </c>
      <c r="AB1789" s="552"/>
      <c r="AC1789" s="552"/>
    </row>
    <row r="1790" spans="1:29" s="209" customFormat="1" ht="15.75" customHeight="1">
      <c r="A1790" s="202" t="str">
        <f>IF(B1790&lt;&gt;"",IF(AND(B1790&gt;=_TM1,B1790&lt;=_TM2,OR(TH!L1790="1111",TH!M1790="1111")),TH!D1790,""),"")</f>
        <v/>
      </c>
      <c r="B1790" s="36">
        <f t="shared" si="81"/>
        <v>11</v>
      </c>
      <c r="C1790" s="182">
        <f t="shared" si="80"/>
        <v>42701</v>
      </c>
      <c r="D1790" s="182" t="s">
        <v>1128</v>
      </c>
      <c r="E1790" s="189">
        <v>42701</v>
      </c>
      <c r="F1790" s="40" t="s">
        <v>1418</v>
      </c>
      <c r="G1790" s="451" t="s">
        <v>1417</v>
      </c>
      <c r="H1790" s="191" t="s">
        <v>1328</v>
      </c>
      <c r="I1790" s="252">
        <v>48</v>
      </c>
      <c r="J1790" s="252">
        <v>14900</v>
      </c>
      <c r="K1790" s="38">
        <f>ROUND(I1790*J1790,0)</f>
        <v>715200</v>
      </c>
      <c r="L1790" s="192" t="s">
        <v>258</v>
      </c>
      <c r="M1790" s="192" t="s">
        <v>173</v>
      </c>
      <c r="N1790" s="52" t="str">
        <f>IF(AND('331-CT'!$E$7=TH!H1790,OR(L1790="331",M1790="331")),"331",IF(AND(OR(L1790="131",M1790="131"),H1790='131-CT'!$E$7),"131",""))</f>
        <v/>
      </c>
      <c r="O1790" s="818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52"/>
      <c r="AB1790" s="552"/>
      <c r="AC1790" s="552"/>
    </row>
    <row r="1791" spans="1:29" s="209" customFormat="1" ht="15.75" customHeight="1">
      <c r="A1791" s="202" t="str">
        <f>IF(B1791&lt;&gt;"",IF(AND(B1791&gt;=_TM1,B1791&lt;=_TM2,OR(TH!L1791="1111",TH!M1791="1111")),TH!D1791,""),"")</f>
        <v/>
      </c>
      <c r="B1791" s="36">
        <f t="shared" si="81"/>
        <v>11</v>
      </c>
      <c r="C1791" s="182">
        <f t="shared" si="80"/>
        <v>42701</v>
      </c>
      <c r="D1791" s="182" t="s">
        <v>1128</v>
      </c>
      <c r="E1791" s="189">
        <v>42701</v>
      </c>
      <c r="F1791" s="40" t="s">
        <v>1254</v>
      </c>
      <c r="G1791" s="451" t="s">
        <v>1417</v>
      </c>
      <c r="H1791" s="191" t="s">
        <v>1328</v>
      </c>
      <c r="I1791" s="252"/>
      <c r="J1791" s="252"/>
      <c r="K1791" s="38">
        <v>71520</v>
      </c>
      <c r="L1791" s="192" t="s">
        <v>258</v>
      </c>
      <c r="M1791" s="192" t="s">
        <v>367</v>
      </c>
      <c r="N1791" s="52" t="str">
        <f>IF(AND('331-CT'!$E$7=TH!H1791,OR(L1791="331",M1791="331")),"331",IF(AND(OR(L1791="131",M1791="131"),H1791='131-CT'!$E$7),"131",""))</f>
        <v/>
      </c>
      <c r="O1791" s="818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52"/>
      <c r="AB1791" s="552"/>
      <c r="AC1791" s="552"/>
    </row>
    <row r="1792" spans="1:29" s="209" customFormat="1" ht="15.75" customHeight="1">
      <c r="A1792" s="202" t="str">
        <f>IF(B1792&lt;&gt;"",IF(AND(B1792&gt;=_TM1,B1792&lt;=_TM2,OR(TH!L1792="1111",TH!M1792="1111")),TH!D1792,""),"")</f>
        <v/>
      </c>
      <c r="B1792" s="36">
        <f t="shared" si="81"/>
        <v>11</v>
      </c>
      <c r="C1792" s="182">
        <f t="shared" si="80"/>
        <v>42701</v>
      </c>
      <c r="D1792" s="182" t="s">
        <v>1129</v>
      </c>
      <c r="E1792" s="189">
        <v>42701</v>
      </c>
      <c r="F1792" s="40" t="s">
        <v>1473</v>
      </c>
      <c r="G1792" s="451" t="s">
        <v>1470</v>
      </c>
      <c r="H1792" s="191" t="s">
        <v>1471</v>
      </c>
      <c r="I1792" s="252">
        <v>4000</v>
      </c>
      <c r="J1792" s="252">
        <v>4500</v>
      </c>
      <c r="K1792" s="38">
        <f>ROUND(I1792*J1792,0)</f>
        <v>18000000</v>
      </c>
      <c r="L1792" s="192" t="s">
        <v>258</v>
      </c>
      <c r="M1792" s="192" t="s">
        <v>173</v>
      </c>
      <c r="N1792" s="52" t="str">
        <f>IF(AND('331-CT'!$E$7=TH!H1792,OR(L1792="331",M1792="331")),"331",IF(AND(OR(L1792="131",M1792="131"),H1792='131-CT'!$E$7),"131",""))</f>
        <v/>
      </c>
      <c r="O1792" s="818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52"/>
      <c r="AB1792" s="552"/>
    </row>
    <row r="1793" spans="1:32" s="209" customFormat="1" ht="15.75" customHeight="1">
      <c r="A1793" s="202" t="str">
        <f>IF(B1793&lt;&gt;"",IF(AND(B1793&gt;=_TM1,B1793&lt;=_TM2,OR(TH!L1793="1111",TH!M1793="1111")),TH!D1793,""),"")</f>
        <v/>
      </c>
      <c r="B1793" s="36">
        <f t="shared" si="81"/>
        <v>11</v>
      </c>
      <c r="C1793" s="182">
        <f t="shared" si="80"/>
        <v>42701</v>
      </c>
      <c r="D1793" s="182" t="s">
        <v>1129</v>
      </c>
      <c r="E1793" s="189">
        <v>42701</v>
      </c>
      <c r="F1793" s="40" t="s">
        <v>1254</v>
      </c>
      <c r="G1793" s="451" t="s">
        <v>1470</v>
      </c>
      <c r="H1793" s="191" t="s">
        <v>1471</v>
      </c>
      <c r="I1793" s="252"/>
      <c r="J1793" s="252"/>
      <c r="K1793" s="38">
        <v>1800000</v>
      </c>
      <c r="L1793" s="192" t="s">
        <v>258</v>
      </c>
      <c r="M1793" s="192" t="s">
        <v>367</v>
      </c>
      <c r="N1793" s="52" t="str">
        <f>IF(AND('331-CT'!$E$7=TH!H1793,OR(L1793="331",M1793="331")),"331",IF(AND(OR(L1793="131",M1793="131"),H1793='131-CT'!$E$7),"131",""))</f>
        <v/>
      </c>
      <c r="O1793" s="818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52"/>
      <c r="AB1793" s="552"/>
      <c r="AC1793" s="552"/>
    </row>
    <row r="1794" spans="1:32" s="209" customFormat="1" ht="15.75" customHeight="1">
      <c r="A1794" s="202" t="str">
        <f>IF(B1794&lt;&gt;"",IF(AND(B1794&gt;=_TM1,B1794&lt;=_TM2,OR(TH!L1794="1111",TH!M1794="1111")),TH!D1794,""),"")</f>
        <v>T10</v>
      </c>
      <c r="B1794" s="36">
        <f t="shared" si="81"/>
        <v>11</v>
      </c>
      <c r="C1794" s="182">
        <f t="shared" si="80"/>
        <v>42701</v>
      </c>
      <c r="D1794" s="182" t="s">
        <v>1631</v>
      </c>
      <c r="E1794" s="189">
        <v>42701</v>
      </c>
      <c r="F1794" s="40" t="s">
        <v>1472</v>
      </c>
      <c r="G1794" s="451" t="s">
        <v>1470</v>
      </c>
      <c r="H1794" s="191" t="s">
        <v>1471</v>
      </c>
      <c r="I1794" s="252"/>
      <c r="J1794" s="252"/>
      <c r="K1794" s="38">
        <v>19800000</v>
      </c>
      <c r="L1794" s="192" t="s">
        <v>47</v>
      </c>
      <c r="M1794" s="192" t="s">
        <v>258</v>
      </c>
      <c r="N1794" s="52" t="str">
        <f>IF(AND('331-CT'!$E$7=TH!H1794,OR(L1794="331",M1794="331")),"331",IF(AND(OR(L1794="131",M1794="131"),H1794='131-CT'!$E$7),"131",""))</f>
        <v/>
      </c>
      <c r="O1794" s="818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52"/>
      <c r="AB1794" s="552"/>
      <c r="AC1794" s="552"/>
    </row>
    <row r="1795" spans="1:32" s="209" customFormat="1" ht="15.75" customHeight="1">
      <c r="A1795" s="202" t="str">
        <f>IF(B1795&lt;&gt;"",IF(AND(B1795&gt;=_TM1,B1795&lt;=_TM2,OR(TH!L1795="1111",TH!M1795="1111")),TH!D1795,""),"")</f>
        <v/>
      </c>
      <c r="B1795" s="36">
        <f t="shared" si="81"/>
        <v>11</v>
      </c>
      <c r="C1795" s="182">
        <f t="shared" si="80"/>
        <v>42702</v>
      </c>
      <c r="D1795" s="182" t="s">
        <v>1130</v>
      </c>
      <c r="E1795" s="189">
        <v>42702</v>
      </c>
      <c r="F1795" s="40" t="s">
        <v>1473</v>
      </c>
      <c r="G1795" s="451" t="s">
        <v>1474</v>
      </c>
      <c r="H1795" s="191" t="s">
        <v>1471</v>
      </c>
      <c r="I1795" s="252">
        <v>1700</v>
      </c>
      <c r="J1795" s="252">
        <v>4500</v>
      </c>
      <c r="K1795" s="38">
        <f>ROUND(I1795*J1795,0)</f>
        <v>7650000</v>
      </c>
      <c r="L1795" s="192" t="s">
        <v>258</v>
      </c>
      <c r="M1795" s="192" t="s">
        <v>173</v>
      </c>
      <c r="N1795" s="52" t="str">
        <f>IF(AND('331-CT'!$E$7=TH!H1795,OR(L1795="331",M1795="331")),"331",IF(AND(OR(L1795="131",M1795="131"),H1795='131-CT'!$E$7),"131",""))</f>
        <v/>
      </c>
      <c r="O1795" s="818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52"/>
      <c r="AB1795" s="552"/>
    </row>
    <row r="1796" spans="1:32" s="209" customFormat="1" ht="15.75" customHeight="1">
      <c r="A1796" s="202" t="str">
        <f>IF(B1796&lt;&gt;"",IF(AND(B1796&gt;=_TM1,B1796&lt;=_TM2,OR(TH!L1796="1111",TH!M1796="1111")),TH!D1796,""),"")</f>
        <v/>
      </c>
      <c r="B1796" s="36">
        <f t="shared" si="81"/>
        <v>11</v>
      </c>
      <c r="C1796" s="182">
        <f t="shared" si="80"/>
        <v>42702</v>
      </c>
      <c r="D1796" s="182" t="s">
        <v>1130</v>
      </c>
      <c r="E1796" s="189">
        <v>42702</v>
      </c>
      <c r="F1796" s="40" t="s">
        <v>1254</v>
      </c>
      <c r="G1796" s="451" t="s">
        <v>1474</v>
      </c>
      <c r="H1796" s="191" t="s">
        <v>1471</v>
      </c>
      <c r="I1796" s="252"/>
      <c r="J1796" s="252"/>
      <c r="K1796" s="38">
        <v>765000</v>
      </c>
      <c r="L1796" s="192" t="s">
        <v>258</v>
      </c>
      <c r="M1796" s="192" t="s">
        <v>367</v>
      </c>
      <c r="N1796" s="52" t="str">
        <f>IF(AND('331-CT'!$E$7=TH!H1796,OR(L1796="331",M1796="331")),"331",IF(AND(OR(L1796="131",M1796="131"),H1796='131-CT'!$E$7),"131",""))</f>
        <v/>
      </c>
      <c r="O1796" s="818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52"/>
      <c r="AB1796" s="552"/>
      <c r="AC1796" s="552"/>
    </row>
    <row r="1797" spans="1:32" s="209" customFormat="1" ht="15.75" customHeight="1">
      <c r="A1797" s="202" t="str">
        <f>IF(B1797&lt;&gt;"",IF(AND(B1797&gt;=_TM1,B1797&lt;=_TM2,OR(TH!L1797="1111",TH!M1797="1111")),TH!D1797,""),"")</f>
        <v>T11</v>
      </c>
      <c r="B1797" s="36">
        <f t="shared" si="81"/>
        <v>11</v>
      </c>
      <c r="C1797" s="182">
        <f t="shared" ref="C1797:C1860" si="82">E1797</f>
        <v>42702</v>
      </c>
      <c r="D1797" s="182" t="s">
        <v>1632</v>
      </c>
      <c r="E1797" s="189">
        <v>42702</v>
      </c>
      <c r="F1797" s="40" t="s">
        <v>1472</v>
      </c>
      <c r="G1797" s="451" t="s">
        <v>1474</v>
      </c>
      <c r="H1797" s="191" t="s">
        <v>1471</v>
      </c>
      <c r="I1797" s="252"/>
      <c r="J1797" s="252"/>
      <c r="K1797" s="38">
        <v>8415000</v>
      </c>
      <c r="L1797" s="192" t="s">
        <v>47</v>
      </c>
      <c r="M1797" s="192" t="s">
        <v>258</v>
      </c>
      <c r="N1797" s="52" t="str">
        <f>IF(AND('331-CT'!$E$7=TH!H1797,OR(L1797="331",M1797="331")),"331",IF(AND(OR(L1797="131",M1797="131"),H1797='131-CT'!$E$7),"131",""))</f>
        <v/>
      </c>
      <c r="O1797" s="818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52"/>
      <c r="AB1797" s="552"/>
    </row>
    <row r="1798" spans="1:32" s="209" customFormat="1" ht="15.75" customHeight="1">
      <c r="A1798" s="202" t="str">
        <f>IF(B1798&lt;&gt;"",IF(AND(B1798&gt;=_TM1,B1798&lt;=_TM2,OR(TH!L1798="1111",TH!M1798="1111")),TH!D1798,""),"")</f>
        <v/>
      </c>
      <c r="B1798" s="36">
        <f t="shared" si="81"/>
        <v>11</v>
      </c>
      <c r="C1798" s="182">
        <f t="shared" si="82"/>
        <v>42703</v>
      </c>
      <c r="D1798" s="182" t="s">
        <v>669</v>
      </c>
      <c r="E1798" s="189">
        <v>42703</v>
      </c>
      <c r="F1798" s="190" t="s">
        <v>671</v>
      </c>
      <c r="G1798" s="190" t="s">
        <v>330</v>
      </c>
      <c r="H1798" s="7" t="s">
        <v>1453</v>
      </c>
      <c r="I1798" s="251"/>
      <c r="J1798" s="251"/>
      <c r="K1798" s="560">
        <v>7000000</v>
      </c>
      <c r="L1798" s="192" t="s">
        <v>8</v>
      </c>
      <c r="M1798" s="561" t="s">
        <v>24</v>
      </c>
      <c r="N1798" s="52" t="str">
        <f>IF(AND('331-CT'!$E$7=TH!H1798,OR(L1798="331",M1798="331")),"331",IF(AND(OR(L1798="131",M1798="131"),H1798='131-CT'!$E$7),"131",""))</f>
        <v/>
      </c>
      <c r="O1798" s="818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53"/>
      <c r="AB1798" s="552"/>
      <c r="AC1798" s="552"/>
    </row>
    <row r="1799" spans="1:32" s="209" customFormat="1" ht="15.75" customHeight="1">
      <c r="A1799" s="202" t="str">
        <f>IF(B1799&lt;&gt;"",IF(AND(B1799&gt;=_TM1,B1799&lt;=_TM2,OR(TH!L1799="1111",TH!M1799="1111")),TH!D1799,""),"")</f>
        <v/>
      </c>
      <c r="B1799" s="36">
        <f t="shared" si="81"/>
        <v>11</v>
      </c>
      <c r="C1799" s="182">
        <f t="shared" si="82"/>
        <v>42703</v>
      </c>
      <c r="D1799" s="182" t="s">
        <v>669</v>
      </c>
      <c r="E1799" s="189">
        <v>42703</v>
      </c>
      <c r="F1799" s="187" t="s">
        <v>672</v>
      </c>
      <c r="G1799" s="190" t="s">
        <v>330</v>
      </c>
      <c r="H1799" s="7"/>
      <c r="I1799" s="251"/>
      <c r="J1799" s="251"/>
      <c r="K1799" s="560">
        <v>13636</v>
      </c>
      <c r="L1799" s="561" t="s">
        <v>83</v>
      </c>
      <c r="M1799" s="561" t="s">
        <v>24</v>
      </c>
      <c r="N1799" s="52" t="str">
        <f>IF(AND('331-CT'!$E$7=TH!H1799,OR(L1799="331",M1799="331")),"331",IF(AND(OR(L1799="131",M1799="131"),H1799='131-CT'!$E$7),"131",""))</f>
        <v/>
      </c>
      <c r="O1799" s="818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>x</v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52">
        <v>4</v>
      </c>
      <c r="AB1799" s="552"/>
    </row>
    <row r="1800" spans="1:32" s="209" customFormat="1" ht="15.75" customHeight="1">
      <c r="A1800" s="202" t="str">
        <f>IF(B1800&lt;&gt;"",IF(AND(B1800&gt;=_TM1,B1800&lt;=_TM2,OR(TH!L1800="1111",TH!M1800="1111")),TH!D1800,""),"")</f>
        <v/>
      </c>
      <c r="B1800" s="36">
        <f t="shared" si="81"/>
        <v>11</v>
      </c>
      <c r="C1800" s="182">
        <f t="shared" si="82"/>
        <v>42703</v>
      </c>
      <c r="D1800" s="182" t="s">
        <v>669</v>
      </c>
      <c r="E1800" s="189">
        <v>42703</v>
      </c>
      <c r="F1800" s="187" t="s">
        <v>762</v>
      </c>
      <c r="G1800" s="190" t="s">
        <v>330</v>
      </c>
      <c r="H1800" s="191"/>
      <c r="I1800" s="251"/>
      <c r="J1800" s="251"/>
      <c r="K1800" s="560">
        <v>1364</v>
      </c>
      <c r="L1800" s="192" t="s">
        <v>9</v>
      </c>
      <c r="M1800" s="561" t="s">
        <v>24</v>
      </c>
      <c r="N1800" s="52" t="str">
        <f>IF(AND('331-CT'!$E$7=TH!H1800,OR(L1800="331",M1800="331")),"331",IF(AND(OR(L1800="131",M1800="131"),H1800='131-CT'!$E$7),"131",""))</f>
        <v/>
      </c>
      <c r="O1800" s="818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52">
        <v>4</v>
      </c>
      <c r="AB1800" s="552"/>
      <c r="AC1800" s="552"/>
    </row>
    <row r="1801" spans="1:32" s="209" customFormat="1" ht="15.75" customHeight="1">
      <c r="A1801" s="202" t="str">
        <f>IF(B1801&lt;&gt;"",IF(AND(B1801&gt;=_TM1,B1801&lt;=_TM2,OR(TH!L1801="1111",TH!M1801="1111")),TH!D1801,""),"")</f>
        <v/>
      </c>
      <c r="B1801" s="36">
        <f t="shared" si="81"/>
        <v>11</v>
      </c>
      <c r="C1801" s="182">
        <f t="shared" si="82"/>
        <v>42703</v>
      </c>
      <c r="D1801" s="182" t="s">
        <v>669</v>
      </c>
      <c r="E1801" s="189">
        <v>42703</v>
      </c>
      <c r="F1801" s="190" t="s">
        <v>674</v>
      </c>
      <c r="G1801" s="190" t="s">
        <v>330</v>
      </c>
      <c r="H1801" s="7"/>
      <c r="I1801" s="251"/>
      <c r="J1801" s="251"/>
      <c r="K1801" s="560">
        <v>13636</v>
      </c>
      <c r="L1801" s="561" t="s">
        <v>83</v>
      </c>
      <c r="M1801" s="561" t="s">
        <v>24</v>
      </c>
      <c r="N1801" s="52" t="str">
        <f>IF(AND('331-CT'!$E$7=TH!H1801,OR(L1801="331",M1801="331")),"331",IF(AND(OR(L1801="131",M1801="131"),H1801='131-CT'!$E$7),"131",""))</f>
        <v/>
      </c>
      <c r="O1801" s="818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>x</v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52">
        <v>4</v>
      </c>
      <c r="AB1801" s="552"/>
    </row>
    <row r="1802" spans="1:32" s="209" customFormat="1" ht="15.75" customHeight="1">
      <c r="A1802" s="202" t="str">
        <f>IF(B1802&lt;&gt;"",IF(AND(B1802&gt;=_TM1,B1802&lt;=_TM2,OR(TH!L1802="1111",TH!M1802="1111")),TH!D1802,""),"")</f>
        <v/>
      </c>
      <c r="B1802" s="36">
        <f t="shared" si="81"/>
        <v>11</v>
      </c>
      <c r="C1802" s="182">
        <f t="shared" si="82"/>
        <v>42703</v>
      </c>
      <c r="D1802" s="182" t="s">
        <v>669</v>
      </c>
      <c r="E1802" s="189">
        <v>42703</v>
      </c>
      <c r="F1802" s="190" t="s">
        <v>794</v>
      </c>
      <c r="G1802" s="190" t="s">
        <v>330</v>
      </c>
      <c r="H1802" s="191"/>
      <c r="I1802" s="251"/>
      <c r="J1802" s="251"/>
      <c r="K1802" s="560">
        <v>1364</v>
      </c>
      <c r="L1802" s="192" t="s">
        <v>9</v>
      </c>
      <c r="M1802" s="561" t="s">
        <v>24</v>
      </c>
      <c r="N1802" s="52" t="str">
        <f>IF(AND('331-CT'!$E$7=TH!H1802,OR(L1802="331",M1802="331")),"331",IF(AND(OR(L1802="131",M1802="131"),H1802='131-CT'!$E$7),"131",""))</f>
        <v/>
      </c>
      <c r="O1802" s="818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52">
        <v>4</v>
      </c>
      <c r="AB1802" s="552"/>
      <c r="AC1802" s="552"/>
    </row>
    <row r="1803" spans="1:32" s="209" customFormat="1" ht="15.75" customHeight="1">
      <c r="A1803" s="202" t="str">
        <f>IF(B1803&lt;&gt;"",IF(AND(B1803&gt;=_TM1,B1803&lt;=_TM2,OR(TH!L1803="1111",TH!M1803="1111")),TH!D1803,""),"")</f>
        <v>T12</v>
      </c>
      <c r="B1803" s="36">
        <f t="shared" si="81"/>
        <v>11</v>
      </c>
      <c r="C1803" s="182">
        <f t="shared" si="82"/>
        <v>42703</v>
      </c>
      <c r="D1803" s="182" t="s">
        <v>1633</v>
      </c>
      <c r="E1803" s="189">
        <v>42703</v>
      </c>
      <c r="F1803" s="187" t="s">
        <v>776</v>
      </c>
      <c r="G1803" s="190" t="s">
        <v>1287</v>
      </c>
      <c r="H1803" s="191" t="s">
        <v>1282</v>
      </c>
      <c r="I1803" s="251"/>
      <c r="J1803" s="251"/>
      <c r="K1803" s="560">
        <v>3300000</v>
      </c>
      <c r="L1803" s="561" t="s">
        <v>47</v>
      </c>
      <c r="M1803" s="561" t="s">
        <v>24</v>
      </c>
      <c r="N1803" s="52" t="str">
        <f>IF(AND('331-CT'!$E$7=TH!H1803,OR(L1803="331",M1803="331")),"331",IF(AND(OR(L1803="131",M1803="131"),H1803='131-CT'!$E$7),"131",""))</f>
        <v/>
      </c>
      <c r="O1803" s="818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>x</v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53"/>
      <c r="AB1803" s="552"/>
      <c r="AC1803" s="552"/>
    </row>
    <row r="1804" spans="1:32" s="209" customFormat="1" ht="15.75" customHeight="1">
      <c r="A1804" s="202" t="str">
        <f>IF(B1804&lt;&gt;"",IF(AND(B1804&gt;=_TM1,B1804&lt;=_TM2,OR(TH!L1804="1111",TH!M1804="1111")),TH!D1804,""),"")</f>
        <v/>
      </c>
      <c r="B1804" s="36">
        <f t="shared" si="81"/>
        <v>11</v>
      </c>
      <c r="C1804" s="182">
        <f t="shared" si="82"/>
        <v>42703</v>
      </c>
      <c r="D1804" s="182" t="s">
        <v>669</v>
      </c>
      <c r="E1804" s="189">
        <v>42703</v>
      </c>
      <c r="F1804" s="190" t="s">
        <v>666</v>
      </c>
      <c r="G1804" s="190" t="s">
        <v>1287</v>
      </c>
      <c r="H1804" s="7" t="s">
        <v>391</v>
      </c>
      <c r="I1804" s="251"/>
      <c r="J1804" s="251"/>
      <c r="K1804" s="560">
        <v>8507730</v>
      </c>
      <c r="L1804" s="561" t="s">
        <v>24</v>
      </c>
      <c r="M1804" s="561" t="s">
        <v>258</v>
      </c>
      <c r="N1804" s="52" t="str">
        <f>IF(AND('331-CT'!$E$7=TH!H1804,OR(L1804="331",M1804="331")),"331",IF(AND(OR(L1804="131",M1804="131"),H1804='131-CT'!$E$7),"131",""))</f>
        <v/>
      </c>
      <c r="O1804" s="818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>x</v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53"/>
      <c r="AB1804" s="552"/>
    </row>
    <row r="1805" spans="1:32" s="209" customFormat="1" ht="15.75" customHeight="1">
      <c r="A1805" s="202" t="str">
        <f>IF(B1805&lt;&gt;"",IF(AND(B1805&gt;=_TM1,B1805&lt;=_TM2,OR(TH!L1805="1111",TH!M1805="1111")),TH!D1805,""),"")</f>
        <v/>
      </c>
      <c r="B1805" s="36">
        <f t="shared" si="81"/>
        <v>11</v>
      </c>
      <c r="C1805" s="182">
        <f t="shared" si="82"/>
        <v>42703</v>
      </c>
      <c r="D1805" s="182" t="s">
        <v>1131</v>
      </c>
      <c r="E1805" s="189">
        <v>42703</v>
      </c>
      <c r="F1805" s="40" t="s">
        <v>1473</v>
      </c>
      <c r="G1805" s="451" t="s">
        <v>1475</v>
      </c>
      <c r="H1805" s="191" t="s">
        <v>1471</v>
      </c>
      <c r="I1805" s="252">
        <v>4000</v>
      </c>
      <c r="J1805" s="252">
        <v>4500</v>
      </c>
      <c r="K1805" s="38">
        <f>ROUND(I1805*J1805,0)</f>
        <v>18000000</v>
      </c>
      <c r="L1805" s="192" t="s">
        <v>258</v>
      </c>
      <c r="M1805" s="192" t="s">
        <v>173</v>
      </c>
      <c r="N1805" s="52" t="str">
        <f>IF(AND('331-CT'!$E$7=TH!H1805,OR(L1805="331",M1805="331")),"331",IF(AND(OR(L1805="131",M1805="131"),H1805='131-CT'!$E$7),"131",""))</f>
        <v/>
      </c>
      <c r="O1805" s="818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52"/>
      <c r="AB1805" s="552"/>
      <c r="AC1805" s="552"/>
    </row>
    <row r="1806" spans="1:32" s="209" customFormat="1" ht="15.75" customHeight="1">
      <c r="A1806" s="202" t="str">
        <f>IF(B1806&lt;&gt;"",IF(AND(B1806&gt;=_TM1,B1806&lt;=_TM2,OR(TH!L1806="1111",TH!M1806="1111")),TH!D1806,""),"")</f>
        <v/>
      </c>
      <c r="B1806" s="36">
        <f t="shared" si="81"/>
        <v>11</v>
      </c>
      <c r="C1806" s="182">
        <f t="shared" si="82"/>
        <v>42703</v>
      </c>
      <c r="D1806" s="182" t="s">
        <v>1131</v>
      </c>
      <c r="E1806" s="189">
        <v>42703</v>
      </c>
      <c r="F1806" s="40" t="s">
        <v>1254</v>
      </c>
      <c r="G1806" s="451" t="s">
        <v>1475</v>
      </c>
      <c r="H1806" s="191" t="s">
        <v>1471</v>
      </c>
      <c r="I1806" s="252"/>
      <c r="J1806" s="252"/>
      <c r="K1806" s="38">
        <v>1800000</v>
      </c>
      <c r="L1806" s="192" t="s">
        <v>258</v>
      </c>
      <c r="M1806" s="192" t="s">
        <v>367</v>
      </c>
      <c r="N1806" s="52" t="str">
        <f>IF(AND('331-CT'!$E$7=TH!H1806,OR(L1806="331",M1806="331")),"331",IF(AND(OR(L1806="131",M1806="131"),H1806='131-CT'!$E$7),"131",""))</f>
        <v/>
      </c>
      <c r="O1806" s="818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52"/>
      <c r="AB1806" s="552"/>
      <c r="AC1806" s="552"/>
    </row>
    <row r="1807" spans="1:32" s="209" customFormat="1" ht="15.75" customHeight="1">
      <c r="A1807" s="202" t="str">
        <f>IF(B1807&lt;&gt;"",IF(AND(B1807&gt;=_TM1,B1807&lt;=_TM2,OR(TH!L1807="1111",TH!M1807="1111")),TH!D1807,""),"")</f>
        <v>T13</v>
      </c>
      <c r="B1807" s="36">
        <f t="shared" si="81"/>
        <v>11</v>
      </c>
      <c r="C1807" s="182">
        <f t="shared" si="82"/>
        <v>42703</v>
      </c>
      <c r="D1807" s="182" t="s">
        <v>1634</v>
      </c>
      <c r="E1807" s="189">
        <v>42703</v>
      </c>
      <c r="F1807" s="40" t="s">
        <v>1472</v>
      </c>
      <c r="G1807" s="451" t="s">
        <v>1475</v>
      </c>
      <c r="H1807" s="191" t="s">
        <v>1471</v>
      </c>
      <c r="I1807" s="252"/>
      <c r="J1807" s="252"/>
      <c r="K1807" s="38">
        <v>19800000</v>
      </c>
      <c r="L1807" s="192" t="s">
        <v>47</v>
      </c>
      <c r="M1807" s="192" t="s">
        <v>258</v>
      </c>
      <c r="N1807" s="52" t="str">
        <f>IF(AND('331-CT'!$E$7=TH!H1807,OR(L1807="331",M1807="331")),"331",IF(AND(OR(L1807="131",M1807="131"),H1807='131-CT'!$E$7),"131",""))</f>
        <v/>
      </c>
      <c r="O1807" s="818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52"/>
      <c r="AB1807" s="552"/>
    </row>
    <row r="1808" spans="1:32" s="209" customFormat="1" ht="15.75" customHeight="1">
      <c r="A1808" s="202" t="str">
        <f>IF(B1808&lt;&gt;"",IF(AND(B1808&gt;=_TM1,B1808&lt;=_TM2,OR(TH!L1808="1111",TH!M1808="1111")),TH!D1808,""),"")</f>
        <v/>
      </c>
      <c r="B1808" s="36">
        <f t="shared" si="81"/>
        <v>11</v>
      </c>
      <c r="C1808" s="839">
        <f t="shared" si="82"/>
        <v>42704</v>
      </c>
      <c r="D1808" s="839" t="s">
        <v>332</v>
      </c>
      <c r="E1808" s="839">
        <v>42704</v>
      </c>
      <c r="F1808" s="845" t="s">
        <v>1429</v>
      </c>
      <c r="G1808" s="874"/>
      <c r="H1808" s="875"/>
      <c r="I1808" s="842"/>
      <c r="J1808" s="842"/>
      <c r="K1808" s="849">
        <v>5390000</v>
      </c>
      <c r="L1808" s="876" t="s">
        <v>83</v>
      </c>
      <c r="M1808" s="876" t="s">
        <v>261</v>
      </c>
      <c r="N1808" s="52" t="str">
        <f>IF(AND('331-CT'!$E$7=TH!H1808,OR(L1808="331",M1808="331")),"331",IF(AND(OR(L1808="131",M1808="131"),H1808='131-CT'!$E$7),"131",""))</f>
        <v/>
      </c>
      <c r="O1808" s="818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>x</v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196"/>
      <c r="AB1808" s="196"/>
      <c r="AC1808" s="196"/>
      <c r="AD1808" s="196"/>
      <c r="AE1808" s="196"/>
      <c r="AF1808" s="196"/>
    </row>
    <row r="1809" spans="1:32" s="209" customFormat="1" ht="15.75" customHeight="1">
      <c r="A1809" s="202" t="str">
        <f>IF(B1809&lt;&gt;"",IF(AND(B1809&gt;=_TM1,B1809&lt;=_TM2,OR(TH!L1809="1111",TH!M1809="1111")),TH!D1809,""),"")</f>
        <v/>
      </c>
      <c r="B1809" s="36">
        <f t="shared" si="81"/>
        <v>11</v>
      </c>
      <c r="C1809" s="839">
        <f t="shared" si="82"/>
        <v>42704</v>
      </c>
      <c r="D1809" s="839" t="s">
        <v>332</v>
      </c>
      <c r="E1809" s="839">
        <v>42704</v>
      </c>
      <c r="F1809" s="845" t="s">
        <v>1430</v>
      </c>
      <c r="G1809" s="874"/>
      <c r="H1809" s="875"/>
      <c r="I1809" s="842"/>
      <c r="J1809" s="842"/>
      <c r="K1809" s="849">
        <v>16170000</v>
      </c>
      <c r="L1809" s="876" t="s">
        <v>164</v>
      </c>
      <c r="M1809" s="876" t="s">
        <v>261</v>
      </c>
      <c r="N1809" s="52" t="str">
        <f>IF(AND('331-CT'!$E$7=TH!H1809,OR(L1809="331",M1809="331")),"331",IF(AND(OR(L1809="131",M1809="131"),H1809='131-CT'!$E$7),"131",""))</f>
        <v/>
      </c>
      <c r="O1809" s="818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196"/>
      <c r="AB1809" s="196"/>
      <c r="AC1809" s="196"/>
      <c r="AD1809" s="196"/>
      <c r="AE1809" s="196"/>
      <c r="AF1809" s="196"/>
    </row>
    <row r="1810" spans="1:32" s="209" customFormat="1" ht="15.75" customHeight="1">
      <c r="A1810" s="202" t="str">
        <f>IF(B1810&lt;&gt;"",IF(AND(B1810&gt;=_TM1,B1810&lt;=_TM2,OR(TH!L1810="1111",TH!M1810="1111")),TH!D1810,""),"")</f>
        <v>C16</v>
      </c>
      <c r="B1810" s="36">
        <f t="shared" si="81"/>
        <v>11</v>
      </c>
      <c r="C1810" s="839">
        <f t="shared" si="82"/>
        <v>42704</v>
      </c>
      <c r="D1810" s="839" t="s">
        <v>1649</v>
      </c>
      <c r="E1810" s="839">
        <v>42704</v>
      </c>
      <c r="F1810" s="845" t="str">
        <f>"Thanh toán tiền lương tháng "&amp;MONTH(E1810)&amp;"/"&amp;YEAR(E1810)</f>
        <v>Thanh toán tiền lương tháng 11/2016</v>
      </c>
      <c r="G1810" s="874"/>
      <c r="H1810" s="875" t="s">
        <v>1680</v>
      </c>
      <c r="I1810" s="842"/>
      <c r="J1810" s="842"/>
      <c r="K1810" s="849">
        <f>K1808+K1809</f>
        <v>21560000</v>
      </c>
      <c r="L1810" s="876" t="s">
        <v>261</v>
      </c>
      <c r="M1810" s="876" t="s">
        <v>47</v>
      </c>
      <c r="N1810" s="52" t="str">
        <f>IF(AND('331-CT'!$E$7=TH!H1810,OR(L1810="331",M1810="331")),"331",IF(AND(OR(L1810="131",M1810="131"),H1810='131-CT'!$E$7),"131",""))</f>
        <v/>
      </c>
      <c r="O1810" s="818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196"/>
      <c r="AB1810" s="196"/>
      <c r="AC1810" s="196"/>
      <c r="AD1810" s="196"/>
      <c r="AE1810" s="196"/>
      <c r="AF1810" s="196"/>
    </row>
    <row r="1811" spans="1:32" s="209" customFormat="1" ht="15.75" customHeight="1">
      <c r="A1811" s="202" t="str">
        <f>IF(B1811&lt;&gt;"",IF(AND(B1811&gt;=_TM1,B1811&lt;=_TM2,OR(TH!L1811="1111",TH!M1811="1111")),TH!D1811,""),"")</f>
        <v/>
      </c>
      <c r="B1811" s="36">
        <f t="shared" si="81"/>
        <v>11</v>
      </c>
      <c r="C1811" s="182">
        <f t="shared" si="82"/>
        <v>42704</v>
      </c>
      <c r="D1811" s="182" t="s">
        <v>665</v>
      </c>
      <c r="E1811" s="189">
        <v>42704</v>
      </c>
      <c r="F1811" s="190" t="s">
        <v>666</v>
      </c>
      <c r="G1811" s="190" t="s">
        <v>330</v>
      </c>
      <c r="H1811" s="7" t="s">
        <v>797</v>
      </c>
      <c r="I1811" s="251"/>
      <c r="J1811" s="251"/>
      <c r="K1811" s="560">
        <v>5000000</v>
      </c>
      <c r="L1811" s="192" t="s">
        <v>24</v>
      </c>
      <c r="M1811" s="192" t="s">
        <v>258</v>
      </c>
      <c r="N1811" s="52" t="str">
        <f>IF(AND('331-CT'!$E$7=TH!H1811,OR(L1811="331",M1811="331")),"331",IF(AND(OR(L1811="131",M1811="131"),H1811='131-CT'!$E$7),"131",""))</f>
        <v/>
      </c>
      <c r="O1811" s="818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53"/>
      <c r="AB1811" s="552"/>
    </row>
    <row r="1812" spans="1:32" s="209" customFormat="1" ht="15.75" customHeight="1">
      <c r="A1812" s="202" t="str">
        <f>IF(B1812&lt;&gt;"",IF(AND(B1812&gt;=_TM1,B1812&lt;=_TM2,OR(TH!L1812="1111",TH!M1812="1111")),TH!D1812,""),"")</f>
        <v/>
      </c>
      <c r="B1812" s="36">
        <f t="shared" ref="B1812:B1875" si="83">IF(C1812&lt;&gt;"",MONTH(C1812),"")</f>
        <v>11</v>
      </c>
      <c r="C1812" s="182">
        <f t="shared" si="82"/>
        <v>42704</v>
      </c>
      <c r="D1812" s="182" t="s">
        <v>669</v>
      </c>
      <c r="E1812" s="189">
        <v>42704</v>
      </c>
      <c r="F1812" s="187" t="s">
        <v>1290</v>
      </c>
      <c r="G1812" s="190" t="s">
        <v>1287</v>
      </c>
      <c r="H1812" s="191" t="s">
        <v>1514</v>
      </c>
      <c r="I1812" s="251"/>
      <c r="J1812" s="251"/>
      <c r="K1812" s="560">
        <v>40000000</v>
      </c>
      <c r="L1812" s="561" t="s">
        <v>24</v>
      </c>
      <c r="M1812" s="561" t="s">
        <v>759</v>
      </c>
      <c r="N1812" s="52" t="str">
        <f>IF(AND('331-CT'!$E$7=TH!H1812,OR(L1812="331",M1812="331")),"331",IF(AND(OR(L1812="131",M1812="131"),H1812='131-CT'!$E$7),"131",""))</f>
        <v/>
      </c>
      <c r="O1812" s="818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>x</v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53"/>
      <c r="AB1812" s="552"/>
      <c r="AC1812" s="552"/>
    </row>
    <row r="1813" spans="1:32" s="209" customFormat="1" ht="15.75" customHeight="1">
      <c r="A1813" s="202" t="str">
        <f>IF(B1813&lt;&gt;"",IF(AND(B1813&gt;=_TM1,B1813&lt;=_TM2,OR(TH!L1813="1111",TH!M1813="1111")),TH!D1813,""),"")</f>
        <v/>
      </c>
      <c r="B1813" s="36">
        <f t="shared" si="83"/>
        <v>11</v>
      </c>
      <c r="C1813" s="182">
        <f t="shared" si="82"/>
        <v>42704</v>
      </c>
      <c r="D1813" s="182" t="s">
        <v>669</v>
      </c>
      <c r="E1813" s="189">
        <v>42704</v>
      </c>
      <c r="F1813" s="187" t="s">
        <v>671</v>
      </c>
      <c r="G1813" s="190" t="s">
        <v>1287</v>
      </c>
      <c r="H1813" s="7"/>
      <c r="I1813" s="251"/>
      <c r="J1813" s="251"/>
      <c r="K1813" s="560">
        <v>15000000</v>
      </c>
      <c r="L1813" s="561" t="s">
        <v>8</v>
      </c>
      <c r="M1813" s="561" t="s">
        <v>24</v>
      </c>
      <c r="N1813" s="52" t="str">
        <f>IF(AND('331-CT'!$E$7=TH!H1813,OR(L1813="331",M1813="331")),"331",IF(AND(OR(L1813="131",M1813="131"),H1813='131-CT'!$E$7),"131",""))</f>
        <v/>
      </c>
      <c r="O1813" s="818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>x</v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53"/>
      <c r="AB1813" s="552"/>
    </row>
    <row r="1814" spans="1:32" s="209" customFormat="1" ht="15.75" customHeight="1">
      <c r="A1814" s="202" t="str">
        <f>IF(B1814&lt;&gt;"",IF(AND(B1814&gt;=_TM1,B1814&lt;=_TM2,OR(TH!L1814="1111",TH!M1814="1111")),TH!D1814,""),"")</f>
        <v/>
      </c>
      <c r="B1814" s="36">
        <f t="shared" si="83"/>
        <v>11</v>
      </c>
      <c r="C1814" s="182">
        <f t="shared" si="82"/>
        <v>42704</v>
      </c>
      <c r="D1814" s="182" t="s">
        <v>669</v>
      </c>
      <c r="E1814" s="189">
        <v>42704</v>
      </c>
      <c r="F1814" s="190" t="s">
        <v>672</v>
      </c>
      <c r="G1814" s="190" t="s">
        <v>1287</v>
      </c>
      <c r="H1814" s="191"/>
      <c r="I1814" s="251"/>
      <c r="J1814" s="251"/>
      <c r="K1814" s="560">
        <v>20000</v>
      </c>
      <c r="L1814" s="561" t="s">
        <v>83</v>
      </c>
      <c r="M1814" s="561" t="s">
        <v>24</v>
      </c>
      <c r="N1814" s="52" t="str">
        <f>IF(AND('331-CT'!$E$7=TH!H1814,OR(L1814="331",M1814="331")),"331",IF(AND(OR(L1814="131",M1814="131"),H1814='131-CT'!$E$7),"131",""))</f>
        <v/>
      </c>
      <c r="O1814" s="818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>x</v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>x</v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53">
        <v>4</v>
      </c>
      <c r="AB1814" s="552"/>
      <c r="AC1814" s="552"/>
    </row>
    <row r="1815" spans="1:32" s="209" customFormat="1" ht="15.75" customHeight="1">
      <c r="A1815" s="202" t="str">
        <f>IF(B1815&lt;&gt;"",IF(AND(B1815&gt;=_TM1,B1815&lt;=_TM2,OR(TH!L1815="1111",TH!M1815="1111")),TH!D1815,""),"")</f>
        <v/>
      </c>
      <c r="B1815" s="36">
        <f t="shared" si="83"/>
        <v>11</v>
      </c>
      <c r="C1815" s="182">
        <f t="shared" si="82"/>
        <v>42704</v>
      </c>
      <c r="D1815" s="182" t="s">
        <v>669</v>
      </c>
      <c r="E1815" s="189">
        <v>42704</v>
      </c>
      <c r="F1815" s="190" t="s">
        <v>762</v>
      </c>
      <c r="G1815" s="190" t="s">
        <v>1287</v>
      </c>
      <c r="H1815" s="7"/>
      <c r="I1815" s="251"/>
      <c r="J1815" s="251"/>
      <c r="K1815" s="560">
        <v>2000</v>
      </c>
      <c r="L1815" s="192" t="s">
        <v>9</v>
      </c>
      <c r="M1815" s="561" t="s">
        <v>24</v>
      </c>
      <c r="N1815" s="52" t="str">
        <f>IF(AND('331-CT'!$E$7=TH!H1815,OR(L1815="331",M1815="331")),"331",IF(AND(OR(L1815="131",M1815="131"),H1815='131-CT'!$E$7),"131",""))</f>
        <v/>
      </c>
      <c r="O1815" s="818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>x</v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53">
        <v>4</v>
      </c>
      <c r="AB1815" s="552"/>
      <c r="AC1815" s="552"/>
    </row>
    <row r="1816" spans="1:32" s="209" customFormat="1" ht="15.75" customHeight="1">
      <c r="A1816" s="202" t="str">
        <f>IF(B1816&lt;&gt;"",IF(AND(B1816&gt;=_TM1,B1816&lt;=_TM2,OR(TH!L1816="1111",TH!M1816="1111")),TH!D1816,""),"")</f>
        <v/>
      </c>
      <c r="B1816" s="36">
        <f t="shared" si="83"/>
        <v>11</v>
      </c>
      <c r="C1816" s="182">
        <f t="shared" si="82"/>
        <v>42704</v>
      </c>
      <c r="D1816" s="182" t="s">
        <v>669</v>
      </c>
      <c r="E1816" s="189">
        <v>42704</v>
      </c>
      <c r="F1816" s="187" t="s">
        <v>667</v>
      </c>
      <c r="G1816" s="190" t="s">
        <v>1287</v>
      </c>
      <c r="H1816" s="191"/>
      <c r="I1816" s="251"/>
      <c r="J1816" s="251"/>
      <c r="K1816" s="560">
        <v>1300</v>
      </c>
      <c r="L1816" s="561" t="s">
        <v>24</v>
      </c>
      <c r="M1816" s="561" t="s">
        <v>40</v>
      </c>
      <c r="N1816" s="52" t="str">
        <f>IF(AND('331-CT'!$E$7=TH!H1816,OR(L1816="331",M1816="331")),"331",IF(AND(OR(L1816="131",M1816="131"),H1816='131-CT'!$E$7),"131",""))</f>
        <v/>
      </c>
      <c r="O1816" s="818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>x</v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53"/>
      <c r="AB1816" s="552"/>
    </row>
    <row r="1817" spans="1:32" s="209" customFormat="1" ht="15.75" customHeight="1">
      <c r="A1817" s="202" t="str">
        <f>IF(B1817&lt;&gt;"",IF(AND(B1817&gt;=_TM1,B1817&lt;=_TM2,OR(TH!L1817="1111",TH!M1817="1111")),TH!D1817,""),"")</f>
        <v/>
      </c>
      <c r="B1817" s="36">
        <f t="shared" si="83"/>
        <v>12</v>
      </c>
      <c r="C1817" s="182">
        <f t="shared" si="82"/>
        <v>42705</v>
      </c>
      <c r="D1817" s="182" t="s">
        <v>669</v>
      </c>
      <c r="E1817" s="189">
        <v>42705</v>
      </c>
      <c r="F1817" s="187" t="s">
        <v>671</v>
      </c>
      <c r="G1817" s="190" t="s">
        <v>1287</v>
      </c>
      <c r="H1817" s="7"/>
      <c r="I1817" s="251"/>
      <c r="J1817" s="251"/>
      <c r="K1817" s="560">
        <v>10000000</v>
      </c>
      <c r="L1817" s="561" t="s">
        <v>8</v>
      </c>
      <c r="M1817" s="561" t="s">
        <v>24</v>
      </c>
      <c r="N1817" s="52" t="str">
        <f>IF(AND('331-CT'!$E$7=TH!H1817,OR(L1817="331",M1817="331")),"331",IF(AND(OR(L1817="131",M1817="131"),H1817='131-CT'!$E$7),"131",""))</f>
        <v/>
      </c>
      <c r="O1817" s="818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>x</v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53"/>
      <c r="AB1817" s="552"/>
      <c r="AC1817" s="552"/>
    </row>
    <row r="1818" spans="1:32" s="209" customFormat="1" ht="15.75" customHeight="1">
      <c r="A1818" s="202" t="str">
        <f>IF(B1818&lt;&gt;"",IF(AND(B1818&gt;=_TM1,B1818&lt;=_TM2,OR(TH!L1818="1111",TH!M1818="1111")),TH!D1818,""),"")</f>
        <v/>
      </c>
      <c r="B1818" s="36">
        <f t="shared" si="83"/>
        <v>12</v>
      </c>
      <c r="C1818" s="182">
        <f t="shared" si="82"/>
        <v>42705</v>
      </c>
      <c r="D1818" s="182" t="s">
        <v>669</v>
      </c>
      <c r="E1818" s="189">
        <v>42705</v>
      </c>
      <c r="F1818" s="190" t="s">
        <v>672</v>
      </c>
      <c r="G1818" s="190" t="s">
        <v>1287</v>
      </c>
      <c r="H1818" s="191"/>
      <c r="I1818" s="251"/>
      <c r="J1818" s="251"/>
      <c r="K1818" s="560">
        <v>20000</v>
      </c>
      <c r="L1818" s="561" t="s">
        <v>83</v>
      </c>
      <c r="M1818" s="561" t="s">
        <v>24</v>
      </c>
      <c r="N1818" s="52" t="str">
        <f>IF(AND('331-CT'!$E$7=TH!H1818,OR(L1818="331",M1818="331")),"331",IF(AND(OR(L1818="131",M1818="131"),H1818='131-CT'!$E$7),"131",""))</f>
        <v/>
      </c>
      <c r="O1818" s="818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>x</v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>x</v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53">
        <v>4</v>
      </c>
      <c r="AB1818" s="552"/>
      <c r="AC1818" s="552"/>
    </row>
    <row r="1819" spans="1:32" s="209" customFormat="1" ht="15.75" customHeight="1">
      <c r="A1819" s="202" t="str">
        <f>IF(B1819&lt;&gt;"",IF(AND(B1819&gt;=_TM1,B1819&lt;=_TM2,OR(TH!L1819="1111",TH!M1819="1111")),TH!D1819,""),"")</f>
        <v/>
      </c>
      <c r="B1819" s="36">
        <f t="shared" si="83"/>
        <v>12</v>
      </c>
      <c r="C1819" s="182">
        <f t="shared" si="82"/>
        <v>42705</v>
      </c>
      <c r="D1819" s="182" t="s">
        <v>669</v>
      </c>
      <c r="E1819" s="189">
        <v>42705</v>
      </c>
      <c r="F1819" s="190" t="s">
        <v>762</v>
      </c>
      <c r="G1819" s="190" t="s">
        <v>1287</v>
      </c>
      <c r="H1819" s="7"/>
      <c r="I1819" s="251"/>
      <c r="J1819" s="251"/>
      <c r="K1819" s="560">
        <v>2000</v>
      </c>
      <c r="L1819" s="192" t="s">
        <v>9</v>
      </c>
      <c r="M1819" s="561" t="s">
        <v>24</v>
      </c>
      <c r="N1819" s="52" t="str">
        <f>IF(AND('331-CT'!$E$7=TH!H1819,OR(L1819="331",M1819="331")),"331",IF(AND(OR(L1819="131",M1819="131"),H1819='131-CT'!$E$7),"131",""))</f>
        <v/>
      </c>
      <c r="O1819" s="818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>x</v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53">
        <v>4</v>
      </c>
      <c r="AB1819" s="552"/>
    </row>
    <row r="1820" spans="1:32" s="209" customFormat="1" ht="15.75" customHeight="1">
      <c r="A1820" s="202" t="str">
        <f>IF(B1820&lt;&gt;"",IF(AND(B1820&gt;=_TM1,B1820&lt;=_TM2,OR(TH!L1820="1111",TH!M1820="1111")),TH!D1820,""),"")</f>
        <v/>
      </c>
      <c r="B1820" s="36">
        <f t="shared" si="83"/>
        <v>12</v>
      </c>
      <c r="C1820" s="182">
        <f t="shared" si="82"/>
        <v>42705</v>
      </c>
      <c r="D1820" s="182" t="s">
        <v>669</v>
      </c>
      <c r="E1820" s="189">
        <v>42705</v>
      </c>
      <c r="F1820" s="187" t="s">
        <v>671</v>
      </c>
      <c r="G1820" s="190" t="s">
        <v>1287</v>
      </c>
      <c r="H1820" s="7"/>
      <c r="I1820" s="251"/>
      <c r="J1820" s="251"/>
      <c r="K1820" s="560">
        <v>20000000</v>
      </c>
      <c r="L1820" s="561" t="s">
        <v>8</v>
      </c>
      <c r="M1820" s="561" t="s">
        <v>24</v>
      </c>
      <c r="N1820" s="52" t="str">
        <f>IF(AND('331-CT'!$E$7=TH!H1820,OR(L1820="331",M1820="331")),"331",IF(AND(OR(L1820="131",M1820="131"),H1820='131-CT'!$E$7),"131",""))</f>
        <v/>
      </c>
      <c r="O1820" s="818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>x</v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53"/>
      <c r="AB1820" s="552"/>
      <c r="AC1820" s="552"/>
    </row>
    <row r="1821" spans="1:32" s="209" customFormat="1" ht="15.75" customHeight="1">
      <c r="A1821" s="202" t="str">
        <f>IF(B1821&lt;&gt;"",IF(AND(B1821&gt;=_TM1,B1821&lt;=_TM2,OR(TH!L1821="1111",TH!M1821="1111")),TH!D1821,""),"")</f>
        <v/>
      </c>
      <c r="B1821" s="36">
        <f t="shared" si="83"/>
        <v>12</v>
      </c>
      <c r="C1821" s="182">
        <f t="shared" si="82"/>
        <v>42705</v>
      </c>
      <c r="D1821" s="182" t="s">
        <v>669</v>
      </c>
      <c r="E1821" s="189">
        <v>42705</v>
      </c>
      <c r="F1821" s="190" t="s">
        <v>672</v>
      </c>
      <c r="G1821" s="190" t="s">
        <v>1287</v>
      </c>
      <c r="H1821" s="191"/>
      <c r="I1821" s="251"/>
      <c r="J1821" s="251"/>
      <c r="K1821" s="560">
        <v>20000</v>
      </c>
      <c r="L1821" s="561" t="s">
        <v>83</v>
      </c>
      <c r="M1821" s="561" t="s">
        <v>24</v>
      </c>
      <c r="N1821" s="52" t="str">
        <f>IF(AND('331-CT'!$E$7=TH!H1821,OR(L1821="331",M1821="331")),"331",IF(AND(OR(L1821="131",M1821="131"),H1821='131-CT'!$E$7),"131",""))</f>
        <v/>
      </c>
      <c r="O1821" s="818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>x</v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>x</v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53">
        <v>4</v>
      </c>
      <c r="AB1821" s="552"/>
      <c r="AC1821" s="552"/>
    </row>
    <row r="1822" spans="1:32" s="209" customFormat="1" ht="15.75" customHeight="1">
      <c r="A1822" s="202" t="str">
        <f>IF(B1822&lt;&gt;"",IF(AND(B1822&gt;=_TM1,B1822&lt;=_TM2,OR(TH!L1822="1111",TH!M1822="1111")),TH!D1822,""),"")</f>
        <v/>
      </c>
      <c r="B1822" s="36">
        <f t="shared" si="83"/>
        <v>12</v>
      </c>
      <c r="C1822" s="182">
        <f t="shared" si="82"/>
        <v>42705</v>
      </c>
      <c r="D1822" s="182" t="s">
        <v>669</v>
      </c>
      <c r="E1822" s="189">
        <v>42705</v>
      </c>
      <c r="F1822" s="190" t="s">
        <v>762</v>
      </c>
      <c r="G1822" s="190" t="s">
        <v>1287</v>
      </c>
      <c r="H1822" s="7"/>
      <c r="I1822" s="251"/>
      <c r="J1822" s="251"/>
      <c r="K1822" s="560">
        <v>2000</v>
      </c>
      <c r="L1822" s="192" t="s">
        <v>9</v>
      </c>
      <c r="M1822" s="561" t="s">
        <v>24</v>
      </c>
      <c r="N1822" s="52" t="str">
        <f>IF(AND('331-CT'!$E$7=TH!H1822,OR(L1822="331",M1822="331")),"331",IF(AND(OR(L1822="131",M1822="131"),H1822='131-CT'!$E$7),"131",""))</f>
        <v/>
      </c>
      <c r="O1822" s="818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>x</v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53">
        <v>4</v>
      </c>
      <c r="AB1822" s="552"/>
    </row>
    <row r="1823" spans="1:32" s="209" customFormat="1" ht="15.75" customHeight="1">
      <c r="A1823" s="202" t="str">
        <f>IF(B1823&lt;&gt;"",IF(AND(B1823&gt;=_TM1,B1823&lt;=_TM2,OR(TH!L1823="1111",TH!M1823="1111")),TH!D1823,""),"")</f>
        <v/>
      </c>
      <c r="B1823" s="36">
        <f t="shared" si="83"/>
        <v>12</v>
      </c>
      <c r="C1823" s="182">
        <f t="shared" si="82"/>
        <v>42705</v>
      </c>
      <c r="D1823" s="182" t="s">
        <v>1132</v>
      </c>
      <c r="E1823" s="189">
        <v>42705</v>
      </c>
      <c r="F1823" s="40" t="s">
        <v>1473</v>
      </c>
      <c r="G1823" s="451" t="s">
        <v>1476</v>
      </c>
      <c r="H1823" s="191" t="s">
        <v>1471</v>
      </c>
      <c r="I1823" s="252">
        <v>4000</v>
      </c>
      <c r="J1823" s="252">
        <v>4500</v>
      </c>
      <c r="K1823" s="38">
        <f>ROUND(I1823*J1823,0)</f>
        <v>18000000</v>
      </c>
      <c r="L1823" s="192" t="s">
        <v>258</v>
      </c>
      <c r="M1823" s="192" t="s">
        <v>173</v>
      </c>
      <c r="N1823" s="52" t="str">
        <f>IF(AND('331-CT'!$E$7=TH!H1823,OR(L1823="331",M1823="331")),"331",IF(AND(OR(L1823="131",M1823="131"),H1823='131-CT'!$E$7),"131",""))</f>
        <v/>
      </c>
      <c r="O1823" s="818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52"/>
      <c r="AB1823" s="552"/>
      <c r="AC1823" s="552"/>
    </row>
    <row r="1824" spans="1:32" s="209" customFormat="1" ht="15.75" customHeight="1">
      <c r="A1824" s="202" t="str">
        <f>IF(B1824&lt;&gt;"",IF(AND(B1824&gt;=_TM1,B1824&lt;=_TM2,OR(TH!L1824="1111",TH!M1824="1111")),TH!D1824,""),"")</f>
        <v/>
      </c>
      <c r="B1824" s="36">
        <f t="shared" si="83"/>
        <v>12</v>
      </c>
      <c r="C1824" s="182">
        <f t="shared" si="82"/>
        <v>42705</v>
      </c>
      <c r="D1824" s="182" t="s">
        <v>1132</v>
      </c>
      <c r="E1824" s="189">
        <v>42705</v>
      </c>
      <c r="F1824" s="40" t="s">
        <v>1254</v>
      </c>
      <c r="G1824" s="451" t="s">
        <v>1476</v>
      </c>
      <c r="H1824" s="191" t="s">
        <v>1471</v>
      </c>
      <c r="I1824" s="252"/>
      <c r="J1824" s="252"/>
      <c r="K1824" s="38">
        <v>1800000</v>
      </c>
      <c r="L1824" s="192" t="s">
        <v>258</v>
      </c>
      <c r="M1824" s="192" t="s">
        <v>367</v>
      </c>
      <c r="N1824" s="52" t="str">
        <f>IF(AND('331-CT'!$E$7=TH!H1824,OR(L1824="331",M1824="331")),"331",IF(AND(OR(L1824="131",M1824="131"),H1824='131-CT'!$E$7),"131",""))</f>
        <v/>
      </c>
      <c r="O1824" s="818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52"/>
      <c r="AB1824" s="552"/>
      <c r="AC1824" s="552"/>
    </row>
    <row r="1825" spans="1:29" s="209" customFormat="1" ht="15.75" customHeight="1">
      <c r="A1825" s="202" t="str">
        <f>IF(B1825&lt;&gt;"",IF(AND(B1825&gt;=_TM1,B1825&lt;=_TM2,OR(TH!L1825="1111",TH!M1825="1111")),TH!D1825,""),"")</f>
        <v>T14</v>
      </c>
      <c r="B1825" s="36">
        <f t="shared" si="83"/>
        <v>12</v>
      </c>
      <c r="C1825" s="182">
        <f t="shared" si="82"/>
        <v>42706</v>
      </c>
      <c r="D1825" s="182" t="s">
        <v>1635</v>
      </c>
      <c r="E1825" s="189">
        <v>42706</v>
      </c>
      <c r="F1825" s="190" t="s">
        <v>670</v>
      </c>
      <c r="G1825" s="190" t="s">
        <v>330</v>
      </c>
      <c r="H1825" s="7" t="s">
        <v>675</v>
      </c>
      <c r="I1825" s="251"/>
      <c r="J1825" s="251"/>
      <c r="K1825" s="560">
        <v>5000000</v>
      </c>
      <c r="L1825" s="192" t="s">
        <v>47</v>
      </c>
      <c r="M1825" s="561" t="s">
        <v>24</v>
      </c>
      <c r="N1825" s="52" t="str">
        <f>IF(AND('331-CT'!$E$7=TH!H1825,OR(L1825="331",M1825="331")),"331",IF(AND(OR(L1825="131",M1825="131"),H1825='131-CT'!$E$7),"131",""))</f>
        <v/>
      </c>
      <c r="O1825" s="818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53"/>
      <c r="AB1825" s="552"/>
    </row>
    <row r="1826" spans="1:29" s="209" customFormat="1" ht="15.75" customHeight="1">
      <c r="A1826" s="202" t="str">
        <f>IF(B1826&lt;&gt;"",IF(AND(B1826&gt;=_TM1,B1826&lt;=_TM2,OR(TH!L1826="1111",TH!M1826="1111")),TH!D1826,""),"")</f>
        <v/>
      </c>
      <c r="B1826" s="36">
        <f t="shared" si="83"/>
        <v>12</v>
      </c>
      <c r="C1826" s="182">
        <f t="shared" si="82"/>
        <v>42707</v>
      </c>
      <c r="D1826" s="182" t="s">
        <v>1133</v>
      </c>
      <c r="E1826" s="189">
        <v>42707</v>
      </c>
      <c r="F1826" s="40" t="s">
        <v>680</v>
      </c>
      <c r="G1826" s="451" t="s">
        <v>1477</v>
      </c>
      <c r="H1826" s="711" t="s">
        <v>777</v>
      </c>
      <c r="I1826" s="252">
        <f>114+109</f>
        <v>223</v>
      </c>
      <c r="J1826" s="252">
        <v>9300</v>
      </c>
      <c r="K1826" s="38">
        <f>ROUND(I1826*J1826,0)</f>
        <v>2073900</v>
      </c>
      <c r="L1826" s="192" t="s">
        <v>258</v>
      </c>
      <c r="M1826" s="192" t="s">
        <v>173</v>
      </c>
      <c r="N1826" s="52" t="str">
        <f>IF(AND('331-CT'!$E$7=TH!H1826,OR(L1826="331",M1826="331")),"331",IF(AND(OR(L1826="131",M1826="131"),H1826='131-CT'!$E$7),"131",""))</f>
        <v>131</v>
      </c>
      <c r="O1826" s="818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52"/>
      <c r="AB1826" s="552"/>
      <c r="AC1826" s="552"/>
    </row>
    <row r="1827" spans="1:29" s="209" customFormat="1" ht="15.75" customHeight="1">
      <c r="A1827" s="202" t="str">
        <f>IF(B1827&lt;&gt;"",IF(AND(B1827&gt;=_TM1,B1827&lt;=_TM2,OR(TH!L1827="1111",TH!M1827="1111")),TH!D1827,""),"")</f>
        <v/>
      </c>
      <c r="B1827" s="36">
        <f t="shared" si="83"/>
        <v>12</v>
      </c>
      <c r="C1827" s="182">
        <f t="shared" si="82"/>
        <v>42707</v>
      </c>
      <c r="D1827" s="182" t="s">
        <v>1133</v>
      </c>
      <c r="E1827" s="189">
        <v>42707</v>
      </c>
      <c r="F1827" s="40" t="s">
        <v>1026</v>
      </c>
      <c r="G1827" s="451" t="s">
        <v>1477</v>
      </c>
      <c r="H1827" s="711" t="s">
        <v>777</v>
      </c>
      <c r="I1827" s="252"/>
      <c r="J1827" s="252"/>
      <c r="K1827" s="38">
        <v>207390</v>
      </c>
      <c r="L1827" s="192" t="s">
        <v>258</v>
      </c>
      <c r="M1827" s="192" t="s">
        <v>367</v>
      </c>
      <c r="N1827" s="52" t="str">
        <f>IF(AND('331-CT'!$E$7=TH!H1827,OR(L1827="331",M1827="331")),"331",IF(AND(OR(L1827="131",M1827="131"),H1827='131-CT'!$E$7),"131",""))</f>
        <v>131</v>
      </c>
      <c r="O1827" s="818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52"/>
      <c r="AB1827" s="552"/>
    </row>
    <row r="1828" spans="1:29" s="209" customFormat="1" ht="15.75" customHeight="1">
      <c r="A1828" s="202" t="str">
        <f>IF(B1828&lt;&gt;"",IF(AND(B1828&gt;=_TM1,B1828&lt;=_TM2,OR(TH!L1828="1111",TH!M1828="1111")),TH!D1828,""),"")</f>
        <v/>
      </c>
      <c r="B1828" s="36">
        <f t="shared" si="83"/>
        <v>12</v>
      </c>
      <c r="C1828" s="182">
        <f t="shared" si="82"/>
        <v>42709</v>
      </c>
      <c r="D1828" s="182" t="s">
        <v>669</v>
      </c>
      <c r="E1828" s="189">
        <v>42709</v>
      </c>
      <c r="F1828" s="187" t="s">
        <v>1515</v>
      </c>
      <c r="G1828" s="190" t="s">
        <v>1287</v>
      </c>
      <c r="H1828" s="191"/>
      <c r="I1828" s="251"/>
      <c r="J1828" s="251"/>
      <c r="K1828" s="560">
        <v>18182</v>
      </c>
      <c r="L1828" s="561" t="s">
        <v>83</v>
      </c>
      <c r="M1828" s="561" t="s">
        <v>24</v>
      </c>
      <c r="N1828" s="52" t="str">
        <f>IF(AND('331-CT'!$E$7=TH!H1828,OR(L1828="331",M1828="331")),"331",IF(AND(OR(L1828="131",M1828="131"),H1828='131-CT'!$E$7),"131",""))</f>
        <v/>
      </c>
      <c r="O1828" s="818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>x</v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>x</v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53">
        <v>4</v>
      </c>
      <c r="AB1828" s="552"/>
      <c r="AC1828" s="552"/>
    </row>
    <row r="1829" spans="1:29" s="209" customFormat="1" ht="15.75" customHeight="1">
      <c r="A1829" s="202" t="str">
        <f>IF(B1829&lt;&gt;"",IF(AND(B1829&gt;=_TM1,B1829&lt;=_TM2,OR(TH!L1829="1111",TH!M1829="1111")),TH!D1829,""),"")</f>
        <v/>
      </c>
      <c r="B1829" s="36">
        <f t="shared" si="83"/>
        <v>12</v>
      </c>
      <c r="C1829" s="182">
        <f t="shared" si="82"/>
        <v>42709</v>
      </c>
      <c r="D1829" s="182" t="s">
        <v>669</v>
      </c>
      <c r="E1829" s="189">
        <v>42709</v>
      </c>
      <c r="F1829" s="837" t="s">
        <v>1516</v>
      </c>
      <c r="G1829" s="190" t="s">
        <v>1287</v>
      </c>
      <c r="H1829" s="7"/>
      <c r="I1829" s="251"/>
      <c r="J1829" s="251"/>
      <c r="K1829" s="560">
        <v>1818</v>
      </c>
      <c r="L1829" s="192" t="s">
        <v>9</v>
      </c>
      <c r="M1829" s="561" t="s">
        <v>24</v>
      </c>
      <c r="N1829" s="52" t="str">
        <f>IF(AND('331-CT'!$E$7=TH!H1829,OR(L1829="331",M1829="331")),"331",IF(AND(OR(L1829="131",M1829="131"),H1829='131-CT'!$E$7),"131",""))</f>
        <v/>
      </c>
      <c r="O1829" s="818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>x</v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53">
        <v>4</v>
      </c>
      <c r="AB1829" s="552"/>
    </row>
    <row r="1830" spans="1:29" s="209" customFormat="1" ht="15.75" customHeight="1">
      <c r="A1830" s="202" t="str">
        <f>IF(B1830&lt;&gt;"",IF(AND(B1830&gt;=_TM1,B1830&lt;=_TM2,OR(TH!L1830="1111",TH!M1830="1111")),TH!D1830,""),"")</f>
        <v/>
      </c>
      <c r="B1830" s="36">
        <f t="shared" si="83"/>
        <v>12</v>
      </c>
      <c r="C1830" s="182">
        <f t="shared" si="82"/>
        <v>42709</v>
      </c>
      <c r="D1830" s="182" t="s">
        <v>1134</v>
      </c>
      <c r="E1830" s="189">
        <v>42709</v>
      </c>
      <c r="F1830" s="40" t="s">
        <v>1255</v>
      </c>
      <c r="G1830" s="451" t="s">
        <v>1478</v>
      </c>
      <c r="H1830" s="7" t="s">
        <v>391</v>
      </c>
      <c r="I1830" s="252">
        <v>1870</v>
      </c>
      <c r="J1830" s="252">
        <v>5000</v>
      </c>
      <c r="K1830" s="38">
        <f>ROUND(I1830*J1830,0)</f>
        <v>9350000</v>
      </c>
      <c r="L1830" s="192" t="s">
        <v>258</v>
      </c>
      <c r="M1830" s="192" t="s">
        <v>173</v>
      </c>
      <c r="N1830" s="52" t="str">
        <f>IF(AND('331-CT'!$E$7=TH!H1830,OR(L1830="331",M1830="331")),"331",IF(AND(OR(L1830="131",M1830="131"),H1830='131-CT'!$E$7),"131",""))</f>
        <v/>
      </c>
      <c r="O1830" s="818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52"/>
      <c r="AB1830" s="552"/>
      <c r="AC1830" s="552"/>
    </row>
    <row r="1831" spans="1:29" s="209" customFormat="1" ht="15.75" customHeight="1">
      <c r="A1831" s="202" t="str">
        <f>IF(B1831&lt;&gt;"",IF(AND(B1831&gt;=_TM1,B1831&lt;=_TM2,OR(TH!L1831="1111",TH!M1831="1111")),TH!D1831,""),"")</f>
        <v/>
      </c>
      <c r="B1831" s="36">
        <f t="shared" si="83"/>
        <v>12</v>
      </c>
      <c r="C1831" s="182">
        <f t="shared" si="82"/>
        <v>42709</v>
      </c>
      <c r="D1831" s="182" t="s">
        <v>1134</v>
      </c>
      <c r="E1831" s="189">
        <v>42709</v>
      </c>
      <c r="F1831" s="40" t="s">
        <v>441</v>
      </c>
      <c r="G1831" s="451" t="s">
        <v>1478</v>
      </c>
      <c r="H1831" s="7" t="s">
        <v>391</v>
      </c>
      <c r="I1831" s="252">
        <v>535</v>
      </c>
      <c r="J1831" s="252">
        <v>9700</v>
      </c>
      <c r="K1831" s="38">
        <f>ROUND(I1831*J1831,0)</f>
        <v>5189500</v>
      </c>
      <c r="L1831" s="192" t="s">
        <v>258</v>
      </c>
      <c r="M1831" s="192" t="s">
        <v>173</v>
      </c>
      <c r="N1831" s="52" t="str">
        <f>IF(AND('331-CT'!$E$7=TH!H1831,OR(L1831="331",M1831="331")),"331",IF(AND(OR(L1831="131",M1831="131"),H1831='131-CT'!$E$7),"131",""))</f>
        <v/>
      </c>
      <c r="O1831" s="818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52"/>
      <c r="AB1831" s="552"/>
      <c r="AC1831" s="552"/>
    </row>
    <row r="1832" spans="1:29" s="209" customFormat="1" ht="15.75" customHeight="1">
      <c r="A1832" s="202" t="str">
        <f>IF(B1832&lt;&gt;"",IF(AND(B1832&gt;=_TM1,B1832&lt;=_TM2,OR(TH!L1832="1111",TH!M1832="1111")),TH!D1832,""),"")</f>
        <v/>
      </c>
      <c r="B1832" s="36">
        <f t="shared" si="83"/>
        <v>12</v>
      </c>
      <c r="C1832" s="182">
        <f t="shared" si="82"/>
        <v>42709</v>
      </c>
      <c r="D1832" s="182" t="s">
        <v>1134</v>
      </c>
      <c r="E1832" s="189">
        <v>42709</v>
      </c>
      <c r="F1832" s="40" t="s">
        <v>1256</v>
      </c>
      <c r="G1832" s="451" t="s">
        <v>1478</v>
      </c>
      <c r="H1832" s="7" t="s">
        <v>391</v>
      </c>
      <c r="I1832" s="252">
        <v>520</v>
      </c>
      <c r="J1832" s="252">
        <v>5550</v>
      </c>
      <c r="K1832" s="38">
        <f>ROUND(I1832*J1832,0)</f>
        <v>2886000</v>
      </c>
      <c r="L1832" s="192" t="s">
        <v>258</v>
      </c>
      <c r="M1832" s="192" t="s">
        <v>173</v>
      </c>
      <c r="N1832" s="52" t="str">
        <f>IF(AND('331-CT'!$E$7=TH!H1832,OR(L1832="331",M1832="331")),"331",IF(AND(OR(L1832="131",M1832="131"),H1832='131-CT'!$E$7),"131",""))</f>
        <v/>
      </c>
      <c r="O1832" s="818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52"/>
      <c r="AB1832" s="552"/>
    </row>
    <row r="1833" spans="1:29" s="209" customFormat="1" ht="15.75" customHeight="1">
      <c r="A1833" s="202" t="str">
        <f>IF(B1833&lt;&gt;"",IF(AND(B1833&gt;=_TM1,B1833&lt;=_TM2,OR(TH!L1833="1111",TH!M1833="1111")),TH!D1833,""),"")</f>
        <v/>
      </c>
      <c r="B1833" s="36">
        <f t="shared" si="83"/>
        <v>12</v>
      </c>
      <c r="C1833" s="182">
        <f t="shared" si="82"/>
        <v>42709</v>
      </c>
      <c r="D1833" s="182" t="s">
        <v>1134</v>
      </c>
      <c r="E1833" s="189">
        <v>42709</v>
      </c>
      <c r="F1833" s="40" t="s">
        <v>1254</v>
      </c>
      <c r="G1833" s="451" t="s">
        <v>1478</v>
      </c>
      <c r="H1833" s="7" t="s">
        <v>391</v>
      </c>
      <c r="I1833" s="252"/>
      <c r="J1833" s="252"/>
      <c r="K1833" s="38">
        <v>1742550</v>
      </c>
      <c r="L1833" s="192" t="s">
        <v>258</v>
      </c>
      <c r="M1833" s="192" t="s">
        <v>367</v>
      </c>
      <c r="N1833" s="52" t="str">
        <f>IF(AND('331-CT'!$E$7=TH!H1833,OR(L1833="331",M1833="331")),"331",IF(AND(OR(L1833="131",M1833="131"),H1833='131-CT'!$E$7),"131",""))</f>
        <v/>
      </c>
      <c r="O1833" s="818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52"/>
      <c r="AB1833" s="552"/>
      <c r="AC1833" s="552"/>
    </row>
    <row r="1834" spans="1:29" s="209" customFormat="1" ht="15.75" customHeight="1">
      <c r="A1834" s="202" t="str">
        <f>IF(B1834&lt;&gt;"",IF(AND(B1834&gt;=_TM1,B1834&lt;=_TM2,OR(TH!L1834="1111",TH!M1834="1111")),TH!D1834,""),"")</f>
        <v/>
      </c>
      <c r="B1834" s="36">
        <f t="shared" si="83"/>
        <v>12</v>
      </c>
      <c r="C1834" s="182">
        <f t="shared" si="82"/>
        <v>42710</v>
      </c>
      <c r="D1834" s="182" t="s">
        <v>1135</v>
      </c>
      <c r="E1834" s="189">
        <v>42710</v>
      </c>
      <c r="F1834" s="40" t="s">
        <v>1480</v>
      </c>
      <c r="G1834" s="451" t="s">
        <v>1479</v>
      </c>
      <c r="H1834" s="7" t="s">
        <v>417</v>
      </c>
      <c r="I1834" s="252">
        <v>52</v>
      </c>
      <c r="J1834" s="252">
        <v>11600</v>
      </c>
      <c r="K1834" s="38">
        <f>ROUND(I1834*J1834,0)</f>
        <v>603200</v>
      </c>
      <c r="L1834" s="192" t="s">
        <v>258</v>
      </c>
      <c r="M1834" s="192" t="s">
        <v>173</v>
      </c>
      <c r="N1834" s="52" t="str">
        <f>IF(AND('331-CT'!$E$7=TH!H1834,OR(L1834="331",M1834="331")),"331",IF(AND(OR(L1834="131",M1834="131"),H1834='131-CT'!$E$7),"131",""))</f>
        <v/>
      </c>
      <c r="O1834" s="818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52"/>
      <c r="AB1834" s="552"/>
      <c r="AC1834" s="552"/>
    </row>
    <row r="1835" spans="1:29" s="209" customFormat="1" ht="15.75" customHeight="1">
      <c r="A1835" s="202" t="str">
        <f>IF(B1835&lt;&gt;"",IF(AND(B1835&gt;=_TM1,B1835&lt;=_TM2,OR(TH!L1835="1111",TH!M1835="1111")),TH!D1835,""),"")</f>
        <v/>
      </c>
      <c r="B1835" s="36">
        <f t="shared" si="83"/>
        <v>12</v>
      </c>
      <c r="C1835" s="182">
        <f t="shared" si="82"/>
        <v>42710</v>
      </c>
      <c r="D1835" s="182" t="s">
        <v>1135</v>
      </c>
      <c r="E1835" s="189">
        <v>42710</v>
      </c>
      <c r="F1835" s="40" t="s">
        <v>1481</v>
      </c>
      <c r="G1835" s="451" t="s">
        <v>1479</v>
      </c>
      <c r="H1835" s="7" t="s">
        <v>417</v>
      </c>
      <c r="I1835" s="252">
        <v>114</v>
      </c>
      <c r="J1835" s="252">
        <v>12000</v>
      </c>
      <c r="K1835" s="38">
        <f>ROUND(I1835*J1835,0)</f>
        <v>1368000</v>
      </c>
      <c r="L1835" s="192" t="s">
        <v>258</v>
      </c>
      <c r="M1835" s="192" t="s">
        <v>173</v>
      </c>
      <c r="N1835" s="52" t="str">
        <f>IF(AND('331-CT'!$E$7=TH!H1835,OR(L1835="331",M1835="331")),"331",IF(AND(OR(L1835="131",M1835="131"),H1835='131-CT'!$E$7),"131",""))</f>
        <v/>
      </c>
      <c r="O1835" s="818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52"/>
      <c r="AB1835" s="552"/>
    </row>
    <row r="1836" spans="1:29" s="209" customFormat="1" ht="15.75" customHeight="1">
      <c r="A1836" s="202" t="str">
        <f>IF(B1836&lt;&gt;"",IF(AND(B1836&gt;=_TM1,B1836&lt;=_TM2,OR(TH!L1836="1111",TH!M1836="1111")),TH!D1836,""),"")</f>
        <v/>
      </c>
      <c r="B1836" s="36">
        <f t="shared" si="83"/>
        <v>12</v>
      </c>
      <c r="C1836" s="182">
        <f t="shared" si="82"/>
        <v>42710</v>
      </c>
      <c r="D1836" s="182" t="s">
        <v>1135</v>
      </c>
      <c r="E1836" s="189">
        <v>42710</v>
      </c>
      <c r="F1836" s="40" t="s">
        <v>1254</v>
      </c>
      <c r="G1836" s="451" t="s">
        <v>1479</v>
      </c>
      <c r="H1836" s="7" t="s">
        <v>417</v>
      </c>
      <c r="I1836" s="252"/>
      <c r="J1836" s="252"/>
      <c r="K1836" s="38">
        <v>197120</v>
      </c>
      <c r="L1836" s="192" t="s">
        <v>258</v>
      </c>
      <c r="M1836" s="192" t="s">
        <v>367</v>
      </c>
      <c r="N1836" s="52" t="str">
        <f>IF(AND('331-CT'!$E$7=TH!H1836,OR(L1836="331",M1836="331")),"331",IF(AND(OR(L1836="131",M1836="131"),H1836='131-CT'!$E$7),"131",""))</f>
        <v/>
      </c>
      <c r="O1836" s="818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52"/>
      <c r="AB1836" s="552"/>
      <c r="AC1836" s="552"/>
    </row>
    <row r="1837" spans="1:29" s="209" customFormat="1" ht="15.75" customHeight="1">
      <c r="A1837" s="202" t="str">
        <f>IF(B1837&lt;&gt;"",IF(AND(B1837&gt;=_TM1,B1837&lt;=_TM2,OR(TH!L1837="1111",TH!M1837="1111")),TH!D1837,""),"")</f>
        <v/>
      </c>
      <c r="B1837" s="36">
        <f t="shared" si="83"/>
        <v>12</v>
      </c>
      <c r="C1837" s="182">
        <f t="shared" si="82"/>
        <v>42710</v>
      </c>
      <c r="D1837" s="182" t="s">
        <v>1136</v>
      </c>
      <c r="E1837" s="189">
        <v>42710</v>
      </c>
      <c r="F1837" s="40" t="s">
        <v>1484</v>
      </c>
      <c r="G1837" s="451" t="s">
        <v>1482</v>
      </c>
      <c r="H1837" s="191" t="s">
        <v>1483</v>
      </c>
      <c r="I1837" s="252">
        <v>879</v>
      </c>
      <c r="J1837" s="252">
        <v>3100</v>
      </c>
      <c r="K1837" s="38">
        <f>ROUND(I1837*J1837,0)</f>
        <v>2724900</v>
      </c>
      <c r="L1837" s="192" t="s">
        <v>258</v>
      </c>
      <c r="M1837" s="192" t="s">
        <v>173</v>
      </c>
      <c r="N1837" s="52" t="str">
        <f>IF(AND('331-CT'!$E$7=TH!H1837,OR(L1837="331",M1837="331")),"331",IF(AND(OR(L1837="131",M1837="131"),H1837='131-CT'!$E$7),"131",""))</f>
        <v/>
      </c>
      <c r="O1837" s="818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52"/>
      <c r="AB1837" s="552"/>
    </row>
    <row r="1838" spans="1:29" s="209" customFormat="1" ht="15.75" customHeight="1">
      <c r="A1838" s="202" t="str">
        <f>IF(B1838&lt;&gt;"",IF(AND(B1838&gt;=_TM1,B1838&lt;=_TM2,OR(TH!L1838="1111",TH!M1838="1111")),TH!D1838,""),"")</f>
        <v/>
      </c>
      <c r="B1838" s="36">
        <f t="shared" si="83"/>
        <v>12</v>
      </c>
      <c r="C1838" s="182">
        <f t="shared" si="82"/>
        <v>42710</v>
      </c>
      <c r="D1838" s="182" t="s">
        <v>1136</v>
      </c>
      <c r="E1838" s="189">
        <v>42710</v>
      </c>
      <c r="F1838" s="40" t="s">
        <v>1485</v>
      </c>
      <c r="G1838" s="451" t="s">
        <v>1482</v>
      </c>
      <c r="H1838" s="191" t="s">
        <v>1483</v>
      </c>
      <c r="I1838" s="252">
        <v>523</v>
      </c>
      <c r="J1838" s="252">
        <v>4300</v>
      </c>
      <c r="K1838" s="38">
        <f>ROUND(I1838*J1838,0)</f>
        <v>2248900</v>
      </c>
      <c r="L1838" s="192" t="s">
        <v>258</v>
      </c>
      <c r="M1838" s="192" t="s">
        <v>173</v>
      </c>
      <c r="N1838" s="52" t="str">
        <f>IF(AND('331-CT'!$E$7=TH!H1838,OR(L1838="331",M1838="331")),"331",IF(AND(OR(L1838="131",M1838="131"),H1838='131-CT'!$E$7),"131",""))</f>
        <v/>
      </c>
      <c r="O1838" s="818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52"/>
      <c r="AB1838" s="552"/>
      <c r="AC1838" s="552"/>
    </row>
    <row r="1839" spans="1:29" s="209" customFormat="1" ht="15.75" customHeight="1">
      <c r="A1839" s="202" t="str">
        <f>IF(B1839&lt;&gt;"",IF(AND(B1839&gt;=_TM1,B1839&lt;=_TM2,OR(TH!L1839="1111",TH!M1839="1111")),TH!D1839,""),"")</f>
        <v/>
      </c>
      <c r="B1839" s="36">
        <f t="shared" si="83"/>
        <v>12</v>
      </c>
      <c r="C1839" s="182">
        <f t="shared" si="82"/>
        <v>42710</v>
      </c>
      <c r="D1839" s="182" t="s">
        <v>1136</v>
      </c>
      <c r="E1839" s="189">
        <v>42710</v>
      </c>
      <c r="F1839" s="40" t="s">
        <v>1254</v>
      </c>
      <c r="G1839" s="451" t="s">
        <v>1482</v>
      </c>
      <c r="H1839" s="191" t="s">
        <v>1483</v>
      </c>
      <c r="I1839" s="252"/>
      <c r="J1839" s="252"/>
      <c r="K1839" s="38">
        <v>497380</v>
      </c>
      <c r="L1839" s="192" t="s">
        <v>258</v>
      </c>
      <c r="M1839" s="192" t="s">
        <v>367</v>
      </c>
      <c r="N1839" s="52" t="str">
        <f>IF(AND('331-CT'!$E$7=TH!H1839,OR(L1839="331",M1839="331")),"331",IF(AND(OR(L1839="131",M1839="131"),H1839='131-CT'!$E$7),"131",""))</f>
        <v/>
      </c>
      <c r="O1839" s="818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52"/>
      <c r="AB1839" s="552"/>
      <c r="AC1839" s="552"/>
    </row>
    <row r="1840" spans="1:29" s="209" customFormat="1" ht="15.75" customHeight="1">
      <c r="A1840" s="202" t="str">
        <f>IF(B1840&lt;&gt;"",IF(AND(B1840&gt;=_TM1,B1840&lt;=_TM2,OR(TH!L1840="1111",TH!M1840="1111")),TH!D1840,""),"")</f>
        <v/>
      </c>
      <c r="B1840" s="36">
        <f t="shared" si="83"/>
        <v>12</v>
      </c>
      <c r="C1840" s="182">
        <f t="shared" si="82"/>
        <v>42710</v>
      </c>
      <c r="D1840" s="182" t="s">
        <v>1137</v>
      </c>
      <c r="E1840" s="189">
        <v>42710</v>
      </c>
      <c r="F1840" s="40" t="s">
        <v>1473</v>
      </c>
      <c r="G1840" s="451" t="s">
        <v>1486</v>
      </c>
      <c r="H1840" s="191" t="s">
        <v>1471</v>
      </c>
      <c r="I1840" s="252">
        <v>2400</v>
      </c>
      <c r="J1840" s="252">
        <v>7500</v>
      </c>
      <c r="K1840" s="38">
        <f>ROUND(I1840*J1840,0)</f>
        <v>18000000</v>
      </c>
      <c r="L1840" s="192" t="s">
        <v>258</v>
      </c>
      <c r="M1840" s="192" t="s">
        <v>173</v>
      </c>
      <c r="N1840" s="52" t="str">
        <f>IF(AND('331-CT'!$E$7=TH!H1840,OR(L1840="331",M1840="331")),"331",IF(AND(OR(L1840="131",M1840="131"),H1840='131-CT'!$E$7),"131",""))</f>
        <v/>
      </c>
      <c r="O1840" s="818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52"/>
      <c r="AB1840" s="552"/>
    </row>
    <row r="1841" spans="1:29" s="209" customFormat="1" ht="15.75" customHeight="1">
      <c r="A1841" s="202" t="str">
        <f>IF(B1841&lt;&gt;"",IF(AND(B1841&gt;=_TM1,B1841&lt;=_TM2,OR(TH!L1841="1111",TH!M1841="1111")),TH!D1841,""),"")</f>
        <v/>
      </c>
      <c r="B1841" s="36">
        <f t="shared" si="83"/>
        <v>12</v>
      </c>
      <c r="C1841" s="182">
        <f t="shared" si="82"/>
        <v>42710</v>
      </c>
      <c r="D1841" s="182" t="s">
        <v>1137</v>
      </c>
      <c r="E1841" s="189">
        <v>42710</v>
      </c>
      <c r="F1841" s="40" t="s">
        <v>1254</v>
      </c>
      <c r="G1841" s="451" t="s">
        <v>1486</v>
      </c>
      <c r="H1841" s="191" t="s">
        <v>1471</v>
      </c>
      <c r="I1841" s="252"/>
      <c r="J1841" s="252"/>
      <c r="K1841" s="38">
        <v>1800000</v>
      </c>
      <c r="L1841" s="192" t="s">
        <v>258</v>
      </c>
      <c r="M1841" s="192" t="s">
        <v>367</v>
      </c>
      <c r="N1841" s="52" t="str">
        <f>IF(AND('331-CT'!$E$7=TH!H1841,OR(L1841="331",M1841="331")),"331",IF(AND(OR(L1841="131",M1841="131"),H1841='131-CT'!$E$7),"131",""))</f>
        <v/>
      </c>
      <c r="O1841" s="818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52"/>
      <c r="AB1841" s="552"/>
      <c r="AC1841" s="552"/>
    </row>
    <row r="1842" spans="1:29" s="209" customFormat="1" ht="15.75" customHeight="1">
      <c r="A1842" s="202" t="str">
        <f>IF(B1842&lt;&gt;"",IF(AND(B1842&gt;=_TM1,B1842&lt;=_TM2,OR(TH!L1842="1111",TH!M1842="1111")),TH!D1842,""),"")</f>
        <v/>
      </c>
      <c r="B1842" s="36">
        <f t="shared" si="83"/>
        <v>12</v>
      </c>
      <c r="C1842" s="182">
        <f t="shared" si="82"/>
        <v>42711</v>
      </c>
      <c r="D1842" s="182" t="s">
        <v>1138</v>
      </c>
      <c r="E1842" s="189">
        <v>42711</v>
      </c>
      <c r="F1842" s="40" t="s">
        <v>1473</v>
      </c>
      <c r="G1842" s="451" t="s">
        <v>1487</v>
      </c>
      <c r="H1842" s="191" t="s">
        <v>1471</v>
      </c>
      <c r="I1842" s="252">
        <v>2400</v>
      </c>
      <c r="J1842" s="252">
        <v>7500</v>
      </c>
      <c r="K1842" s="38">
        <f>ROUND(I1842*J1842,0)</f>
        <v>18000000</v>
      </c>
      <c r="L1842" s="192" t="s">
        <v>258</v>
      </c>
      <c r="M1842" s="192" t="s">
        <v>173</v>
      </c>
      <c r="N1842" s="52" t="str">
        <f>IF(AND('331-CT'!$E$7=TH!H1842,OR(L1842="331",M1842="331")),"331",IF(AND(OR(L1842="131",M1842="131"),H1842='131-CT'!$E$7),"131",""))</f>
        <v/>
      </c>
      <c r="O1842" s="818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52"/>
      <c r="AB1842" s="552"/>
    </row>
    <row r="1843" spans="1:29" s="209" customFormat="1" ht="15.75" customHeight="1">
      <c r="A1843" s="202" t="str">
        <f>IF(B1843&lt;&gt;"",IF(AND(B1843&gt;=_TM1,B1843&lt;=_TM2,OR(TH!L1843="1111",TH!M1843="1111")),TH!D1843,""),"")</f>
        <v/>
      </c>
      <c r="B1843" s="36">
        <f t="shared" si="83"/>
        <v>12</v>
      </c>
      <c r="C1843" s="182">
        <f t="shared" si="82"/>
        <v>42711</v>
      </c>
      <c r="D1843" s="182" t="s">
        <v>1138</v>
      </c>
      <c r="E1843" s="189">
        <v>42711</v>
      </c>
      <c r="F1843" s="40" t="s">
        <v>1254</v>
      </c>
      <c r="G1843" s="451" t="s">
        <v>1487</v>
      </c>
      <c r="H1843" s="191" t="s">
        <v>1471</v>
      </c>
      <c r="I1843" s="252"/>
      <c r="J1843" s="252"/>
      <c r="K1843" s="38">
        <v>1800000</v>
      </c>
      <c r="L1843" s="192" t="s">
        <v>258</v>
      </c>
      <c r="M1843" s="192" t="s">
        <v>367</v>
      </c>
      <c r="N1843" s="52" t="str">
        <f>IF(AND('331-CT'!$E$7=TH!H1843,OR(L1843="331",M1843="331")),"331",IF(AND(OR(L1843="131",M1843="131"),H1843='131-CT'!$E$7),"131",""))</f>
        <v/>
      </c>
      <c r="O1843" s="818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52"/>
      <c r="AB1843" s="552"/>
      <c r="AC1843" s="552"/>
    </row>
    <row r="1844" spans="1:29" s="209" customFormat="1" ht="15.75" customHeight="1">
      <c r="A1844" s="202" t="str">
        <f>IF(B1844&lt;&gt;"",IF(AND(B1844&gt;=_TM1,B1844&lt;=_TM2,OR(TH!L1844="1111",TH!M1844="1111")),TH!D1844,""),"")</f>
        <v/>
      </c>
      <c r="B1844" s="36">
        <f t="shared" si="83"/>
        <v>12</v>
      </c>
      <c r="C1844" s="182">
        <f t="shared" si="82"/>
        <v>42712</v>
      </c>
      <c r="D1844" s="182" t="s">
        <v>669</v>
      </c>
      <c r="E1844" s="189">
        <v>42712</v>
      </c>
      <c r="F1844" s="190" t="s">
        <v>666</v>
      </c>
      <c r="G1844" s="190" t="s">
        <v>1287</v>
      </c>
      <c r="H1844" s="7" t="s">
        <v>615</v>
      </c>
      <c r="I1844" s="251"/>
      <c r="J1844" s="251"/>
      <c r="K1844" s="560">
        <v>7623000</v>
      </c>
      <c r="L1844" s="561" t="s">
        <v>24</v>
      </c>
      <c r="M1844" s="561" t="s">
        <v>258</v>
      </c>
      <c r="N1844" s="52" t="str">
        <f>IF(AND('331-CT'!$E$7=TH!H1844,OR(L1844="331",M1844="331")),"331",IF(AND(OR(L1844="131",M1844="131"),H1844='131-CT'!$E$7),"131",""))</f>
        <v/>
      </c>
      <c r="O1844" s="818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>x</v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53"/>
      <c r="AB1844" s="552"/>
      <c r="AC1844" s="552"/>
    </row>
    <row r="1845" spans="1:29" s="209" customFormat="1" ht="15.75" customHeight="1">
      <c r="A1845" s="202" t="str">
        <f>IF(B1845&lt;&gt;"",IF(AND(B1845&gt;=_TM1,B1845&lt;=_TM2,OR(TH!L1845="1111",TH!M1845="1111")),TH!D1845,""),"")</f>
        <v>C17</v>
      </c>
      <c r="B1845" s="36">
        <f t="shared" si="83"/>
        <v>12</v>
      </c>
      <c r="C1845" s="182">
        <f t="shared" si="82"/>
        <v>42713</v>
      </c>
      <c r="D1845" s="182" t="s">
        <v>1651</v>
      </c>
      <c r="E1845" s="189">
        <v>42713</v>
      </c>
      <c r="F1845" s="187" t="s">
        <v>754</v>
      </c>
      <c r="G1845" s="190" t="s">
        <v>1287</v>
      </c>
      <c r="H1845" s="191" t="s">
        <v>1282</v>
      </c>
      <c r="I1845" s="251"/>
      <c r="J1845" s="251"/>
      <c r="K1845" s="560">
        <v>49000000</v>
      </c>
      <c r="L1845" s="561" t="s">
        <v>24</v>
      </c>
      <c r="M1845" s="561" t="s">
        <v>47</v>
      </c>
      <c r="N1845" s="52" t="str">
        <f>IF(AND('331-CT'!$E$7=TH!H1845,OR(L1845="331",M1845="331")),"331",IF(AND(OR(L1845="131",M1845="131"),H1845='131-CT'!$E$7),"131",""))</f>
        <v/>
      </c>
      <c r="O1845" s="818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>x</v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53"/>
      <c r="AB1845" s="552"/>
      <c r="AC1845" s="552"/>
    </row>
    <row r="1846" spans="1:29" s="209" customFormat="1" ht="15.75" customHeight="1">
      <c r="A1846" s="202" t="str">
        <f>IF(B1846&lt;&gt;"",IF(AND(B1846&gt;=_TM1,B1846&lt;=_TM2,OR(TH!L1846="1111",TH!M1846="1111")),TH!D1846,""),"")</f>
        <v/>
      </c>
      <c r="B1846" s="36">
        <f t="shared" si="83"/>
        <v>12</v>
      </c>
      <c r="C1846" s="182">
        <f t="shared" si="82"/>
        <v>42713</v>
      </c>
      <c r="D1846" s="182" t="s">
        <v>669</v>
      </c>
      <c r="E1846" s="189">
        <v>42713</v>
      </c>
      <c r="F1846" s="187" t="s">
        <v>671</v>
      </c>
      <c r="G1846" s="190" t="s">
        <v>1287</v>
      </c>
      <c r="H1846" s="7"/>
      <c r="I1846" s="251"/>
      <c r="J1846" s="251"/>
      <c r="K1846" s="560">
        <v>50000000</v>
      </c>
      <c r="L1846" s="561" t="s">
        <v>8</v>
      </c>
      <c r="M1846" s="561" t="s">
        <v>24</v>
      </c>
      <c r="N1846" s="52" t="str">
        <f>IF(AND('331-CT'!$E$7=TH!H1846,OR(L1846="331",M1846="331")),"331",IF(AND(OR(L1846="131",M1846="131"),H1846='131-CT'!$E$7),"131",""))</f>
        <v/>
      </c>
      <c r="O1846" s="818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>x</v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53"/>
      <c r="AB1846" s="552"/>
    </row>
    <row r="1847" spans="1:29" s="209" customFormat="1" ht="15.75" customHeight="1">
      <c r="A1847" s="202" t="str">
        <f>IF(B1847&lt;&gt;"",IF(AND(B1847&gt;=_TM1,B1847&lt;=_TM2,OR(TH!L1847="1111",TH!M1847="1111")),TH!D1847,""),"")</f>
        <v/>
      </c>
      <c r="B1847" s="36">
        <f t="shared" si="83"/>
        <v>12</v>
      </c>
      <c r="C1847" s="182">
        <f t="shared" si="82"/>
        <v>42713</v>
      </c>
      <c r="D1847" s="182" t="s">
        <v>669</v>
      </c>
      <c r="E1847" s="189">
        <v>42713</v>
      </c>
      <c r="F1847" s="190" t="s">
        <v>672</v>
      </c>
      <c r="G1847" s="190" t="s">
        <v>1287</v>
      </c>
      <c r="H1847" s="191"/>
      <c r="I1847" s="251"/>
      <c r="J1847" s="251"/>
      <c r="K1847" s="560">
        <v>15000</v>
      </c>
      <c r="L1847" s="561" t="s">
        <v>83</v>
      </c>
      <c r="M1847" s="561" t="s">
        <v>24</v>
      </c>
      <c r="N1847" s="52" t="str">
        <f>IF(AND('331-CT'!$E$7=TH!H1847,OR(L1847="331",M1847="331")),"331",IF(AND(OR(L1847="131",M1847="131"),H1847='131-CT'!$E$7),"131",""))</f>
        <v/>
      </c>
      <c r="O1847" s="818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>x</v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>x</v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53">
        <v>4</v>
      </c>
      <c r="AB1847" s="552"/>
      <c r="AC1847" s="552"/>
    </row>
    <row r="1848" spans="1:29" s="209" customFormat="1" ht="15.75" customHeight="1">
      <c r="A1848" s="202" t="str">
        <f>IF(B1848&lt;&gt;"",IF(AND(B1848&gt;=_TM1,B1848&lt;=_TM2,OR(TH!L1848="1111",TH!M1848="1111")),TH!D1848,""),"")</f>
        <v/>
      </c>
      <c r="B1848" s="36">
        <f t="shared" si="83"/>
        <v>12</v>
      </c>
      <c r="C1848" s="182">
        <f t="shared" si="82"/>
        <v>42713</v>
      </c>
      <c r="D1848" s="182" t="s">
        <v>669</v>
      </c>
      <c r="E1848" s="189">
        <v>42713</v>
      </c>
      <c r="F1848" s="190" t="s">
        <v>762</v>
      </c>
      <c r="G1848" s="190" t="s">
        <v>1287</v>
      </c>
      <c r="H1848" s="7"/>
      <c r="I1848" s="251"/>
      <c r="J1848" s="251"/>
      <c r="K1848" s="560">
        <v>1500</v>
      </c>
      <c r="L1848" s="192" t="s">
        <v>9</v>
      </c>
      <c r="M1848" s="561" t="s">
        <v>24</v>
      </c>
      <c r="N1848" s="52" t="str">
        <f>IF(AND('331-CT'!$E$7=TH!H1848,OR(L1848="331",M1848="331")),"331",IF(AND(OR(L1848="131",M1848="131"),H1848='131-CT'!$E$7),"131",""))</f>
        <v/>
      </c>
      <c r="O1848" s="818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>x</v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53">
        <v>4</v>
      </c>
      <c r="AB1848" s="552"/>
      <c r="AC1848" s="552"/>
    </row>
    <row r="1849" spans="1:29" s="209" customFormat="1" ht="15.75" customHeight="1">
      <c r="A1849" s="202" t="str">
        <f>IF(B1849&lt;&gt;"",IF(AND(B1849&gt;=_TM1,B1849&lt;=_TM2,OR(TH!L1849="1111",TH!M1849="1111")),TH!D1849,""),"")</f>
        <v/>
      </c>
      <c r="B1849" s="36">
        <f t="shared" si="83"/>
        <v>12</v>
      </c>
      <c r="C1849" s="182">
        <f t="shared" si="82"/>
        <v>42713</v>
      </c>
      <c r="D1849" s="182" t="s">
        <v>669</v>
      </c>
      <c r="E1849" s="189">
        <v>42713</v>
      </c>
      <c r="F1849" s="187" t="s">
        <v>671</v>
      </c>
      <c r="G1849" s="190" t="s">
        <v>1287</v>
      </c>
      <c r="H1849" s="7"/>
      <c r="I1849" s="251"/>
      <c r="J1849" s="251"/>
      <c r="K1849" s="560">
        <v>10000000</v>
      </c>
      <c r="L1849" s="561" t="s">
        <v>8</v>
      </c>
      <c r="M1849" s="561" t="s">
        <v>24</v>
      </c>
      <c r="N1849" s="52" t="str">
        <f>IF(AND('331-CT'!$E$7=TH!H1849,OR(L1849="331",M1849="331")),"331",IF(AND(OR(L1849="131",M1849="131"),H1849='131-CT'!$E$7),"131",""))</f>
        <v/>
      </c>
      <c r="O1849" s="818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>x</v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53"/>
      <c r="AB1849" s="552"/>
    </row>
    <row r="1850" spans="1:29" s="209" customFormat="1" ht="15.75" customHeight="1">
      <c r="A1850" s="202" t="str">
        <f>IF(B1850&lt;&gt;"",IF(AND(B1850&gt;=_TM1,B1850&lt;=_TM2,OR(TH!L1850="1111",TH!M1850="1111")),TH!D1850,""),"")</f>
        <v/>
      </c>
      <c r="B1850" s="36">
        <f t="shared" si="83"/>
        <v>12</v>
      </c>
      <c r="C1850" s="182">
        <f t="shared" si="82"/>
        <v>42713</v>
      </c>
      <c r="D1850" s="182" t="s">
        <v>669</v>
      </c>
      <c r="E1850" s="189">
        <v>42713</v>
      </c>
      <c r="F1850" s="190" t="s">
        <v>672</v>
      </c>
      <c r="G1850" s="190" t="s">
        <v>1287</v>
      </c>
      <c r="H1850" s="191"/>
      <c r="I1850" s="251"/>
      <c r="J1850" s="251"/>
      <c r="K1850" s="560">
        <v>15000</v>
      </c>
      <c r="L1850" s="561" t="s">
        <v>83</v>
      </c>
      <c r="M1850" s="561" t="s">
        <v>24</v>
      </c>
      <c r="N1850" s="52" t="str">
        <f>IF(AND('331-CT'!$E$7=TH!H1850,OR(L1850="331",M1850="331")),"331",IF(AND(OR(L1850="131",M1850="131"),H1850='131-CT'!$E$7),"131",""))</f>
        <v/>
      </c>
      <c r="O1850" s="818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>x</v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>x</v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53">
        <v>4</v>
      </c>
      <c r="AB1850" s="552"/>
      <c r="AC1850" s="552"/>
    </row>
    <row r="1851" spans="1:29" s="209" customFormat="1" ht="15.75" customHeight="1">
      <c r="A1851" s="202" t="str">
        <f>IF(B1851&lt;&gt;"",IF(AND(B1851&gt;=_TM1,B1851&lt;=_TM2,OR(TH!L1851="1111",TH!M1851="1111")),TH!D1851,""),"")</f>
        <v/>
      </c>
      <c r="B1851" s="36">
        <f t="shared" si="83"/>
        <v>12</v>
      </c>
      <c r="C1851" s="182">
        <f t="shared" si="82"/>
        <v>42713</v>
      </c>
      <c r="D1851" s="182" t="s">
        <v>669</v>
      </c>
      <c r="E1851" s="189">
        <v>42713</v>
      </c>
      <c r="F1851" s="190" t="s">
        <v>762</v>
      </c>
      <c r="G1851" s="190" t="s">
        <v>1287</v>
      </c>
      <c r="H1851" s="7"/>
      <c r="I1851" s="251"/>
      <c r="J1851" s="251"/>
      <c r="K1851" s="560">
        <v>1500</v>
      </c>
      <c r="L1851" s="192" t="s">
        <v>9</v>
      </c>
      <c r="M1851" s="561" t="s">
        <v>24</v>
      </c>
      <c r="N1851" s="52" t="str">
        <f>IF(AND('331-CT'!$E$7=TH!H1851,OR(L1851="331",M1851="331")),"331",IF(AND(OR(L1851="131",M1851="131"),H1851='131-CT'!$E$7),"131",""))</f>
        <v/>
      </c>
      <c r="O1851" s="818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>x</v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53">
        <v>4</v>
      </c>
      <c r="AB1851" s="552"/>
      <c r="AC1851" s="552"/>
    </row>
    <row r="1852" spans="1:29" s="209" customFormat="1" ht="15.75" customHeight="1">
      <c r="A1852" s="202" t="str">
        <f>IF(B1852&lt;&gt;"",IF(AND(B1852&gt;=_TM1,B1852&lt;=_TM2,OR(TH!L1852="1111",TH!M1852="1111")),TH!D1852,""),"")</f>
        <v/>
      </c>
      <c r="B1852" s="36">
        <f t="shared" si="83"/>
        <v>12</v>
      </c>
      <c r="C1852" s="182">
        <f t="shared" si="82"/>
        <v>42713</v>
      </c>
      <c r="D1852" s="182" t="s">
        <v>1139</v>
      </c>
      <c r="E1852" s="189">
        <v>42713</v>
      </c>
      <c r="F1852" s="40" t="s">
        <v>1303</v>
      </c>
      <c r="G1852" s="451" t="s">
        <v>1488</v>
      </c>
      <c r="H1852" s="7" t="s">
        <v>780</v>
      </c>
      <c r="I1852" s="252">
        <v>1510</v>
      </c>
      <c r="J1852" s="252">
        <v>7700</v>
      </c>
      <c r="K1852" s="38">
        <f>ROUND(I1852*J1852,0)</f>
        <v>11627000</v>
      </c>
      <c r="L1852" s="192" t="s">
        <v>258</v>
      </c>
      <c r="M1852" s="192" t="s">
        <v>173</v>
      </c>
      <c r="N1852" s="52" t="str">
        <f>IF(AND('331-CT'!$E$7=TH!H1852,OR(L1852="331",M1852="331")),"331",IF(AND(OR(L1852="131",M1852="131"),H1852='131-CT'!$E$7),"131",""))</f>
        <v/>
      </c>
      <c r="O1852" s="818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52"/>
      <c r="AB1852" s="552"/>
      <c r="AC1852" s="552"/>
    </row>
    <row r="1853" spans="1:29" s="209" customFormat="1" ht="15.75" customHeight="1">
      <c r="A1853" s="202" t="str">
        <f>IF(B1853&lt;&gt;"",IF(AND(B1853&gt;=_TM1,B1853&lt;=_TM2,OR(TH!L1853="1111",TH!M1853="1111")),TH!D1853,""),"")</f>
        <v/>
      </c>
      <c r="B1853" s="36">
        <f t="shared" si="83"/>
        <v>12</v>
      </c>
      <c r="C1853" s="182">
        <f t="shared" si="82"/>
        <v>42713</v>
      </c>
      <c r="D1853" s="182" t="s">
        <v>1139</v>
      </c>
      <c r="E1853" s="189">
        <v>42713</v>
      </c>
      <c r="F1853" s="40" t="s">
        <v>1315</v>
      </c>
      <c r="G1853" s="451" t="s">
        <v>1488</v>
      </c>
      <c r="H1853" s="7" t="s">
        <v>780</v>
      </c>
      <c r="I1853" s="252">
        <v>1500</v>
      </c>
      <c r="J1853" s="252">
        <v>6700</v>
      </c>
      <c r="K1853" s="38">
        <f>ROUND(I1853*J1853,0)</f>
        <v>10050000</v>
      </c>
      <c r="L1853" s="192" t="s">
        <v>258</v>
      </c>
      <c r="M1853" s="192" t="s">
        <v>173</v>
      </c>
      <c r="N1853" s="52" t="str">
        <f>IF(AND('331-CT'!$E$7=TH!H1853,OR(L1853="331",M1853="331")),"331",IF(AND(OR(L1853="131",M1853="131"),H1853='131-CT'!$E$7),"131",""))</f>
        <v/>
      </c>
      <c r="O1853" s="818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52"/>
      <c r="AB1853" s="552"/>
      <c r="AC1853" s="552"/>
    </row>
    <row r="1854" spans="1:29" s="209" customFormat="1" ht="15.75" customHeight="1">
      <c r="A1854" s="202" t="str">
        <f>IF(B1854&lt;&gt;"",IF(AND(B1854&gt;=_TM1,B1854&lt;=_TM2,OR(TH!L1854="1111",TH!M1854="1111")),TH!D1854,""),"")</f>
        <v/>
      </c>
      <c r="B1854" s="36">
        <f t="shared" si="83"/>
        <v>12</v>
      </c>
      <c r="C1854" s="182">
        <f t="shared" si="82"/>
        <v>42713</v>
      </c>
      <c r="D1854" s="182" t="s">
        <v>1139</v>
      </c>
      <c r="E1854" s="189">
        <v>42713</v>
      </c>
      <c r="F1854" s="40" t="s">
        <v>1254</v>
      </c>
      <c r="G1854" s="451" t="s">
        <v>1488</v>
      </c>
      <c r="H1854" s="7" t="s">
        <v>780</v>
      </c>
      <c r="I1854" s="252"/>
      <c r="J1854" s="252"/>
      <c r="K1854" s="38">
        <v>2167700</v>
      </c>
      <c r="L1854" s="192" t="s">
        <v>258</v>
      </c>
      <c r="M1854" s="192" t="s">
        <v>367</v>
      </c>
      <c r="N1854" s="52" t="str">
        <f>IF(AND('331-CT'!$E$7=TH!H1854,OR(L1854="331",M1854="331")),"331",IF(AND(OR(L1854="131",M1854="131"),H1854='131-CT'!$E$7),"131",""))</f>
        <v/>
      </c>
      <c r="O1854" s="818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52"/>
      <c r="AB1854" s="552"/>
    </row>
    <row r="1855" spans="1:29" s="209" customFormat="1" ht="15.75" customHeight="1">
      <c r="A1855" s="202" t="str">
        <f>IF(B1855&lt;&gt;"",IF(AND(B1855&gt;=_TM1,B1855&lt;=_TM2,OR(TH!L1855="1111",TH!M1855="1111")),TH!D1855,""),"")</f>
        <v/>
      </c>
      <c r="B1855" s="36">
        <f t="shared" si="83"/>
        <v>12</v>
      </c>
      <c r="C1855" s="182">
        <f t="shared" si="82"/>
        <v>42713</v>
      </c>
      <c r="D1855" s="182" t="s">
        <v>1140</v>
      </c>
      <c r="E1855" s="189">
        <v>42713</v>
      </c>
      <c r="F1855" s="40" t="s">
        <v>1355</v>
      </c>
      <c r="G1855" s="451" t="s">
        <v>1489</v>
      </c>
      <c r="H1855" s="7" t="s">
        <v>399</v>
      </c>
      <c r="I1855" s="252">
        <v>535</v>
      </c>
      <c r="J1855" s="252">
        <v>8800</v>
      </c>
      <c r="K1855" s="38">
        <f>ROUND(I1855*J1855,0)</f>
        <v>4708000</v>
      </c>
      <c r="L1855" s="192" t="s">
        <v>258</v>
      </c>
      <c r="M1855" s="192" t="s">
        <v>173</v>
      </c>
      <c r="N1855" s="52" t="str">
        <f>IF(AND('331-CT'!$E$7=TH!H1855,OR(L1855="331",M1855="331")),"331",IF(AND(OR(L1855="131",M1855="131"),H1855='131-CT'!$E$7),"131",""))</f>
        <v/>
      </c>
      <c r="O1855" s="818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52"/>
      <c r="AB1855" s="552"/>
      <c r="AC1855" s="552"/>
    </row>
    <row r="1856" spans="1:29" s="209" customFormat="1" ht="15.75" customHeight="1">
      <c r="A1856" s="202" t="str">
        <f>IF(B1856&lt;&gt;"",IF(AND(B1856&gt;=_TM1,B1856&lt;=_TM2,OR(TH!L1856="1111",TH!M1856="1111")),TH!D1856,""),"")</f>
        <v/>
      </c>
      <c r="B1856" s="36">
        <f t="shared" si="83"/>
        <v>12</v>
      </c>
      <c r="C1856" s="182">
        <f t="shared" si="82"/>
        <v>42713</v>
      </c>
      <c r="D1856" s="182" t="s">
        <v>1140</v>
      </c>
      <c r="E1856" s="189">
        <v>42713</v>
      </c>
      <c r="F1856" s="40" t="s">
        <v>954</v>
      </c>
      <c r="G1856" s="451" t="s">
        <v>1489</v>
      </c>
      <c r="H1856" s="7" t="s">
        <v>399</v>
      </c>
      <c r="I1856" s="252">
        <v>46</v>
      </c>
      <c r="J1856" s="252">
        <v>8500</v>
      </c>
      <c r="K1856" s="38">
        <f>ROUND(I1856*J1856,0)</f>
        <v>391000</v>
      </c>
      <c r="L1856" s="192" t="s">
        <v>258</v>
      </c>
      <c r="M1856" s="192" t="s">
        <v>173</v>
      </c>
      <c r="N1856" s="52" t="str">
        <f>IF(AND('331-CT'!$E$7=TH!H1856,OR(L1856="331",M1856="331")),"331",IF(AND(OR(L1856="131",M1856="131"),H1856='131-CT'!$E$7),"131",""))</f>
        <v/>
      </c>
      <c r="O1856" s="818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52"/>
      <c r="AB1856" s="552"/>
    </row>
    <row r="1857" spans="1:29" s="209" customFormat="1" ht="15.75" customHeight="1">
      <c r="A1857" s="202" t="str">
        <f>IF(B1857&lt;&gt;"",IF(AND(B1857&gt;=_TM1,B1857&lt;=_TM2,OR(TH!L1857="1111",TH!M1857="1111")),TH!D1857,""),"")</f>
        <v/>
      </c>
      <c r="B1857" s="36">
        <f t="shared" si="83"/>
        <v>12</v>
      </c>
      <c r="C1857" s="182">
        <f t="shared" si="82"/>
        <v>42713</v>
      </c>
      <c r="D1857" s="182" t="s">
        <v>1140</v>
      </c>
      <c r="E1857" s="189">
        <v>42713</v>
      </c>
      <c r="F1857" s="40" t="s">
        <v>1254</v>
      </c>
      <c r="G1857" s="451" t="s">
        <v>1489</v>
      </c>
      <c r="H1857" s="7" t="s">
        <v>399</v>
      </c>
      <c r="I1857" s="252"/>
      <c r="J1857" s="252"/>
      <c r="K1857" s="38">
        <v>509900</v>
      </c>
      <c r="L1857" s="192" t="s">
        <v>258</v>
      </c>
      <c r="M1857" s="192" t="s">
        <v>367</v>
      </c>
      <c r="N1857" s="52" t="str">
        <f>IF(AND('331-CT'!$E$7=TH!H1857,OR(L1857="331",M1857="331")),"331",IF(AND(OR(L1857="131",M1857="131"),H1857='131-CT'!$E$7),"131",""))</f>
        <v/>
      </c>
      <c r="O1857" s="818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52"/>
      <c r="AB1857" s="552"/>
      <c r="AC1857" s="552"/>
    </row>
    <row r="1858" spans="1:29" s="209" customFormat="1" ht="15.75" customHeight="1">
      <c r="A1858" s="202" t="str">
        <f>IF(B1858&lt;&gt;"",IF(AND(B1858&gt;=_TM1,B1858&lt;=_TM2,OR(TH!L1858="1111",TH!M1858="1111")),TH!D1858,""),"")</f>
        <v/>
      </c>
      <c r="B1858" s="36">
        <f t="shared" si="83"/>
        <v>12</v>
      </c>
      <c r="C1858" s="182">
        <f t="shared" si="82"/>
        <v>42716</v>
      </c>
      <c r="D1858" s="182" t="s">
        <v>669</v>
      </c>
      <c r="E1858" s="189">
        <v>42716</v>
      </c>
      <c r="F1858" s="190" t="s">
        <v>666</v>
      </c>
      <c r="G1858" s="190" t="s">
        <v>1287</v>
      </c>
      <c r="H1858" s="7" t="s">
        <v>391</v>
      </c>
      <c r="I1858" s="251"/>
      <c r="J1858" s="251"/>
      <c r="K1858" s="560">
        <v>19168050</v>
      </c>
      <c r="L1858" s="561" t="s">
        <v>24</v>
      </c>
      <c r="M1858" s="561" t="s">
        <v>258</v>
      </c>
      <c r="N1858" s="52" t="str">
        <f>IF(AND('331-CT'!$E$7=TH!H1858,OR(L1858="331",M1858="331")),"331",IF(AND(OR(L1858="131",M1858="131"),H1858='131-CT'!$E$7),"131",""))</f>
        <v/>
      </c>
      <c r="O1858" s="818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>x</v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53"/>
      <c r="AB1858" s="552"/>
    </row>
    <row r="1859" spans="1:29" s="209" customFormat="1" ht="15.75" customHeight="1">
      <c r="A1859" s="202" t="str">
        <f>IF(B1859&lt;&gt;"",IF(AND(B1859&gt;=_TM1,B1859&lt;=_TM2,OR(TH!L1859="1111",TH!M1859="1111")),TH!D1859,""),"")</f>
        <v/>
      </c>
      <c r="B1859" s="36">
        <f t="shared" si="83"/>
        <v>12</v>
      </c>
      <c r="C1859" s="182">
        <f t="shared" si="82"/>
        <v>42716</v>
      </c>
      <c r="D1859" s="182" t="s">
        <v>1141</v>
      </c>
      <c r="E1859" s="189">
        <v>42716</v>
      </c>
      <c r="F1859" s="187" t="s">
        <v>1434</v>
      </c>
      <c r="G1859" s="451" t="s">
        <v>1490</v>
      </c>
      <c r="H1859" s="7" t="s">
        <v>615</v>
      </c>
      <c r="I1859" s="252">
        <v>600</v>
      </c>
      <c r="J1859" s="252">
        <v>10900</v>
      </c>
      <c r="K1859" s="38">
        <f>ROUND(I1859*J1859,0)</f>
        <v>6540000</v>
      </c>
      <c r="L1859" s="192" t="s">
        <v>258</v>
      </c>
      <c r="M1859" s="192" t="s">
        <v>173</v>
      </c>
      <c r="N1859" s="52" t="str">
        <f>IF(AND('331-CT'!$E$7=TH!H1859,OR(L1859="331",M1859="331")),"331",IF(AND(OR(L1859="131",M1859="131"),H1859='131-CT'!$E$7),"131",""))</f>
        <v/>
      </c>
      <c r="O1859" s="818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52"/>
      <c r="AB1859" s="552"/>
      <c r="AC1859" s="552"/>
    </row>
    <row r="1860" spans="1:29" s="209" customFormat="1" ht="15.75" customHeight="1">
      <c r="A1860" s="202" t="str">
        <f>IF(B1860&lt;&gt;"",IF(AND(B1860&gt;=_TM1,B1860&lt;=_TM2,OR(TH!L1860="1111",TH!M1860="1111")),TH!D1860,""),"")</f>
        <v/>
      </c>
      <c r="B1860" s="36">
        <f t="shared" si="83"/>
        <v>12</v>
      </c>
      <c r="C1860" s="182">
        <f t="shared" si="82"/>
        <v>42716</v>
      </c>
      <c r="D1860" s="182" t="s">
        <v>1141</v>
      </c>
      <c r="E1860" s="189">
        <v>42716</v>
      </c>
      <c r="F1860" s="40" t="s">
        <v>1254</v>
      </c>
      <c r="G1860" s="451" t="s">
        <v>1490</v>
      </c>
      <c r="H1860" s="7" t="s">
        <v>615</v>
      </c>
      <c r="I1860" s="252"/>
      <c r="J1860" s="252"/>
      <c r="K1860" s="38">
        <v>654000</v>
      </c>
      <c r="L1860" s="192" t="s">
        <v>258</v>
      </c>
      <c r="M1860" s="192" t="s">
        <v>367</v>
      </c>
      <c r="N1860" s="52" t="str">
        <f>IF(AND('331-CT'!$E$7=TH!H1860,OR(L1860="331",M1860="331")),"331",IF(AND(OR(L1860="131",M1860="131"),H1860='131-CT'!$E$7),"131",""))</f>
        <v/>
      </c>
      <c r="O1860" s="818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52"/>
      <c r="AB1860" s="552"/>
      <c r="AC1860" s="552"/>
    </row>
    <row r="1861" spans="1:29" s="209" customFormat="1" ht="15.75" customHeight="1">
      <c r="A1861" s="202" t="str">
        <f>IF(B1861&lt;&gt;"",IF(AND(B1861&gt;=_TM1,B1861&lt;=_TM2,OR(TH!L1861="1111",TH!M1861="1111")),TH!D1861,""),"")</f>
        <v/>
      </c>
      <c r="B1861" s="36">
        <f t="shared" si="83"/>
        <v>12</v>
      </c>
      <c r="C1861" s="182">
        <f t="shared" ref="C1861:C1924" si="84">E1861</f>
        <v>42716</v>
      </c>
      <c r="D1861" s="182" t="s">
        <v>1142</v>
      </c>
      <c r="E1861" s="189">
        <v>42716</v>
      </c>
      <c r="F1861" s="40" t="s">
        <v>1473</v>
      </c>
      <c r="G1861" s="451" t="s">
        <v>1491</v>
      </c>
      <c r="H1861" s="191" t="s">
        <v>1471</v>
      </c>
      <c r="I1861" s="252">
        <v>800</v>
      </c>
      <c r="J1861" s="252">
        <v>7500</v>
      </c>
      <c r="K1861" s="38">
        <f>ROUND(I1861*J1861,0)</f>
        <v>6000000</v>
      </c>
      <c r="L1861" s="192" t="s">
        <v>258</v>
      </c>
      <c r="M1861" s="192" t="s">
        <v>173</v>
      </c>
      <c r="N1861" s="52" t="str">
        <f>IF(AND('331-CT'!$E$7=TH!H1861,OR(L1861="331",M1861="331")),"331",IF(AND(OR(L1861="131",M1861="131"),H1861='131-CT'!$E$7),"131",""))</f>
        <v/>
      </c>
      <c r="O1861" s="818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52"/>
      <c r="AB1861" s="552"/>
      <c r="AC1861" s="552"/>
    </row>
    <row r="1862" spans="1:29" s="209" customFormat="1" ht="15.75" customHeight="1">
      <c r="A1862" s="202" t="str">
        <f>IF(B1862&lt;&gt;"",IF(AND(B1862&gt;=_TM1,B1862&lt;=_TM2,OR(TH!L1862="1111",TH!M1862="1111")),TH!D1862,""),"")</f>
        <v/>
      </c>
      <c r="B1862" s="36">
        <f t="shared" si="83"/>
        <v>12</v>
      </c>
      <c r="C1862" s="182">
        <f t="shared" si="84"/>
        <v>42716</v>
      </c>
      <c r="D1862" s="182" t="s">
        <v>1142</v>
      </c>
      <c r="E1862" s="189">
        <v>42716</v>
      </c>
      <c r="F1862" s="40" t="s">
        <v>1254</v>
      </c>
      <c r="G1862" s="451" t="s">
        <v>1491</v>
      </c>
      <c r="H1862" s="191" t="s">
        <v>1471</v>
      </c>
      <c r="I1862" s="252"/>
      <c r="J1862" s="252"/>
      <c r="K1862" s="38">
        <v>600000</v>
      </c>
      <c r="L1862" s="192" t="s">
        <v>258</v>
      </c>
      <c r="M1862" s="192" t="s">
        <v>367</v>
      </c>
      <c r="N1862" s="52" t="str">
        <f>IF(AND('331-CT'!$E$7=TH!H1862,OR(L1862="331",M1862="331")),"331",IF(AND(OR(L1862="131",M1862="131"),H1862='131-CT'!$E$7),"131",""))</f>
        <v/>
      </c>
      <c r="O1862" s="818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52"/>
      <c r="AB1862" s="552"/>
    </row>
    <row r="1863" spans="1:29" s="209" customFormat="1" ht="15.75" customHeight="1">
      <c r="A1863" s="202" t="str">
        <f>IF(B1863&lt;&gt;"",IF(AND(B1863&gt;=_TM1,B1863&lt;=_TM2,OR(TH!L1863="1111",TH!M1863="1111")),TH!D1863,""),"")</f>
        <v/>
      </c>
      <c r="B1863" s="36">
        <f t="shared" si="83"/>
        <v>12</v>
      </c>
      <c r="C1863" s="182">
        <f t="shared" si="84"/>
        <v>42716</v>
      </c>
      <c r="D1863" s="182" t="s">
        <v>1143</v>
      </c>
      <c r="E1863" s="189">
        <v>42716</v>
      </c>
      <c r="F1863" s="40" t="s">
        <v>1473</v>
      </c>
      <c r="G1863" s="451" t="s">
        <v>1492</v>
      </c>
      <c r="H1863" s="191" t="s">
        <v>1471</v>
      </c>
      <c r="I1863" s="252">
        <v>2400</v>
      </c>
      <c r="J1863" s="252">
        <v>7500</v>
      </c>
      <c r="K1863" s="38">
        <f>ROUND(I1863*J1863,0)</f>
        <v>18000000</v>
      </c>
      <c r="L1863" s="192" t="s">
        <v>258</v>
      </c>
      <c r="M1863" s="192" t="s">
        <v>173</v>
      </c>
      <c r="N1863" s="52" t="str">
        <f>IF(AND('331-CT'!$E$7=TH!H1863,OR(L1863="331",M1863="331")),"331",IF(AND(OR(L1863="131",M1863="131"),H1863='131-CT'!$E$7),"131",""))</f>
        <v/>
      </c>
      <c r="O1863" s="818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52"/>
      <c r="AB1863" s="552"/>
      <c r="AC1863" s="552"/>
    </row>
    <row r="1864" spans="1:29" s="209" customFormat="1" ht="15.75" customHeight="1">
      <c r="A1864" s="202" t="str">
        <f>IF(B1864&lt;&gt;"",IF(AND(B1864&gt;=_TM1,B1864&lt;=_TM2,OR(TH!L1864="1111",TH!M1864="1111")),TH!D1864,""),"")</f>
        <v/>
      </c>
      <c r="B1864" s="36">
        <f t="shared" si="83"/>
        <v>12</v>
      </c>
      <c r="C1864" s="182">
        <f t="shared" si="84"/>
        <v>42716</v>
      </c>
      <c r="D1864" s="182" t="s">
        <v>1143</v>
      </c>
      <c r="E1864" s="189">
        <v>42716</v>
      </c>
      <c r="F1864" s="40" t="s">
        <v>1254</v>
      </c>
      <c r="G1864" s="451" t="s">
        <v>1492</v>
      </c>
      <c r="H1864" s="191" t="s">
        <v>1471</v>
      </c>
      <c r="I1864" s="252"/>
      <c r="J1864" s="252"/>
      <c r="K1864" s="38">
        <v>1800000</v>
      </c>
      <c r="L1864" s="192" t="s">
        <v>258</v>
      </c>
      <c r="M1864" s="192" t="s">
        <v>367</v>
      </c>
      <c r="N1864" s="52" t="str">
        <f>IF(AND('331-CT'!$E$7=TH!H1864,OR(L1864="331",M1864="331")),"331",IF(AND(OR(L1864="131",M1864="131"),H1864='131-CT'!$E$7),"131",""))</f>
        <v/>
      </c>
      <c r="O1864" s="818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52"/>
      <c r="AB1864" s="552"/>
    </row>
    <row r="1865" spans="1:29" s="209" customFormat="1" ht="15.75" customHeight="1">
      <c r="A1865" s="202" t="str">
        <f>IF(B1865&lt;&gt;"",IF(AND(B1865&gt;=_TM1,B1865&lt;=_TM2,OR(TH!L1865="1111",TH!M1865="1111")),TH!D1865,""),"")</f>
        <v/>
      </c>
      <c r="B1865" s="36">
        <f t="shared" si="83"/>
        <v>12</v>
      </c>
      <c r="C1865" s="182">
        <f t="shared" si="84"/>
        <v>42717</v>
      </c>
      <c r="D1865" s="182" t="s">
        <v>669</v>
      </c>
      <c r="E1865" s="189">
        <v>42717</v>
      </c>
      <c r="F1865" s="187" t="s">
        <v>671</v>
      </c>
      <c r="G1865" s="190" t="s">
        <v>1287</v>
      </c>
      <c r="H1865" s="7"/>
      <c r="I1865" s="251"/>
      <c r="J1865" s="251"/>
      <c r="K1865" s="560">
        <v>5000000</v>
      </c>
      <c r="L1865" s="561" t="s">
        <v>8</v>
      </c>
      <c r="M1865" s="561" t="s">
        <v>24</v>
      </c>
      <c r="N1865" s="52" t="str">
        <f>IF(AND('331-CT'!$E$7=TH!H1865,OR(L1865="331",M1865="331")),"331",IF(AND(OR(L1865="131",M1865="131"),H1865='131-CT'!$E$7),"131",""))</f>
        <v/>
      </c>
      <c r="O1865" s="818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>x</v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53"/>
      <c r="AB1865" s="552"/>
      <c r="AC1865" s="552"/>
    </row>
    <row r="1866" spans="1:29" s="209" customFormat="1" ht="15.75" customHeight="1">
      <c r="A1866" s="202" t="str">
        <f>IF(B1866&lt;&gt;"",IF(AND(B1866&gt;=_TM1,B1866&lt;=_TM2,OR(TH!L1866="1111",TH!M1866="1111")),TH!D1866,""),"")</f>
        <v/>
      </c>
      <c r="B1866" s="36">
        <f t="shared" si="83"/>
        <v>12</v>
      </c>
      <c r="C1866" s="182">
        <f t="shared" si="84"/>
        <v>42717</v>
      </c>
      <c r="D1866" s="182" t="s">
        <v>669</v>
      </c>
      <c r="E1866" s="189">
        <v>42717</v>
      </c>
      <c r="F1866" s="190" t="s">
        <v>672</v>
      </c>
      <c r="G1866" s="190" t="s">
        <v>1287</v>
      </c>
      <c r="H1866" s="191"/>
      <c r="I1866" s="251"/>
      <c r="J1866" s="251"/>
      <c r="K1866" s="560">
        <v>15000</v>
      </c>
      <c r="L1866" s="561" t="s">
        <v>83</v>
      </c>
      <c r="M1866" s="561" t="s">
        <v>24</v>
      </c>
      <c r="N1866" s="52" t="str">
        <f>IF(AND('331-CT'!$E$7=TH!H1866,OR(L1866="331",M1866="331")),"331",IF(AND(OR(L1866="131",M1866="131"),H1866='131-CT'!$E$7),"131",""))</f>
        <v/>
      </c>
      <c r="O1866" s="818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>x</v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>x</v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53">
        <v>4</v>
      </c>
      <c r="AB1866" s="552"/>
    </row>
    <row r="1867" spans="1:29" s="209" customFormat="1" ht="15.75" customHeight="1">
      <c r="A1867" s="202" t="str">
        <f>IF(B1867&lt;&gt;"",IF(AND(B1867&gt;=_TM1,B1867&lt;=_TM2,OR(TH!L1867="1111",TH!M1867="1111")),TH!D1867,""),"")</f>
        <v/>
      </c>
      <c r="B1867" s="36">
        <f t="shared" si="83"/>
        <v>12</v>
      </c>
      <c r="C1867" s="182">
        <f t="shared" si="84"/>
        <v>42717</v>
      </c>
      <c r="D1867" s="182" t="s">
        <v>669</v>
      </c>
      <c r="E1867" s="189">
        <v>42717</v>
      </c>
      <c r="F1867" s="190" t="s">
        <v>762</v>
      </c>
      <c r="G1867" s="190" t="s">
        <v>1287</v>
      </c>
      <c r="H1867" s="7"/>
      <c r="I1867" s="251"/>
      <c r="J1867" s="251"/>
      <c r="K1867" s="560">
        <v>1500</v>
      </c>
      <c r="L1867" s="192" t="s">
        <v>9</v>
      </c>
      <c r="M1867" s="561" t="s">
        <v>24</v>
      </c>
      <c r="N1867" s="52" t="str">
        <f>IF(AND('331-CT'!$E$7=TH!H1867,OR(L1867="331",M1867="331")),"331",IF(AND(OR(L1867="131",M1867="131"),H1867='131-CT'!$E$7),"131",""))</f>
        <v/>
      </c>
      <c r="O1867" s="818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>x</v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53">
        <v>4</v>
      </c>
      <c r="AB1867" s="552"/>
      <c r="AC1867" s="552"/>
    </row>
    <row r="1868" spans="1:29" s="209" customFormat="1" ht="15.75" customHeight="1">
      <c r="A1868" s="202" t="str">
        <f>IF(B1868&lt;&gt;"",IF(AND(B1868&gt;=_TM1,B1868&lt;=_TM2,OR(TH!L1868="1111",TH!M1868="1111")),TH!D1868,""),"")</f>
        <v/>
      </c>
      <c r="B1868" s="36">
        <f t="shared" si="83"/>
        <v>12</v>
      </c>
      <c r="C1868" s="182">
        <f t="shared" si="84"/>
        <v>42717</v>
      </c>
      <c r="D1868" s="182" t="s">
        <v>669</v>
      </c>
      <c r="E1868" s="189">
        <v>42717</v>
      </c>
      <c r="F1868" s="190" t="s">
        <v>666</v>
      </c>
      <c r="G1868" s="190" t="s">
        <v>1287</v>
      </c>
      <c r="H1868" s="191" t="s">
        <v>1328</v>
      </c>
      <c r="I1868" s="251"/>
      <c r="J1868" s="251"/>
      <c r="K1868" s="560">
        <v>11039105</v>
      </c>
      <c r="L1868" s="561" t="s">
        <v>24</v>
      </c>
      <c r="M1868" s="561" t="s">
        <v>258</v>
      </c>
      <c r="N1868" s="52" t="str">
        <f>IF(AND('331-CT'!$E$7=TH!H1868,OR(L1868="331",M1868="331")),"331",IF(AND(OR(L1868="131",M1868="131"),H1868='131-CT'!$E$7),"131",""))</f>
        <v/>
      </c>
      <c r="O1868" s="818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>x</v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53"/>
      <c r="AB1868" s="552"/>
      <c r="AC1868" s="552"/>
    </row>
    <row r="1869" spans="1:29" s="209" customFormat="1" ht="15.75" customHeight="1">
      <c r="A1869" s="202" t="str">
        <f>IF(B1869&lt;&gt;"",IF(AND(B1869&gt;=_TM1,B1869&lt;=_TM2,OR(TH!L1869="1111",TH!M1869="1111")),TH!D1869,""),"")</f>
        <v/>
      </c>
      <c r="B1869" s="36">
        <f t="shared" si="83"/>
        <v>12</v>
      </c>
      <c r="C1869" s="182">
        <f t="shared" si="84"/>
        <v>42717</v>
      </c>
      <c r="D1869" s="182" t="s">
        <v>1144</v>
      </c>
      <c r="E1869" s="189">
        <v>42717</v>
      </c>
      <c r="F1869" s="40" t="s">
        <v>1473</v>
      </c>
      <c r="G1869" s="451" t="s">
        <v>1493</v>
      </c>
      <c r="H1869" s="191" t="s">
        <v>1471</v>
      </c>
      <c r="I1869" s="252">
        <v>2400</v>
      </c>
      <c r="J1869" s="252">
        <v>7500</v>
      </c>
      <c r="K1869" s="38">
        <f>ROUND(I1869*J1869,0)</f>
        <v>18000000</v>
      </c>
      <c r="L1869" s="192" t="s">
        <v>258</v>
      </c>
      <c r="M1869" s="192" t="s">
        <v>173</v>
      </c>
      <c r="N1869" s="52" t="str">
        <f>IF(AND('331-CT'!$E$7=TH!H1869,OR(L1869="331",M1869="331")),"331",IF(AND(OR(L1869="131",M1869="131"),H1869='131-CT'!$E$7),"131",""))</f>
        <v/>
      </c>
      <c r="O1869" s="818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52"/>
      <c r="AB1869" s="552"/>
    </row>
    <row r="1870" spans="1:29" s="209" customFormat="1" ht="15.75" customHeight="1">
      <c r="A1870" s="202" t="str">
        <f>IF(B1870&lt;&gt;"",IF(AND(B1870&gt;=_TM1,B1870&lt;=_TM2,OR(TH!L1870="1111",TH!M1870="1111")),TH!D1870,""),"")</f>
        <v/>
      </c>
      <c r="B1870" s="36">
        <f t="shared" si="83"/>
        <v>12</v>
      </c>
      <c r="C1870" s="182">
        <f t="shared" si="84"/>
        <v>42717</v>
      </c>
      <c r="D1870" s="182" t="s">
        <v>1144</v>
      </c>
      <c r="E1870" s="189">
        <v>42717</v>
      </c>
      <c r="F1870" s="40" t="s">
        <v>1254</v>
      </c>
      <c r="G1870" s="451" t="s">
        <v>1493</v>
      </c>
      <c r="H1870" s="191" t="s">
        <v>1471</v>
      </c>
      <c r="I1870" s="252"/>
      <c r="J1870" s="252"/>
      <c r="K1870" s="38">
        <v>1800000</v>
      </c>
      <c r="L1870" s="192" t="s">
        <v>258</v>
      </c>
      <c r="M1870" s="192" t="s">
        <v>367</v>
      </c>
      <c r="N1870" s="52" t="str">
        <f>IF(AND('331-CT'!$E$7=TH!H1870,OR(L1870="331",M1870="331")),"331",IF(AND(OR(L1870="131",M1870="131"),H1870='131-CT'!$E$7),"131",""))</f>
        <v/>
      </c>
      <c r="O1870" s="818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52"/>
      <c r="AB1870" s="552"/>
      <c r="AC1870" s="552"/>
    </row>
    <row r="1871" spans="1:29" s="209" customFormat="1" ht="15.75" customHeight="1">
      <c r="A1871" s="202" t="str">
        <f>IF(B1871&lt;&gt;"",IF(AND(B1871&gt;=_TM1,B1871&lt;=_TM2,OR(TH!L1871="1111",TH!M1871="1111")),TH!D1871,""),"")</f>
        <v>C18</v>
      </c>
      <c r="B1871" s="36">
        <f t="shared" si="83"/>
        <v>12</v>
      </c>
      <c r="C1871" s="182">
        <f t="shared" si="84"/>
        <v>42718</v>
      </c>
      <c r="D1871" s="182" t="s">
        <v>1654</v>
      </c>
      <c r="E1871" s="189">
        <v>42718</v>
      </c>
      <c r="F1871" s="187" t="s">
        <v>754</v>
      </c>
      <c r="G1871" s="190" t="s">
        <v>1287</v>
      </c>
      <c r="H1871" s="191" t="s">
        <v>1282</v>
      </c>
      <c r="I1871" s="251"/>
      <c r="J1871" s="251"/>
      <c r="K1871" s="560">
        <v>4500000</v>
      </c>
      <c r="L1871" s="561" t="s">
        <v>24</v>
      </c>
      <c r="M1871" s="561" t="s">
        <v>47</v>
      </c>
      <c r="N1871" s="52" t="str">
        <f>IF(AND('331-CT'!$E$7=TH!H1871,OR(L1871="331",M1871="331")),"331",IF(AND(OR(L1871="131",M1871="131"),H1871='131-CT'!$E$7),"131",""))</f>
        <v/>
      </c>
      <c r="O1871" s="818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53"/>
      <c r="AB1871" s="552"/>
    </row>
    <row r="1872" spans="1:29" s="209" customFormat="1" ht="15.75" customHeight="1">
      <c r="A1872" s="202" t="str">
        <f>IF(B1872&lt;&gt;"",IF(AND(B1872&gt;=_TM1,B1872&lt;=_TM2,OR(TH!L1872="1111",TH!M1872="1111")),TH!D1872,""),"")</f>
        <v/>
      </c>
      <c r="B1872" s="36">
        <f t="shared" si="83"/>
        <v>12</v>
      </c>
      <c r="C1872" s="182">
        <f t="shared" si="84"/>
        <v>42718</v>
      </c>
      <c r="D1872" s="182" t="s">
        <v>669</v>
      </c>
      <c r="E1872" s="189">
        <v>42718</v>
      </c>
      <c r="F1872" s="187" t="s">
        <v>671</v>
      </c>
      <c r="G1872" s="190" t="s">
        <v>1287</v>
      </c>
      <c r="H1872" s="7"/>
      <c r="I1872" s="251"/>
      <c r="J1872" s="251"/>
      <c r="K1872" s="560">
        <v>30000000</v>
      </c>
      <c r="L1872" s="561" t="s">
        <v>8</v>
      </c>
      <c r="M1872" s="561" t="s">
        <v>24</v>
      </c>
      <c r="N1872" s="52" t="str">
        <f>IF(AND('331-CT'!$E$7=TH!H1872,OR(L1872="331",M1872="331")),"331",IF(AND(OR(L1872="131",M1872="131"),H1872='131-CT'!$E$7),"131",""))</f>
        <v/>
      </c>
      <c r="O1872" s="818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>x</v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53"/>
      <c r="AB1872" s="552"/>
      <c r="AC1872" s="552"/>
    </row>
    <row r="1873" spans="1:29" s="209" customFormat="1" ht="15.75" customHeight="1">
      <c r="A1873" s="202" t="str">
        <f>IF(B1873&lt;&gt;"",IF(AND(B1873&gt;=_TM1,B1873&lt;=_TM2,OR(TH!L1873="1111",TH!M1873="1111")),TH!D1873,""),"")</f>
        <v/>
      </c>
      <c r="B1873" s="36">
        <f t="shared" si="83"/>
        <v>12</v>
      </c>
      <c r="C1873" s="182">
        <f t="shared" si="84"/>
        <v>42718</v>
      </c>
      <c r="D1873" s="182" t="s">
        <v>669</v>
      </c>
      <c r="E1873" s="189">
        <v>42718</v>
      </c>
      <c r="F1873" s="190" t="s">
        <v>672</v>
      </c>
      <c r="G1873" s="190" t="s">
        <v>1287</v>
      </c>
      <c r="H1873" s="191"/>
      <c r="I1873" s="251"/>
      <c r="J1873" s="251"/>
      <c r="K1873" s="560">
        <v>15000</v>
      </c>
      <c r="L1873" s="561" t="s">
        <v>83</v>
      </c>
      <c r="M1873" s="561" t="s">
        <v>24</v>
      </c>
      <c r="N1873" s="52" t="str">
        <f>IF(AND('331-CT'!$E$7=TH!H1873,OR(L1873="331",M1873="331")),"331",IF(AND(OR(L1873="131",M1873="131"),H1873='131-CT'!$E$7),"131",""))</f>
        <v/>
      </c>
      <c r="O1873" s="818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>x</v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>x</v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53">
        <v>4</v>
      </c>
      <c r="AB1873" s="552"/>
    </row>
    <row r="1874" spans="1:29" s="209" customFormat="1" ht="15.75" customHeight="1">
      <c r="A1874" s="202" t="str">
        <f>IF(B1874&lt;&gt;"",IF(AND(B1874&gt;=_TM1,B1874&lt;=_TM2,OR(TH!L1874="1111",TH!M1874="1111")),TH!D1874,""),"")</f>
        <v/>
      </c>
      <c r="B1874" s="36">
        <f t="shared" si="83"/>
        <v>12</v>
      </c>
      <c r="C1874" s="182">
        <f t="shared" si="84"/>
        <v>42718</v>
      </c>
      <c r="D1874" s="182" t="s">
        <v>669</v>
      </c>
      <c r="E1874" s="189">
        <v>42718</v>
      </c>
      <c r="F1874" s="190" t="s">
        <v>762</v>
      </c>
      <c r="G1874" s="190" t="s">
        <v>1287</v>
      </c>
      <c r="H1874" s="7"/>
      <c r="I1874" s="251"/>
      <c r="J1874" s="251"/>
      <c r="K1874" s="560">
        <v>1500</v>
      </c>
      <c r="L1874" s="192" t="s">
        <v>9</v>
      </c>
      <c r="M1874" s="561" t="s">
        <v>24</v>
      </c>
      <c r="N1874" s="52" t="str">
        <f>IF(AND('331-CT'!$E$7=TH!H1874,OR(L1874="331",M1874="331")),"331",IF(AND(OR(L1874="131",M1874="131"),H1874='131-CT'!$E$7),"131",""))</f>
        <v/>
      </c>
      <c r="O1874" s="818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>x</v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53">
        <v>4</v>
      </c>
      <c r="AB1874" s="552"/>
      <c r="AC1874" s="552"/>
    </row>
    <row r="1875" spans="1:29" s="209" customFormat="1" ht="15.75" customHeight="1">
      <c r="A1875" s="202" t="str">
        <f>IF(B1875&lt;&gt;"",IF(AND(B1875&gt;=_TM1,B1875&lt;=_TM2,OR(TH!L1875="1111",TH!M1875="1111")),TH!D1875,""),"")</f>
        <v/>
      </c>
      <c r="B1875" s="36">
        <f t="shared" si="83"/>
        <v>12</v>
      </c>
      <c r="C1875" s="182">
        <f t="shared" si="84"/>
        <v>42718</v>
      </c>
      <c r="D1875" s="182" t="s">
        <v>1145</v>
      </c>
      <c r="E1875" s="189">
        <v>42718</v>
      </c>
      <c r="F1875" s="40" t="s">
        <v>1473</v>
      </c>
      <c r="G1875" s="451" t="s">
        <v>1494</v>
      </c>
      <c r="H1875" s="191" t="s">
        <v>1471</v>
      </c>
      <c r="I1875" s="252">
        <v>2400</v>
      </c>
      <c r="J1875" s="252">
        <v>7500</v>
      </c>
      <c r="K1875" s="38">
        <f>ROUND(I1875*J1875,0)</f>
        <v>18000000</v>
      </c>
      <c r="L1875" s="192" t="s">
        <v>258</v>
      </c>
      <c r="M1875" s="192" t="s">
        <v>173</v>
      </c>
      <c r="N1875" s="52" t="str">
        <f>IF(AND('331-CT'!$E$7=TH!H1875,OR(L1875="331",M1875="331")),"331",IF(AND(OR(L1875="131",M1875="131"),H1875='131-CT'!$E$7),"131",""))</f>
        <v/>
      </c>
      <c r="O1875" s="818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52"/>
      <c r="AB1875" s="552"/>
    </row>
    <row r="1876" spans="1:29" s="209" customFormat="1" ht="15.75" customHeight="1">
      <c r="A1876" s="202" t="str">
        <f>IF(B1876&lt;&gt;"",IF(AND(B1876&gt;=_TM1,B1876&lt;=_TM2,OR(TH!L1876="1111",TH!M1876="1111")),TH!D1876,""),"")</f>
        <v/>
      </c>
      <c r="B1876" s="36">
        <f t="shared" ref="B1876:B1939" si="85">IF(C1876&lt;&gt;"",MONTH(C1876),"")</f>
        <v>12</v>
      </c>
      <c r="C1876" s="182">
        <f t="shared" si="84"/>
        <v>42718</v>
      </c>
      <c r="D1876" s="182" t="s">
        <v>1145</v>
      </c>
      <c r="E1876" s="189">
        <v>42718</v>
      </c>
      <c r="F1876" s="40" t="s">
        <v>1254</v>
      </c>
      <c r="G1876" s="451" t="s">
        <v>1494</v>
      </c>
      <c r="H1876" s="191" t="s">
        <v>1471</v>
      </c>
      <c r="I1876" s="252"/>
      <c r="J1876" s="252"/>
      <c r="K1876" s="38">
        <v>1800000</v>
      </c>
      <c r="L1876" s="192" t="s">
        <v>258</v>
      </c>
      <c r="M1876" s="192" t="s">
        <v>367</v>
      </c>
      <c r="N1876" s="52" t="str">
        <f>IF(AND('331-CT'!$E$7=TH!H1876,OR(L1876="331",M1876="331")),"331",IF(AND(OR(L1876="131",M1876="131"),H1876='131-CT'!$E$7),"131",""))</f>
        <v/>
      </c>
      <c r="O1876" s="818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52"/>
      <c r="AB1876" s="552"/>
      <c r="AC1876" s="552"/>
    </row>
    <row r="1877" spans="1:29" s="209" customFormat="1" ht="15.75" customHeight="1">
      <c r="A1877" s="202" t="str">
        <f>IF(B1877&lt;&gt;"",IF(AND(B1877&gt;=_TM1,B1877&lt;=_TM2,OR(TH!L1877="1111",TH!M1877="1111")),TH!D1877,""),"")</f>
        <v/>
      </c>
      <c r="B1877" s="36">
        <f t="shared" si="85"/>
        <v>12</v>
      </c>
      <c r="C1877" s="182">
        <f t="shared" si="84"/>
        <v>42719</v>
      </c>
      <c r="D1877" s="182" t="s">
        <v>1146</v>
      </c>
      <c r="E1877" s="189">
        <v>42719</v>
      </c>
      <c r="F1877" s="40" t="s">
        <v>1473</v>
      </c>
      <c r="G1877" s="451" t="s">
        <v>1495</v>
      </c>
      <c r="H1877" s="191" t="s">
        <v>1471</v>
      </c>
      <c r="I1877" s="252">
        <v>2400</v>
      </c>
      <c r="J1877" s="252">
        <v>7500</v>
      </c>
      <c r="K1877" s="38">
        <f>ROUND(I1877*J1877,0)</f>
        <v>18000000</v>
      </c>
      <c r="L1877" s="192" t="s">
        <v>258</v>
      </c>
      <c r="M1877" s="192" t="s">
        <v>173</v>
      </c>
      <c r="N1877" s="52" t="str">
        <f>IF(AND('331-CT'!$E$7=TH!H1877,OR(L1877="331",M1877="331")),"331",IF(AND(OR(L1877="131",M1877="131"),H1877='131-CT'!$E$7),"131",""))</f>
        <v/>
      </c>
      <c r="O1877" s="818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52"/>
      <c r="AB1877" s="552"/>
      <c r="AC1877" s="552"/>
    </row>
    <row r="1878" spans="1:29" s="209" customFormat="1" ht="15.75" customHeight="1">
      <c r="A1878" s="202" t="str">
        <f>IF(B1878&lt;&gt;"",IF(AND(B1878&gt;=_TM1,B1878&lt;=_TM2,OR(TH!L1878="1111",TH!M1878="1111")),TH!D1878,""),"")</f>
        <v/>
      </c>
      <c r="B1878" s="36">
        <f t="shared" si="85"/>
        <v>12</v>
      </c>
      <c r="C1878" s="182">
        <f t="shared" si="84"/>
        <v>42719</v>
      </c>
      <c r="D1878" s="182" t="s">
        <v>1146</v>
      </c>
      <c r="E1878" s="189">
        <v>42719</v>
      </c>
      <c r="F1878" s="40" t="s">
        <v>1254</v>
      </c>
      <c r="G1878" s="451" t="s">
        <v>1495</v>
      </c>
      <c r="H1878" s="191" t="s">
        <v>1471</v>
      </c>
      <c r="I1878" s="252"/>
      <c r="J1878" s="252"/>
      <c r="K1878" s="38">
        <v>1800000</v>
      </c>
      <c r="L1878" s="192" t="s">
        <v>258</v>
      </c>
      <c r="M1878" s="192" t="s">
        <v>367</v>
      </c>
      <c r="N1878" s="52" t="str">
        <f>IF(AND('331-CT'!$E$7=TH!H1878,OR(L1878="331",M1878="331")),"331",IF(AND(OR(L1878="131",M1878="131"),H1878='131-CT'!$E$7),"131",""))</f>
        <v/>
      </c>
      <c r="O1878" s="818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52"/>
      <c r="AB1878" s="552"/>
      <c r="AC1878" s="552"/>
    </row>
    <row r="1879" spans="1:29" s="209" customFormat="1" ht="15.75" customHeight="1">
      <c r="A1879" s="202" t="str">
        <f>IF(B1879&lt;&gt;"",IF(AND(B1879&gt;=_TM1,B1879&lt;=_TM2,OR(TH!L1879="1111",TH!M1879="1111")),TH!D1879,""),"")</f>
        <v/>
      </c>
      <c r="B1879" s="36">
        <f t="shared" si="85"/>
        <v>12</v>
      </c>
      <c r="C1879" s="182">
        <f t="shared" si="84"/>
        <v>42720</v>
      </c>
      <c r="D1879" s="182" t="s">
        <v>1147</v>
      </c>
      <c r="E1879" s="189">
        <v>42720</v>
      </c>
      <c r="F1879" s="40" t="s">
        <v>1473</v>
      </c>
      <c r="G1879" s="451" t="s">
        <v>1496</v>
      </c>
      <c r="H1879" s="191" t="s">
        <v>1471</v>
      </c>
      <c r="I1879" s="252">
        <v>2400</v>
      </c>
      <c r="J1879" s="252">
        <v>7500</v>
      </c>
      <c r="K1879" s="38">
        <f>ROUND(I1879*J1879,0)</f>
        <v>18000000</v>
      </c>
      <c r="L1879" s="192" t="s">
        <v>258</v>
      </c>
      <c r="M1879" s="192" t="s">
        <v>173</v>
      </c>
      <c r="N1879" s="52" t="str">
        <f>IF(AND('331-CT'!$E$7=TH!H1879,OR(L1879="331",M1879="331")),"331",IF(AND(OR(L1879="131",M1879="131"),H1879='131-CT'!$E$7),"131",""))</f>
        <v/>
      </c>
      <c r="O1879" s="818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52"/>
      <c r="AB1879" s="552"/>
      <c r="AC1879" s="552"/>
    </row>
    <row r="1880" spans="1:29" s="209" customFormat="1" ht="15.75" customHeight="1">
      <c r="A1880" s="202" t="str">
        <f>IF(B1880&lt;&gt;"",IF(AND(B1880&gt;=_TM1,B1880&lt;=_TM2,OR(TH!L1880="1111",TH!M1880="1111")),TH!D1880,""),"")</f>
        <v/>
      </c>
      <c r="B1880" s="36">
        <f t="shared" si="85"/>
        <v>12</v>
      </c>
      <c r="C1880" s="182">
        <f t="shared" si="84"/>
        <v>42720</v>
      </c>
      <c r="D1880" s="182" t="s">
        <v>1147</v>
      </c>
      <c r="E1880" s="189">
        <v>42720</v>
      </c>
      <c r="F1880" s="40" t="s">
        <v>1254</v>
      </c>
      <c r="G1880" s="451" t="s">
        <v>1496</v>
      </c>
      <c r="H1880" s="191" t="s">
        <v>1471</v>
      </c>
      <c r="I1880" s="252"/>
      <c r="J1880" s="252"/>
      <c r="K1880" s="38">
        <v>1800000</v>
      </c>
      <c r="L1880" s="192" t="s">
        <v>258</v>
      </c>
      <c r="M1880" s="192" t="s">
        <v>367</v>
      </c>
      <c r="N1880" s="52" t="str">
        <f>IF(AND('331-CT'!$E$7=TH!H1880,OR(L1880="331",M1880="331")),"331",IF(AND(OR(L1880="131",M1880="131"),H1880='131-CT'!$E$7),"131",""))</f>
        <v/>
      </c>
      <c r="O1880" s="818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52"/>
      <c r="AB1880" s="552"/>
    </row>
    <row r="1881" spans="1:29" s="209" customFormat="1" ht="15.75" customHeight="1">
      <c r="A1881" s="202" t="str">
        <f>IF(B1881&lt;&gt;"",IF(AND(B1881&gt;=_TM1,B1881&lt;=_TM2,OR(TH!L1881="1111",TH!M1881="1111")),TH!D1881,""),"")</f>
        <v/>
      </c>
      <c r="B1881" s="36">
        <f t="shared" si="85"/>
        <v>12</v>
      </c>
      <c r="C1881" s="182">
        <f t="shared" si="84"/>
        <v>42721</v>
      </c>
      <c r="D1881" s="182" t="s">
        <v>1148</v>
      </c>
      <c r="E1881" s="189">
        <v>42721</v>
      </c>
      <c r="F1881" s="40" t="s">
        <v>1473</v>
      </c>
      <c r="G1881" s="451" t="s">
        <v>1497</v>
      </c>
      <c r="H1881" s="191" t="s">
        <v>1471</v>
      </c>
      <c r="I1881" s="252">
        <v>180</v>
      </c>
      <c r="J1881" s="252">
        <v>7500</v>
      </c>
      <c r="K1881" s="38">
        <f>ROUND(I1881*J1881,0)</f>
        <v>1350000</v>
      </c>
      <c r="L1881" s="192" t="s">
        <v>258</v>
      </c>
      <c r="M1881" s="192" t="s">
        <v>173</v>
      </c>
      <c r="N1881" s="52" t="str">
        <f>IF(AND('331-CT'!$E$7=TH!H1881,OR(L1881="331",M1881="331")),"331",IF(AND(OR(L1881="131",M1881="131"),H1881='131-CT'!$E$7),"131",""))</f>
        <v/>
      </c>
      <c r="O1881" s="818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52"/>
      <c r="AB1881" s="552"/>
      <c r="AC1881" s="552"/>
    </row>
    <row r="1882" spans="1:29" s="209" customFormat="1" ht="15.75" customHeight="1">
      <c r="A1882" s="202" t="str">
        <f>IF(B1882&lt;&gt;"",IF(AND(B1882&gt;=_TM1,B1882&lt;=_TM2,OR(TH!L1882="1111",TH!M1882="1111")),TH!D1882,""),"")</f>
        <v/>
      </c>
      <c r="B1882" s="36">
        <f t="shared" si="85"/>
        <v>12</v>
      </c>
      <c r="C1882" s="182">
        <f t="shared" si="84"/>
        <v>42721</v>
      </c>
      <c r="D1882" s="182" t="s">
        <v>1148</v>
      </c>
      <c r="E1882" s="189">
        <v>42721</v>
      </c>
      <c r="F1882" s="40" t="s">
        <v>1254</v>
      </c>
      <c r="G1882" s="451" t="s">
        <v>1497</v>
      </c>
      <c r="H1882" s="191" t="s">
        <v>1471</v>
      </c>
      <c r="I1882" s="252"/>
      <c r="J1882" s="252"/>
      <c r="K1882" s="38">
        <v>135000</v>
      </c>
      <c r="L1882" s="192" t="s">
        <v>258</v>
      </c>
      <c r="M1882" s="192" t="s">
        <v>367</v>
      </c>
      <c r="N1882" s="52" t="str">
        <f>IF(AND('331-CT'!$E$7=TH!H1882,OR(L1882="331",M1882="331")),"331",IF(AND(OR(L1882="131",M1882="131"),H1882='131-CT'!$E$7),"131",""))</f>
        <v/>
      </c>
      <c r="O1882" s="818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52"/>
      <c r="AB1882" s="552"/>
    </row>
    <row r="1883" spans="1:29" s="209" customFormat="1" ht="15.75" customHeight="1">
      <c r="A1883" s="202" t="str">
        <f>IF(B1883&lt;&gt;"",IF(AND(B1883&gt;=_TM1,B1883&lt;=_TM2,OR(TH!L1883="1111",TH!M1883="1111")),TH!D1883,""),"")</f>
        <v/>
      </c>
      <c r="B1883" s="36">
        <f t="shared" si="85"/>
        <v>12</v>
      </c>
      <c r="C1883" s="182">
        <f t="shared" si="84"/>
        <v>42723</v>
      </c>
      <c r="D1883" s="182" t="s">
        <v>669</v>
      </c>
      <c r="E1883" s="189">
        <v>42723</v>
      </c>
      <c r="F1883" s="190" t="s">
        <v>666</v>
      </c>
      <c r="G1883" s="190" t="s">
        <v>1287</v>
      </c>
      <c r="H1883" s="191" t="s">
        <v>1400</v>
      </c>
      <c r="I1883" s="251"/>
      <c r="J1883" s="251"/>
      <c r="K1883" s="560">
        <v>100683000</v>
      </c>
      <c r="L1883" s="561" t="s">
        <v>24</v>
      </c>
      <c r="M1883" s="561" t="s">
        <v>258</v>
      </c>
      <c r="N1883" s="52" t="str">
        <f>IF(AND('331-CT'!$E$7=TH!H1883,OR(L1883="331",M1883="331")),"331",IF(AND(OR(L1883="131",M1883="131"),H1883='131-CT'!$E$7),"131",""))</f>
        <v/>
      </c>
      <c r="O1883" s="818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>x</v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53"/>
      <c r="AB1883" s="552"/>
      <c r="AC1883" s="552"/>
    </row>
    <row r="1884" spans="1:29" s="209" customFormat="1" ht="15.75" customHeight="1">
      <c r="A1884" s="202" t="str">
        <f>IF(B1884&lt;&gt;"",IF(AND(B1884&gt;=_TM1,B1884&lt;=_TM2,OR(TH!L1884="1111",TH!M1884="1111")),TH!D1884,""),"")</f>
        <v/>
      </c>
      <c r="B1884" s="36">
        <f t="shared" si="85"/>
        <v>12</v>
      </c>
      <c r="C1884" s="182">
        <f t="shared" si="84"/>
        <v>42724</v>
      </c>
      <c r="D1884" s="182" t="s">
        <v>669</v>
      </c>
      <c r="E1884" s="189">
        <v>42724</v>
      </c>
      <c r="F1884" s="190" t="s">
        <v>1296</v>
      </c>
      <c r="G1884" s="190" t="s">
        <v>1287</v>
      </c>
      <c r="H1884" s="191" t="s">
        <v>1291</v>
      </c>
      <c r="I1884" s="251"/>
      <c r="J1884" s="251"/>
      <c r="K1884" s="560">
        <v>11700000</v>
      </c>
      <c r="L1884" s="561" t="s">
        <v>81</v>
      </c>
      <c r="M1884" s="561" t="s">
        <v>24</v>
      </c>
      <c r="N1884" s="52" t="str">
        <f>IF(AND('331-CT'!$E$7=TH!H1884,OR(L1884="331",M1884="331")),"331",IF(AND(OR(L1884="131",M1884="131"),H1884='131-CT'!$E$7),"131",""))</f>
        <v/>
      </c>
      <c r="O1884" s="818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>x</v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53"/>
      <c r="AB1884" s="552"/>
    </row>
    <row r="1885" spans="1:29" s="209" customFormat="1" ht="15.75" customHeight="1">
      <c r="A1885" s="202" t="str">
        <f>IF(B1885&lt;&gt;"",IF(AND(B1885&gt;=_TM1,B1885&lt;=_TM2,OR(TH!L1885="1111",TH!M1885="1111")),TH!D1885,""),"")</f>
        <v/>
      </c>
      <c r="B1885" s="36">
        <f t="shared" si="85"/>
        <v>12</v>
      </c>
      <c r="C1885" s="182">
        <f t="shared" si="84"/>
        <v>42724</v>
      </c>
      <c r="D1885" s="182" t="s">
        <v>669</v>
      </c>
      <c r="E1885" s="189">
        <v>42724</v>
      </c>
      <c r="F1885" s="190" t="s">
        <v>1296</v>
      </c>
      <c r="G1885" s="190" t="s">
        <v>1287</v>
      </c>
      <c r="H1885" s="191" t="s">
        <v>1294</v>
      </c>
      <c r="I1885" s="251"/>
      <c r="J1885" s="251"/>
      <c r="K1885" s="560">
        <v>1083333</v>
      </c>
      <c r="L1885" s="561" t="s">
        <v>81</v>
      </c>
      <c r="M1885" s="561" t="s">
        <v>24</v>
      </c>
      <c r="N1885" s="52" t="str">
        <f>IF(AND('331-CT'!$E$7=TH!H1885,OR(L1885="331",M1885="331")),"331",IF(AND(OR(L1885="131",M1885="131"),H1885='131-CT'!$E$7),"131",""))</f>
        <v/>
      </c>
      <c r="O1885" s="818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>x</v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53"/>
      <c r="AB1885" s="552"/>
      <c r="AC1885" s="552"/>
    </row>
    <row r="1886" spans="1:29" s="209" customFormat="1" ht="15.75" customHeight="1">
      <c r="A1886" s="202" t="str">
        <f>IF(B1886&lt;&gt;"",IF(AND(B1886&gt;=_TM1,B1886&lt;=_TM2,OR(TH!L1886="1111",TH!M1886="1111")),TH!D1886,""),"")</f>
        <v/>
      </c>
      <c r="B1886" s="36">
        <f t="shared" si="85"/>
        <v>12</v>
      </c>
      <c r="C1886" s="182">
        <f t="shared" si="84"/>
        <v>42724</v>
      </c>
      <c r="D1886" s="182" t="s">
        <v>669</v>
      </c>
      <c r="E1886" s="189">
        <v>42724</v>
      </c>
      <c r="F1886" s="190" t="s">
        <v>1296</v>
      </c>
      <c r="G1886" s="190" t="s">
        <v>1287</v>
      </c>
      <c r="H1886" s="191" t="s">
        <v>1295</v>
      </c>
      <c r="I1886" s="251"/>
      <c r="J1886" s="251"/>
      <c r="K1886" s="560">
        <v>586130</v>
      </c>
      <c r="L1886" s="561" t="s">
        <v>81</v>
      </c>
      <c r="M1886" s="561" t="s">
        <v>24</v>
      </c>
      <c r="N1886" s="52" t="str">
        <f>IF(AND('331-CT'!$E$7=TH!H1886,OR(L1886="331",M1886="331")),"331",IF(AND(OR(L1886="131",M1886="131"),H1886='131-CT'!$E$7),"131",""))</f>
        <v/>
      </c>
      <c r="O1886" s="818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>x</v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53"/>
      <c r="AB1886" s="552"/>
    </row>
    <row r="1887" spans="1:29" s="209" customFormat="1" ht="15.75" customHeight="1">
      <c r="A1887" s="202" t="str">
        <f>IF(B1887&lt;&gt;"",IF(AND(B1887&gt;=_TM1,B1887&lt;=_TM2,OR(TH!L1887="1111",TH!M1887="1111")),TH!D1887,""),"")</f>
        <v/>
      </c>
      <c r="B1887" s="36">
        <f t="shared" si="85"/>
        <v>12</v>
      </c>
      <c r="C1887" s="182">
        <f t="shared" si="84"/>
        <v>42724</v>
      </c>
      <c r="D1887" s="182" t="s">
        <v>669</v>
      </c>
      <c r="E1887" s="189">
        <v>42724</v>
      </c>
      <c r="F1887" s="190" t="s">
        <v>1296</v>
      </c>
      <c r="G1887" s="190" t="s">
        <v>1287</v>
      </c>
      <c r="H1887" s="191" t="s">
        <v>1465</v>
      </c>
      <c r="I1887" s="251"/>
      <c r="J1887" s="251"/>
      <c r="K1887" s="560">
        <v>270833</v>
      </c>
      <c r="L1887" s="561" t="s">
        <v>81</v>
      </c>
      <c r="M1887" s="561" t="s">
        <v>24</v>
      </c>
      <c r="N1887" s="52" t="str">
        <f>IF(AND('331-CT'!$E$7=TH!H1887,OR(L1887="331",M1887="331")),"331",IF(AND(OR(L1887="131",M1887="131"),H1887='131-CT'!$E$7),"131",""))</f>
        <v/>
      </c>
      <c r="O1887" s="818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>x</v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53"/>
      <c r="AB1887" s="552"/>
      <c r="AC1887" s="552"/>
    </row>
    <row r="1888" spans="1:29" s="209" customFormat="1" ht="15.75" customHeight="1">
      <c r="A1888" s="202" t="str">
        <f>IF(B1888&lt;&gt;"",IF(AND(B1888&gt;=_TM1,B1888&lt;=_TM2,OR(TH!L1888="1111",TH!M1888="1111")),TH!D1888,""),"")</f>
        <v/>
      </c>
      <c r="B1888" s="36">
        <f t="shared" si="85"/>
        <v>12</v>
      </c>
      <c r="C1888" s="182">
        <f t="shared" si="84"/>
        <v>42724</v>
      </c>
      <c r="D1888" s="182" t="s">
        <v>669</v>
      </c>
      <c r="E1888" s="189">
        <v>42724</v>
      </c>
      <c r="F1888" s="190" t="s">
        <v>1296</v>
      </c>
      <c r="G1888" s="190" t="s">
        <v>1287</v>
      </c>
      <c r="H1888" s="191" t="s">
        <v>1460</v>
      </c>
      <c r="I1888" s="251"/>
      <c r="J1888" s="251"/>
      <c r="K1888" s="560">
        <v>270833</v>
      </c>
      <c r="L1888" s="561" t="s">
        <v>81</v>
      </c>
      <c r="M1888" s="561" t="s">
        <v>24</v>
      </c>
      <c r="N1888" s="52" t="str">
        <f>IF(AND('331-CT'!$E$7=TH!H1888,OR(L1888="331",M1888="331")),"331",IF(AND(OR(L1888="131",M1888="131"),H1888='131-CT'!$E$7),"131",""))</f>
        <v/>
      </c>
      <c r="O1888" s="818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>x</v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53"/>
      <c r="AB1888" s="552"/>
      <c r="AC1888" s="552"/>
    </row>
    <row r="1889" spans="1:29" s="209" customFormat="1" ht="15.75" customHeight="1">
      <c r="A1889" s="202" t="str">
        <f>IF(B1889&lt;&gt;"",IF(AND(B1889&gt;=_TM1,B1889&lt;=_TM2,OR(TH!L1889="1111",TH!M1889="1111")),TH!D1889,""),"")</f>
        <v/>
      </c>
      <c r="B1889" s="36">
        <f t="shared" si="85"/>
        <v>12</v>
      </c>
      <c r="C1889" s="182">
        <f t="shared" si="84"/>
        <v>42724</v>
      </c>
      <c r="D1889" s="182" t="s">
        <v>669</v>
      </c>
      <c r="E1889" s="189">
        <v>42724</v>
      </c>
      <c r="F1889" s="190" t="s">
        <v>1296</v>
      </c>
      <c r="G1889" s="190" t="s">
        <v>1287</v>
      </c>
      <c r="H1889" s="191" t="s">
        <v>1466</v>
      </c>
      <c r="I1889" s="251"/>
      <c r="J1889" s="251"/>
      <c r="K1889" s="560">
        <v>1354167</v>
      </c>
      <c r="L1889" s="561" t="s">
        <v>81</v>
      </c>
      <c r="M1889" s="561" t="s">
        <v>24</v>
      </c>
      <c r="N1889" s="52" t="str">
        <f>IF(AND('331-CT'!$E$7=TH!H1889,OR(L1889="331",M1889="331")),"331",IF(AND(OR(L1889="131",M1889="131"),H1889='131-CT'!$E$7),"131",""))</f>
        <v/>
      </c>
      <c r="O1889" s="818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>x</v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53"/>
      <c r="AB1889" s="552"/>
    </row>
    <row r="1890" spans="1:29" s="209" customFormat="1" ht="15.75" customHeight="1">
      <c r="A1890" s="202" t="str">
        <f>IF(B1890&lt;&gt;"",IF(AND(B1890&gt;=_TM1,B1890&lt;=_TM2,OR(TH!L1890="1111",TH!M1890="1111")),TH!D1890,""),"")</f>
        <v/>
      </c>
      <c r="B1890" s="36">
        <f t="shared" si="85"/>
        <v>12</v>
      </c>
      <c r="C1890" s="182">
        <f t="shared" si="84"/>
        <v>42724</v>
      </c>
      <c r="D1890" s="182" t="s">
        <v>669</v>
      </c>
      <c r="E1890" s="189">
        <v>42724</v>
      </c>
      <c r="F1890" s="190" t="s">
        <v>1296</v>
      </c>
      <c r="G1890" s="190" t="s">
        <v>1287</v>
      </c>
      <c r="H1890" s="191" t="s">
        <v>1513</v>
      </c>
      <c r="I1890" s="251"/>
      <c r="J1890" s="251"/>
      <c r="K1890" s="560">
        <v>354167</v>
      </c>
      <c r="L1890" s="561" t="s">
        <v>81</v>
      </c>
      <c r="M1890" s="561" t="s">
        <v>24</v>
      </c>
      <c r="N1890" s="52" t="str">
        <f>IF(AND('331-CT'!$E$7=TH!H1890,OR(L1890="331",M1890="331")),"331",IF(AND(OR(L1890="131",M1890="131"),H1890='131-CT'!$E$7),"131",""))</f>
        <v/>
      </c>
      <c r="O1890" s="818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>x</v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53"/>
      <c r="AB1890" s="552"/>
      <c r="AC1890" s="552"/>
    </row>
    <row r="1891" spans="1:29" s="209" customFormat="1" ht="15.75" customHeight="1">
      <c r="A1891" s="202" t="str">
        <f>IF(B1891&lt;&gt;"",IF(AND(B1891&gt;=_TM1,B1891&lt;=_TM2,OR(TH!L1891="1111",TH!M1891="1111")),TH!D1891,""),"")</f>
        <v/>
      </c>
      <c r="B1891" s="36">
        <f t="shared" si="85"/>
        <v>12</v>
      </c>
      <c r="C1891" s="182">
        <f t="shared" si="84"/>
        <v>42724</v>
      </c>
      <c r="D1891" s="182" t="s">
        <v>669</v>
      </c>
      <c r="E1891" s="189">
        <v>42724</v>
      </c>
      <c r="F1891" s="190" t="s">
        <v>1296</v>
      </c>
      <c r="G1891" s="190" t="s">
        <v>1287</v>
      </c>
      <c r="H1891" s="191" t="s">
        <v>1517</v>
      </c>
      <c r="I1891" s="251"/>
      <c r="J1891" s="251"/>
      <c r="K1891" s="560">
        <v>4797917</v>
      </c>
      <c r="L1891" s="561" t="s">
        <v>81</v>
      </c>
      <c r="M1891" s="561" t="s">
        <v>24</v>
      </c>
      <c r="N1891" s="52" t="str">
        <f>IF(AND('331-CT'!$E$7=TH!H1891,OR(L1891="331",M1891="331")),"331",IF(AND(OR(L1891="131",M1891="131"),H1891='131-CT'!$E$7),"131",""))</f>
        <v/>
      </c>
      <c r="O1891" s="818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>x</v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53"/>
      <c r="AB1891" s="552"/>
      <c r="AC1891" s="552"/>
    </row>
    <row r="1892" spans="1:29" s="209" customFormat="1" ht="15.75" customHeight="1">
      <c r="A1892" s="202" t="str">
        <f>IF(B1892&lt;&gt;"",IF(AND(B1892&gt;=_TM1,B1892&lt;=_TM2,OR(TH!L1892="1111",TH!M1892="1111")),TH!D1892,""),"")</f>
        <v/>
      </c>
      <c r="B1892" s="36">
        <f t="shared" si="85"/>
        <v>12</v>
      </c>
      <c r="C1892" s="182">
        <f t="shared" si="84"/>
        <v>42724</v>
      </c>
      <c r="D1892" s="182" t="s">
        <v>669</v>
      </c>
      <c r="E1892" s="189">
        <v>42724</v>
      </c>
      <c r="F1892" s="190" t="s">
        <v>1296</v>
      </c>
      <c r="G1892" s="190" t="s">
        <v>1287</v>
      </c>
      <c r="H1892" s="191" t="s">
        <v>1514</v>
      </c>
      <c r="I1892" s="251"/>
      <c r="J1892" s="251"/>
      <c r="K1892" s="560">
        <v>188889</v>
      </c>
      <c r="L1892" s="561" t="s">
        <v>81</v>
      </c>
      <c r="M1892" s="561" t="s">
        <v>24</v>
      </c>
      <c r="N1892" s="52" t="str">
        <f>IF(AND('331-CT'!$E$7=TH!H1892,OR(L1892="331",M1892="331")),"331",IF(AND(OR(L1892="131",M1892="131"),H1892='131-CT'!$E$7),"131",""))</f>
        <v/>
      </c>
      <c r="O1892" s="818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>x</v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53"/>
      <c r="AB1892" s="552"/>
    </row>
    <row r="1893" spans="1:29" s="209" customFormat="1" ht="15.75" customHeight="1">
      <c r="A1893" s="202" t="str">
        <f>IF(B1893&lt;&gt;"",IF(AND(B1893&gt;=_TM1,B1893&lt;=_TM2,OR(TH!L1893="1111",TH!M1893="1111")),TH!D1893,""),"")</f>
        <v/>
      </c>
      <c r="B1893" s="36">
        <f t="shared" si="85"/>
        <v>12</v>
      </c>
      <c r="C1893" s="182">
        <f t="shared" si="84"/>
        <v>42724</v>
      </c>
      <c r="D1893" s="182" t="s">
        <v>1189</v>
      </c>
      <c r="E1893" s="189">
        <v>42724</v>
      </c>
      <c r="F1893" s="893" t="s">
        <v>676</v>
      </c>
      <c r="G1893" s="451" t="s">
        <v>1539</v>
      </c>
      <c r="H1893" s="191" t="s">
        <v>824</v>
      </c>
      <c r="I1893" s="251">
        <v>11500</v>
      </c>
      <c r="J1893" s="251">
        <v>8400</v>
      </c>
      <c r="K1893" s="560">
        <v>96600000</v>
      </c>
      <c r="L1893" s="192" t="s">
        <v>158</v>
      </c>
      <c r="M1893" s="192" t="s">
        <v>8</v>
      </c>
      <c r="N1893" s="52" t="str">
        <f>IF(AND('331-CT'!$E$7=TH!H1893,OR(L1893="331",M1893="331")),"331",IF(AND(OR(L1893="131",M1893="131"),H1893='131-CT'!$E$7),"131",""))</f>
        <v/>
      </c>
      <c r="O1893" s="818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751">
        <v>4</v>
      </c>
      <c r="AB1893" s="552"/>
      <c r="AC1893" s="552"/>
    </row>
    <row r="1894" spans="1:29" s="209" customFormat="1" ht="15.75" customHeight="1">
      <c r="A1894" s="202" t="str">
        <f>IF(B1894&lt;&gt;"",IF(AND(B1894&gt;=_TM1,B1894&lt;=_TM2,OR(TH!L1894="1111",TH!M1894="1111")),TH!D1894,""),"")</f>
        <v/>
      </c>
      <c r="B1894" s="36">
        <f t="shared" si="85"/>
        <v>12</v>
      </c>
      <c r="C1894" s="182">
        <f t="shared" si="84"/>
        <v>42724</v>
      </c>
      <c r="D1894" s="182" t="s">
        <v>1189</v>
      </c>
      <c r="E1894" s="189">
        <v>42724</v>
      </c>
      <c r="F1894" s="190" t="s">
        <v>1538</v>
      </c>
      <c r="G1894" s="451" t="s">
        <v>1539</v>
      </c>
      <c r="H1894" s="191" t="s">
        <v>824</v>
      </c>
      <c r="I1894" s="251"/>
      <c r="J1894" s="251"/>
      <c r="K1894" s="560">
        <v>9660000</v>
      </c>
      <c r="L1894" s="192" t="s">
        <v>9</v>
      </c>
      <c r="M1894" s="192" t="s">
        <v>8</v>
      </c>
      <c r="N1894" s="52" t="str">
        <f>IF(AND('331-CT'!$E$7=TH!H1894,OR(L1894="331",M1894="331")),"331",IF(AND(OR(L1894="131",M1894="131"),H1894='131-CT'!$E$7),"131",""))</f>
        <v/>
      </c>
      <c r="O1894" s="818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751">
        <v>4</v>
      </c>
      <c r="AB1894" s="552"/>
      <c r="AC1894" s="552"/>
    </row>
    <row r="1895" spans="1:29" s="209" customFormat="1" ht="15.75" customHeight="1">
      <c r="A1895" s="202" t="str">
        <f>IF(B1895&lt;&gt;"",IF(AND(B1895&gt;=_TM1,B1895&lt;=_TM2,OR(TH!L1895="1111",TH!M1895="1111")),TH!D1895,""),"")</f>
        <v/>
      </c>
      <c r="B1895" s="36">
        <f t="shared" si="85"/>
        <v>12</v>
      </c>
      <c r="C1895" s="182">
        <f t="shared" si="84"/>
        <v>42724</v>
      </c>
      <c r="D1895" s="182" t="s">
        <v>1149</v>
      </c>
      <c r="E1895" s="189">
        <v>42724</v>
      </c>
      <c r="F1895" s="40" t="s">
        <v>1499</v>
      </c>
      <c r="G1895" s="451" t="s">
        <v>1498</v>
      </c>
      <c r="H1895" s="7" t="s">
        <v>399</v>
      </c>
      <c r="I1895" s="252">
        <v>397</v>
      </c>
      <c r="J1895" s="252">
        <v>10500</v>
      </c>
      <c r="K1895" s="38">
        <f>ROUND(I1895*J1895,0)</f>
        <v>4168500</v>
      </c>
      <c r="L1895" s="192" t="s">
        <v>258</v>
      </c>
      <c r="M1895" s="192" t="s">
        <v>173</v>
      </c>
      <c r="N1895" s="52" t="str">
        <f>IF(AND('331-CT'!$E$7=TH!H1895,OR(L1895="331",M1895="331")),"331",IF(AND(OR(L1895="131",M1895="131"),H1895='131-CT'!$E$7),"131",""))</f>
        <v/>
      </c>
      <c r="O1895" s="818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52"/>
      <c r="AB1895" s="552"/>
    </row>
    <row r="1896" spans="1:29" s="209" customFormat="1" ht="15.75" customHeight="1">
      <c r="A1896" s="202" t="str">
        <f>IF(B1896&lt;&gt;"",IF(AND(B1896&gt;=_TM1,B1896&lt;=_TM2,OR(TH!L1896="1111",TH!M1896="1111")),TH!D1896,""),"")</f>
        <v/>
      </c>
      <c r="B1896" s="36">
        <f t="shared" si="85"/>
        <v>12</v>
      </c>
      <c r="C1896" s="182">
        <f t="shared" si="84"/>
        <v>42724</v>
      </c>
      <c r="D1896" s="182" t="s">
        <v>1149</v>
      </c>
      <c r="E1896" s="189">
        <v>42724</v>
      </c>
      <c r="F1896" s="40" t="s">
        <v>400</v>
      </c>
      <c r="G1896" s="451" t="s">
        <v>1498</v>
      </c>
      <c r="H1896" s="7" t="s">
        <v>399</v>
      </c>
      <c r="I1896" s="252">
        <v>200</v>
      </c>
      <c r="J1896" s="252">
        <v>10500</v>
      </c>
      <c r="K1896" s="38">
        <f>ROUND(I1896*J1896,0)</f>
        <v>2100000</v>
      </c>
      <c r="L1896" s="192" t="s">
        <v>258</v>
      </c>
      <c r="M1896" s="192" t="s">
        <v>173</v>
      </c>
      <c r="N1896" s="52" t="str">
        <f>IF(AND('331-CT'!$E$7=TH!H1896,OR(L1896="331",M1896="331")),"331",IF(AND(OR(L1896="131",M1896="131"),H1896='131-CT'!$E$7),"131",""))</f>
        <v/>
      </c>
      <c r="O1896" s="818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52"/>
      <c r="AB1896" s="552"/>
      <c r="AC1896" s="552"/>
    </row>
    <row r="1897" spans="1:29" s="209" customFormat="1" ht="15.75" customHeight="1">
      <c r="A1897" s="202" t="str">
        <f>IF(B1897&lt;&gt;"",IF(AND(B1897&gt;=_TM1,B1897&lt;=_TM2,OR(TH!L1897="1111",TH!M1897="1111")),TH!D1897,""),"")</f>
        <v/>
      </c>
      <c r="B1897" s="36">
        <f t="shared" si="85"/>
        <v>12</v>
      </c>
      <c r="C1897" s="182">
        <f t="shared" si="84"/>
        <v>42724</v>
      </c>
      <c r="D1897" s="182" t="s">
        <v>1149</v>
      </c>
      <c r="E1897" s="189">
        <v>42724</v>
      </c>
      <c r="F1897" s="40" t="s">
        <v>400</v>
      </c>
      <c r="G1897" s="451" t="s">
        <v>1498</v>
      </c>
      <c r="H1897" s="7" t="s">
        <v>399</v>
      </c>
      <c r="I1897" s="252">
        <v>389</v>
      </c>
      <c r="J1897" s="252">
        <v>10500</v>
      </c>
      <c r="K1897" s="38">
        <f>ROUND(I1897*J1897,0)</f>
        <v>4084500</v>
      </c>
      <c r="L1897" s="192" t="s">
        <v>258</v>
      </c>
      <c r="M1897" s="192" t="s">
        <v>173</v>
      </c>
      <c r="N1897" s="52" t="str">
        <f>IF(AND('331-CT'!$E$7=TH!H1897,OR(L1897="331",M1897="331")),"331",IF(AND(OR(L1897="131",M1897="131"),H1897='131-CT'!$E$7),"131",""))</f>
        <v/>
      </c>
      <c r="O1897" s="818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52"/>
      <c r="AB1897" s="552"/>
      <c r="AC1897" s="552"/>
    </row>
    <row r="1898" spans="1:29" s="209" customFormat="1" ht="15.75" customHeight="1">
      <c r="A1898" s="202" t="str">
        <f>IF(B1898&lt;&gt;"",IF(AND(B1898&gt;=_TM1,B1898&lt;=_TM2,OR(TH!L1898="1111",TH!M1898="1111")),TH!D1898,""),"")</f>
        <v/>
      </c>
      <c r="B1898" s="36">
        <f t="shared" si="85"/>
        <v>12</v>
      </c>
      <c r="C1898" s="182">
        <f t="shared" si="84"/>
        <v>42724</v>
      </c>
      <c r="D1898" s="182" t="s">
        <v>1149</v>
      </c>
      <c r="E1898" s="189">
        <v>42724</v>
      </c>
      <c r="F1898" s="40" t="s">
        <v>954</v>
      </c>
      <c r="G1898" s="451" t="s">
        <v>1498</v>
      </c>
      <c r="H1898" s="7" t="s">
        <v>399</v>
      </c>
      <c r="I1898" s="252">
        <v>566</v>
      </c>
      <c r="J1898" s="252">
        <v>8500</v>
      </c>
      <c r="K1898" s="38">
        <f>ROUND(I1898*J1898,0)</f>
        <v>4811000</v>
      </c>
      <c r="L1898" s="192" t="s">
        <v>258</v>
      </c>
      <c r="M1898" s="192" t="s">
        <v>173</v>
      </c>
      <c r="N1898" s="52" t="str">
        <f>IF(AND('331-CT'!$E$7=TH!H1898,OR(L1898="331",M1898="331")),"331",IF(AND(OR(L1898="131",M1898="131"),H1898='131-CT'!$E$7),"131",""))</f>
        <v/>
      </c>
      <c r="O1898" s="818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52"/>
      <c r="AB1898" s="552"/>
    </row>
    <row r="1899" spans="1:29" s="209" customFormat="1" ht="15.75" customHeight="1">
      <c r="A1899" s="202" t="str">
        <f>IF(B1899&lt;&gt;"",IF(AND(B1899&gt;=_TM1,B1899&lt;=_TM2,OR(TH!L1899="1111",TH!M1899="1111")),TH!D1899,""),"")</f>
        <v/>
      </c>
      <c r="B1899" s="36">
        <f t="shared" si="85"/>
        <v>12</v>
      </c>
      <c r="C1899" s="182">
        <f t="shared" si="84"/>
        <v>42724</v>
      </c>
      <c r="D1899" s="182" t="s">
        <v>1149</v>
      </c>
      <c r="E1899" s="189">
        <v>42724</v>
      </c>
      <c r="F1899" s="40" t="s">
        <v>1254</v>
      </c>
      <c r="G1899" s="451" t="s">
        <v>1498</v>
      </c>
      <c r="H1899" s="7" t="s">
        <v>399</v>
      </c>
      <c r="I1899" s="252"/>
      <c r="J1899" s="252"/>
      <c r="K1899" s="38">
        <v>1516400</v>
      </c>
      <c r="L1899" s="192" t="s">
        <v>258</v>
      </c>
      <c r="M1899" s="192" t="s">
        <v>367</v>
      </c>
      <c r="N1899" s="52" t="str">
        <f>IF(AND('331-CT'!$E$7=TH!H1899,OR(L1899="331",M1899="331")),"331",IF(AND(OR(L1899="131",M1899="131"),H1899='131-CT'!$E$7),"131",""))</f>
        <v/>
      </c>
      <c r="O1899" s="818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52"/>
      <c r="AB1899" s="552"/>
    </row>
    <row r="1900" spans="1:29" s="209" customFormat="1" ht="15.75" customHeight="1">
      <c r="A1900" s="202" t="str">
        <f>IF(B1900&lt;&gt;"",IF(AND(B1900&gt;=_TM1,B1900&lt;=_TM2,OR(TH!L1900="1111",TH!M1900="1111")),TH!D1900,""),"")</f>
        <v/>
      </c>
      <c r="B1900" s="36">
        <f t="shared" si="85"/>
        <v>12</v>
      </c>
      <c r="C1900" s="182">
        <f t="shared" si="84"/>
        <v>42724</v>
      </c>
      <c r="D1900" s="182" t="s">
        <v>1150</v>
      </c>
      <c r="E1900" s="189">
        <v>42724</v>
      </c>
      <c r="F1900" s="40" t="s">
        <v>1473</v>
      </c>
      <c r="G1900" s="451" t="s">
        <v>1500</v>
      </c>
      <c r="H1900" s="191" t="s">
        <v>1471</v>
      </c>
      <c r="I1900" s="252">
        <v>2400</v>
      </c>
      <c r="J1900" s="252">
        <v>7500</v>
      </c>
      <c r="K1900" s="38">
        <f>ROUND(I1900*J1900,0)</f>
        <v>18000000</v>
      </c>
      <c r="L1900" s="192" t="s">
        <v>258</v>
      </c>
      <c r="M1900" s="192" t="s">
        <v>173</v>
      </c>
      <c r="N1900" s="52" t="str">
        <f>IF(AND('331-CT'!$E$7=TH!H1900,OR(L1900="331",M1900="331")),"331",IF(AND(OR(L1900="131",M1900="131"),H1900='131-CT'!$E$7),"131",""))</f>
        <v/>
      </c>
      <c r="O1900" s="818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52"/>
      <c r="AB1900" s="552"/>
    </row>
    <row r="1901" spans="1:29" s="209" customFormat="1" ht="15.75" customHeight="1">
      <c r="A1901" s="202" t="str">
        <f>IF(B1901&lt;&gt;"",IF(AND(B1901&gt;=_TM1,B1901&lt;=_TM2,OR(TH!L1901="1111",TH!M1901="1111")),TH!D1901,""),"")</f>
        <v/>
      </c>
      <c r="B1901" s="36">
        <f t="shared" si="85"/>
        <v>12</v>
      </c>
      <c r="C1901" s="182">
        <f t="shared" si="84"/>
        <v>42724</v>
      </c>
      <c r="D1901" s="182" t="s">
        <v>1150</v>
      </c>
      <c r="E1901" s="189">
        <v>42724</v>
      </c>
      <c r="F1901" s="40" t="s">
        <v>1254</v>
      </c>
      <c r="G1901" s="451" t="s">
        <v>1500</v>
      </c>
      <c r="H1901" s="191" t="s">
        <v>1471</v>
      </c>
      <c r="I1901" s="252"/>
      <c r="J1901" s="252"/>
      <c r="K1901" s="38">
        <v>1800000</v>
      </c>
      <c r="L1901" s="192" t="s">
        <v>258</v>
      </c>
      <c r="M1901" s="192" t="s">
        <v>367</v>
      </c>
      <c r="N1901" s="52" t="str">
        <f>IF(AND('331-CT'!$E$7=TH!H1901,OR(L1901="331",M1901="331")),"331",IF(AND(OR(L1901="131",M1901="131"),H1901='131-CT'!$E$7),"131",""))</f>
        <v/>
      </c>
      <c r="O1901" s="818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52"/>
      <c r="AB1901" s="552"/>
      <c r="AC1901" s="552"/>
    </row>
    <row r="1902" spans="1:29" s="209" customFormat="1" ht="15.75" customHeight="1">
      <c r="A1902" s="202" t="str">
        <f>IF(B1902&lt;&gt;"",IF(AND(B1902&gt;=_TM1,B1902&lt;=_TM2,OR(TH!L1902="1111",TH!M1902="1111")),TH!D1902,""),"")</f>
        <v>T15</v>
      </c>
      <c r="B1902" s="36">
        <f t="shared" si="85"/>
        <v>12</v>
      </c>
      <c r="C1902" s="182">
        <f t="shared" si="84"/>
        <v>42725</v>
      </c>
      <c r="D1902" s="182" t="s">
        <v>1636</v>
      </c>
      <c r="E1902" s="189">
        <v>42725</v>
      </c>
      <c r="F1902" s="187" t="s">
        <v>776</v>
      </c>
      <c r="G1902" s="190" t="s">
        <v>1287</v>
      </c>
      <c r="H1902" s="191" t="s">
        <v>673</v>
      </c>
      <c r="I1902" s="251"/>
      <c r="J1902" s="251"/>
      <c r="K1902" s="560">
        <v>80000000</v>
      </c>
      <c r="L1902" s="561" t="s">
        <v>47</v>
      </c>
      <c r="M1902" s="561" t="s">
        <v>24</v>
      </c>
      <c r="N1902" s="52" t="str">
        <f>IF(AND('331-CT'!$E$7=TH!H1902,OR(L1902="331",M1902="331")),"331",IF(AND(OR(L1902="131",M1902="131"),H1902='131-CT'!$E$7),"131",""))</f>
        <v/>
      </c>
      <c r="O1902" s="818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>x</v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53"/>
      <c r="AB1902" s="552"/>
      <c r="AC1902" s="552"/>
    </row>
    <row r="1903" spans="1:29" s="209" customFormat="1" ht="15.75" customHeight="1">
      <c r="A1903" s="202" t="str">
        <f>IF(B1903&lt;&gt;"",IF(AND(B1903&gt;=_TM1,B1903&lt;=_TM2,OR(TH!L1903="1111",TH!M1903="1111")),TH!D1903,""),"")</f>
        <v/>
      </c>
      <c r="B1903" s="36">
        <f t="shared" si="85"/>
        <v>12</v>
      </c>
      <c r="C1903" s="182">
        <f t="shared" si="84"/>
        <v>42725</v>
      </c>
      <c r="D1903" s="182" t="s">
        <v>1151</v>
      </c>
      <c r="E1903" s="189">
        <v>42725</v>
      </c>
      <c r="F1903" s="40" t="s">
        <v>1473</v>
      </c>
      <c r="G1903" s="451" t="s">
        <v>1501</v>
      </c>
      <c r="H1903" s="191" t="s">
        <v>1471</v>
      </c>
      <c r="I1903" s="252">
        <v>2400</v>
      </c>
      <c r="J1903" s="252">
        <v>7500</v>
      </c>
      <c r="K1903" s="38">
        <f>ROUND(I1903*J1903,0)</f>
        <v>18000000</v>
      </c>
      <c r="L1903" s="192" t="s">
        <v>258</v>
      </c>
      <c r="M1903" s="192" t="s">
        <v>173</v>
      </c>
      <c r="N1903" s="52" t="str">
        <f>IF(AND('331-CT'!$E$7=TH!H1903,OR(L1903="331",M1903="331")),"331",IF(AND(OR(L1903="131",M1903="131"),H1903='131-CT'!$E$7),"131",""))</f>
        <v/>
      </c>
      <c r="O1903" s="818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52"/>
      <c r="AB1903" s="552"/>
      <c r="AC1903" s="552"/>
    </row>
    <row r="1904" spans="1:29" s="209" customFormat="1" ht="15.75" customHeight="1">
      <c r="A1904" s="202" t="str">
        <f>IF(B1904&lt;&gt;"",IF(AND(B1904&gt;=_TM1,B1904&lt;=_TM2,OR(TH!L1904="1111",TH!M1904="1111")),TH!D1904,""),"")</f>
        <v/>
      </c>
      <c r="B1904" s="36">
        <f t="shared" si="85"/>
        <v>12</v>
      </c>
      <c r="C1904" s="182">
        <f t="shared" si="84"/>
        <v>42725</v>
      </c>
      <c r="D1904" s="182" t="s">
        <v>1151</v>
      </c>
      <c r="E1904" s="189">
        <v>42725</v>
      </c>
      <c r="F1904" s="40" t="s">
        <v>1254</v>
      </c>
      <c r="G1904" s="451" t="s">
        <v>1501</v>
      </c>
      <c r="H1904" s="191" t="s">
        <v>1471</v>
      </c>
      <c r="I1904" s="252"/>
      <c r="J1904" s="252"/>
      <c r="K1904" s="38">
        <v>1800000</v>
      </c>
      <c r="L1904" s="192" t="s">
        <v>258</v>
      </c>
      <c r="M1904" s="192" t="s">
        <v>367</v>
      </c>
      <c r="N1904" s="52" t="str">
        <f>IF(AND('331-CT'!$E$7=TH!H1904,OR(L1904="331",M1904="331")),"331",IF(AND(OR(L1904="131",M1904="131"),H1904='131-CT'!$E$7),"131",""))</f>
        <v/>
      </c>
      <c r="O1904" s="818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52"/>
      <c r="AB1904" s="552"/>
    </row>
    <row r="1905" spans="1:29" s="209" customFormat="1" ht="15.75" customHeight="1">
      <c r="A1905" s="202" t="str">
        <f>IF(B1905&lt;&gt;"",IF(AND(B1905&gt;=_TM1,B1905&lt;=_TM2,OR(TH!L1905="1111",TH!M1905="1111")),TH!D1905,""),"")</f>
        <v/>
      </c>
      <c r="B1905" s="36">
        <f t="shared" si="85"/>
        <v>12</v>
      </c>
      <c r="C1905" s="182">
        <f t="shared" si="84"/>
        <v>42725</v>
      </c>
      <c r="D1905" s="182" t="s">
        <v>1152</v>
      </c>
      <c r="E1905" s="189">
        <v>42725</v>
      </c>
      <c r="F1905" s="40" t="s">
        <v>1504</v>
      </c>
      <c r="G1905" s="451" t="s">
        <v>1502</v>
      </c>
      <c r="H1905" s="191" t="s">
        <v>1328</v>
      </c>
      <c r="I1905" s="252">
        <v>66</v>
      </c>
      <c r="J1905" s="252">
        <v>25300</v>
      </c>
      <c r="K1905" s="38">
        <f>ROUND(I1905*J1905,0)</f>
        <v>1669800</v>
      </c>
      <c r="L1905" s="192" t="s">
        <v>258</v>
      </c>
      <c r="M1905" s="192" t="s">
        <v>173</v>
      </c>
      <c r="N1905" s="52" t="str">
        <f>IF(AND('331-CT'!$E$7=TH!H1905,OR(L1905="331",M1905="331")),"331",IF(AND(OR(L1905="131",M1905="131"),H1905='131-CT'!$E$7),"131",""))</f>
        <v/>
      </c>
      <c r="O1905" s="818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52"/>
      <c r="AB1905" s="552"/>
    </row>
    <row r="1906" spans="1:29" s="209" customFormat="1" ht="15.75" customHeight="1">
      <c r="A1906" s="202" t="str">
        <f>IF(B1906&lt;&gt;"",IF(AND(B1906&gt;=_TM1,B1906&lt;=_TM2,OR(TH!L1906="1111",TH!M1906="1111")),TH!D1906,""),"")</f>
        <v/>
      </c>
      <c r="B1906" s="36">
        <f t="shared" si="85"/>
        <v>12</v>
      </c>
      <c r="C1906" s="182">
        <f t="shared" si="84"/>
        <v>42725</v>
      </c>
      <c r="D1906" s="182" t="s">
        <v>1152</v>
      </c>
      <c r="E1906" s="189">
        <v>42725</v>
      </c>
      <c r="F1906" s="40" t="s">
        <v>1503</v>
      </c>
      <c r="G1906" s="451" t="s">
        <v>1502</v>
      </c>
      <c r="H1906" s="191" t="s">
        <v>1328</v>
      </c>
      <c r="I1906" s="252">
        <v>64</v>
      </c>
      <c r="J1906" s="252">
        <v>18900</v>
      </c>
      <c r="K1906" s="38">
        <f>ROUND(I1906*J1906,0)</f>
        <v>1209600</v>
      </c>
      <c r="L1906" s="192" t="s">
        <v>258</v>
      </c>
      <c r="M1906" s="192" t="s">
        <v>173</v>
      </c>
      <c r="N1906" s="52" t="str">
        <f>IF(AND('331-CT'!$E$7=TH!H1906,OR(L1906="331",M1906="331")),"331",IF(AND(OR(L1906="131",M1906="131"),H1906='131-CT'!$E$7),"131",""))</f>
        <v/>
      </c>
      <c r="O1906" s="818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52"/>
      <c r="AB1906" s="552"/>
      <c r="AC1906" s="552"/>
    </row>
    <row r="1907" spans="1:29" s="209" customFormat="1" ht="15.75" customHeight="1">
      <c r="A1907" s="202" t="str">
        <f>IF(B1907&lt;&gt;"",IF(AND(B1907&gt;=_TM1,B1907&lt;=_TM2,OR(TH!L1907="1111",TH!M1907="1111")),TH!D1907,""),"")</f>
        <v/>
      </c>
      <c r="B1907" s="36">
        <f t="shared" si="85"/>
        <v>12</v>
      </c>
      <c r="C1907" s="182">
        <f t="shared" si="84"/>
        <v>42725</v>
      </c>
      <c r="D1907" s="182" t="s">
        <v>1152</v>
      </c>
      <c r="E1907" s="189">
        <v>42725</v>
      </c>
      <c r="F1907" s="40" t="s">
        <v>1254</v>
      </c>
      <c r="G1907" s="451" t="s">
        <v>1502</v>
      </c>
      <c r="H1907" s="191" t="s">
        <v>1328</v>
      </c>
      <c r="I1907" s="252"/>
      <c r="J1907" s="252"/>
      <c r="K1907" s="38">
        <v>287940</v>
      </c>
      <c r="L1907" s="192" t="s">
        <v>258</v>
      </c>
      <c r="M1907" s="192" t="s">
        <v>367</v>
      </c>
      <c r="N1907" s="52" t="str">
        <f>IF(AND('331-CT'!$E$7=TH!H1907,OR(L1907="331",M1907="331")),"331",IF(AND(OR(L1907="131",M1907="131"),H1907='131-CT'!$E$7),"131",""))</f>
        <v/>
      </c>
      <c r="O1907" s="818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52"/>
      <c r="AB1907" s="552"/>
      <c r="AC1907" s="552"/>
    </row>
    <row r="1908" spans="1:29" s="209" customFormat="1" ht="15.75" customHeight="1">
      <c r="A1908" s="202" t="str">
        <f>IF(B1908&lt;&gt;"",IF(AND(B1908&gt;=_TM1,B1908&lt;=_TM2,OR(TH!L1908="1111",TH!M1908="1111")),TH!D1908,""),"")</f>
        <v/>
      </c>
      <c r="B1908" s="36">
        <f t="shared" si="85"/>
        <v>12</v>
      </c>
      <c r="C1908" s="182">
        <f t="shared" si="84"/>
        <v>42726</v>
      </c>
      <c r="D1908" s="182" t="s">
        <v>669</v>
      </c>
      <c r="E1908" s="189">
        <v>42726</v>
      </c>
      <c r="F1908" s="187" t="s">
        <v>1462</v>
      </c>
      <c r="G1908" s="190" t="s">
        <v>1287</v>
      </c>
      <c r="H1908" s="191"/>
      <c r="I1908" s="251"/>
      <c r="J1908" s="251"/>
      <c r="K1908" s="560">
        <v>40000</v>
      </c>
      <c r="L1908" s="561" t="s">
        <v>83</v>
      </c>
      <c r="M1908" s="561" t="s">
        <v>24</v>
      </c>
      <c r="N1908" s="52" t="str">
        <f>IF(AND('331-CT'!$E$7=TH!H1908,OR(L1908="331",M1908="331")),"331",IF(AND(OR(L1908="131",M1908="131"),H1908='131-CT'!$E$7),"131",""))</f>
        <v/>
      </c>
      <c r="O1908" s="818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>x</v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53">
        <v>4</v>
      </c>
      <c r="AB1908" s="552"/>
      <c r="AC1908" s="552"/>
    </row>
    <row r="1909" spans="1:29" s="209" customFormat="1" ht="15.75" customHeight="1">
      <c r="A1909" s="202" t="str">
        <f>IF(B1909&lt;&gt;"",IF(AND(B1909&gt;=_TM1,B1909&lt;=_TM2,OR(TH!L1909="1111",TH!M1909="1111")),TH!D1909,""),"")</f>
        <v/>
      </c>
      <c r="B1909" s="36">
        <f t="shared" si="85"/>
        <v>12</v>
      </c>
      <c r="C1909" s="182">
        <f t="shared" si="84"/>
        <v>42726</v>
      </c>
      <c r="D1909" s="182" t="s">
        <v>669</v>
      </c>
      <c r="E1909" s="189">
        <v>42726</v>
      </c>
      <c r="F1909" s="187" t="s">
        <v>1463</v>
      </c>
      <c r="G1909" s="190" t="s">
        <v>1287</v>
      </c>
      <c r="H1909" s="191"/>
      <c r="I1909" s="251"/>
      <c r="J1909" s="251"/>
      <c r="K1909" s="560">
        <v>4000</v>
      </c>
      <c r="L1909" s="192" t="s">
        <v>9</v>
      </c>
      <c r="M1909" s="561" t="s">
        <v>24</v>
      </c>
      <c r="N1909" s="52" t="str">
        <f>IF(AND('331-CT'!$E$7=TH!H1909,OR(L1909="331",M1909="331")),"331",IF(AND(OR(L1909="131",M1909="131"),H1909='131-CT'!$E$7),"131",""))</f>
        <v/>
      </c>
      <c r="O1909" s="818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53">
        <v>4</v>
      </c>
      <c r="AB1909" s="552"/>
    </row>
    <row r="1910" spans="1:29" s="209" customFormat="1" ht="15.75" customHeight="1">
      <c r="A1910" s="202" t="str">
        <f>IF(B1910&lt;&gt;"",IF(AND(B1910&gt;=_TM1,B1910&lt;=_TM2,OR(TH!L1910="1111",TH!M1910="1111")),TH!D1910,""),"")</f>
        <v/>
      </c>
      <c r="B1910" s="36">
        <f t="shared" si="85"/>
        <v>12</v>
      </c>
      <c r="C1910" s="182">
        <f t="shared" si="84"/>
        <v>42726</v>
      </c>
      <c r="D1910" s="182" t="s">
        <v>669</v>
      </c>
      <c r="E1910" s="189">
        <v>42726</v>
      </c>
      <c r="F1910" s="190" t="s">
        <v>666</v>
      </c>
      <c r="G1910" s="190" t="s">
        <v>1287</v>
      </c>
      <c r="H1910" s="7" t="s">
        <v>615</v>
      </c>
      <c r="I1910" s="251"/>
      <c r="J1910" s="251"/>
      <c r="K1910" s="560">
        <v>7144000</v>
      </c>
      <c r="L1910" s="561" t="s">
        <v>24</v>
      </c>
      <c r="M1910" s="561" t="s">
        <v>258</v>
      </c>
      <c r="N1910" s="52" t="str">
        <f>IF(AND('331-CT'!$E$7=TH!H1910,OR(L1910="331",M1910="331")),"331",IF(AND(OR(L1910="131",M1910="131"),H1910='131-CT'!$E$7),"131",""))</f>
        <v/>
      </c>
      <c r="O1910" s="818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53"/>
      <c r="AB1910" s="552"/>
      <c r="AC1910" s="552"/>
    </row>
    <row r="1911" spans="1:29" s="209" customFormat="1" ht="15.75" customHeight="1">
      <c r="A1911" s="202" t="str">
        <f>IF(B1911&lt;&gt;"",IF(AND(B1911&gt;=_TM1,B1911&lt;=_TM2,OR(TH!L1911="1111",TH!M1911="1111")),TH!D1911,""),"")</f>
        <v/>
      </c>
      <c r="B1911" s="36">
        <f t="shared" si="85"/>
        <v>12</v>
      </c>
      <c r="C1911" s="182">
        <f t="shared" si="84"/>
        <v>42726</v>
      </c>
      <c r="D1911" s="182" t="s">
        <v>669</v>
      </c>
      <c r="E1911" s="189">
        <v>42726</v>
      </c>
      <c r="F1911" s="187" t="s">
        <v>1518</v>
      </c>
      <c r="G1911" s="190" t="s">
        <v>1287</v>
      </c>
      <c r="H1911" s="191"/>
      <c r="I1911" s="251"/>
      <c r="J1911" s="251"/>
      <c r="K1911" s="560">
        <v>200000</v>
      </c>
      <c r="L1911" s="561" t="s">
        <v>83</v>
      </c>
      <c r="M1911" s="561" t="s">
        <v>24</v>
      </c>
      <c r="N1911" s="52" t="str">
        <f>IF(AND('331-CT'!$E$7=TH!H1911,OR(L1911="331",M1911="331")),"331",IF(AND(OR(L1911="131",M1911="131"),H1911='131-CT'!$E$7),"131",""))</f>
        <v/>
      </c>
      <c r="O1911" s="818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>x</v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53"/>
      <c r="AB1911" s="552"/>
      <c r="AC1911" s="552"/>
    </row>
    <row r="1912" spans="1:29" s="209" customFormat="1" ht="15.75" customHeight="1">
      <c r="A1912" s="202" t="str">
        <f>IF(B1912&lt;&gt;"",IF(AND(B1912&gt;=_TM1,B1912&lt;=_TM2,OR(TH!L1912="1111",TH!M1912="1111")),TH!D1912,""),"")</f>
        <v/>
      </c>
      <c r="B1912" s="36">
        <f t="shared" si="85"/>
        <v>12</v>
      </c>
      <c r="C1912" s="182">
        <f t="shared" si="84"/>
        <v>42726</v>
      </c>
      <c r="D1912" s="182" t="s">
        <v>1153</v>
      </c>
      <c r="E1912" s="189">
        <v>42726</v>
      </c>
      <c r="F1912" s="40" t="s">
        <v>1473</v>
      </c>
      <c r="G1912" s="451" t="s">
        <v>1505</v>
      </c>
      <c r="H1912" s="191" t="s">
        <v>1471</v>
      </c>
      <c r="I1912" s="252">
        <v>1939</v>
      </c>
      <c r="J1912" s="252">
        <v>7500</v>
      </c>
      <c r="K1912" s="38">
        <f>ROUND(I1912*J1912,0)</f>
        <v>14542500</v>
      </c>
      <c r="L1912" s="192" t="s">
        <v>258</v>
      </c>
      <c r="M1912" s="192" t="s">
        <v>173</v>
      </c>
      <c r="N1912" s="52" t="str">
        <f>IF(AND('331-CT'!$E$7=TH!H1912,OR(L1912="331",M1912="331")),"331",IF(AND(OR(L1912="131",M1912="131"),H1912='131-CT'!$E$7),"131",""))</f>
        <v/>
      </c>
      <c r="O1912" s="818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52"/>
      <c r="AB1912" s="552"/>
    </row>
    <row r="1913" spans="1:29" s="209" customFormat="1" ht="15.75" customHeight="1">
      <c r="A1913" s="202" t="str">
        <f>IF(B1913&lt;&gt;"",IF(AND(B1913&gt;=_TM1,B1913&lt;=_TM2,OR(TH!L1913="1111",TH!M1913="1111")),TH!D1913,""),"")</f>
        <v/>
      </c>
      <c r="B1913" s="36">
        <f t="shared" si="85"/>
        <v>12</v>
      </c>
      <c r="C1913" s="182">
        <f t="shared" si="84"/>
        <v>42726</v>
      </c>
      <c r="D1913" s="182" t="s">
        <v>1153</v>
      </c>
      <c r="E1913" s="189">
        <v>42726</v>
      </c>
      <c r="F1913" s="40" t="s">
        <v>1254</v>
      </c>
      <c r="G1913" s="451" t="s">
        <v>1505</v>
      </c>
      <c r="H1913" s="191" t="s">
        <v>1471</v>
      </c>
      <c r="I1913" s="252"/>
      <c r="J1913" s="252"/>
      <c r="K1913" s="38">
        <v>1454250</v>
      </c>
      <c r="L1913" s="192" t="s">
        <v>258</v>
      </c>
      <c r="M1913" s="192" t="s">
        <v>367</v>
      </c>
      <c r="N1913" s="52" t="str">
        <f>IF(AND('331-CT'!$E$7=TH!H1913,OR(L1913="331",M1913="331")),"331",IF(AND(OR(L1913="131",M1913="131"),H1913='131-CT'!$E$7),"131",""))</f>
        <v/>
      </c>
      <c r="O1913" s="818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52"/>
      <c r="AB1913" s="552"/>
      <c r="AC1913" s="552"/>
    </row>
    <row r="1914" spans="1:29" s="209" customFormat="1" ht="15.75" customHeight="1">
      <c r="A1914" s="202" t="str">
        <f>IF(B1914&lt;&gt;"",IF(AND(B1914&gt;=_TM1,B1914&lt;=_TM2,OR(TH!L1914="1111",TH!M1914="1111")),TH!D1914,""),"")</f>
        <v/>
      </c>
      <c r="B1914" s="36">
        <f t="shared" si="85"/>
        <v>12</v>
      </c>
      <c r="C1914" s="182">
        <f t="shared" si="84"/>
        <v>42726</v>
      </c>
      <c r="D1914" s="182" t="s">
        <v>1154</v>
      </c>
      <c r="E1914" s="189">
        <v>42726</v>
      </c>
      <c r="F1914" s="40" t="s">
        <v>1409</v>
      </c>
      <c r="G1914" s="451" t="s">
        <v>1506</v>
      </c>
      <c r="H1914" s="191" t="s">
        <v>1328</v>
      </c>
      <c r="I1914" s="252">
        <v>208</v>
      </c>
      <c r="J1914" s="252">
        <v>7300</v>
      </c>
      <c r="K1914" s="38">
        <f>ROUND(I1914*J1914,0)</f>
        <v>1518400</v>
      </c>
      <c r="L1914" s="192" t="s">
        <v>258</v>
      </c>
      <c r="M1914" s="192" t="s">
        <v>173</v>
      </c>
      <c r="N1914" s="52" t="str">
        <f>IF(AND('331-CT'!$E$7=TH!H1914,OR(L1914="331",M1914="331")),"331",IF(AND(OR(L1914="131",M1914="131"),H1914='131-CT'!$E$7),"131",""))</f>
        <v/>
      </c>
      <c r="O1914" s="818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52"/>
      <c r="AB1914" s="552"/>
      <c r="AC1914" s="552"/>
    </row>
    <row r="1915" spans="1:29" s="209" customFormat="1" ht="15.75" customHeight="1">
      <c r="A1915" s="202" t="str">
        <f>IF(B1915&lt;&gt;"",IF(AND(B1915&gt;=_TM1,B1915&lt;=_TM2,OR(TH!L1915="1111",TH!M1915="1111")),TH!D1915,""),"")</f>
        <v/>
      </c>
      <c r="B1915" s="36">
        <f t="shared" si="85"/>
        <v>12</v>
      </c>
      <c r="C1915" s="182">
        <f t="shared" si="84"/>
        <v>42726</v>
      </c>
      <c r="D1915" s="182" t="s">
        <v>1154</v>
      </c>
      <c r="E1915" s="189">
        <v>42726</v>
      </c>
      <c r="F1915" s="40" t="s">
        <v>1406</v>
      </c>
      <c r="G1915" s="451" t="s">
        <v>1506</v>
      </c>
      <c r="H1915" s="191" t="s">
        <v>1328</v>
      </c>
      <c r="I1915" s="252">
        <v>205</v>
      </c>
      <c r="J1915" s="252">
        <v>7200</v>
      </c>
      <c r="K1915" s="38">
        <f>ROUND(I1915*J1915,0)</f>
        <v>1476000</v>
      </c>
      <c r="L1915" s="192" t="s">
        <v>258</v>
      </c>
      <c r="M1915" s="192" t="s">
        <v>173</v>
      </c>
      <c r="N1915" s="52" t="str">
        <f>IF(AND('331-CT'!$E$7=TH!H1915,OR(L1915="331",M1915="331")),"331",IF(AND(OR(L1915="131",M1915="131"),H1915='131-CT'!$E$7),"131",""))</f>
        <v/>
      </c>
      <c r="O1915" s="818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52"/>
      <c r="AB1915" s="552"/>
      <c r="AC1915" s="552"/>
    </row>
    <row r="1916" spans="1:29" s="209" customFormat="1" ht="15.75" customHeight="1">
      <c r="A1916" s="202" t="str">
        <f>IF(B1916&lt;&gt;"",IF(AND(B1916&gt;=_TM1,B1916&lt;=_TM2,OR(TH!L1916="1111",TH!M1916="1111")),TH!D1916,""),"")</f>
        <v/>
      </c>
      <c r="B1916" s="36">
        <f t="shared" si="85"/>
        <v>12</v>
      </c>
      <c r="C1916" s="182">
        <f t="shared" si="84"/>
        <v>42726</v>
      </c>
      <c r="D1916" s="182" t="s">
        <v>1154</v>
      </c>
      <c r="E1916" s="189">
        <v>42726</v>
      </c>
      <c r="F1916" s="40" t="s">
        <v>1507</v>
      </c>
      <c r="G1916" s="451" t="s">
        <v>1506</v>
      </c>
      <c r="H1916" s="191" t="s">
        <v>1328</v>
      </c>
      <c r="I1916" s="252">
        <v>25</v>
      </c>
      <c r="J1916" s="252">
        <v>17300</v>
      </c>
      <c r="K1916" s="38">
        <f>ROUND(I1916*J1916,0)</f>
        <v>432500</v>
      </c>
      <c r="L1916" s="192" t="s">
        <v>258</v>
      </c>
      <c r="M1916" s="192" t="s">
        <v>173</v>
      </c>
      <c r="N1916" s="52" t="str">
        <f>IF(AND('331-CT'!$E$7=TH!H1916,OR(L1916="331",M1916="331")),"331",IF(AND(OR(L1916="131",M1916="131"),H1916='131-CT'!$E$7),"131",""))</f>
        <v/>
      </c>
      <c r="O1916" s="818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52"/>
      <c r="AB1916" s="552"/>
      <c r="AC1916" s="552"/>
    </row>
    <row r="1917" spans="1:29" s="209" customFormat="1" ht="15.75" customHeight="1">
      <c r="A1917" s="202" t="str">
        <f>IF(B1917&lt;&gt;"",IF(AND(B1917&gt;=_TM1,B1917&lt;=_TM2,OR(TH!L1917="1111",TH!M1917="1111")),TH!D1917,""),"")</f>
        <v/>
      </c>
      <c r="B1917" s="36">
        <f t="shared" si="85"/>
        <v>12</v>
      </c>
      <c r="C1917" s="182">
        <f t="shared" si="84"/>
        <v>42726</v>
      </c>
      <c r="D1917" s="182" t="s">
        <v>1154</v>
      </c>
      <c r="E1917" s="189">
        <v>42726</v>
      </c>
      <c r="F1917" s="40" t="s">
        <v>1254</v>
      </c>
      <c r="G1917" s="451" t="s">
        <v>1506</v>
      </c>
      <c r="H1917" s="191" t="s">
        <v>1328</v>
      </c>
      <c r="I1917" s="252"/>
      <c r="J1917" s="252"/>
      <c r="K1917" s="38">
        <v>342690</v>
      </c>
      <c r="L1917" s="192" t="s">
        <v>258</v>
      </c>
      <c r="M1917" s="192" t="s">
        <v>367</v>
      </c>
      <c r="N1917" s="52" t="str">
        <f>IF(AND('331-CT'!$E$7=TH!H1917,OR(L1917="331",M1917="331")),"331",IF(AND(OR(L1917="131",M1917="131"),H1917='131-CT'!$E$7),"131",""))</f>
        <v/>
      </c>
      <c r="O1917" s="818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52"/>
      <c r="AB1917" s="552"/>
    </row>
    <row r="1918" spans="1:29" s="209" customFormat="1" ht="15.75" customHeight="1">
      <c r="A1918" s="202" t="str">
        <f>IF(B1918&lt;&gt;"",IF(AND(B1918&gt;=_TM1,B1918&lt;=_TM2,OR(TH!L1918="1111",TH!M1918="1111")),TH!D1918,""),"")</f>
        <v/>
      </c>
      <c r="B1918" s="36">
        <f t="shared" si="85"/>
        <v>12</v>
      </c>
      <c r="C1918" s="182">
        <f t="shared" si="84"/>
        <v>42727</v>
      </c>
      <c r="D1918" s="182" t="s">
        <v>1190</v>
      </c>
      <c r="E1918" s="189">
        <v>42727</v>
      </c>
      <c r="F1918" s="190" t="s">
        <v>680</v>
      </c>
      <c r="G1918" s="451" t="s">
        <v>1550</v>
      </c>
      <c r="H1918" s="7" t="s">
        <v>1554</v>
      </c>
      <c r="I1918" s="251">
        <v>9196</v>
      </c>
      <c r="J1918" s="251">
        <v>9000</v>
      </c>
      <c r="K1918" s="38">
        <f>ROUND(I1918*J1918,0)</f>
        <v>82764000</v>
      </c>
      <c r="L1918" s="192" t="s">
        <v>158</v>
      </c>
      <c r="M1918" s="192" t="s">
        <v>8</v>
      </c>
      <c r="N1918" s="52" t="str">
        <f>IF(AND('331-CT'!$E$7=TH!H1918,OR(L1918="331",M1918="331")),"331",IF(AND(OR(L1918="131",M1918="131"),H1918='131-CT'!$E$7),"131",""))</f>
        <v/>
      </c>
      <c r="O1918" s="818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>x</v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51">
        <v>4</v>
      </c>
      <c r="AB1918" s="552"/>
      <c r="AC1918" s="552"/>
    </row>
    <row r="1919" spans="1:29" s="209" customFormat="1" ht="15.75" customHeight="1">
      <c r="A1919" s="202" t="str">
        <f>IF(B1919&lt;&gt;"",IF(AND(B1919&gt;=_TM1,B1919&lt;=_TM2,OR(TH!L1919="1111",TH!M1919="1111")),TH!D1919,""),"")</f>
        <v/>
      </c>
      <c r="B1919" s="36">
        <f t="shared" si="85"/>
        <v>12</v>
      </c>
      <c r="C1919" s="182">
        <f t="shared" si="84"/>
        <v>42727</v>
      </c>
      <c r="D1919" s="182" t="s">
        <v>1190</v>
      </c>
      <c r="E1919" s="189">
        <v>42727</v>
      </c>
      <c r="F1919" s="190" t="s">
        <v>681</v>
      </c>
      <c r="G1919" s="451" t="s">
        <v>1550</v>
      </c>
      <c r="H1919" s="7" t="s">
        <v>1554</v>
      </c>
      <c r="I1919" s="251"/>
      <c r="J1919" s="251"/>
      <c r="K1919" s="560">
        <v>8276400</v>
      </c>
      <c r="L1919" s="192" t="s">
        <v>9</v>
      </c>
      <c r="M1919" s="192" t="s">
        <v>8</v>
      </c>
      <c r="N1919" s="52" t="str">
        <f>IF(AND('331-CT'!$E$7=TH!H1919,OR(L1919="331",M1919="331")),"331",IF(AND(OR(L1919="131",M1919="131"),H1919='131-CT'!$E$7),"131",""))</f>
        <v/>
      </c>
      <c r="O1919" s="818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51">
        <v>4</v>
      </c>
      <c r="AB1919" s="552"/>
      <c r="AC1919" s="552"/>
    </row>
    <row r="1920" spans="1:29" s="209" customFormat="1" ht="15.75" customHeight="1">
      <c r="A1920" s="202" t="str">
        <f>IF(B1920&lt;&gt;"",IF(AND(B1920&gt;=_TM1,B1920&lt;=_TM2,OR(TH!L1920="1111",TH!M1920="1111")),TH!D1920,""),"")</f>
        <v/>
      </c>
      <c r="B1920" s="36">
        <f t="shared" si="85"/>
        <v>12</v>
      </c>
      <c r="C1920" s="182">
        <f t="shared" si="84"/>
        <v>42728</v>
      </c>
      <c r="D1920" s="182" t="s">
        <v>665</v>
      </c>
      <c r="E1920" s="189">
        <v>42728</v>
      </c>
      <c r="F1920" s="190" t="s">
        <v>667</v>
      </c>
      <c r="G1920" s="190" t="s">
        <v>330</v>
      </c>
      <c r="H1920" s="7"/>
      <c r="I1920" s="251"/>
      <c r="J1920" s="251"/>
      <c r="K1920" s="560">
        <v>142</v>
      </c>
      <c r="L1920" s="192" t="s">
        <v>24</v>
      </c>
      <c r="M1920" s="192" t="s">
        <v>40</v>
      </c>
      <c r="N1920" s="52" t="str">
        <f>IF(AND('331-CT'!$E$7=TH!H1920,OR(L1920="331",M1920="331")),"331",IF(AND(OR(L1920="131",M1920="131"),H1920='131-CT'!$E$7),"131",""))</f>
        <v/>
      </c>
      <c r="O1920" s="818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53"/>
      <c r="AB1920" s="552"/>
    </row>
    <row r="1921" spans="1:29" s="209" customFormat="1" ht="15.75" customHeight="1">
      <c r="A1921" s="202" t="str">
        <f>IF(B1921&lt;&gt;"",IF(AND(B1921&gt;=_TM1,B1921&lt;=_TM2,OR(TH!L1921="1111",TH!M1921="1111")),TH!D1921,""),"")</f>
        <v/>
      </c>
      <c r="B1921" s="36">
        <f t="shared" si="85"/>
        <v>12</v>
      </c>
      <c r="C1921" s="182">
        <f t="shared" si="84"/>
        <v>42728</v>
      </c>
      <c r="D1921" s="182" t="s">
        <v>1155</v>
      </c>
      <c r="E1921" s="189">
        <v>42728</v>
      </c>
      <c r="F1921" s="40" t="s">
        <v>1473</v>
      </c>
      <c r="G1921" s="451" t="s">
        <v>1508</v>
      </c>
      <c r="H1921" s="191" t="s">
        <v>1471</v>
      </c>
      <c r="I1921" s="252">
        <v>2400</v>
      </c>
      <c r="J1921" s="252">
        <v>7500</v>
      </c>
      <c r="K1921" s="38">
        <f>ROUND(I1921*J1921,0)</f>
        <v>18000000</v>
      </c>
      <c r="L1921" s="192" t="s">
        <v>258</v>
      </c>
      <c r="M1921" s="192" t="s">
        <v>173</v>
      </c>
      <c r="N1921" s="52" t="str">
        <f>IF(AND('331-CT'!$E$7=TH!H1921,OR(L1921="331",M1921="331")),"331",IF(AND(OR(L1921="131",M1921="131"),H1921='131-CT'!$E$7),"131",""))</f>
        <v/>
      </c>
      <c r="O1921" s="818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52"/>
      <c r="AB1921" s="552"/>
      <c r="AC1921" s="552"/>
    </row>
    <row r="1922" spans="1:29" s="209" customFormat="1" ht="15.75" customHeight="1">
      <c r="A1922" s="202" t="str">
        <f>IF(B1922&lt;&gt;"",IF(AND(B1922&gt;=_TM1,B1922&lt;=_TM2,OR(TH!L1922="1111",TH!M1922="1111")),TH!D1922,""),"")</f>
        <v/>
      </c>
      <c r="B1922" s="36">
        <f t="shared" si="85"/>
        <v>12</v>
      </c>
      <c r="C1922" s="182">
        <f t="shared" si="84"/>
        <v>42728</v>
      </c>
      <c r="D1922" s="182" t="s">
        <v>1155</v>
      </c>
      <c r="E1922" s="189">
        <v>42728</v>
      </c>
      <c r="F1922" s="40" t="s">
        <v>1254</v>
      </c>
      <c r="G1922" s="451" t="s">
        <v>1508</v>
      </c>
      <c r="H1922" s="191" t="s">
        <v>1471</v>
      </c>
      <c r="I1922" s="252"/>
      <c r="J1922" s="252"/>
      <c r="K1922" s="38">
        <v>1800000</v>
      </c>
      <c r="L1922" s="192" t="s">
        <v>258</v>
      </c>
      <c r="M1922" s="192" t="s">
        <v>367</v>
      </c>
      <c r="N1922" s="52" t="str">
        <f>IF(AND('331-CT'!$E$7=TH!H1922,OR(L1922="331",M1922="331")),"331",IF(AND(OR(L1922="131",M1922="131"),H1922='131-CT'!$E$7),"131",""))</f>
        <v/>
      </c>
      <c r="O1922" s="818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52"/>
      <c r="AB1922" s="552"/>
    </row>
    <row r="1923" spans="1:29" s="209" customFormat="1" ht="15.75" customHeight="1">
      <c r="A1923" s="202" t="str">
        <f>IF(B1923&lt;&gt;"",IF(AND(B1923&gt;=_TM1,B1923&lt;=_TM2,OR(TH!L1923="1111",TH!M1923="1111")),TH!D1923,""),"")</f>
        <v>T16</v>
      </c>
      <c r="B1923" s="36">
        <f t="shared" si="85"/>
        <v>12</v>
      </c>
      <c r="C1923" s="182">
        <f t="shared" si="84"/>
        <v>42729</v>
      </c>
      <c r="D1923" s="182" t="s">
        <v>1637</v>
      </c>
      <c r="E1923" s="189">
        <v>42729</v>
      </c>
      <c r="F1923" s="40" t="s">
        <v>666</v>
      </c>
      <c r="G1923" s="451" t="s">
        <v>1611</v>
      </c>
      <c r="H1923" s="7" t="s">
        <v>527</v>
      </c>
      <c r="I1923" s="252"/>
      <c r="J1923" s="252"/>
      <c r="K1923" s="560">
        <v>42886939</v>
      </c>
      <c r="L1923" s="561" t="s">
        <v>47</v>
      </c>
      <c r="M1923" s="561" t="s">
        <v>258</v>
      </c>
      <c r="N1923" s="52" t="str">
        <f>IF(AND('331-CT'!$E$7=TH!H1923,OR(L1923="331",M1923="331")),"331",IF(AND(OR(L1923="131",M1923="131"),H1923='131-CT'!$E$7),"131",""))</f>
        <v/>
      </c>
      <c r="O1923" s="818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52"/>
      <c r="AB1923" s="552"/>
    </row>
    <row r="1924" spans="1:29" s="209" customFormat="1" ht="15.75" customHeight="1">
      <c r="A1924" s="202" t="str">
        <f>IF(B1924&lt;&gt;"",IF(AND(B1924&gt;=_TM1,B1924&lt;=_TM2,OR(TH!L1924="1111",TH!M1924="1111")),TH!D1924,""),"")</f>
        <v/>
      </c>
      <c r="B1924" s="36">
        <f t="shared" si="85"/>
        <v>12</v>
      </c>
      <c r="C1924" s="182">
        <f t="shared" si="84"/>
        <v>42730</v>
      </c>
      <c r="D1924" s="182" t="s">
        <v>665</v>
      </c>
      <c r="E1924" s="189">
        <v>42730</v>
      </c>
      <c r="F1924" s="190" t="s">
        <v>666</v>
      </c>
      <c r="G1924" s="190" t="s">
        <v>330</v>
      </c>
      <c r="H1924" s="191" t="s">
        <v>1323</v>
      </c>
      <c r="I1924" s="251"/>
      <c r="J1924" s="251"/>
      <c r="K1924" s="560">
        <v>2724150</v>
      </c>
      <c r="L1924" s="192" t="s">
        <v>24</v>
      </c>
      <c r="M1924" s="192" t="s">
        <v>258</v>
      </c>
      <c r="N1924" s="52" t="str">
        <f>IF(AND('331-CT'!$E$7=TH!H1924,OR(L1924="331",M1924="331")),"331",IF(AND(OR(L1924="131",M1924="131"),H1924='131-CT'!$E$7),"131",""))</f>
        <v/>
      </c>
      <c r="O1924" s="818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53"/>
      <c r="AB1924" s="552"/>
    </row>
    <row r="1925" spans="1:29" s="209" customFormat="1" ht="15.75" customHeight="1">
      <c r="A1925" s="202" t="str">
        <f>IF(B1925&lt;&gt;"",IF(AND(B1925&gt;=_TM1,B1925&lt;=_TM2,OR(TH!L1925="1111",TH!M1925="1111")),TH!D1925,""),"")</f>
        <v>C19</v>
      </c>
      <c r="B1925" s="36">
        <f t="shared" si="85"/>
        <v>12</v>
      </c>
      <c r="C1925" s="182">
        <f t="shared" ref="C1925:C1963" si="86">E1925</f>
        <v>42730</v>
      </c>
      <c r="D1925" s="182" t="s">
        <v>1655</v>
      </c>
      <c r="E1925" s="189">
        <v>42730</v>
      </c>
      <c r="F1925" s="187" t="s">
        <v>754</v>
      </c>
      <c r="G1925" s="190" t="s">
        <v>1287</v>
      </c>
      <c r="H1925" s="191" t="s">
        <v>673</v>
      </c>
      <c r="I1925" s="251"/>
      <c r="J1925" s="251"/>
      <c r="K1925" s="560">
        <v>80000000</v>
      </c>
      <c r="L1925" s="561" t="s">
        <v>24</v>
      </c>
      <c r="M1925" s="561" t="s">
        <v>47</v>
      </c>
      <c r="N1925" s="52" t="str">
        <f>IF(AND('331-CT'!$E$7=TH!H1925,OR(L1925="331",M1925="331")),"331",IF(AND(OR(L1925="131",M1925="131"),H1925='131-CT'!$E$7),"131",""))</f>
        <v/>
      </c>
      <c r="O1925" s="818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53"/>
      <c r="AB1925" s="552"/>
    </row>
    <row r="1926" spans="1:29" s="209" customFormat="1" ht="15.75" customHeight="1">
      <c r="A1926" s="202" t="str">
        <f>IF(B1926&lt;&gt;"",IF(AND(B1926&gt;=_TM1,B1926&lt;=_TM2,OR(TH!L1926="1111",TH!M1926="1111")),TH!D1926,""),"")</f>
        <v/>
      </c>
      <c r="B1926" s="36">
        <f t="shared" si="85"/>
        <v>12</v>
      </c>
      <c r="C1926" s="182">
        <f t="shared" si="86"/>
        <v>42731</v>
      </c>
      <c r="D1926" s="182" t="s">
        <v>669</v>
      </c>
      <c r="E1926" s="189">
        <v>42731</v>
      </c>
      <c r="F1926" s="187" t="s">
        <v>671</v>
      </c>
      <c r="G1926" s="190" t="s">
        <v>1287</v>
      </c>
      <c r="H1926" s="7"/>
      <c r="I1926" s="251"/>
      <c r="J1926" s="251"/>
      <c r="K1926" s="560">
        <v>6000000</v>
      </c>
      <c r="L1926" s="561" t="s">
        <v>8</v>
      </c>
      <c r="M1926" s="561" t="s">
        <v>24</v>
      </c>
      <c r="N1926" s="52" t="str">
        <f>IF(AND('331-CT'!$E$7=TH!H1926,OR(L1926="331",M1926="331")),"331",IF(AND(OR(L1926="131",M1926="131"),H1926='131-CT'!$E$7),"131",""))</f>
        <v/>
      </c>
      <c r="O1926" s="818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53"/>
      <c r="AB1926" s="552"/>
      <c r="AC1926" s="552"/>
    </row>
    <row r="1927" spans="1:29" s="209" customFormat="1" ht="15.75" customHeight="1">
      <c r="A1927" s="202" t="str">
        <f>IF(B1927&lt;&gt;"",IF(AND(B1927&gt;=_TM1,B1927&lt;=_TM2,OR(TH!L1927="1111",TH!M1927="1111")),TH!D1927,""),"")</f>
        <v/>
      </c>
      <c r="B1927" s="36">
        <f t="shared" si="85"/>
        <v>12</v>
      </c>
      <c r="C1927" s="182">
        <f t="shared" si="86"/>
        <v>42731</v>
      </c>
      <c r="D1927" s="182" t="s">
        <v>669</v>
      </c>
      <c r="E1927" s="189">
        <v>42731</v>
      </c>
      <c r="F1927" s="190" t="s">
        <v>672</v>
      </c>
      <c r="G1927" s="190" t="s">
        <v>1287</v>
      </c>
      <c r="H1927" s="191"/>
      <c r="I1927" s="251"/>
      <c r="J1927" s="251"/>
      <c r="K1927" s="560">
        <v>15000</v>
      </c>
      <c r="L1927" s="561" t="s">
        <v>83</v>
      </c>
      <c r="M1927" s="561" t="s">
        <v>24</v>
      </c>
      <c r="N1927" s="52" t="str">
        <f>IF(AND('331-CT'!$E$7=TH!H1927,OR(L1927="331",M1927="331")),"331",IF(AND(OR(L1927="131",M1927="131"),H1927='131-CT'!$E$7),"131",""))</f>
        <v/>
      </c>
      <c r="O1927" s="818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>x</v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53">
        <v>4</v>
      </c>
      <c r="AB1927" s="552"/>
      <c r="AC1927" s="552"/>
    </row>
    <row r="1928" spans="1:29" s="209" customFormat="1" ht="15.75" customHeight="1">
      <c r="A1928" s="202" t="str">
        <f>IF(B1928&lt;&gt;"",IF(AND(B1928&gt;=_TM1,B1928&lt;=_TM2,OR(TH!L1928="1111",TH!M1928="1111")),TH!D1928,""),"")</f>
        <v/>
      </c>
      <c r="B1928" s="36">
        <f t="shared" si="85"/>
        <v>12</v>
      </c>
      <c r="C1928" s="182">
        <f t="shared" si="86"/>
        <v>42731</v>
      </c>
      <c r="D1928" s="182" t="s">
        <v>669</v>
      </c>
      <c r="E1928" s="189">
        <v>42731</v>
      </c>
      <c r="F1928" s="190" t="s">
        <v>762</v>
      </c>
      <c r="G1928" s="190" t="s">
        <v>1287</v>
      </c>
      <c r="H1928" s="7"/>
      <c r="I1928" s="251"/>
      <c r="J1928" s="251"/>
      <c r="K1928" s="560">
        <v>1500</v>
      </c>
      <c r="L1928" s="192" t="s">
        <v>9</v>
      </c>
      <c r="M1928" s="561" t="s">
        <v>24</v>
      </c>
      <c r="N1928" s="52" t="str">
        <f>IF(AND('331-CT'!$E$7=TH!H1928,OR(L1928="331",M1928="331")),"331",IF(AND(OR(L1928="131",M1928="131"),H1928='131-CT'!$E$7),"131",""))</f>
        <v/>
      </c>
      <c r="O1928" s="818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53">
        <v>4</v>
      </c>
      <c r="AB1928" s="552"/>
    </row>
    <row r="1929" spans="1:29" s="209" customFormat="1" ht="15.75" customHeight="1">
      <c r="A1929" s="202" t="str">
        <f>IF(B1929&lt;&gt;"",IF(AND(B1929&gt;=_TM1,B1929&lt;=_TM2,OR(TH!L1929="1111",TH!M1929="1111")),TH!D1929,""),"")</f>
        <v/>
      </c>
      <c r="B1929" s="36">
        <f t="shared" si="85"/>
        <v>12</v>
      </c>
      <c r="C1929" s="182">
        <f t="shared" si="86"/>
        <v>42731</v>
      </c>
      <c r="D1929" s="182" t="s">
        <v>669</v>
      </c>
      <c r="E1929" s="189">
        <v>42731</v>
      </c>
      <c r="F1929" s="187" t="s">
        <v>671</v>
      </c>
      <c r="G1929" s="190" t="s">
        <v>1287</v>
      </c>
      <c r="H1929" s="7"/>
      <c r="I1929" s="251"/>
      <c r="J1929" s="251"/>
      <c r="K1929" s="560">
        <v>10000000</v>
      </c>
      <c r="L1929" s="561" t="s">
        <v>8</v>
      </c>
      <c r="M1929" s="561" t="s">
        <v>24</v>
      </c>
      <c r="N1929" s="52" t="str">
        <f>IF(AND('331-CT'!$E$7=TH!H1929,OR(L1929="331",M1929="331")),"331",IF(AND(OR(L1929="131",M1929="131"),H1929='131-CT'!$E$7),"131",""))</f>
        <v/>
      </c>
      <c r="O1929" s="818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53"/>
      <c r="AB1929" s="552"/>
      <c r="AC1929" s="552"/>
    </row>
    <row r="1930" spans="1:29" s="209" customFormat="1" ht="15.75" customHeight="1">
      <c r="A1930" s="202" t="str">
        <f>IF(B1930&lt;&gt;"",IF(AND(B1930&gt;=_TM1,B1930&lt;=_TM2,OR(TH!L1930="1111",TH!M1930="1111")),TH!D1930,""),"")</f>
        <v/>
      </c>
      <c r="B1930" s="36">
        <f t="shared" si="85"/>
        <v>12</v>
      </c>
      <c r="C1930" s="182">
        <f t="shared" si="86"/>
        <v>42731</v>
      </c>
      <c r="D1930" s="182" t="s">
        <v>669</v>
      </c>
      <c r="E1930" s="189">
        <v>42731</v>
      </c>
      <c r="F1930" s="190" t="s">
        <v>672</v>
      </c>
      <c r="G1930" s="190" t="s">
        <v>1287</v>
      </c>
      <c r="H1930" s="191"/>
      <c r="I1930" s="251"/>
      <c r="J1930" s="251"/>
      <c r="K1930" s="560">
        <v>15000</v>
      </c>
      <c r="L1930" s="561" t="s">
        <v>83</v>
      </c>
      <c r="M1930" s="561" t="s">
        <v>24</v>
      </c>
      <c r="N1930" s="52" t="str">
        <f>IF(AND('331-CT'!$E$7=TH!H1930,OR(L1930="331",M1930="331")),"331",IF(AND(OR(L1930="131",M1930="131"),H1930='131-CT'!$E$7),"131",""))</f>
        <v/>
      </c>
      <c r="O1930" s="818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>x</v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53">
        <v>4</v>
      </c>
      <c r="AB1930" s="552"/>
      <c r="AC1930" s="552"/>
    </row>
    <row r="1931" spans="1:29" s="209" customFormat="1" ht="15.75" customHeight="1">
      <c r="A1931" s="202" t="str">
        <f>IF(B1931&lt;&gt;"",IF(AND(B1931&gt;=_TM1,B1931&lt;=_TM2,OR(TH!L1931="1111",TH!M1931="1111")),TH!D1931,""),"")</f>
        <v/>
      </c>
      <c r="B1931" s="36">
        <f t="shared" si="85"/>
        <v>12</v>
      </c>
      <c r="C1931" s="182">
        <f t="shared" si="86"/>
        <v>42731</v>
      </c>
      <c r="D1931" s="182" t="s">
        <v>669</v>
      </c>
      <c r="E1931" s="189">
        <v>42731</v>
      </c>
      <c r="F1931" s="190" t="s">
        <v>762</v>
      </c>
      <c r="G1931" s="190" t="s">
        <v>1287</v>
      </c>
      <c r="H1931" s="7"/>
      <c r="I1931" s="251"/>
      <c r="J1931" s="251"/>
      <c r="K1931" s="560">
        <v>1500</v>
      </c>
      <c r="L1931" s="192" t="s">
        <v>9</v>
      </c>
      <c r="M1931" s="561" t="s">
        <v>24</v>
      </c>
      <c r="N1931" s="52" t="str">
        <f>IF(AND('331-CT'!$E$7=TH!H1931,OR(L1931="331",M1931="331")),"331",IF(AND(OR(L1931="131",M1931="131"),H1931='131-CT'!$E$7),"131",""))</f>
        <v/>
      </c>
      <c r="O1931" s="818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53">
        <v>4</v>
      </c>
      <c r="AB1931" s="552"/>
      <c r="AC1931" s="552"/>
    </row>
    <row r="1932" spans="1:29" s="209" customFormat="1" ht="15.75" customHeight="1">
      <c r="A1932" s="202" t="str">
        <f>IF(B1932&lt;&gt;"",IF(AND(B1932&gt;=_TM1,B1932&lt;=_TM2,OR(TH!L1932="1111",TH!M1932="1111")),TH!D1932,""),"")</f>
        <v/>
      </c>
      <c r="B1932" s="36">
        <f t="shared" si="85"/>
        <v>12</v>
      </c>
      <c r="C1932" s="182">
        <f t="shared" si="86"/>
        <v>42731</v>
      </c>
      <c r="D1932" s="182" t="s">
        <v>669</v>
      </c>
      <c r="E1932" s="189">
        <v>42731</v>
      </c>
      <c r="F1932" s="187" t="s">
        <v>671</v>
      </c>
      <c r="G1932" s="190" t="s">
        <v>1287</v>
      </c>
      <c r="H1932" s="7"/>
      <c r="I1932" s="251"/>
      <c r="J1932" s="251"/>
      <c r="K1932" s="560">
        <v>5000000</v>
      </c>
      <c r="L1932" s="561" t="s">
        <v>8</v>
      </c>
      <c r="M1932" s="561" t="s">
        <v>24</v>
      </c>
      <c r="N1932" s="52" t="str">
        <f>IF(AND('331-CT'!$E$7=TH!H1932,OR(L1932="331",M1932="331")),"331",IF(AND(OR(L1932="131",M1932="131"),H1932='131-CT'!$E$7),"131",""))</f>
        <v/>
      </c>
      <c r="O1932" s="818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53"/>
      <c r="AB1932" s="552"/>
    </row>
    <row r="1933" spans="1:29" s="209" customFormat="1" ht="15.75" customHeight="1">
      <c r="A1933" s="202" t="str">
        <f>IF(B1933&lt;&gt;"",IF(AND(B1933&gt;=_TM1,B1933&lt;=_TM2,OR(TH!L1933="1111",TH!M1933="1111")),TH!D1933,""),"")</f>
        <v/>
      </c>
      <c r="B1933" s="36">
        <f t="shared" si="85"/>
        <v>12</v>
      </c>
      <c r="C1933" s="182">
        <f t="shared" si="86"/>
        <v>42731</v>
      </c>
      <c r="D1933" s="182" t="s">
        <v>669</v>
      </c>
      <c r="E1933" s="189">
        <v>42731</v>
      </c>
      <c r="F1933" s="190" t="s">
        <v>672</v>
      </c>
      <c r="G1933" s="190" t="s">
        <v>1287</v>
      </c>
      <c r="H1933" s="191"/>
      <c r="I1933" s="251"/>
      <c r="J1933" s="251"/>
      <c r="K1933" s="560">
        <v>15000</v>
      </c>
      <c r="L1933" s="561" t="s">
        <v>83</v>
      </c>
      <c r="M1933" s="561" t="s">
        <v>24</v>
      </c>
      <c r="N1933" s="52" t="str">
        <f>IF(AND('331-CT'!$E$7=TH!H1933,OR(L1933="331",M1933="331")),"331",IF(AND(OR(L1933="131",M1933="131"),H1933='131-CT'!$E$7),"131",""))</f>
        <v/>
      </c>
      <c r="O1933" s="818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>x</v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53">
        <v>4</v>
      </c>
      <c r="AB1933" s="552"/>
      <c r="AC1933" s="552"/>
    </row>
    <row r="1934" spans="1:29" s="209" customFormat="1" ht="15.75" customHeight="1">
      <c r="A1934" s="202" t="str">
        <f>IF(B1934&lt;&gt;"",IF(AND(B1934&gt;=_TM1,B1934&lt;=_TM2,OR(TH!L1934="1111",TH!M1934="1111")),TH!D1934,""),"")</f>
        <v/>
      </c>
      <c r="B1934" s="36">
        <f t="shared" si="85"/>
        <v>12</v>
      </c>
      <c r="C1934" s="182">
        <f t="shared" si="86"/>
        <v>42731</v>
      </c>
      <c r="D1934" s="182" t="s">
        <v>669</v>
      </c>
      <c r="E1934" s="189">
        <v>42731</v>
      </c>
      <c r="F1934" s="190" t="s">
        <v>762</v>
      </c>
      <c r="G1934" s="190" t="s">
        <v>1287</v>
      </c>
      <c r="H1934" s="7"/>
      <c r="I1934" s="251"/>
      <c r="J1934" s="251"/>
      <c r="K1934" s="560">
        <v>1500</v>
      </c>
      <c r="L1934" s="192" t="s">
        <v>9</v>
      </c>
      <c r="M1934" s="561" t="s">
        <v>24</v>
      </c>
      <c r="N1934" s="52" t="str">
        <f>IF(AND('331-CT'!$E$7=TH!H1934,OR(L1934="331",M1934="331")),"331",IF(AND(OR(L1934="131",M1934="131"),H1934='131-CT'!$E$7),"131",""))</f>
        <v/>
      </c>
      <c r="O1934" s="818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53">
        <v>4</v>
      </c>
      <c r="AB1934" s="552"/>
      <c r="AC1934" s="552"/>
    </row>
    <row r="1935" spans="1:29" s="209" customFormat="1" ht="15.75" customHeight="1">
      <c r="A1935" s="202" t="str">
        <f>IF(B1935&lt;&gt;"",IF(AND(B1935&gt;=_TM1,B1935&lt;=_TM2,OR(TH!L1935="1111",TH!M1935="1111")),TH!D1935,""),"")</f>
        <v/>
      </c>
      <c r="B1935" s="36">
        <f t="shared" si="85"/>
        <v>12</v>
      </c>
      <c r="C1935" s="182">
        <f t="shared" si="86"/>
        <v>42731</v>
      </c>
      <c r="D1935" s="182" t="s">
        <v>669</v>
      </c>
      <c r="E1935" s="189">
        <v>42731</v>
      </c>
      <c r="F1935" s="187" t="s">
        <v>671</v>
      </c>
      <c r="G1935" s="190" t="s">
        <v>1287</v>
      </c>
      <c r="H1935" s="948"/>
      <c r="I1935" s="251"/>
      <c r="J1935" s="251"/>
      <c r="K1935" s="560">
        <v>15000000</v>
      </c>
      <c r="L1935" s="561" t="s">
        <v>8</v>
      </c>
      <c r="M1935" s="561" t="s">
        <v>24</v>
      </c>
      <c r="N1935" s="52" t="str">
        <f>IF(AND('331-CT'!$E$7=TH!H1935,OR(L1935="331",M1935="331")),"331",IF(AND(OR(L1935="131",M1935="131"),H1935='131-CT'!$E$7),"131",""))</f>
        <v/>
      </c>
      <c r="O1935" s="818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53"/>
      <c r="AB1935" s="552"/>
      <c r="AC1935" s="552"/>
    </row>
    <row r="1936" spans="1:29" s="209" customFormat="1" ht="15.75" customHeight="1">
      <c r="A1936" s="202" t="str">
        <f>IF(B1936&lt;&gt;"",IF(AND(B1936&gt;=_TM1,B1936&lt;=_TM2,OR(TH!L1936="1111",TH!M1936="1111")),TH!D1936,""),"")</f>
        <v/>
      </c>
      <c r="B1936" s="36">
        <f t="shared" si="85"/>
        <v>12</v>
      </c>
      <c r="C1936" s="182">
        <f t="shared" si="86"/>
        <v>42731</v>
      </c>
      <c r="D1936" s="182" t="s">
        <v>669</v>
      </c>
      <c r="E1936" s="189">
        <v>42731</v>
      </c>
      <c r="F1936" s="190" t="s">
        <v>672</v>
      </c>
      <c r="G1936" s="190" t="s">
        <v>1287</v>
      </c>
      <c r="H1936" s="191"/>
      <c r="I1936" s="251"/>
      <c r="J1936" s="251"/>
      <c r="K1936" s="560">
        <v>20000</v>
      </c>
      <c r="L1936" s="561" t="s">
        <v>83</v>
      </c>
      <c r="M1936" s="561" t="s">
        <v>24</v>
      </c>
      <c r="N1936" s="52" t="str">
        <f>IF(AND('331-CT'!$E$7=TH!H1936,OR(L1936="331",M1936="331")),"331",IF(AND(OR(L1936="131",M1936="131"),H1936='131-CT'!$E$7),"131",""))</f>
        <v/>
      </c>
      <c r="O1936" s="818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>x</v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53">
        <v>4</v>
      </c>
      <c r="AB1936" s="552"/>
      <c r="AC1936" s="552"/>
    </row>
    <row r="1937" spans="1:29" s="209" customFormat="1" ht="15.75" customHeight="1">
      <c r="A1937" s="202" t="str">
        <f>IF(B1937&lt;&gt;"",IF(AND(B1937&gt;=_TM1,B1937&lt;=_TM2,OR(TH!L1937="1111",TH!M1937="1111")),TH!D1937,""),"")</f>
        <v/>
      </c>
      <c r="B1937" s="36">
        <f t="shared" si="85"/>
        <v>12</v>
      </c>
      <c r="C1937" s="182">
        <f t="shared" si="86"/>
        <v>42731</v>
      </c>
      <c r="D1937" s="182" t="s">
        <v>669</v>
      </c>
      <c r="E1937" s="189">
        <v>42731</v>
      </c>
      <c r="F1937" s="190" t="s">
        <v>762</v>
      </c>
      <c r="G1937" s="190" t="s">
        <v>1287</v>
      </c>
      <c r="H1937" s="7"/>
      <c r="I1937" s="251"/>
      <c r="J1937" s="251"/>
      <c r="K1937" s="560">
        <v>2000</v>
      </c>
      <c r="L1937" s="192" t="s">
        <v>9</v>
      </c>
      <c r="M1937" s="561" t="s">
        <v>24</v>
      </c>
      <c r="N1937" s="52" t="str">
        <f>IF(AND('331-CT'!$E$7=TH!H1937,OR(L1937="331",M1937="331")),"331",IF(AND(OR(L1937="131",M1937="131"),H1937='131-CT'!$E$7),"131",""))</f>
        <v/>
      </c>
      <c r="O1937" s="818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53">
        <v>4</v>
      </c>
      <c r="AB1937" s="552"/>
    </row>
    <row r="1938" spans="1:29" s="209" customFormat="1" ht="15.75" customHeight="1">
      <c r="A1938" s="202" t="str">
        <f>IF(B1938&lt;&gt;"",IF(AND(B1938&gt;=_TM1,B1938&lt;=_TM2,OR(TH!L1938="1111",TH!M1938="1111")),TH!D1938,""),"")</f>
        <v/>
      </c>
      <c r="B1938" s="36">
        <f t="shared" si="85"/>
        <v>12</v>
      </c>
      <c r="C1938" s="182">
        <f t="shared" si="86"/>
        <v>42731</v>
      </c>
      <c r="D1938" s="182" t="s">
        <v>669</v>
      </c>
      <c r="E1938" s="189">
        <v>42731</v>
      </c>
      <c r="F1938" s="187" t="s">
        <v>1290</v>
      </c>
      <c r="G1938" s="190" t="s">
        <v>1287</v>
      </c>
      <c r="H1938" s="191" t="s">
        <v>1519</v>
      </c>
      <c r="I1938" s="251"/>
      <c r="J1938" s="251"/>
      <c r="K1938" s="560">
        <v>90000000</v>
      </c>
      <c r="L1938" s="561" t="s">
        <v>24</v>
      </c>
      <c r="M1938" s="561" t="s">
        <v>759</v>
      </c>
      <c r="N1938" s="52" t="str">
        <f>IF(AND('331-CT'!$E$7=TH!H1938,OR(L1938="331",M1938="331")),"331",IF(AND(OR(L1938="131",M1938="131"),H1938='131-CT'!$E$7),"131",""))</f>
        <v/>
      </c>
      <c r="O1938" s="818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53"/>
      <c r="AB1938" s="552"/>
      <c r="AC1938" s="552"/>
    </row>
    <row r="1939" spans="1:29" s="209" customFormat="1" ht="15.75" customHeight="1">
      <c r="A1939" s="202" t="str">
        <f>IF(B1939&lt;&gt;"",IF(AND(B1939&gt;=_TM1,B1939&lt;=_TM2,OR(TH!L1939="1111",TH!M1939="1111")),TH!D1939,""),"")</f>
        <v/>
      </c>
      <c r="B1939" s="36">
        <f t="shared" si="85"/>
        <v>12</v>
      </c>
      <c r="C1939" s="182">
        <f t="shared" si="86"/>
        <v>42731</v>
      </c>
      <c r="D1939" s="182" t="s">
        <v>669</v>
      </c>
      <c r="E1939" s="189">
        <v>42731</v>
      </c>
      <c r="F1939" s="187" t="s">
        <v>671</v>
      </c>
      <c r="G1939" s="190" t="s">
        <v>1287</v>
      </c>
      <c r="H1939" s="7"/>
      <c r="I1939" s="251"/>
      <c r="J1939" s="251"/>
      <c r="K1939" s="560">
        <v>30000000</v>
      </c>
      <c r="L1939" s="561" t="s">
        <v>8</v>
      </c>
      <c r="M1939" s="561" t="s">
        <v>24</v>
      </c>
      <c r="N1939" s="52" t="str">
        <f>IF(AND('331-CT'!$E$7=TH!H1939,OR(L1939="331",M1939="331")),"331",IF(AND(OR(L1939="131",M1939="131"),H1939='131-CT'!$E$7),"131",""))</f>
        <v/>
      </c>
      <c r="O1939" s="818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53"/>
      <c r="AB1939" s="552"/>
      <c r="AC1939" s="552"/>
    </row>
    <row r="1940" spans="1:29" s="209" customFormat="1" ht="15.75" customHeight="1">
      <c r="A1940" s="202" t="str">
        <f>IF(B1940&lt;&gt;"",IF(AND(B1940&gt;=_TM1,B1940&lt;=_TM2,OR(TH!L1940="1111",TH!M1940="1111")),TH!D1940,""),"")</f>
        <v/>
      </c>
      <c r="B1940" s="36">
        <f t="shared" ref="B1940:B1963" si="87">IF(C1940&lt;&gt;"",MONTH(C1940),"")</f>
        <v>12</v>
      </c>
      <c r="C1940" s="182">
        <f t="shared" si="86"/>
        <v>42731</v>
      </c>
      <c r="D1940" s="182" t="s">
        <v>669</v>
      </c>
      <c r="E1940" s="189">
        <v>42731</v>
      </c>
      <c r="F1940" s="190" t="s">
        <v>672</v>
      </c>
      <c r="G1940" s="190" t="s">
        <v>1287</v>
      </c>
      <c r="H1940" s="191"/>
      <c r="I1940" s="251"/>
      <c r="J1940" s="251"/>
      <c r="K1940" s="560">
        <v>20000</v>
      </c>
      <c r="L1940" s="561" t="s">
        <v>83</v>
      </c>
      <c r="M1940" s="561" t="s">
        <v>24</v>
      </c>
      <c r="N1940" s="52" t="str">
        <f>IF(AND('331-CT'!$E$7=TH!H1940,OR(L1940="331",M1940="331")),"331",IF(AND(OR(L1940="131",M1940="131"),H1940='131-CT'!$E$7),"131",""))</f>
        <v/>
      </c>
      <c r="O1940" s="818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>x</v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53">
        <v>4</v>
      </c>
      <c r="AB1940" s="552"/>
      <c r="AC1940" s="552"/>
    </row>
    <row r="1941" spans="1:29" s="209" customFormat="1" ht="15.75" customHeight="1">
      <c r="A1941" s="202" t="str">
        <f>IF(B1941&lt;&gt;"",IF(AND(B1941&gt;=_TM1,B1941&lt;=_TM2,OR(TH!L1941="1111",TH!M1941="1111")),TH!D1941,""),"")</f>
        <v/>
      </c>
      <c r="B1941" s="36">
        <f t="shared" si="87"/>
        <v>12</v>
      </c>
      <c r="C1941" s="182">
        <f t="shared" si="86"/>
        <v>42731</v>
      </c>
      <c r="D1941" s="182" t="s">
        <v>669</v>
      </c>
      <c r="E1941" s="189">
        <v>42731</v>
      </c>
      <c r="F1941" s="190" t="s">
        <v>762</v>
      </c>
      <c r="G1941" s="190" t="s">
        <v>1287</v>
      </c>
      <c r="H1941" s="7"/>
      <c r="I1941" s="251"/>
      <c r="J1941" s="251"/>
      <c r="K1941" s="560">
        <v>2000</v>
      </c>
      <c r="L1941" s="192" t="s">
        <v>9</v>
      </c>
      <c r="M1941" s="561" t="s">
        <v>24</v>
      </c>
      <c r="N1941" s="52" t="str">
        <f>IF(AND('331-CT'!$E$7=TH!H1941,OR(L1941="331",M1941="331")),"331",IF(AND(OR(L1941="131",M1941="131"),H1941='131-CT'!$E$7),"131",""))</f>
        <v/>
      </c>
      <c r="O1941" s="818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53">
        <v>4</v>
      </c>
      <c r="AB1941" s="552"/>
    </row>
    <row r="1942" spans="1:29" s="209" customFormat="1" ht="15.75" customHeight="1">
      <c r="A1942" s="202" t="str">
        <f>IF(B1942&lt;&gt;"",IF(AND(B1942&gt;=_TM1,B1942&lt;=_TM2,OR(TH!L1942="1111",TH!M1942="1111")),TH!D1942,""),"")</f>
        <v/>
      </c>
      <c r="B1942" s="36">
        <f t="shared" si="87"/>
        <v>12</v>
      </c>
      <c r="C1942" s="182">
        <f t="shared" si="86"/>
        <v>42731</v>
      </c>
      <c r="D1942" s="182" t="s">
        <v>1156</v>
      </c>
      <c r="E1942" s="189">
        <v>42731</v>
      </c>
      <c r="F1942" s="40" t="s">
        <v>1473</v>
      </c>
      <c r="G1942" s="451" t="s">
        <v>1509</v>
      </c>
      <c r="H1942" s="191" t="s">
        <v>1471</v>
      </c>
      <c r="I1942" s="252">
        <v>2030</v>
      </c>
      <c r="J1942" s="252">
        <v>7500</v>
      </c>
      <c r="K1942" s="38">
        <f>ROUND(I1942*J1942,0)</f>
        <v>15225000</v>
      </c>
      <c r="L1942" s="192" t="s">
        <v>258</v>
      </c>
      <c r="M1942" s="192" t="s">
        <v>173</v>
      </c>
      <c r="N1942" s="52" t="str">
        <f>IF(AND('331-CT'!$E$7=TH!H1942,OR(L1942="331",M1942="331")),"331",IF(AND(OR(L1942="131",M1942="131"),H1942='131-CT'!$E$7),"131",""))</f>
        <v/>
      </c>
      <c r="O1942" s="818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52"/>
      <c r="AB1942" s="552"/>
      <c r="AC1942" s="552"/>
    </row>
    <row r="1943" spans="1:29" s="209" customFormat="1" ht="15.75" customHeight="1">
      <c r="A1943" s="202" t="str">
        <f>IF(B1943&lt;&gt;"",IF(AND(B1943&gt;=_TM1,B1943&lt;=_TM2,OR(TH!L1943="1111",TH!M1943="1111")),TH!D1943,""),"")</f>
        <v/>
      </c>
      <c r="B1943" s="36">
        <f t="shared" si="87"/>
        <v>12</v>
      </c>
      <c r="C1943" s="182">
        <f t="shared" si="86"/>
        <v>42731</v>
      </c>
      <c r="D1943" s="182" t="s">
        <v>1156</v>
      </c>
      <c r="E1943" s="189">
        <v>42731</v>
      </c>
      <c r="F1943" s="40" t="s">
        <v>1254</v>
      </c>
      <c r="G1943" s="451" t="s">
        <v>1509</v>
      </c>
      <c r="H1943" s="191" t="s">
        <v>1471</v>
      </c>
      <c r="I1943" s="252"/>
      <c r="J1943" s="252"/>
      <c r="K1943" s="38">
        <v>1522500</v>
      </c>
      <c r="L1943" s="192" t="s">
        <v>258</v>
      </c>
      <c r="M1943" s="192" t="s">
        <v>367</v>
      </c>
      <c r="N1943" s="52" t="str">
        <f>IF(AND('331-CT'!$E$7=TH!H1943,OR(L1943="331",M1943="331")),"331",IF(AND(OR(L1943="131",M1943="131"),H1943='131-CT'!$E$7),"131",""))</f>
        <v/>
      </c>
      <c r="O1943" s="818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52"/>
      <c r="AB1943" s="552"/>
    </row>
    <row r="1944" spans="1:29" s="209" customFormat="1" ht="15.75" customHeight="1">
      <c r="A1944" s="202" t="str">
        <f>IF(B1944&lt;&gt;"",IF(AND(B1944&gt;=_TM1,B1944&lt;=_TM2,OR(TH!L1944="1111",TH!M1944="1111")),TH!D1944,""),"")</f>
        <v>T17</v>
      </c>
      <c r="B1944" s="36">
        <f t="shared" si="87"/>
        <v>12</v>
      </c>
      <c r="C1944" s="182">
        <f t="shared" si="86"/>
        <v>42732</v>
      </c>
      <c r="D1944" s="182" t="s">
        <v>1638</v>
      </c>
      <c r="E1944" s="189">
        <v>42732</v>
      </c>
      <c r="F1944" s="190" t="s">
        <v>670</v>
      </c>
      <c r="G1944" s="190" t="s">
        <v>330</v>
      </c>
      <c r="H1944" s="191" t="s">
        <v>1282</v>
      </c>
      <c r="I1944" s="251"/>
      <c r="J1944" s="251"/>
      <c r="K1944" s="560">
        <v>2700000</v>
      </c>
      <c r="L1944" s="192" t="s">
        <v>47</v>
      </c>
      <c r="M1944" s="561" t="s">
        <v>24</v>
      </c>
      <c r="N1944" s="52" t="str">
        <f>IF(AND('331-CT'!$E$7=TH!H1944,OR(L1944="331",M1944="331")),"331",IF(AND(OR(L1944="131",M1944="131"),H1944='131-CT'!$E$7),"131",""))</f>
        <v/>
      </c>
      <c r="O1944" s="818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53"/>
      <c r="AB1944" s="552"/>
      <c r="AC1944" s="552"/>
    </row>
    <row r="1945" spans="1:29" s="209" customFormat="1" ht="15.75" customHeight="1">
      <c r="A1945" s="202" t="str">
        <f>IF(B1945&lt;&gt;"",IF(AND(B1945&gt;=_TM1,B1945&lt;=_TM2,OR(TH!L1945="1111",TH!M1945="1111")),TH!D1945,""),"")</f>
        <v/>
      </c>
      <c r="B1945" s="36">
        <f t="shared" si="87"/>
        <v>12</v>
      </c>
      <c r="C1945" s="182">
        <f t="shared" si="86"/>
        <v>42732</v>
      </c>
      <c r="D1945" s="182" t="s">
        <v>1157</v>
      </c>
      <c r="E1945" s="189">
        <v>42732</v>
      </c>
      <c r="F1945" s="40" t="s">
        <v>1388</v>
      </c>
      <c r="G1945" s="451" t="s">
        <v>1510</v>
      </c>
      <c r="H1945" s="7" t="s">
        <v>399</v>
      </c>
      <c r="I1945" s="252">
        <v>509</v>
      </c>
      <c r="J1945" s="252">
        <v>10200</v>
      </c>
      <c r="K1945" s="38">
        <f>ROUND(I1945*J1945,0)</f>
        <v>5191800</v>
      </c>
      <c r="L1945" s="192" t="s">
        <v>258</v>
      </c>
      <c r="M1945" s="192" t="s">
        <v>173</v>
      </c>
      <c r="N1945" s="52" t="str">
        <f>IF(AND('331-CT'!$E$7=TH!H1945,OR(L1945="331",M1945="331")),"331",IF(AND(OR(L1945="131",M1945="131"),H1945='131-CT'!$E$7),"131",""))</f>
        <v/>
      </c>
      <c r="O1945" s="818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52"/>
      <c r="AB1945" s="552"/>
    </row>
    <row r="1946" spans="1:29" s="209" customFormat="1" ht="15.75" customHeight="1">
      <c r="A1946" s="202" t="str">
        <f>IF(B1946&lt;&gt;"",IF(AND(B1946&gt;=_TM1,B1946&lt;=_TM2,OR(TH!L1946="1111",TH!M1946="1111")),TH!D1946,""),"")</f>
        <v/>
      </c>
      <c r="B1946" s="36">
        <f t="shared" si="87"/>
        <v>12</v>
      </c>
      <c r="C1946" s="182">
        <f t="shared" si="86"/>
        <v>42732</v>
      </c>
      <c r="D1946" s="182" t="s">
        <v>1157</v>
      </c>
      <c r="E1946" s="189">
        <v>42732</v>
      </c>
      <c r="F1946" s="40" t="s">
        <v>1254</v>
      </c>
      <c r="G1946" s="451" t="s">
        <v>1510</v>
      </c>
      <c r="H1946" s="7" t="s">
        <v>399</v>
      </c>
      <c r="I1946" s="252"/>
      <c r="J1946" s="252"/>
      <c r="K1946" s="38">
        <v>519180</v>
      </c>
      <c r="L1946" s="192" t="s">
        <v>258</v>
      </c>
      <c r="M1946" s="192" t="s">
        <v>367</v>
      </c>
      <c r="N1946" s="52" t="str">
        <f>IF(AND('331-CT'!$E$7=TH!H1946,OR(L1946="331",M1946="331")),"331",IF(AND(OR(L1946="131",M1946="131"),H1946='131-CT'!$E$7),"131",""))</f>
        <v/>
      </c>
      <c r="O1946" s="818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52"/>
      <c r="AB1946" s="552"/>
      <c r="AC1946" s="552"/>
    </row>
    <row r="1947" spans="1:29" s="209" customFormat="1" ht="15.75" customHeight="1">
      <c r="A1947" s="202" t="str">
        <f>IF(B1947&lt;&gt;"",IF(AND(B1947&gt;=_TM1,B1947&lt;=_TM2,OR(TH!L1947="1111",TH!M1947="1111")),TH!D1947,""),"")</f>
        <v/>
      </c>
      <c r="B1947" s="36">
        <f t="shared" si="87"/>
        <v>12</v>
      </c>
      <c r="C1947" s="182">
        <f t="shared" si="86"/>
        <v>42732</v>
      </c>
      <c r="D1947" s="182" t="s">
        <v>1158</v>
      </c>
      <c r="E1947" s="189">
        <v>42732</v>
      </c>
      <c r="F1947" s="40" t="s">
        <v>1255</v>
      </c>
      <c r="G1947" s="451" t="s">
        <v>1511</v>
      </c>
      <c r="H1947" s="7" t="s">
        <v>391</v>
      </c>
      <c r="I1947" s="252">
        <v>1049</v>
      </c>
      <c r="J1947" s="252">
        <v>5000</v>
      </c>
      <c r="K1947" s="38">
        <f>ROUND(I1947*J1947,0)</f>
        <v>5245000</v>
      </c>
      <c r="L1947" s="192" t="s">
        <v>258</v>
      </c>
      <c r="M1947" s="192" t="s">
        <v>173</v>
      </c>
      <c r="N1947" s="52" t="str">
        <f>IF(AND('331-CT'!$E$7=TH!H1947,OR(L1947="331",M1947="331")),"331",IF(AND(OR(L1947="131",M1947="131"),H1947='131-CT'!$E$7),"131",""))</f>
        <v/>
      </c>
      <c r="O1947" s="818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52"/>
      <c r="AB1947" s="552"/>
      <c r="AC1947" s="552"/>
    </row>
    <row r="1948" spans="1:29" s="209" customFormat="1" ht="15.75" customHeight="1">
      <c r="A1948" s="202" t="str">
        <f>IF(B1948&lt;&gt;"",IF(AND(B1948&gt;=_TM1,B1948&lt;=_TM2,OR(TH!L1948="1111",TH!M1948="1111")),TH!D1948,""),"")</f>
        <v/>
      </c>
      <c r="B1948" s="36">
        <f t="shared" si="87"/>
        <v>12</v>
      </c>
      <c r="C1948" s="182">
        <f t="shared" si="86"/>
        <v>42732</v>
      </c>
      <c r="D1948" s="182" t="s">
        <v>1158</v>
      </c>
      <c r="E1948" s="189">
        <v>42732</v>
      </c>
      <c r="F1948" s="40" t="s">
        <v>1256</v>
      </c>
      <c r="G1948" s="451" t="s">
        <v>1511</v>
      </c>
      <c r="H1948" s="7" t="s">
        <v>391</v>
      </c>
      <c r="I1948" s="252">
        <v>504</v>
      </c>
      <c r="J1948" s="252">
        <v>5550</v>
      </c>
      <c r="K1948" s="38">
        <f>ROUND(I1948*J1948,0)</f>
        <v>2797200</v>
      </c>
      <c r="L1948" s="192" t="s">
        <v>258</v>
      </c>
      <c r="M1948" s="192" t="s">
        <v>173</v>
      </c>
      <c r="N1948" s="52" t="str">
        <f>IF(AND('331-CT'!$E$7=TH!H1948,OR(L1948="331",M1948="331")),"331",IF(AND(OR(L1948="131",M1948="131"),H1948='131-CT'!$E$7),"131",""))</f>
        <v/>
      </c>
      <c r="O1948" s="818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52"/>
      <c r="AB1948" s="552"/>
      <c r="AC1948" s="552"/>
    </row>
    <row r="1949" spans="1:29" s="209" customFormat="1" ht="15.75" customHeight="1">
      <c r="A1949" s="202" t="str">
        <f>IF(B1949&lt;&gt;"",IF(AND(B1949&gt;=_TM1,B1949&lt;=_TM2,OR(TH!L1949="1111",TH!M1949="1111")),TH!D1949,""),"")</f>
        <v/>
      </c>
      <c r="B1949" s="36">
        <f t="shared" si="87"/>
        <v>12</v>
      </c>
      <c r="C1949" s="182">
        <f t="shared" si="86"/>
        <v>42732</v>
      </c>
      <c r="D1949" s="182" t="s">
        <v>1158</v>
      </c>
      <c r="E1949" s="189">
        <v>42732</v>
      </c>
      <c r="F1949" s="40" t="s">
        <v>1254</v>
      </c>
      <c r="G1949" s="451" t="s">
        <v>1511</v>
      </c>
      <c r="H1949" s="7" t="s">
        <v>391</v>
      </c>
      <c r="I1949" s="252"/>
      <c r="J1949" s="252"/>
      <c r="K1949" s="38">
        <v>804220</v>
      </c>
      <c r="L1949" s="192" t="s">
        <v>258</v>
      </c>
      <c r="M1949" s="192" t="s">
        <v>367</v>
      </c>
      <c r="N1949" s="52" t="str">
        <f>IF(AND('331-CT'!$E$7=TH!H1949,OR(L1949="331",M1949="331")),"331",IF(AND(OR(L1949="131",M1949="131"),H1949='131-CT'!$E$7),"131",""))</f>
        <v/>
      </c>
      <c r="O1949" s="818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52"/>
      <c r="AB1949" s="552"/>
    </row>
    <row r="1950" spans="1:29" s="209" customFormat="1" ht="15.75" customHeight="1">
      <c r="A1950" s="202" t="str">
        <f>IF(B1950&lt;&gt;"",IF(AND(B1950&gt;=_TM1,B1950&lt;=_TM2,OR(TH!L1950="1111",TH!M1950="1111")),TH!D1950,""),"")</f>
        <v/>
      </c>
      <c r="B1950" s="36">
        <f t="shared" si="87"/>
        <v>12</v>
      </c>
      <c r="C1950" s="182">
        <f t="shared" si="86"/>
        <v>42733</v>
      </c>
      <c r="D1950" s="182" t="s">
        <v>669</v>
      </c>
      <c r="E1950" s="189">
        <v>42733</v>
      </c>
      <c r="F1950" s="187" t="s">
        <v>671</v>
      </c>
      <c r="G1950" s="190" t="s">
        <v>1287</v>
      </c>
      <c r="H1950" s="7"/>
      <c r="I1950" s="251"/>
      <c r="J1950" s="251"/>
      <c r="K1950" s="560">
        <v>50000000</v>
      </c>
      <c r="L1950" s="561" t="s">
        <v>8</v>
      </c>
      <c r="M1950" s="561" t="s">
        <v>24</v>
      </c>
      <c r="N1950" s="52" t="str">
        <f>IF(AND('331-CT'!$E$7=TH!H1950,OR(L1950="331",M1950="331")),"331",IF(AND(OR(L1950="131",M1950="131"),H1950='131-CT'!$E$7),"131",""))</f>
        <v/>
      </c>
      <c r="O1950" s="818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53"/>
      <c r="AB1950" s="552"/>
      <c r="AC1950" s="552"/>
    </row>
    <row r="1951" spans="1:29" s="209" customFormat="1" ht="15.75" customHeight="1">
      <c r="A1951" s="202" t="str">
        <f>IF(B1951&lt;&gt;"",IF(AND(B1951&gt;=_TM1,B1951&lt;=_TM2,OR(TH!L1951="1111",TH!M1951="1111")),TH!D1951,""),"")</f>
        <v/>
      </c>
      <c r="B1951" s="36">
        <f t="shared" si="87"/>
        <v>12</v>
      </c>
      <c r="C1951" s="182">
        <f t="shared" si="86"/>
        <v>42733</v>
      </c>
      <c r="D1951" s="182" t="s">
        <v>669</v>
      </c>
      <c r="E1951" s="189">
        <v>42733</v>
      </c>
      <c r="F1951" s="190" t="s">
        <v>672</v>
      </c>
      <c r="G1951" s="190" t="s">
        <v>1287</v>
      </c>
      <c r="H1951" s="191"/>
      <c r="I1951" s="251"/>
      <c r="J1951" s="251"/>
      <c r="K1951" s="560">
        <v>16500</v>
      </c>
      <c r="L1951" s="561" t="s">
        <v>83</v>
      </c>
      <c r="M1951" s="561" t="s">
        <v>24</v>
      </c>
      <c r="N1951" s="52" t="str">
        <f>IF(AND('331-CT'!$E$7=TH!H1951,OR(L1951="331",M1951="331")),"331",IF(AND(OR(L1951="131",M1951="131"),H1951='131-CT'!$E$7),"131",""))</f>
        <v/>
      </c>
      <c r="O1951" s="818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>x</v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53"/>
      <c r="AB1951" s="552"/>
      <c r="AC1951" s="552"/>
    </row>
    <row r="1952" spans="1:29" s="209" customFormat="1" ht="15.75" customHeight="1">
      <c r="A1952" s="202" t="str">
        <f>IF(B1952&lt;&gt;"",IF(AND(B1952&gt;=_TM1,B1952&lt;=_TM2,OR(TH!L1952="1111",TH!M1952="1111")),TH!D1952,""),"")</f>
        <v/>
      </c>
      <c r="B1952" s="36">
        <f t="shared" si="87"/>
        <v>12</v>
      </c>
      <c r="C1952" s="182">
        <f t="shared" si="86"/>
        <v>42734</v>
      </c>
      <c r="D1952" s="182" t="s">
        <v>669</v>
      </c>
      <c r="E1952" s="189">
        <v>42734</v>
      </c>
      <c r="F1952" s="187" t="s">
        <v>671</v>
      </c>
      <c r="G1952" s="190" t="s">
        <v>1287</v>
      </c>
      <c r="H1952" s="7"/>
      <c r="I1952" s="251"/>
      <c r="J1952" s="251"/>
      <c r="K1952" s="560">
        <v>10000000</v>
      </c>
      <c r="L1952" s="561" t="s">
        <v>56</v>
      </c>
      <c r="M1952" s="561" t="s">
        <v>24</v>
      </c>
      <c r="N1952" s="52" t="str">
        <f>IF(AND('331-CT'!$E$7=TH!H1952,OR(L1952="331",M1952="331")),"331",IF(AND(OR(L1952="131",M1952="131"),H1952='131-CT'!$E$7),"131",""))</f>
        <v/>
      </c>
      <c r="O1952" s="818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53"/>
      <c r="AB1952" s="552"/>
      <c r="AC1952" s="552"/>
    </row>
    <row r="1953" spans="1:32" s="209" customFormat="1" ht="15.75" customHeight="1">
      <c r="A1953" s="202" t="str">
        <f>IF(B1953&lt;&gt;"",IF(AND(B1953&gt;=_TM1,B1953&lt;=_TM2,OR(TH!L1953="1111",TH!M1953="1111")),TH!D1953,""),"")</f>
        <v/>
      </c>
      <c r="B1953" s="36">
        <f t="shared" si="87"/>
        <v>12</v>
      </c>
      <c r="C1953" s="182">
        <f t="shared" si="86"/>
        <v>42734</v>
      </c>
      <c r="D1953" s="182" t="s">
        <v>669</v>
      </c>
      <c r="E1953" s="189">
        <v>42734</v>
      </c>
      <c r="F1953" s="190" t="s">
        <v>672</v>
      </c>
      <c r="G1953" s="190" t="s">
        <v>1287</v>
      </c>
      <c r="H1953" s="191"/>
      <c r="I1953" s="251"/>
      <c r="J1953" s="251"/>
      <c r="K1953" s="560">
        <v>22000</v>
      </c>
      <c r="L1953" s="561" t="s">
        <v>83</v>
      </c>
      <c r="M1953" s="561" t="s">
        <v>24</v>
      </c>
      <c r="N1953" s="52" t="str">
        <f>IF(AND('331-CT'!$E$7=TH!H1953,OR(L1953="331",M1953="331")),"331",IF(AND(OR(L1953="131",M1953="131"),H1953='131-CT'!$E$7),"131",""))</f>
        <v/>
      </c>
      <c r="O1953" s="818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>x</v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53"/>
      <c r="AB1953" s="552"/>
      <c r="AC1953" s="552"/>
    </row>
    <row r="1954" spans="1:32" s="209" customFormat="1" ht="15.75" customHeight="1">
      <c r="A1954" s="202" t="str">
        <f>IF(B1954&lt;&gt;"",IF(AND(B1954&gt;=_TM1,B1954&lt;=_TM2,OR(TH!L1954="1111",TH!M1954="1111")),TH!D1954,""),"")</f>
        <v/>
      </c>
      <c r="B1954" s="36">
        <f t="shared" si="87"/>
        <v>12</v>
      </c>
      <c r="C1954" s="182">
        <f t="shared" si="86"/>
        <v>42734</v>
      </c>
      <c r="D1954" s="182" t="s">
        <v>669</v>
      </c>
      <c r="E1954" s="189">
        <v>42734</v>
      </c>
      <c r="F1954" s="187" t="s">
        <v>1614</v>
      </c>
      <c r="G1954" s="190" t="s">
        <v>1287</v>
      </c>
      <c r="H1954" s="7"/>
      <c r="I1954" s="251"/>
      <c r="J1954" s="251"/>
      <c r="K1954" s="560">
        <v>10000000</v>
      </c>
      <c r="L1954" s="561" t="s">
        <v>24</v>
      </c>
      <c r="M1954" s="561" t="s">
        <v>56</v>
      </c>
      <c r="N1954" s="52" t="str">
        <f>IF(AND('331-CT'!$E$7=TH!H1954,OR(L1954="331",M1954="331")),"331",IF(AND(OR(L1954="131",M1954="131"),H1954='131-CT'!$E$7),"131",""))</f>
        <v/>
      </c>
      <c r="O1954" s="818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53"/>
      <c r="AB1954" s="552"/>
      <c r="AC1954" s="552"/>
    </row>
    <row r="1955" spans="1:32" s="209" customFormat="1" ht="15.75" customHeight="1">
      <c r="A1955" s="202" t="str">
        <f>IF(B1955&lt;&gt;"",IF(AND(B1955&gt;=_TM1,B1955&lt;=_TM2,OR(TH!L1955="1111",TH!M1955="1111")),TH!D1955,""),"")</f>
        <v/>
      </c>
      <c r="B1955" s="36">
        <f t="shared" si="87"/>
        <v>12</v>
      </c>
      <c r="C1955" s="182">
        <f t="shared" si="86"/>
        <v>42734</v>
      </c>
      <c r="D1955" s="182" t="s">
        <v>669</v>
      </c>
      <c r="E1955" s="189">
        <v>42734</v>
      </c>
      <c r="F1955" s="187" t="s">
        <v>671</v>
      </c>
      <c r="G1955" s="190" t="s">
        <v>1287</v>
      </c>
      <c r="H1955" s="191"/>
      <c r="I1955" s="251"/>
      <c r="J1955" s="251"/>
      <c r="K1955" s="560">
        <v>10000000</v>
      </c>
      <c r="L1955" s="561" t="s">
        <v>8</v>
      </c>
      <c r="M1955" s="561" t="s">
        <v>24</v>
      </c>
      <c r="N1955" s="52" t="str">
        <f>IF(AND('331-CT'!$E$7=TH!H1955,OR(L1955="331",M1955="331")),"331",IF(AND(OR(L1955="131",M1955="131"),H1955='131-CT'!$E$7),"131",""))</f>
        <v/>
      </c>
      <c r="O1955" s="818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53"/>
      <c r="AB1955" s="552"/>
      <c r="AC1955" s="552"/>
    </row>
    <row r="1956" spans="1:32" s="209" customFormat="1" ht="15.75" customHeight="1">
      <c r="A1956" s="202" t="str">
        <f>IF(B1956&lt;&gt;"",IF(AND(B1956&gt;=_TM1,B1956&lt;=_TM2,OR(TH!L1956="1111",TH!M1956="1111")),TH!D1956,""),"")</f>
        <v/>
      </c>
      <c r="B1956" s="36">
        <f t="shared" si="87"/>
        <v>12</v>
      </c>
      <c r="C1956" s="182">
        <f t="shared" si="86"/>
        <v>42734</v>
      </c>
      <c r="D1956" s="182" t="s">
        <v>669</v>
      </c>
      <c r="E1956" s="189">
        <v>42734</v>
      </c>
      <c r="F1956" s="190" t="s">
        <v>672</v>
      </c>
      <c r="G1956" s="190" t="s">
        <v>1287</v>
      </c>
      <c r="H1956" s="7"/>
      <c r="I1956" s="251"/>
      <c r="J1956" s="251"/>
      <c r="K1956" s="560">
        <v>22000</v>
      </c>
      <c r="L1956" s="561" t="s">
        <v>83</v>
      </c>
      <c r="M1956" s="561" t="s">
        <v>24</v>
      </c>
      <c r="N1956" s="52" t="str">
        <f>IF(AND('331-CT'!$E$7=TH!H1956,OR(L1956="331",M1956="331")),"331",IF(AND(OR(L1956="131",M1956="131"),H1956='131-CT'!$E$7),"131",""))</f>
        <v/>
      </c>
      <c r="O1956" s="818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>x</v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53"/>
      <c r="AB1956" s="552"/>
    </row>
    <row r="1957" spans="1:32" s="209" customFormat="1" ht="15.75" customHeight="1">
      <c r="A1957" s="202" t="str">
        <f>IF(B1957&lt;&gt;"",IF(AND(B1957&gt;=_TM1,B1957&lt;=_TM2,OR(TH!L1957="1111",TH!M1957="1111")),TH!D1957,""),"")</f>
        <v/>
      </c>
      <c r="B1957" s="36">
        <f t="shared" si="87"/>
        <v>12</v>
      </c>
      <c r="C1957" s="182">
        <f t="shared" si="86"/>
        <v>42734</v>
      </c>
      <c r="D1957" s="182" t="s">
        <v>669</v>
      </c>
      <c r="E1957" s="189">
        <v>42734</v>
      </c>
      <c r="F1957" s="187" t="s">
        <v>671</v>
      </c>
      <c r="G1957" s="190" t="s">
        <v>1287</v>
      </c>
      <c r="H1957" s="7"/>
      <c r="I1957" s="251"/>
      <c r="J1957" s="251"/>
      <c r="K1957" s="560">
        <v>10800900</v>
      </c>
      <c r="L1957" s="561" t="s">
        <v>8</v>
      </c>
      <c r="M1957" s="561" t="s">
        <v>24</v>
      </c>
      <c r="N1957" s="52" t="str">
        <f>IF(AND('331-CT'!$E$7=TH!H1957,OR(L1957="331",M1957="331")),"331",IF(AND(OR(L1957="131",M1957="131"),H1957='131-CT'!$E$7),"131",""))</f>
        <v/>
      </c>
      <c r="O1957" s="818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53"/>
      <c r="AB1957" s="552"/>
      <c r="AC1957" s="552"/>
    </row>
    <row r="1958" spans="1:32" s="209" customFormat="1" ht="15.75" customHeight="1">
      <c r="A1958" s="202" t="str">
        <f>IF(B1958&lt;&gt;"",IF(AND(B1958&gt;=_TM1,B1958&lt;=_TM2,OR(TH!L1958="1111",TH!M1958="1111")),TH!D1958,""),"")</f>
        <v/>
      </c>
      <c r="B1958" s="36">
        <f t="shared" si="87"/>
        <v>12</v>
      </c>
      <c r="C1958" s="182">
        <f t="shared" si="86"/>
        <v>42734</v>
      </c>
      <c r="D1958" s="182" t="s">
        <v>1159</v>
      </c>
      <c r="E1958" s="189">
        <v>42734</v>
      </c>
      <c r="F1958" s="40" t="s">
        <v>400</v>
      </c>
      <c r="G1958" s="451" t="s">
        <v>1512</v>
      </c>
      <c r="H1958" s="7" t="s">
        <v>399</v>
      </c>
      <c r="I1958" s="252">
        <v>540</v>
      </c>
      <c r="J1958" s="252">
        <v>10500</v>
      </c>
      <c r="K1958" s="38">
        <f>ROUND(I1958*J1958,0)</f>
        <v>5670000</v>
      </c>
      <c r="L1958" s="192" t="s">
        <v>258</v>
      </c>
      <c r="M1958" s="192" t="s">
        <v>173</v>
      </c>
      <c r="N1958" s="52" t="str">
        <f>IF(AND('331-CT'!$E$7=TH!H1958,OR(L1958="331",M1958="331")),"331",IF(AND(OR(L1958="131",M1958="131"),H1958='131-CT'!$E$7),"131",""))</f>
        <v/>
      </c>
      <c r="O1958" s="818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52"/>
      <c r="AB1958" s="552"/>
      <c r="AC1958" s="552"/>
    </row>
    <row r="1959" spans="1:32" s="209" customFormat="1" ht="15.75" customHeight="1">
      <c r="A1959" s="202" t="str">
        <f>IF(B1959&lt;&gt;"",IF(AND(B1959&gt;=_TM1,B1959&lt;=_TM2,OR(TH!L1959="1111",TH!M1959="1111")),TH!D1959,""),"")</f>
        <v/>
      </c>
      <c r="B1959" s="36">
        <f t="shared" si="87"/>
        <v>12</v>
      </c>
      <c r="C1959" s="182">
        <f t="shared" si="86"/>
        <v>42734</v>
      </c>
      <c r="D1959" s="182" t="s">
        <v>1159</v>
      </c>
      <c r="E1959" s="189">
        <v>42734</v>
      </c>
      <c r="F1959" s="40" t="s">
        <v>1254</v>
      </c>
      <c r="G1959" s="451" t="s">
        <v>1512</v>
      </c>
      <c r="H1959" s="7" t="s">
        <v>399</v>
      </c>
      <c r="I1959" s="252"/>
      <c r="J1959" s="252"/>
      <c r="K1959" s="38">
        <v>567000</v>
      </c>
      <c r="L1959" s="192" t="s">
        <v>258</v>
      </c>
      <c r="M1959" s="192" t="s">
        <v>367</v>
      </c>
      <c r="N1959" s="52" t="str">
        <f>IF(AND('331-CT'!$E$7=TH!H1959,OR(L1959="331",M1959="331")),"331",IF(AND(OR(L1959="131",M1959="131"),H1959='131-CT'!$E$7),"131",""))</f>
        <v/>
      </c>
      <c r="O1959" s="818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52"/>
      <c r="AB1959" s="552"/>
    </row>
    <row r="1960" spans="1:32" s="209" customFormat="1" ht="15.75" customHeight="1">
      <c r="A1960" s="202" t="str">
        <f>IF(B1960&lt;&gt;"",IF(AND(B1960&gt;=_TM1,B1960&lt;=_TM2,OR(TH!L1960="1111",TH!M1960="1111")),TH!D1960,""),"")</f>
        <v/>
      </c>
      <c r="B1960" s="36">
        <f t="shared" si="87"/>
        <v>12</v>
      </c>
      <c r="C1960" s="839">
        <f t="shared" si="86"/>
        <v>42735</v>
      </c>
      <c r="D1960" s="839" t="s">
        <v>332</v>
      </c>
      <c r="E1960" s="839">
        <v>42735</v>
      </c>
      <c r="F1960" s="845" t="s">
        <v>1429</v>
      </c>
      <c r="G1960" s="874"/>
      <c r="H1960" s="950"/>
      <c r="I1960" s="842"/>
      <c r="J1960" s="842"/>
      <c r="K1960" s="849">
        <v>5405000</v>
      </c>
      <c r="L1960" s="876" t="s">
        <v>83</v>
      </c>
      <c r="M1960" s="876" t="s">
        <v>261</v>
      </c>
      <c r="N1960" s="52" t="str">
        <f>IF(AND('331-CT'!$E$7=TH!H1960,OR(L1960="331",M1960="331")),"331",IF(AND(OR(L1960="131",M1960="131"),H1960='131-CT'!$E$7),"131",""))</f>
        <v/>
      </c>
      <c r="O1960" s="818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>x</v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196"/>
      <c r="AB1960" s="196"/>
      <c r="AC1960" s="196"/>
      <c r="AD1960" s="196"/>
      <c r="AE1960" s="196"/>
      <c r="AF1960" s="196"/>
    </row>
    <row r="1961" spans="1:32" s="209" customFormat="1" ht="15.75" customHeight="1">
      <c r="A1961" s="202" t="str">
        <f>IF(B1961&lt;&gt;"",IF(AND(B1961&gt;=_TM1,B1961&lt;=_TM2,OR(TH!L1961="1111",TH!M1961="1111")),TH!D1961,""),"")</f>
        <v/>
      </c>
      <c r="B1961" s="36">
        <f t="shared" si="87"/>
        <v>12</v>
      </c>
      <c r="C1961" s="839">
        <f t="shared" si="86"/>
        <v>42735</v>
      </c>
      <c r="D1961" s="839" t="s">
        <v>332</v>
      </c>
      <c r="E1961" s="839">
        <v>42735</v>
      </c>
      <c r="F1961" s="845" t="s">
        <v>1430</v>
      </c>
      <c r="G1961" s="874"/>
      <c r="H1961" s="875"/>
      <c r="I1961" s="842"/>
      <c r="J1961" s="842"/>
      <c r="K1961" s="849">
        <v>16215000</v>
      </c>
      <c r="L1961" s="876" t="s">
        <v>164</v>
      </c>
      <c r="M1961" s="876" t="s">
        <v>261</v>
      </c>
      <c r="N1961" s="52" t="str">
        <f>IF(AND('331-CT'!$E$7=TH!H1961,OR(L1961="331",M1961="331")),"331",IF(AND(OR(L1961="131",M1961="131"),H1961='131-CT'!$E$7),"131",""))</f>
        <v/>
      </c>
      <c r="O1961" s="818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196"/>
      <c r="AB1961" s="196"/>
      <c r="AC1961" s="196"/>
      <c r="AD1961" s="196"/>
      <c r="AE1961" s="196"/>
      <c r="AF1961" s="196"/>
    </row>
    <row r="1962" spans="1:32" s="209" customFormat="1" ht="15.75" customHeight="1">
      <c r="A1962" s="202" t="str">
        <f>IF(B1962&lt;&gt;"",IF(AND(B1962&gt;=_TM1,B1962&lt;=_TM2,OR(TH!L1962="1111",TH!M1962="1111")),TH!D1962,""),"")</f>
        <v>C20</v>
      </c>
      <c r="B1962" s="36">
        <f t="shared" si="87"/>
        <v>12</v>
      </c>
      <c r="C1962" s="839">
        <f t="shared" si="86"/>
        <v>42735</v>
      </c>
      <c r="D1962" s="839" t="s">
        <v>1656</v>
      </c>
      <c r="E1962" s="839">
        <v>42735</v>
      </c>
      <c r="F1962" s="845" t="str">
        <f>"Thanh toán tiền lương tháng "&amp;MONTH(E1962)&amp;"/"&amp;YEAR(E1962)</f>
        <v>Thanh toán tiền lương tháng 12/2016</v>
      </c>
      <c r="G1962" s="874"/>
      <c r="H1962" s="875" t="s">
        <v>1680</v>
      </c>
      <c r="I1962" s="842"/>
      <c r="J1962" s="842"/>
      <c r="K1962" s="849">
        <f>K1960+K1961</f>
        <v>21620000</v>
      </c>
      <c r="L1962" s="876" t="s">
        <v>261</v>
      </c>
      <c r="M1962" s="876" t="s">
        <v>47</v>
      </c>
      <c r="N1962" s="52" t="str">
        <f>IF(AND('331-CT'!$E$7=TH!H1962,OR(L1962="331",M1962="331")),"331",IF(AND(OR(L1962="131",M1962="131"),H1962='131-CT'!$E$7),"131",""))</f>
        <v/>
      </c>
      <c r="O1962" s="818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196"/>
      <c r="AB1962" s="196"/>
      <c r="AC1962" s="196"/>
      <c r="AD1962" s="196"/>
      <c r="AE1962" s="196"/>
      <c r="AF1962" s="196"/>
    </row>
    <row r="1963" spans="1:32" s="209" customFormat="1" ht="15.75" customHeight="1">
      <c r="A1963" s="202" t="str">
        <f>IF(B1963&lt;&gt;"",IF(AND(B1963&gt;=_TM1,B1963&lt;=_TM2,OR(TH!L1963="1111",TH!M1963="1111")),TH!D1963,""),"")</f>
        <v/>
      </c>
      <c r="B1963" s="36">
        <f t="shared" si="87"/>
        <v>12</v>
      </c>
      <c r="C1963" s="182">
        <f t="shared" si="86"/>
        <v>42735</v>
      </c>
      <c r="D1963" s="182" t="s">
        <v>669</v>
      </c>
      <c r="E1963" s="189">
        <v>42735</v>
      </c>
      <c r="F1963" s="190" t="s">
        <v>667</v>
      </c>
      <c r="G1963" s="190" t="s">
        <v>1287</v>
      </c>
      <c r="H1963" s="191"/>
      <c r="I1963" s="251"/>
      <c r="J1963" s="251"/>
      <c r="K1963" s="560">
        <v>6600</v>
      </c>
      <c r="L1963" s="561" t="s">
        <v>24</v>
      </c>
      <c r="M1963" s="561" t="s">
        <v>40</v>
      </c>
      <c r="N1963" s="52" t="str">
        <f>IF(AND('331-CT'!$E$7=TH!H1963,OR(L1963="331",M1963="331")),"331",IF(AND(OR(L1963="131",M1963="131"),H1963='131-CT'!$E$7),"131",""))</f>
        <v/>
      </c>
      <c r="O1963" s="818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53"/>
      <c r="AB1963" s="552"/>
      <c r="AC1963" s="552"/>
    </row>
    <row r="1964" spans="1:32" s="861" customFormat="1" ht="15.75" customHeight="1">
      <c r="A1964" s="202" t="str">
        <f>IF(B1964&lt;&gt;"",IF(AND(B1964&gt;=_TM1,B1964&lt;=_TM2,OR(TH!L1964="1111",TH!M1964="1111")),TH!D1964,""),"")</f>
        <v/>
      </c>
      <c r="B1964" s="857">
        <f t="shared" ref="B1964:B1973" si="88">IF(C1964&lt;&gt;"",MONTH(C1964),"")</f>
        <v>1</v>
      </c>
      <c r="C1964" s="858">
        <f t="shared" ref="C1964:C1973" si="89">E1964</f>
        <v>42376</v>
      </c>
      <c r="D1964" s="858" t="s">
        <v>1445</v>
      </c>
      <c r="E1964" s="859">
        <v>42376</v>
      </c>
      <c r="F1964" s="49" t="s">
        <v>680</v>
      </c>
      <c r="G1964" s="832" t="s">
        <v>880</v>
      </c>
      <c r="H1964" s="833" t="s">
        <v>1297</v>
      </c>
      <c r="I1964" s="249">
        <v>300</v>
      </c>
      <c r="J1964" s="249">
        <v>9000</v>
      </c>
      <c r="K1964" s="51">
        <f t="shared" ref="K1964:K1974" si="90">ROUND(I1964*J1964,0)</f>
        <v>2700000</v>
      </c>
      <c r="L1964" s="818" t="s">
        <v>171</v>
      </c>
      <c r="M1964" s="818" t="s">
        <v>158</v>
      </c>
      <c r="N1964" s="52" t="str">
        <f>IF(AND('331-CT'!$E$7=TH!H1964,OR(L1964="331",M1964="331")),"331",IF(AND(OR(L1964="131",M1964="131"),H1964='131-CT'!$E$7),"131",""))</f>
        <v/>
      </c>
      <c r="O1964" s="818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52"/>
      <c r="AB1964" s="860"/>
      <c r="AC1964" s="860"/>
    </row>
    <row r="1965" spans="1:32" s="861" customFormat="1" ht="15.75" customHeight="1">
      <c r="A1965" s="202" t="str">
        <f>IF(B1965&lt;&gt;"",IF(AND(B1965&gt;=_TM1,B1965&lt;=_TM2,OR(TH!L1965="1111",TH!M1965="1111")),TH!D1965,""),"")</f>
        <v/>
      </c>
      <c r="B1965" s="857">
        <f t="shared" si="88"/>
        <v>1</v>
      </c>
      <c r="C1965" s="858">
        <f t="shared" si="89"/>
        <v>42376</v>
      </c>
      <c r="D1965" s="858" t="s">
        <v>1445</v>
      </c>
      <c r="E1965" s="859">
        <v>42376</v>
      </c>
      <c r="F1965" s="49" t="s">
        <v>680</v>
      </c>
      <c r="G1965" s="832" t="s">
        <v>883</v>
      </c>
      <c r="H1965" s="833" t="s">
        <v>1297</v>
      </c>
      <c r="I1965" s="249">
        <v>53</v>
      </c>
      <c r="J1965" s="249">
        <v>9000</v>
      </c>
      <c r="K1965" s="51">
        <f t="shared" si="90"/>
        <v>477000</v>
      </c>
      <c r="L1965" s="818" t="s">
        <v>171</v>
      </c>
      <c r="M1965" s="818" t="s">
        <v>158</v>
      </c>
      <c r="N1965" s="52" t="str">
        <f>IF(AND('331-CT'!$E$7=TH!H1965,OR(L1965="331",M1965="331")),"331",IF(AND(OR(L1965="131",M1965="131"),H1965='131-CT'!$E$7),"131",""))</f>
        <v/>
      </c>
      <c r="O1965" s="818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52"/>
      <c r="AB1965" s="860"/>
      <c r="AC1965" s="860"/>
    </row>
    <row r="1966" spans="1:32" s="861" customFormat="1" ht="15.75" customHeight="1">
      <c r="A1966" s="202" t="str">
        <f>IF(B1966&lt;&gt;"",IF(AND(B1966&gt;=_TM1,B1966&lt;=_TM2,OR(TH!L1966="1111",TH!M1966="1111")),TH!D1966,""),"")</f>
        <v/>
      </c>
      <c r="B1966" s="857">
        <f t="shared" si="88"/>
        <v>4</v>
      </c>
      <c r="C1966" s="858">
        <f t="shared" si="89"/>
        <v>42473</v>
      </c>
      <c r="D1966" s="858" t="s">
        <v>1445</v>
      </c>
      <c r="E1966" s="862">
        <v>42473</v>
      </c>
      <c r="F1966" s="49" t="s">
        <v>680</v>
      </c>
      <c r="G1966" s="832" t="s">
        <v>515</v>
      </c>
      <c r="H1966" s="833" t="s">
        <v>1297</v>
      </c>
      <c r="I1966" s="249">
        <v>1540</v>
      </c>
      <c r="J1966" s="249">
        <v>9000</v>
      </c>
      <c r="K1966" s="51">
        <f t="shared" si="90"/>
        <v>13860000</v>
      </c>
      <c r="L1966" s="818" t="s">
        <v>171</v>
      </c>
      <c r="M1966" s="818" t="s">
        <v>158</v>
      </c>
      <c r="N1966" s="52" t="str">
        <f>IF(AND('331-CT'!$E$7=TH!H1966,OR(L1966="331",M1966="331")),"331",IF(AND(OR(L1966="131",M1966="131"),H1966='131-CT'!$E$7),"131",""))</f>
        <v/>
      </c>
      <c r="O1966" s="818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52"/>
      <c r="AB1966" s="860"/>
      <c r="AC1966" s="860"/>
    </row>
    <row r="1967" spans="1:32" s="861" customFormat="1" ht="15.75" customHeight="1">
      <c r="A1967" s="202" t="str">
        <f>IF(B1967&lt;&gt;"",IF(AND(B1967&gt;=_TM1,B1967&lt;=_TM2,OR(TH!L1967="1111",TH!M1967="1111")),TH!D1967,""),"")</f>
        <v/>
      </c>
      <c r="B1967" s="857">
        <f t="shared" si="88"/>
        <v>5</v>
      </c>
      <c r="C1967" s="858">
        <f t="shared" si="89"/>
        <v>42496</v>
      </c>
      <c r="D1967" s="858" t="s">
        <v>1445</v>
      </c>
      <c r="E1967" s="863">
        <v>42496</v>
      </c>
      <c r="F1967" s="49" t="s">
        <v>680</v>
      </c>
      <c r="G1967" s="49" t="s">
        <v>542</v>
      </c>
      <c r="H1967" s="833" t="s">
        <v>1297</v>
      </c>
      <c r="I1967" s="249">
        <v>200</v>
      </c>
      <c r="J1967" s="249">
        <v>9000</v>
      </c>
      <c r="K1967" s="51">
        <f t="shared" si="90"/>
        <v>1800000</v>
      </c>
      <c r="L1967" s="818" t="s">
        <v>171</v>
      </c>
      <c r="M1967" s="818" t="s">
        <v>158</v>
      </c>
      <c r="N1967" s="52" t="str">
        <f>IF(AND('331-CT'!$E$7=TH!H1967,OR(L1967="331",M1967="331")),"331",IF(AND(OR(L1967="131",M1967="131"),H1967='131-CT'!$E$7),"131",""))</f>
        <v/>
      </c>
      <c r="O1967" s="818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52"/>
      <c r="AB1967" s="860"/>
      <c r="AC1967" s="860"/>
    </row>
    <row r="1968" spans="1:32" s="861" customFormat="1" ht="15.75" customHeight="1">
      <c r="A1968" s="202" t="str">
        <f>IF(B1968&lt;&gt;"",IF(AND(B1968&gt;=_TM1,B1968&lt;=_TM2,OR(TH!L1968="1111",TH!M1968="1111")),TH!D1968,""),"")</f>
        <v/>
      </c>
      <c r="B1968" s="857">
        <f t="shared" si="88"/>
        <v>5</v>
      </c>
      <c r="C1968" s="858">
        <f t="shared" si="89"/>
        <v>42503</v>
      </c>
      <c r="D1968" s="858" t="s">
        <v>1445</v>
      </c>
      <c r="E1968" s="863">
        <v>42503</v>
      </c>
      <c r="F1968" s="49" t="s">
        <v>680</v>
      </c>
      <c r="G1968" s="49" t="s">
        <v>1025</v>
      </c>
      <c r="H1968" s="833" t="s">
        <v>1297</v>
      </c>
      <c r="I1968" s="249">
        <v>1566</v>
      </c>
      <c r="J1968" s="249">
        <v>9000</v>
      </c>
      <c r="K1968" s="51">
        <f t="shared" si="90"/>
        <v>14094000</v>
      </c>
      <c r="L1968" s="818" t="s">
        <v>171</v>
      </c>
      <c r="M1968" s="818" t="s">
        <v>158</v>
      </c>
      <c r="N1968" s="52" t="str">
        <f>IF(AND('331-CT'!$E$7=TH!H1968,OR(L1968="331",M1968="331")),"331",IF(AND(OR(L1968="131",M1968="131"),H1968='131-CT'!$E$7),"131",""))</f>
        <v/>
      </c>
      <c r="O1968" s="818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52"/>
      <c r="AB1968" s="860"/>
    </row>
    <row r="1969" spans="1:29" s="861" customFormat="1" ht="15.75" customHeight="1">
      <c r="A1969" s="202" t="str">
        <f>IF(B1969&lt;&gt;"",IF(AND(B1969&gt;=_TM1,B1969&lt;=_TM2,OR(TH!L1969="1111",TH!M1969="1111")),TH!D1969,""),"")</f>
        <v/>
      </c>
      <c r="B1969" s="857">
        <f t="shared" si="88"/>
        <v>6</v>
      </c>
      <c r="C1969" s="858">
        <f t="shared" si="89"/>
        <v>42545</v>
      </c>
      <c r="D1969" s="858" t="s">
        <v>1445</v>
      </c>
      <c r="E1969" s="863">
        <v>42545</v>
      </c>
      <c r="F1969" s="49" t="s">
        <v>680</v>
      </c>
      <c r="G1969" s="49" t="s">
        <v>598</v>
      </c>
      <c r="H1969" s="833" t="s">
        <v>1297</v>
      </c>
      <c r="I1969" s="249">
        <v>210</v>
      </c>
      <c r="J1969" s="249">
        <v>9000</v>
      </c>
      <c r="K1969" s="51">
        <f t="shared" si="90"/>
        <v>1890000</v>
      </c>
      <c r="L1969" s="818" t="s">
        <v>171</v>
      </c>
      <c r="M1969" s="818" t="s">
        <v>158</v>
      </c>
      <c r="N1969" s="52" t="str">
        <f>IF(AND('331-CT'!$E$7=TH!H1969,OR(L1969="331",M1969="331")),"331",IF(AND(OR(L1969="131",M1969="131"),H1969='131-CT'!$E$7),"131",""))</f>
        <v/>
      </c>
      <c r="O1969" s="818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52"/>
      <c r="AB1969" s="860"/>
    </row>
    <row r="1970" spans="1:29" s="861" customFormat="1" ht="15.75" customHeight="1">
      <c r="A1970" s="202" t="str">
        <f>IF(B1970&lt;&gt;"",IF(AND(B1970&gt;=_TM1,B1970&lt;=_TM2,OR(TH!L1970="1111",TH!M1970="1111")),TH!D1970,""),"")</f>
        <v/>
      </c>
      <c r="B1970" s="857">
        <f t="shared" si="88"/>
        <v>9</v>
      </c>
      <c r="C1970" s="858">
        <f t="shared" si="89"/>
        <v>42635</v>
      </c>
      <c r="D1970" s="858" t="s">
        <v>1445</v>
      </c>
      <c r="E1970" s="48">
        <v>42635</v>
      </c>
      <c r="F1970" s="49" t="s">
        <v>680</v>
      </c>
      <c r="G1970" s="49" t="s">
        <v>1270</v>
      </c>
      <c r="H1970" s="833" t="s">
        <v>1297</v>
      </c>
      <c r="I1970" s="249">
        <v>319</v>
      </c>
      <c r="J1970" s="249">
        <v>9000</v>
      </c>
      <c r="K1970" s="51">
        <f t="shared" si="90"/>
        <v>2871000</v>
      </c>
      <c r="L1970" s="818" t="s">
        <v>171</v>
      </c>
      <c r="M1970" s="818" t="s">
        <v>158</v>
      </c>
      <c r="N1970" s="52" t="str">
        <f>IF(AND('331-CT'!$E$7=TH!H1970,OR(L1970="331",M1970="331")),"331",IF(AND(OR(L1970="131",M1970="131"),H1970='131-CT'!$E$7),"131",""))</f>
        <v/>
      </c>
      <c r="O1970" s="818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  <c r="AA1970" s="852"/>
      <c r="AB1970" s="860"/>
      <c r="AC1970" s="860"/>
    </row>
    <row r="1971" spans="1:29" s="861" customFormat="1" ht="15.75" customHeight="1">
      <c r="A1971" s="202" t="str">
        <f>IF(B1971&lt;&gt;"",IF(AND(B1971&gt;=_TM1,B1971&lt;=_TM2,OR(TH!L1971="1111",TH!M1971="1111")),TH!D1971,""),"")</f>
        <v/>
      </c>
      <c r="B1971" s="857">
        <f t="shared" si="88"/>
        <v>10</v>
      </c>
      <c r="C1971" s="858">
        <f t="shared" si="89"/>
        <v>42669</v>
      </c>
      <c r="D1971" s="858" t="s">
        <v>1445</v>
      </c>
      <c r="E1971" s="863">
        <v>42669</v>
      </c>
      <c r="F1971" s="49" t="s">
        <v>680</v>
      </c>
      <c r="G1971" s="49" t="s">
        <v>1344</v>
      </c>
      <c r="H1971" s="833" t="s">
        <v>1297</v>
      </c>
      <c r="I1971" s="249">
        <v>220</v>
      </c>
      <c r="J1971" s="249">
        <v>9000</v>
      </c>
      <c r="K1971" s="51">
        <f t="shared" si="90"/>
        <v>1980000</v>
      </c>
      <c r="L1971" s="818" t="s">
        <v>171</v>
      </c>
      <c r="M1971" s="818" t="s">
        <v>158</v>
      </c>
      <c r="N1971" s="52" t="str">
        <f>IF(AND('331-CT'!$E$7=TH!H1971,OR(L1971="331",M1971="331")),"331",IF(AND(OR(L1971="131",M1971="131"),H1971='131-CT'!$E$7),"131",""))</f>
        <v/>
      </c>
      <c r="O1971" s="818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52"/>
      <c r="AB1971" s="860"/>
      <c r="AC1971" s="860"/>
    </row>
    <row r="1972" spans="1:29" s="861" customFormat="1" ht="15.75" customHeight="1">
      <c r="A1972" s="202" t="str">
        <f>IF(B1972&lt;&gt;"",IF(AND(B1972&gt;=_TM1,B1972&lt;=_TM2,OR(TH!L1972="1111",TH!M1972="1111")),TH!D1972,""),"")</f>
        <v/>
      </c>
      <c r="B1972" s="857">
        <f t="shared" si="88"/>
        <v>10</v>
      </c>
      <c r="C1972" s="858">
        <f t="shared" si="89"/>
        <v>42670</v>
      </c>
      <c r="D1972" s="858" t="s">
        <v>1445</v>
      </c>
      <c r="E1972" s="863">
        <v>42670</v>
      </c>
      <c r="F1972" s="49" t="s">
        <v>680</v>
      </c>
      <c r="G1972" s="49" t="s">
        <v>1349</v>
      </c>
      <c r="H1972" s="833" t="s">
        <v>1297</v>
      </c>
      <c r="I1972" s="249">
        <v>313</v>
      </c>
      <c r="J1972" s="249">
        <v>9000</v>
      </c>
      <c r="K1972" s="51">
        <f t="shared" si="90"/>
        <v>2817000</v>
      </c>
      <c r="L1972" s="818" t="s">
        <v>171</v>
      </c>
      <c r="M1972" s="818" t="s">
        <v>158</v>
      </c>
      <c r="N1972" s="52" t="str">
        <f>IF(AND('331-CT'!$E$7=TH!H1972,OR(L1972="331",M1972="331")),"331",IF(AND(OR(L1972="131",M1972="131"),H1972='131-CT'!$E$7),"131",""))</f>
        <v/>
      </c>
      <c r="O1972" s="818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52"/>
      <c r="AB1972" s="860"/>
    </row>
    <row r="1973" spans="1:29" s="861" customFormat="1" ht="15.75" customHeight="1">
      <c r="A1973" s="202" t="str">
        <f>IF(B1973&lt;&gt;"",IF(AND(B1973&gt;=_TM1,B1973&lt;=_TM2,OR(TH!L1973="1111",TH!M1973="1111")),TH!D1973,""),"")</f>
        <v/>
      </c>
      <c r="B1973" s="857">
        <f t="shared" si="88"/>
        <v>12</v>
      </c>
      <c r="C1973" s="858">
        <f t="shared" si="89"/>
        <v>42707</v>
      </c>
      <c r="D1973" s="858" t="s">
        <v>1445</v>
      </c>
      <c r="E1973" s="830">
        <v>42707</v>
      </c>
      <c r="F1973" s="49" t="s">
        <v>680</v>
      </c>
      <c r="G1973" s="832" t="s">
        <v>1477</v>
      </c>
      <c r="H1973" s="833" t="s">
        <v>1297</v>
      </c>
      <c r="I1973" s="884">
        <f>114+109</f>
        <v>223</v>
      </c>
      <c r="J1973" s="249">
        <v>9000</v>
      </c>
      <c r="K1973" s="51">
        <f t="shared" si="90"/>
        <v>2007000</v>
      </c>
      <c r="L1973" s="818" t="s">
        <v>171</v>
      </c>
      <c r="M1973" s="818" t="s">
        <v>158</v>
      </c>
      <c r="N1973" s="52" t="str">
        <f>IF(AND('331-CT'!$E$7=TH!H1973,OR(L1973="331",M1973="331")),"331",IF(AND(OR(L1973="131",M1973="131"),H1973='131-CT'!$E$7),"131",""))</f>
        <v/>
      </c>
      <c r="O1973" s="818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52"/>
      <c r="AB1973" s="860"/>
      <c r="AC1973" s="860"/>
    </row>
    <row r="1974" spans="1:29" s="788" customFormat="1" ht="15.75" customHeight="1">
      <c r="A1974" s="202" t="str">
        <f>IF(B1974&lt;&gt;"",IF(AND(B1974&gt;=_TM1,B1974&lt;=_TM2,OR(TH!L1974="1111",TH!M1974="1111")),TH!D1974,""),"")</f>
        <v/>
      </c>
      <c r="B1974" s="779">
        <f t="shared" ref="B1974:B1992" si="91">IF(C1974&lt;&gt;"",MONTH(C1974),"")</f>
        <v>1</v>
      </c>
      <c r="C1974" s="780">
        <f t="shared" ref="C1974:C1981" si="92">E1974</f>
        <v>42396</v>
      </c>
      <c r="D1974" s="780" t="s">
        <v>1448</v>
      </c>
      <c r="E1974" s="781">
        <v>42396</v>
      </c>
      <c r="F1974" s="885" t="s">
        <v>335</v>
      </c>
      <c r="G1974" s="783"/>
      <c r="H1974" s="886" t="s">
        <v>1449</v>
      </c>
      <c r="I1974" s="887">
        <v>24</v>
      </c>
      <c r="J1974" s="887">
        <v>40000</v>
      </c>
      <c r="K1974" s="829">
        <f t="shared" si="90"/>
        <v>960000</v>
      </c>
      <c r="L1974" s="836" t="s">
        <v>164</v>
      </c>
      <c r="M1974" s="836" t="s">
        <v>160</v>
      </c>
      <c r="N1974" s="52" t="str">
        <f>IF(AND('331-CT'!$E$7=TH!H1974,OR(L1974="331",M1974="331")),"331",IF(AND(OR(L1974="131",M1974="131"),H1974='131-CT'!$E$7),"131",""))</f>
        <v/>
      </c>
      <c r="O1974" s="818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88"/>
      <c r="AB1974" s="787"/>
      <c r="AC1974" s="787"/>
    </row>
    <row r="1975" spans="1:29" s="861" customFormat="1" ht="15.75" customHeight="1">
      <c r="A1975" s="202" t="str">
        <f>IF(B1975&lt;&gt;"",IF(AND(B1975&gt;=_TM1,B1975&lt;=_TM2,OR(TH!L1975="1111",TH!M1975="1111")),TH!D1975,""),"")</f>
        <v/>
      </c>
      <c r="B1975" s="857">
        <f t="shared" si="91"/>
        <v>1</v>
      </c>
      <c r="C1975" s="858">
        <f t="shared" si="92"/>
        <v>42399</v>
      </c>
      <c r="D1975" s="858" t="s">
        <v>1448</v>
      </c>
      <c r="E1975" s="830">
        <v>42399</v>
      </c>
      <c r="F1975" s="49" t="s">
        <v>813</v>
      </c>
      <c r="G1975" s="832"/>
      <c r="H1975" s="833" t="s">
        <v>1449</v>
      </c>
      <c r="I1975" s="884">
        <v>700</v>
      </c>
      <c r="J1975" s="884">
        <v>18181</v>
      </c>
      <c r="K1975" s="51">
        <f t="shared" ref="K1975:K1983" si="93">ROUND(I1975*J1975,0)</f>
        <v>12726700</v>
      </c>
      <c r="L1975" s="818" t="s">
        <v>164</v>
      </c>
      <c r="M1975" s="818" t="s">
        <v>160</v>
      </c>
      <c r="N1975" s="52" t="str">
        <f>IF(AND('331-CT'!$E$7=TH!H1975,OR(L1975="331",M1975="331")),"331",IF(AND(OR(L1975="131",M1975="131"),H1975='131-CT'!$E$7),"131",""))</f>
        <v/>
      </c>
      <c r="O1975" s="818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726"/>
      <c r="AB1975" s="860"/>
      <c r="AC1975" s="860"/>
    </row>
    <row r="1976" spans="1:29" s="861" customFormat="1" ht="15.75" customHeight="1">
      <c r="A1976" s="202" t="str">
        <f>IF(B1976&lt;&gt;"",IF(AND(B1976&gt;=_TM1,B1976&lt;=_TM2,OR(TH!L1976="1111",TH!M1976="1111")),TH!D1976,""),"")</f>
        <v/>
      </c>
      <c r="B1976" s="857">
        <f t="shared" si="91"/>
        <v>3</v>
      </c>
      <c r="C1976" s="858">
        <f t="shared" si="92"/>
        <v>42458</v>
      </c>
      <c r="D1976" s="858" t="s">
        <v>1448</v>
      </c>
      <c r="E1976" s="830">
        <v>42458</v>
      </c>
      <c r="F1976" s="49" t="s">
        <v>335</v>
      </c>
      <c r="G1976" s="832"/>
      <c r="H1976" s="833" t="s">
        <v>1449</v>
      </c>
      <c r="I1976" s="884">
        <v>48</v>
      </c>
      <c r="J1976" s="884">
        <v>41000</v>
      </c>
      <c r="K1976" s="51">
        <f t="shared" si="93"/>
        <v>1968000</v>
      </c>
      <c r="L1976" s="818" t="s">
        <v>164</v>
      </c>
      <c r="M1976" s="818" t="s">
        <v>160</v>
      </c>
      <c r="N1976" s="52" t="str">
        <f>IF(AND('331-CT'!$E$7=TH!H1976,OR(L1976="331",M1976="331")),"331",IF(AND(OR(L1976="131",M1976="131"),H1976='131-CT'!$E$7),"131",""))</f>
        <v/>
      </c>
      <c r="O1976" s="818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726"/>
      <c r="AB1976" s="860"/>
    </row>
    <row r="1977" spans="1:29" s="861" customFormat="1" ht="15.75" customHeight="1">
      <c r="A1977" s="202" t="str">
        <f>IF(B1977&lt;&gt;"",IF(AND(B1977&gt;=_TM1,B1977&lt;=_TM2,OR(TH!L1977="1111",TH!M1977="1111")),TH!D1977,""),"")</f>
        <v/>
      </c>
      <c r="B1977" s="857">
        <f t="shared" si="91"/>
        <v>5</v>
      </c>
      <c r="C1977" s="858">
        <f t="shared" si="92"/>
        <v>42517</v>
      </c>
      <c r="D1977" s="858" t="s">
        <v>1448</v>
      </c>
      <c r="E1977" s="830">
        <v>42517</v>
      </c>
      <c r="F1977" s="49" t="s">
        <v>335</v>
      </c>
      <c r="G1977" s="832"/>
      <c r="H1977" s="833" t="s">
        <v>1449</v>
      </c>
      <c r="I1977" s="884">
        <v>24</v>
      </c>
      <c r="J1977" s="884">
        <v>42000</v>
      </c>
      <c r="K1977" s="51">
        <f t="shared" si="93"/>
        <v>1008000</v>
      </c>
      <c r="L1977" s="818" t="s">
        <v>164</v>
      </c>
      <c r="M1977" s="818" t="s">
        <v>160</v>
      </c>
      <c r="N1977" s="52" t="str">
        <f>IF(AND('331-CT'!$E$7=TH!H1977,OR(L1977="331",M1977="331")),"331",IF(AND(OR(L1977="131",M1977="131"),H1977='131-CT'!$E$7),"131",""))</f>
        <v/>
      </c>
      <c r="O1977" s="818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726"/>
      <c r="AB1977" s="860"/>
      <c r="AC1977" s="860"/>
    </row>
    <row r="1978" spans="1:29" s="861" customFormat="1" ht="15.75" customHeight="1">
      <c r="A1978" s="202" t="str">
        <f>IF(B1978&lt;&gt;"",IF(AND(B1978&gt;=_TM1,B1978&lt;=_TM2,OR(TH!L1978="1111",TH!M1978="1111")),TH!D1978,""),"")</f>
        <v/>
      </c>
      <c r="B1978" s="857">
        <f t="shared" si="91"/>
        <v>6</v>
      </c>
      <c r="C1978" s="858">
        <f t="shared" si="92"/>
        <v>42527</v>
      </c>
      <c r="D1978" s="858" t="s">
        <v>1448</v>
      </c>
      <c r="E1978" s="830">
        <v>42527</v>
      </c>
      <c r="F1978" s="49" t="s">
        <v>813</v>
      </c>
      <c r="G1978" s="832"/>
      <c r="H1978" s="833" t="s">
        <v>1449</v>
      </c>
      <c r="I1978" s="884">
        <v>350</v>
      </c>
      <c r="J1978" s="884">
        <v>19545</v>
      </c>
      <c r="K1978" s="51">
        <f t="shared" si="93"/>
        <v>6840750</v>
      </c>
      <c r="L1978" s="818" t="s">
        <v>164</v>
      </c>
      <c r="M1978" s="818" t="s">
        <v>160</v>
      </c>
      <c r="N1978" s="52" t="str">
        <f>IF(AND('331-CT'!$E$7=TH!H1978,OR(L1978="331",M1978="331")),"331",IF(AND(OR(L1978="131",M1978="131"),H1978='131-CT'!$E$7),"131",""))</f>
        <v/>
      </c>
      <c r="O1978" s="818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726"/>
      <c r="AB1978" s="860"/>
    </row>
    <row r="1979" spans="1:29" s="861" customFormat="1" ht="15.75" customHeight="1">
      <c r="A1979" s="202" t="str">
        <f>IF(B1979&lt;&gt;"",IF(AND(B1979&gt;=_TM1,B1979&lt;=_TM2,OR(TH!L1979="1111",TH!M1979="1111")),TH!D1979,""),"")</f>
        <v/>
      </c>
      <c r="B1979" s="857">
        <f t="shared" si="91"/>
        <v>6</v>
      </c>
      <c r="C1979" s="858">
        <f t="shared" si="92"/>
        <v>42527</v>
      </c>
      <c r="D1979" s="858" t="s">
        <v>1448</v>
      </c>
      <c r="E1979" s="830">
        <v>42527</v>
      </c>
      <c r="F1979" s="49" t="s">
        <v>857</v>
      </c>
      <c r="G1979" s="832"/>
      <c r="H1979" s="833" t="s">
        <v>1449</v>
      </c>
      <c r="I1979" s="884">
        <v>400</v>
      </c>
      <c r="J1979" s="884">
        <v>18000</v>
      </c>
      <c r="K1979" s="51">
        <f t="shared" si="93"/>
        <v>7200000</v>
      </c>
      <c r="L1979" s="818" t="s">
        <v>164</v>
      </c>
      <c r="M1979" s="818" t="s">
        <v>160</v>
      </c>
      <c r="N1979" s="52" t="str">
        <f>IF(AND('331-CT'!$E$7=TH!H1979,OR(L1979="331",M1979="331")),"331",IF(AND(OR(L1979="131",M1979="131"),H1979='131-CT'!$E$7),"131",""))</f>
        <v/>
      </c>
      <c r="O1979" s="818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726"/>
      <c r="AB1979" s="860"/>
      <c r="AC1979" s="860"/>
    </row>
    <row r="1980" spans="1:29" s="861" customFormat="1" ht="15.75" customHeight="1">
      <c r="A1980" s="202" t="str">
        <f>IF(B1980&lt;&gt;"",IF(AND(B1980&gt;=_TM1,B1980&lt;=_TM2,OR(TH!L1980="1111",TH!M1980="1111")),TH!D1980,""),"")</f>
        <v/>
      </c>
      <c r="B1980" s="857">
        <f t="shared" si="91"/>
        <v>7</v>
      </c>
      <c r="C1980" s="858">
        <f t="shared" si="92"/>
        <v>42581</v>
      </c>
      <c r="D1980" s="858" t="s">
        <v>1448</v>
      </c>
      <c r="E1980" s="830">
        <v>42581</v>
      </c>
      <c r="F1980" s="49" t="s">
        <v>857</v>
      </c>
      <c r="G1980" s="832"/>
      <c r="H1980" s="833" t="s">
        <v>1449</v>
      </c>
      <c r="I1980" s="884">
        <v>200</v>
      </c>
      <c r="J1980" s="884">
        <v>19000</v>
      </c>
      <c r="K1980" s="51">
        <f t="shared" si="93"/>
        <v>3800000</v>
      </c>
      <c r="L1980" s="818" t="s">
        <v>164</v>
      </c>
      <c r="M1980" s="818" t="s">
        <v>160</v>
      </c>
      <c r="N1980" s="52" t="str">
        <f>IF(AND('331-CT'!$E$7=TH!H1980,OR(L1980="331",M1980="331")),"331",IF(AND(OR(L1980="131",M1980="131"),H1980='131-CT'!$E$7),"131",""))</f>
        <v/>
      </c>
      <c r="O1980" s="818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  <c r="AA1980" s="726"/>
      <c r="AB1980" s="860"/>
      <c r="AC1980" s="860"/>
    </row>
    <row r="1981" spans="1:29" s="861" customFormat="1" ht="15.75" customHeight="1">
      <c r="A1981" s="202" t="str">
        <f>IF(B1981&lt;&gt;"",IF(AND(B1981&gt;=_TM1,B1981&lt;=_TM2,OR(TH!L1981="1111",TH!M1981="1111")),TH!D1981,""),"")</f>
        <v/>
      </c>
      <c r="B1981" s="857">
        <f t="shared" si="91"/>
        <v>10</v>
      </c>
      <c r="C1981" s="858">
        <f t="shared" si="92"/>
        <v>42644</v>
      </c>
      <c r="D1981" s="858" t="s">
        <v>1448</v>
      </c>
      <c r="E1981" s="830">
        <v>42644</v>
      </c>
      <c r="F1981" s="49" t="s">
        <v>857</v>
      </c>
      <c r="G1981" s="832"/>
      <c r="H1981" s="833" t="s">
        <v>1449</v>
      </c>
      <c r="I1981" s="884">
        <v>800</v>
      </c>
      <c r="J1981" s="884">
        <v>19000</v>
      </c>
      <c r="K1981" s="51">
        <f t="shared" si="93"/>
        <v>15200000</v>
      </c>
      <c r="L1981" s="818" t="s">
        <v>164</v>
      </c>
      <c r="M1981" s="818" t="s">
        <v>160</v>
      </c>
      <c r="N1981" s="52" t="str">
        <f>IF(AND('331-CT'!$E$7=TH!H1981,OR(L1981="331",M1981="331")),"331",IF(AND(OR(L1981="131",M1981="131"),H1981='131-CT'!$E$7),"131",""))</f>
        <v/>
      </c>
      <c r="O1981" s="818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726"/>
      <c r="AB1981" s="860"/>
    </row>
    <row r="1982" spans="1:29" s="861" customFormat="1" ht="15.75" customHeight="1">
      <c r="A1982" s="202" t="str">
        <f>IF(B1982&lt;&gt;"",IF(AND(B1982&gt;=_TM1,B1982&lt;=_TM2,OR(TH!L1982="1111",TH!M1982="1111")),TH!D1982,""),"")</f>
        <v/>
      </c>
      <c r="B1982" s="857">
        <f t="shared" si="91"/>
        <v>11</v>
      </c>
      <c r="C1982" s="858">
        <f t="shared" ref="C1982:C2041" si="94">E1982</f>
        <v>42689</v>
      </c>
      <c r="D1982" s="858" t="s">
        <v>1448</v>
      </c>
      <c r="E1982" s="830">
        <v>42689</v>
      </c>
      <c r="F1982" s="49" t="s">
        <v>857</v>
      </c>
      <c r="G1982" s="832"/>
      <c r="H1982" s="833" t="s">
        <v>1449</v>
      </c>
      <c r="I1982" s="884">
        <v>600</v>
      </c>
      <c r="J1982" s="884">
        <v>19000</v>
      </c>
      <c r="K1982" s="51">
        <f t="shared" si="93"/>
        <v>11400000</v>
      </c>
      <c r="L1982" s="818" t="s">
        <v>164</v>
      </c>
      <c r="M1982" s="818" t="s">
        <v>160</v>
      </c>
      <c r="N1982" s="52" t="str">
        <f>IF(AND('331-CT'!$E$7=TH!H1982,OR(L1982="331",M1982="331")),"331",IF(AND(OR(L1982="131",M1982="131"),H1982='131-CT'!$E$7),"131",""))</f>
        <v/>
      </c>
      <c r="O1982" s="818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726"/>
      <c r="AB1982" s="860"/>
      <c r="AC1982" s="860"/>
    </row>
    <row r="1983" spans="1:29" s="861" customFormat="1" ht="15.75" customHeight="1">
      <c r="A1983" s="202" t="str">
        <f>IF(B1983&lt;&gt;"",IF(AND(B1983&gt;=_TM1,B1983&lt;=_TM2,OR(TH!L1983="1111",TH!M1983="1111")),TH!D1983,""),"")</f>
        <v/>
      </c>
      <c r="B1983" s="857">
        <f t="shared" si="91"/>
        <v>10</v>
      </c>
      <c r="C1983" s="858">
        <f t="shared" si="94"/>
        <v>42644</v>
      </c>
      <c r="D1983" s="858" t="s">
        <v>1448</v>
      </c>
      <c r="E1983" s="830">
        <v>42644</v>
      </c>
      <c r="F1983" s="49" t="s">
        <v>813</v>
      </c>
      <c r="G1983" s="832"/>
      <c r="H1983" s="833" t="s">
        <v>1449</v>
      </c>
      <c r="I1983" s="884">
        <v>150</v>
      </c>
      <c r="J1983" s="884">
        <v>19545</v>
      </c>
      <c r="K1983" s="51">
        <f t="shared" si="93"/>
        <v>2931750</v>
      </c>
      <c r="L1983" s="818" t="s">
        <v>164</v>
      </c>
      <c r="M1983" s="818" t="s">
        <v>160</v>
      </c>
      <c r="N1983" s="52" t="str">
        <f>IF(AND('331-CT'!$E$7=TH!H1983,OR(L1983="331",M1983="331")),"331",IF(AND(OR(L1983="131",M1983="131"),H1983='131-CT'!$E$7),"131",""))</f>
        <v/>
      </c>
      <c r="O1983" s="818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726"/>
      <c r="AB1983" s="860"/>
    </row>
    <row r="1984" spans="1:29" s="788" customFormat="1" ht="15.75" customHeight="1">
      <c r="A1984" s="202" t="str">
        <f>IF(B1984&lt;&gt;"",IF(AND(B1984&gt;=_TM1,B1984&lt;=_TM2,OR(TH!L1984="1111",TH!M1984="1111")),TH!D1984,""),"")</f>
        <v/>
      </c>
      <c r="B1984" s="779">
        <f t="shared" si="91"/>
        <v>1</v>
      </c>
      <c r="C1984" s="780">
        <f t="shared" si="94"/>
        <v>42371</v>
      </c>
      <c r="D1984" s="780" t="s">
        <v>1445</v>
      </c>
      <c r="E1984" s="781">
        <v>42371</v>
      </c>
      <c r="F1984" s="885" t="s">
        <v>676</v>
      </c>
      <c r="G1984" s="783"/>
      <c r="H1984" s="886" t="s">
        <v>1449</v>
      </c>
      <c r="I1984" s="887">
        <v>5441</v>
      </c>
      <c r="J1984" s="887">
        <v>7300</v>
      </c>
      <c r="K1984" s="829">
        <f t="shared" ref="K1984" si="95">ROUND(I1984*J1984,0)</f>
        <v>39719300</v>
      </c>
      <c r="L1984" s="836" t="s">
        <v>164</v>
      </c>
      <c r="M1984" s="836" t="s">
        <v>158</v>
      </c>
      <c r="N1984" s="52" t="str">
        <f>IF(AND('331-CT'!$E$7=TH!H1984,OR(L1984="331",M1984="331")),"331",IF(AND(OR(L1984="131",M1984="131"),H1984='131-CT'!$E$7),"131",""))</f>
        <v/>
      </c>
      <c r="O1984" s="818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88"/>
      <c r="AB1984" s="787"/>
    </row>
    <row r="1985" spans="1:29" s="209" customFormat="1" ht="15.75" customHeight="1">
      <c r="A1985" s="202" t="str">
        <f>IF(B1985&lt;&gt;"",IF(AND(B1985&gt;=_TM1,B1985&lt;=_TM2,OR(TH!L1985="1111",TH!M1985="1111")),TH!D1985,""),"")</f>
        <v/>
      </c>
      <c r="B1985" s="36">
        <f t="shared" si="91"/>
        <v>1</v>
      </c>
      <c r="C1985" s="182">
        <f t="shared" si="94"/>
        <v>42379</v>
      </c>
      <c r="D1985" s="182" t="s">
        <v>1445</v>
      </c>
      <c r="E1985" s="189">
        <v>42379</v>
      </c>
      <c r="F1985" s="40" t="s">
        <v>682</v>
      </c>
      <c r="G1985" s="451"/>
      <c r="H1985" s="191" t="s">
        <v>1449</v>
      </c>
      <c r="I1985" s="252">
        <v>12500</v>
      </c>
      <c r="J1985" s="252">
        <v>7600</v>
      </c>
      <c r="K1985" s="38">
        <f t="shared" ref="K1985:K2030" si="96">ROUND(I1985*J1985,0)</f>
        <v>95000000</v>
      </c>
      <c r="L1985" s="192" t="s">
        <v>164</v>
      </c>
      <c r="M1985" s="192" t="s">
        <v>158</v>
      </c>
      <c r="N1985" s="52" t="str">
        <f>IF(AND('331-CT'!$E$7=TH!H1985,OR(L1985="331",M1985="331")),"331",IF(AND(OR(L1985="131",M1985="131"),H1985='131-CT'!$E$7),"131",""))</f>
        <v/>
      </c>
      <c r="O1985" s="818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751"/>
      <c r="AB1985" s="552"/>
      <c r="AC1985" s="552"/>
    </row>
    <row r="1986" spans="1:29" s="209" customFormat="1" ht="15.75" customHeight="1">
      <c r="A1986" s="202" t="str">
        <f>IF(B1986&lt;&gt;"",IF(AND(B1986&gt;=_TM1,B1986&lt;=_TM2,OR(TH!L1986="1111",TH!M1986="1111")),TH!D1986,""),"")</f>
        <v/>
      </c>
      <c r="B1986" s="36">
        <f t="shared" si="91"/>
        <v>2</v>
      </c>
      <c r="C1986" s="182">
        <f t="shared" si="94"/>
        <v>42419</v>
      </c>
      <c r="D1986" s="182" t="s">
        <v>1445</v>
      </c>
      <c r="E1986" s="189">
        <v>42419</v>
      </c>
      <c r="F1986" s="40" t="s">
        <v>676</v>
      </c>
      <c r="G1986" s="451"/>
      <c r="H1986" s="191" t="s">
        <v>1449</v>
      </c>
      <c r="I1986" s="252">
        <v>1510</v>
      </c>
      <c r="J1986" s="252">
        <v>7300</v>
      </c>
      <c r="K1986" s="38">
        <f t="shared" si="96"/>
        <v>11023000</v>
      </c>
      <c r="L1986" s="192" t="s">
        <v>164</v>
      </c>
      <c r="M1986" s="192" t="s">
        <v>158</v>
      </c>
      <c r="N1986" s="52" t="str">
        <f>IF(AND('331-CT'!$E$7=TH!H1986,OR(L1986="331",M1986="331")),"331",IF(AND(OR(L1986="131",M1986="131"),H1986='131-CT'!$E$7),"131",""))</f>
        <v/>
      </c>
      <c r="O1986" s="818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751"/>
      <c r="AB1986" s="552"/>
      <c r="AC1986" s="552"/>
    </row>
    <row r="1987" spans="1:29" s="209" customFormat="1" ht="15.75" customHeight="1">
      <c r="A1987" s="202" t="str">
        <f>IF(B1987&lt;&gt;"",IF(AND(B1987&gt;=_TM1,B1987&lt;=_TM2,OR(TH!L1987="1111",TH!M1987="1111")),TH!D1987,""),"")</f>
        <v/>
      </c>
      <c r="B1987" s="36">
        <f t="shared" si="91"/>
        <v>2</v>
      </c>
      <c r="C1987" s="182">
        <f t="shared" si="94"/>
        <v>42419</v>
      </c>
      <c r="D1987" s="182" t="s">
        <v>1445</v>
      </c>
      <c r="E1987" s="189">
        <v>42419</v>
      </c>
      <c r="F1987" s="40" t="s">
        <v>676</v>
      </c>
      <c r="G1987" s="451"/>
      <c r="H1987" s="191" t="s">
        <v>1449</v>
      </c>
      <c r="I1987" s="252">
        <v>940</v>
      </c>
      <c r="J1987" s="252">
        <v>7200</v>
      </c>
      <c r="K1987" s="38">
        <f t="shared" si="96"/>
        <v>6768000</v>
      </c>
      <c r="L1987" s="192" t="s">
        <v>164</v>
      </c>
      <c r="M1987" s="192" t="s">
        <v>158</v>
      </c>
      <c r="N1987" s="52" t="str">
        <f>IF(AND('331-CT'!$E$7=TH!H1987,OR(L1987="331",M1987="331")),"331",IF(AND(OR(L1987="131",M1987="131"),H1987='131-CT'!$E$7),"131",""))</f>
        <v/>
      </c>
      <c r="O1987" s="818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751"/>
      <c r="AB1987" s="552"/>
      <c r="AC1987" s="552"/>
    </row>
    <row r="1988" spans="1:29" s="209" customFormat="1" ht="15.75" customHeight="1">
      <c r="A1988" s="202" t="str">
        <f>IF(B1988&lt;&gt;"",IF(AND(B1988&gt;=_TM1,B1988&lt;=_TM2,OR(TH!L1988="1111",TH!M1988="1111")),TH!D1988,""),"")</f>
        <v/>
      </c>
      <c r="B1988" s="36">
        <f t="shared" si="91"/>
        <v>2</v>
      </c>
      <c r="C1988" s="182">
        <f t="shared" si="94"/>
        <v>42420</v>
      </c>
      <c r="D1988" s="182" t="s">
        <v>1445</v>
      </c>
      <c r="E1988" s="189">
        <v>42420</v>
      </c>
      <c r="F1988" s="40" t="s">
        <v>676</v>
      </c>
      <c r="G1988" s="451"/>
      <c r="H1988" s="191" t="s">
        <v>1449</v>
      </c>
      <c r="I1988" s="252">
        <v>2510</v>
      </c>
      <c r="J1988" s="252">
        <v>7200</v>
      </c>
      <c r="K1988" s="38">
        <f t="shared" si="96"/>
        <v>18072000</v>
      </c>
      <c r="L1988" s="192" t="s">
        <v>164</v>
      </c>
      <c r="M1988" s="192" t="s">
        <v>158</v>
      </c>
      <c r="N1988" s="52" t="str">
        <f>IF(AND('331-CT'!$E$7=TH!H1988,OR(L1988="331",M1988="331")),"331",IF(AND(OR(L1988="131",M1988="131"),H1988='131-CT'!$E$7),"131",""))</f>
        <v/>
      </c>
      <c r="O1988" s="818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751"/>
      <c r="AB1988" s="552"/>
      <c r="AC1988" s="552"/>
    </row>
    <row r="1989" spans="1:29" s="209" customFormat="1" ht="15.75" customHeight="1">
      <c r="A1989" s="202" t="str">
        <f>IF(B1989&lt;&gt;"",IF(AND(B1989&gt;=_TM1,B1989&lt;=_TM2,OR(TH!L1989="1111",TH!M1989="1111")),TH!D1989,""),"")</f>
        <v/>
      </c>
      <c r="B1989" s="36">
        <f t="shared" si="91"/>
        <v>2</v>
      </c>
      <c r="C1989" s="182">
        <f t="shared" si="94"/>
        <v>42422</v>
      </c>
      <c r="D1989" s="182" t="s">
        <v>1445</v>
      </c>
      <c r="E1989" s="189">
        <v>42422</v>
      </c>
      <c r="F1989" s="40" t="s">
        <v>682</v>
      </c>
      <c r="G1989" s="451"/>
      <c r="H1989" s="191" t="s">
        <v>1449</v>
      </c>
      <c r="I1989" s="252">
        <v>13067</v>
      </c>
      <c r="J1989" s="252">
        <v>7600</v>
      </c>
      <c r="K1989" s="38">
        <f t="shared" si="96"/>
        <v>99309200</v>
      </c>
      <c r="L1989" s="192" t="s">
        <v>164</v>
      </c>
      <c r="M1989" s="192" t="s">
        <v>158</v>
      </c>
      <c r="N1989" s="52" t="str">
        <f>IF(AND('331-CT'!$E$7=TH!H1989,OR(L1989="331",M1989="331")),"331",IF(AND(OR(L1989="131",M1989="131"),H1989='131-CT'!$E$7),"131",""))</f>
        <v/>
      </c>
      <c r="O1989" s="818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751"/>
      <c r="AB1989" s="552"/>
    </row>
    <row r="1990" spans="1:29" s="209" customFormat="1" ht="15.75" customHeight="1">
      <c r="A1990" s="202" t="str">
        <f>IF(B1990&lt;&gt;"",IF(AND(B1990&gt;=_TM1,B1990&lt;=_TM2,OR(TH!L1990="1111",TH!M1990="1111")),TH!D1990,""),"")</f>
        <v/>
      </c>
      <c r="B1990" s="36">
        <f t="shared" si="91"/>
        <v>2</v>
      </c>
      <c r="C1990" s="182">
        <f t="shared" si="94"/>
        <v>42423</v>
      </c>
      <c r="D1990" s="182" t="s">
        <v>1445</v>
      </c>
      <c r="E1990" s="189">
        <v>42423</v>
      </c>
      <c r="F1990" s="40" t="s">
        <v>676</v>
      </c>
      <c r="G1990" s="451"/>
      <c r="H1990" s="191" t="s">
        <v>1449</v>
      </c>
      <c r="I1990" s="252">
        <v>2510</v>
      </c>
      <c r="J1990" s="252">
        <v>7200</v>
      </c>
      <c r="K1990" s="38">
        <f t="shared" si="96"/>
        <v>18072000</v>
      </c>
      <c r="L1990" s="192" t="s">
        <v>164</v>
      </c>
      <c r="M1990" s="192" t="s">
        <v>158</v>
      </c>
      <c r="N1990" s="52" t="str">
        <f>IF(AND('331-CT'!$E$7=TH!H1990,OR(L1990="331",M1990="331")),"331",IF(AND(OR(L1990="131",M1990="131"),H1990='131-CT'!$E$7),"131",""))</f>
        <v/>
      </c>
      <c r="O1990" s="818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751"/>
      <c r="AB1990" s="552"/>
      <c r="AC1990" s="552"/>
    </row>
    <row r="1991" spans="1:29" s="209" customFormat="1" ht="15.75" customHeight="1">
      <c r="A1991" s="202" t="str">
        <f>IF(B1991&lt;&gt;"",IF(AND(B1991&gt;=_TM1,B1991&lt;=_TM2,OR(TH!L1991="1111",TH!M1991="1111")),TH!D1991,""),"")</f>
        <v/>
      </c>
      <c r="B1991" s="36">
        <f t="shared" si="91"/>
        <v>2</v>
      </c>
      <c r="C1991" s="182">
        <f t="shared" si="94"/>
        <v>42424</v>
      </c>
      <c r="D1991" s="182" t="s">
        <v>1445</v>
      </c>
      <c r="E1991" s="189">
        <v>42424</v>
      </c>
      <c r="F1991" s="40" t="s">
        <v>676</v>
      </c>
      <c r="G1991" s="451"/>
      <c r="H1991" s="191" t="s">
        <v>1449</v>
      </c>
      <c r="I1991" s="252">
        <v>2510</v>
      </c>
      <c r="J1991" s="252">
        <v>7200</v>
      </c>
      <c r="K1991" s="38">
        <f t="shared" si="96"/>
        <v>18072000</v>
      </c>
      <c r="L1991" s="192" t="s">
        <v>164</v>
      </c>
      <c r="M1991" s="192" t="s">
        <v>158</v>
      </c>
      <c r="N1991" s="52" t="str">
        <f>IF(AND('331-CT'!$E$7=TH!H1991,OR(L1991="331",M1991="331")),"331",IF(AND(OR(L1991="131",M1991="131"),H1991='131-CT'!$E$7),"131",""))</f>
        <v/>
      </c>
      <c r="O1991" s="818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751"/>
      <c r="AB1991" s="552"/>
    </row>
    <row r="1992" spans="1:29" s="209" customFormat="1" ht="15.75" customHeight="1">
      <c r="A1992" s="202" t="str">
        <f>IF(B1992&lt;&gt;"",IF(AND(B1992&gt;=_TM1,B1992&lt;=_TM2,OR(TH!L1992="1111",TH!M1992="1111")),TH!D1992,""),"")</f>
        <v/>
      </c>
      <c r="B1992" s="36">
        <f t="shared" si="91"/>
        <v>3</v>
      </c>
      <c r="C1992" s="182">
        <f t="shared" si="94"/>
        <v>42430</v>
      </c>
      <c r="D1992" s="182" t="s">
        <v>1445</v>
      </c>
      <c r="E1992" s="189">
        <v>42430</v>
      </c>
      <c r="F1992" s="40" t="s">
        <v>676</v>
      </c>
      <c r="G1992" s="451"/>
      <c r="H1992" s="191" t="s">
        <v>1449</v>
      </c>
      <c r="I1992" s="252">
        <v>2267</v>
      </c>
      <c r="J1992" s="252">
        <v>7200</v>
      </c>
      <c r="K1992" s="38">
        <f t="shared" si="96"/>
        <v>16322400</v>
      </c>
      <c r="L1992" s="192" t="s">
        <v>164</v>
      </c>
      <c r="M1992" s="192" t="s">
        <v>158</v>
      </c>
      <c r="N1992" s="52" t="str">
        <f>IF(AND('331-CT'!$E$7=TH!H1992,OR(L1992="331",M1992="331")),"331",IF(AND(OR(L1992="131",M1992="131"),H1992='131-CT'!$E$7),"131",""))</f>
        <v/>
      </c>
      <c r="O1992" s="818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751"/>
      <c r="AB1992" s="552"/>
      <c r="AC1992" s="552"/>
    </row>
    <row r="1993" spans="1:29" s="209" customFormat="1" ht="15.75" customHeight="1">
      <c r="A1993" s="202" t="str">
        <f>IF(B1993&lt;&gt;"",IF(AND(B1993&gt;=_TM1,B1993&lt;=_TM2,OR(TH!L1993="1111",TH!M1993="1111")),TH!D1993,""),"")</f>
        <v/>
      </c>
      <c r="B1993" s="36">
        <f t="shared" ref="B1993:B2053" si="97">IF(C1993&lt;&gt;"",MONTH(C1993),"")</f>
        <v>3</v>
      </c>
      <c r="C1993" s="182">
        <f t="shared" si="94"/>
        <v>42432</v>
      </c>
      <c r="D1993" s="182" t="s">
        <v>1445</v>
      </c>
      <c r="E1993" s="189">
        <v>42432</v>
      </c>
      <c r="F1993" s="40" t="s">
        <v>676</v>
      </c>
      <c r="G1993" s="451"/>
      <c r="H1993" s="191" t="s">
        <v>1449</v>
      </c>
      <c r="I1993" s="252">
        <v>2186</v>
      </c>
      <c r="J1993" s="252">
        <v>7200</v>
      </c>
      <c r="K1993" s="38">
        <f t="shared" si="96"/>
        <v>15739200</v>
      </c>
      <c r="L1993" s="192" t="s">
        <v>164</v>
      </c>
      <c r="M1993" s="192" t="s">
        <v>158</v>
      </c>
      <c r="N1993" s="52" t="str">
        <f>IF(AND('331-CT'!$E$7=TH!H1993,OR(L1993="331",M1993="331")),"331",IF(AND(OR(L1993="131",M1993="131"),H1993='131-CT'!$E$7),"131",""))</f>
        <v/>
      </c>
      <c r="O1993" s="818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751"/>
      <c r="AB1993" s="552"/>
      <c r="AC1993" s="552"/>
    </row>
    <row r="1994" spans="1:29" s="209" customFormat="1" ht="15.75" customHeight="1">
      <c r="A1994" s="202" t="str">
        <f>IF(B1994&lt;&gt;"",IF(AND(B1994&gt;=_TM1,B1994&lt;=_TM2,OR(TH!L1994="1111",TH!M1994="1111")),TH!D1994,""),"")</f>
        <v/>
      </c>
      <c r="B1994" s="36">
        <f t="shared" si="97"/>
        <v>3</v>
      </c>
      <c r="C1994" s="182">
        <f t="shared" si="94"/>
        <v>42438</v>
      </c>
      <c r="D1994" s="182" t="s">
        <v>1445</v>
      </c>
      <c r="E1994" s="189">
        <v>42438</v>
      </c>
      <c r="F1994" s="40" t="s">
        <v>676</v>
      </c>
      <c r="G1994" s="451"/>
      <c r="H1994" s="191" t="s">
        <v>1449</v>
      </c>
      <c r="I1994" s="252">
        <v>2409</v>
      </c>
      <c r="J1994" s="252">
        <v>7200</v>
      </c>
      <c r="K1994" s="38">
        <f t="shared" si="96"/>
        <v>17344800</v>
      </c>
      <c r="L1994" s="192" t="s">
        <v>164</v>
      </c>
      <c r="M1994" s="192" t="s">
        <v>158</v>
      </c>
      <c r="N1994" s="52" t="str">
        <f>IF(AND('331-CT'!$E$7=TH!H1994,OR(L1994="331",M1994="331")),"331",IF(AND(OR(L1994="131",M1994="131"),H1994='131-CT'!$E$7),"131",""))</f>
        <v/>
      </c>
      <c r="O1994" s="818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751"/>
      <c r="AB1994" s="552"/>
    </row>
    <row r="1995" spans="1:29" s="209" customFormat="1" ht="15.75" customHeight="1">
      <c r="A1995" s="202" t="str">
        <f>IF(B1995&lt;&gt;"",IF(AND(B1995&gt;=_TM1,B1995&lt;=_TM2,OR(TH!L1995="1111",TH!M1995="1111")),TH!D1995,""),"")</f>
        <v/>
      </c>
      <c r="B1995" s="36">
        <f t="shared" si="97"/>
        <v>3</v>
      </c>
      <c r="C1995" s="182">
        <f t="shared" si="94"/>
        <v>42439</v>
      </c>
      <c r="D1995" s="182" t="s">
        <v>1445</v>
      </c>
      <c r="E1995" s="189">
        <v>42439</v>
      </c>
      <c r="F1995" s="40" t="s">
        <v>682</v>
      </c>
      <c r="G1995" s="451"/>
      <c r="H1995" s="191" t="s">
        <v>1449</v>
      </c>
      <c r="I1995" s="252">
        <v>18000</v>
      </c>
      <c r="J1995" s="252">
        <v>8800</v>
      </c>
      <c r="K1995" s="38">
        <f t="shared" si="96"/>
        <v>158400000</v>
      </c>
      <c r="L1995" s="192" t="s">
        <v>164</v>
      </c>
      <c r="M1995" s="192" t="s">
        <v>158</v>
      </c>
      <c r="N1995" s="52" t="str">
        <f>IF(AND('331-CT'!$E$7=TH!H1995,OR(L1995="331",M1995="331")),"331",IF(AND(OR(L1995="131",M1995="131"),H1995='131-CT'!$E$7),"131",""))</f>
        <v/>
      </c>
      <c r="O1995" s="818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751"/>
      <c r="AB1995" s="552"/>
      <c r="AC1995" s="552"/>
    </row>
    <row r="1996" spans="1:29" s="209" customFormat="1" ht="15.75" customHeight="1">
      <c r="A1996" s="202" t="str">
        <f>IF(B1996&lt;&gt;"",IF(AND(B1996&gt;=_TM1,B1996&lt;=_TM2,OR(TH!L1996="1111",TH!M1996="1111")),TH!D1996,""),"")</f>
        <v/>
      </c>
      <c r="B1996" s="36">
        <f t="shared" si="97"/>
        <v>3</v>
      </c>
      <c r="C1996" s="182">
        <f t="shared" si="94"/>
        <v>42440</v>
      </c>
      <c r="D1996" s="182" t="s">
        <v>1445</v>
      </c>
      <c r="E1996" s="189">
        <v>42440</v>
      </c>
      <c r="F1996" s="40" t="s">
        <v>676</v>
      </c>
      <c r="G1996" s="451"/>
      <c r="H1996" s="191" t="s">
        <v>1449</v>
      </c>
      <c r="I1996" s="252">
        <v>2428</v>
      </c>
      <c r="J1996" s="252">
        <v>7200</v>
      </c>
      <c r="K1996" s="38">
        <f t="shared" si="96"/>
        <v>17481600</v>
      </c>
      <c r="L1996" s="192" t="s">
        <v>164</v>
      </c>
      <c r="M1996" s="192" t="s">
        <v>158</v>
      </c>
      <c r="N1996" s="52" t="str">
        <f>IF(AND('331-CT'!$E$7=TH!H1996,OR(L1996="331",M1996="331")),"331",IF(AND(OR(L1996="131",M1996="131"),H1996='131-CT'!$E$7),"131",""))</f>
        <v/>
      </c>
      <c r="O1996" s="818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751"/>
      <c r="AB1996" s="552"/>
    </row>
    <row r="1997" spans="1:29" s="209" customFormat="1" ht="15.75" customHeight="1">
      <c r="A1997" s="202" t="str">
        <f>IF(B1997&lt;&gt;"",IF(AND(B1997&gt;=_TM1,B1997&lt;=_TM2,OR(TH!L1997="1111",TH!M1997="1111")),TH!D1997,""),"")</f>
        <v/>
      </c>
      <c r="B1997" s="36">
        <f t="shared" si="97"/>
        <v>3</v>
      </c>
      <c r="C1997" s="182">
        <f t="shared" si="94"/>
        <v>42441</v>
      </c>
      <c r="D1997" s="182" t="s">
        <v>1445</v>
      </c>
      <c r="E1997" s="189">
        <v>42441</v>
      </c>
      <c r="F1997" s="40" t="s">
        <v>676</v>
      </c>
      <c r="G1997" s="451"/>
      <c r="H1997" s="191" t="s">
        <v>1449</v>
      </c>
      <c r="I1997" s="252">
        <v>2260</v>
      </c>
      <c r="J1997" s="252">
        <v>7200</v>
      </c>
      <c r="K1997" s="38">
        <f t="shared" si="96"/>
        <v>16272000</v>
      </c>
      <c r="L1997" s="192" t="s">
        <v>164</v>
      </c>
      <c r="M1997" s="192" t="s">
        <v>158</v>
      </c>
      <c r="N1997" s="52" t="str">
        <f>IF(AND('331-CT'!$E$7=TH!H1997,OR(L1997="331",M1997="331")),"331",IF(AND(OR(L1997="131",M1997="131"),H1997='131-CT'!$E$7),"131",""))</f>
        <v/>
      </c>
      <c r="O1997" s="818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751"/>
      <c r="AB1997" s="552"/>
      <c r="AC1997" s="552"/>
    </row>
    <row r="1998" spans="1:29" s="209" customFormat="1" ht="15.75" customHeight="1">
      <c r="A1998" s="202" t="str">
        <f>IF(B1998&lt;&gt;"",IF(AND(B1998&gt;=_TM1,B1998&lt;=_TM2,OR(TH!L1998="1111",TH!M1998="1111")),TH!D1998,""),"")</f>
        <v/>
      </c>
      <c r="B1998" s="36">
        <f t="shared" si="97"/>
        <v>3</v>
      </c>
      <c r="C1998" s="182">
        <f t="shared" si="94"/>
        <v>42443</v>
      </c>
      <c r="D1998" s="182" t="s">
        <v>1445</v>
      </c>
      <c r="E1998" s="189">
        <v>42443</v>
      </c>
      <c r="F1998" s="40" t="s">
        <v>676</v>
      </c>
      <c r="G1998" s="451"/>
      <c r="H1998" s="191" t="s">
        <v>1449</v>
      </c>
      <c r="I1998" s="252">
        <v>1923</v>
      </c>
      <c r="J1998" s="252">
        <v>7200</v>
      </c>
      <c r="K1998" s="38">
        <f t="shared" si="96"/>
        <v>13845600</v>
      </c>
      <c r="L1998" s="192" t="s">
        <v>164</v>
      </c>
      <c r="M1998" s="192" t="s">
        <v>158</v>
      </c>
      <c r="N1998" s="52" t="str">
        <f>IF(AND('331-CT'!$E$7=TH!H1998,OR(L1998="331",M1998="331")),"331",IF(AND(OR(L1998="131",M1998="131"),H1998='131-CT'!$E$7),"131",""))</f>
        <v/>
      </c>
      <c r="O1998" s="818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751"/>
      <c r="AB1998" s="552"/>
    </row>
    <row r="1999" spans="1:29" s="209" customFormat="1" ht="15.75" customHeight="1">
      <c r="A1999" s="202" t="str">
        <f>IF(B1999&lt;&gt;"",IF(AND(B1999&gt;=_TM1,B1999&lt;=_TM2,OR(TH!L1999="1111",TH!M1999="1111")),TH!D1999,""),"")</f>
        <v/>
      </c>
      <c r="B1999" s="36">
        <f t="shared" si="97"/>
        <v>3</v>
      </c>
      <c r="C1999" s="182">
        <f t="shared" si="94"/>
        <v>42444</v>
      </c>
      <c r="D1999" s="182" t="s">
        <v>1445</v>
      </c>
      <c r="E1999" s="189">
        <v>42444</v>
      </c>
      <c r="F1999" s="40" t="s">
        <v>676</v>
      </c>
      <c r="G1999" s="451"/>
      <c r="H1999" s="191" t="s">
        <v>1449</v>
      </c>
      <c r="I1999" s="252">
        <v>2406</v>
      </c>
      <c r="J1999" s="252">
        <v>7200</v>
      </c>
      <c r="K1999" s="38">
        <f t="shared" si="96"/>
        <v>17323200</v>
      </c>
      <c r="L1999" s="192" t="s">
        <v>164</v>
      </c>
      <c r="M1999" s="192" t="s">
        <v>158</v>
      </c>
      <c r="N1999" s="52" t="str">
        <f>IF(AND('331-CT'!$E$7=TH!H1999,OR(L1999="331",M1999="331")),"331",IF(AND(OR(L1999="131",M1999="131"),H1999='131-CT'!$E$7),"131",""))</f>
        <v/>
      </c>
      <c r="O1999" s="818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751"/>
      <c r="AB1999" s="552"/>
      <c r="AC1999" s="552"/>
    </row>
    <row r="2000" spans="1:29" s="209" customFormat="1" ht="15.75" customHeight="1">
      <c r="A2000" s="202" t="str">
        <f>IF(B2000&lt;&gt;"",IF(AND(B2000&gt;=_TM1,B2000&lt;=_TM2,OR(TH!L2000="1111",TH!M2000="1111")),TH!D2000,""),"")</f>
        <v/>
      </c>
      <c r="B2000" s="36">
        <f t="shared" si="97"/>
        <v>3</v>
      </c>
      <c r="C2000" s="182">
        <f t="shared" si="94"/>
        <v>42445</v>
      </c>
      <c r="D2000" s="182" t="s">
        <v>1445</v>
      </c>
      <c r="E2000" s="189">
        <v>42445</v>
      </c>
      <c r="F2000" s="40" t="s">
        <v>682</v>
      </c>
      <c r="G2000" s="451"/>
      <c r="H2000" s="191" t="s">
        <v>1449</v>
      </c>
      <c r="I2000" s="252">
        <v>21846</v>
      </c>
      <c r="J2000" s="252">
        <v>8800</v>
      </c>
      <c r="K2000" s="38">
        <f t="shared" si="96"/>
        <v>192244800</v>
      </c>
      <c r="L2000" s="192" t="s">
        <v>164</v>
      </c>
      <c r="M2000" s="192" t="s">
        <v>158</v>
      </c>
      <c r="N2000" s="52" t="str">
        <f>IF(AND('331-CT'!$E$7=TH!H2000,OR(L2000="331",M2000="331")),"331",IF(AND(OR(L2000="131",M2000="131"),H2000='131-CT'!$E$7),"131",""))</f>
        <v/>
      </c>
      <c r="O2000" s="818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751"/>
      <c r="AB2000" s="552"/>
      <c r="AC2000" s="552"/>
    </row>
    <row r="2001" spans="1:29" s="209" customFormat="1" ht="15.75" customHeight="1">
      <c r="A2001" s="202" t="str">
        <f>IF(B2001&lt;&gt;"",IF(AND(B2001&gt;=_TM1,B2001&lt;=_TM2,OR(TH!L2001="1111",TH!M2001="1111")),TH!D2001,""),"")</f>
        <v/>
      </c>
      <c r="B2001" s="36">
        <f t="shared" si="97"/>
        <v>3</v>
      </c>
      <c r="C2001" s="182">
        <f t="shared" si="94"/>
        <v>42455</v>
      </c>
      <c r="D2001" s="182" t="s">
        <v>1445</v>
      </c>
      <c r="E2001" s="189">
        <v>42455</v>
      </c>
      <c r="F2001" s="40" t="s">
        <v>676</v>
      </c>
      <c r="G2001" s="451"/>
      <c r="H2001" s="191" t="s">
        <v>1449</v>
      </c>
      <c r="I2001" s="252">
        <v>1603</v>
      </c>
      <c r="J2001" s="252">
        <v>7200</v>
      </c>
      <c r="K2001" s="38">
        <f t="shared" si="96"/>
        <v>11541600</v>
      </c>
      <c r="L2001" s="192" t="s">
        <v>164</v>
      </c>
      <c r="M2001" s="192" t="s">
        <v>158</v>
      </c>
      <c r="N2001" s="52" t="str">
        <f>IF(AND('331-CT'!$E$7=TH!H2001,OR(L2001="331",M2001="331")),"331",IF(AND(OR(L2001="131",M2001="131"),H2001='131-CT'!$E$7),"131",""))</f>
        <v/>
      </c>
      <c r="O2001" s="818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751"/>
      <c r="AB2001" s="552"/>
      <c r="AC2001" s="552"/>
    </row>
    <row r="2002" spans="1:29" s="209" customFormat="1" ht="15.75" customHeight="1">
      <c r="A2002" s="202" t="str">
        <f>IF(B2002&lt;&gt;"",IF(AND(B2002&gt;=_TM1,B2002&lt;=_TM2,OR(TH!L2002="1111",TH!M2002="1111")),TH!D2002,""),"")</f>
        <v/>
      </c>
      <c r="B2002" s="36">
        <f t="shared" ref="B2002:B2003" si="98">IF(C2002&lt;&gt;"",MONTH(C2002),"")</f>
        <v>3</v>
      </c>
      <c r="C2002" s="182">
        <f t="shared" ref="C2002:C2003" si="99">E2002</f>
        <v>42430</v>
      </c>
      <c r="D2002" s="182" t="s">
        <v>1445</v>
      </c>
      <c r="E2002" s="189">
        <v>42430</v>
      </c>
      <c r="F2002" s="40" t="s">
        <v>680</v>
      </c>
      <c r="G2002" s="451"/>
      <c r="H2002" s="191" t="s">
        <v>1449</v>
      </c>
      <c r="I2002" s="252">
        <v>2295</v>
      </c>
      <c r="J2002" s="252">
        <v>9000</v>
      </c>
      <c r="K2002" s="38">
        <f t="shared" ref="K2002:K2003" si="100">ROUND(I2002*J2002,0)</f>
        <v>20655000</v>
      </c>
      <c r="L2002" s="192" t="s">
        <v>164</v>
      </c>
      <c r="M2002" s="192" t="s">
        <v>158</v>
      </c>
      <c r="N2002" s="52" t="str">
        <f>IF(AND('331-CT'!$E$7=TH!H2002,OR(L2002="331",M2002="331")),"331",IF(AND(OR(L2002="131",M2002="131"),H2002='131-CT'!$E$7),"131",""))</f>
        <v/>
      </c>
      <c r="O2002" s="818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751"/>
      <c r="AB2002" s="552"/>
      <c r="AC2002" s="552"/>
    </row>
    <row r="2003" spans="1:29" s="209" customFormat="1" ht="15.75" customHeight="1">
      <c r="A2003" s="202" t="str">
        <f>IF(B2003&lt;&gt;"",IF(AND(B2003&gt;=_TM1,B2003&lt;=_TM2,OR(TH!L2003="1111",TH!M2003="1111")),TH!D2003,""),"")</f>
        <v/>
      </c>
      <c r="B2003" s="36">
        <f t="shared" si="98"/>
        <v>3</v>
      </c>
      <c r="C2003" s="182">
        <f t="shared" si="99"/>
        <v>42445</v>
      </c>
      <c r="D2003" s="182" t="s">
        <v>1445</v>
      </c>
      <c r="E2003" s="189">
        <v>42445</v>
      </c>
      <c r="F2003" s="40" t="s">
        <v>676</v>
      </c>
      <c r="G2003" s="451"/>
      <c r="H2003" s="191" t="s">
        <v>1449</v>
      </c>
      <c r="I2003" s="252">
        <v>6902</v>
      </c>
      <c r="J2003" s="252">
        <v>7200</v>
      </c>
      <c r="K2003" s="38">
        <f t="shared" si="100"/>
        <v>49694400</v>
      </c>
      <c r="L2003" s="192" t="s">
        <v>164</v>
      </c>
      <c r="M2003" s="192" t="s">
        <v>158</v>
      </c>
      <c r="N2003" s="52" t="str">
        <f>IF(AND('331-CT'!$E$7=TH!H2003,OR(L2003="331",M2003="331")),"331",IF(AND(OR(L2003="131",M2003="131"),H2003='131-CT'!$E$7),"131",""))</f>
        <v/>
      </c>
      <c r="O2003" s="818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751"/>
      <c r="AB2003" s="552"/>
      <c r="AC2003" s="552"/>
    </row>
    <row r="2004" spans="1:29" s="788" customFormat="1" ht="15.75" customHeight="1">
      <c r="A2004" s="202" t="str">
        <f>IF(B2004&lt;&gt;"",IF(AND(B2004&gt;=_TM1,B2004&lt;=_TM2,OR(TH!L2004="1111",TH!M2004="1111")),TH!D2004,""),"")</f>
        <v/>
      </c>
      <c r="B2004" s="779">
        <f t="shared" si="97"/>
        <v>4</v>
      </c>
      <c r="C2004" s="780">
        <f t="shared" si="94"/>
        <v>42461</v>
      </c>
      <c r="D2004" s="780" t="s">
        <v>1445</v>
      </c>
      <c r="E2004" s="781">
        <v>42461</v>
      </c>
      <c r="F2004" s="885" t="s">
        <v>822</v>
      </c>
      <c r="G2004" s="783"/>
      <c r="H2004" s="886" t="s">
        <v>1449</v>
      </c>
      <c r="I2004" s="887">
        <v>300</v>
      </c>
      <c r="J2004" s="887">
        <v>9893</v>
      </c>
      <c r="K2004" s="829">
        <f t="shared" si="96"/>
        <v>2967900</v>
      </c>
      <c r="L2004" s="836" t="s">
        <v>164</v>
      </c>
      <c r="M2004" s="836" t="s">
        <v>158</v>
      </c>
      <c r="N2004" s="52" t="str">
        <f>IF(AND('331-CT'!$E$7=TH!H2004,OR(L2004="331",M2004="331")),"331",IF(AND(OR(L2004="131",M2004="131"),H2004='131-CT'!$E$7),"131",""))</f>
        <v/>
      </c>
      <c r="O2004" s="818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88"/>
      <c r="AB2004" s="787"/>
      <c r="AC2004" s="787"/>
    </row>
    <row r="2005" spans="1:29" s="209" customFormat="1" ht="15.75" customHeight="1">
      <c r="A2005" s="202" t="str">
        <f>IF(B2005&lt;&gt;"",IF(AND(B2005&gt;=_TM1,B2005&lt;=_TM2,OR(TH!L2005="1111",TH!M2005="1111")),TH!D2005,""),"")</f>
        <v/>
      </c>
      <c r="B2005" s="36">
        <f t="shared" si="97"/>
        <v>4</v>
      </c>
      <c r="C2005" s="182">
        <f t="shared" si="94"/>
        <v>42461</v>
      </c>
      <c r="D2005" s="182" t="s">
        <v>1445</v>
      </c>
      <c r="E2005" s="189">
        <v>42461</v>
      </c>
      <c r="F2005" s="40" t="s">
        <v>825</v>
      </c>
      <c r="G2005" s="451"/>
      <c r="H2005" s="191" t="s">
        <v>1449</v>
      </c>
      <c r="I2005" s="252">
        <v>640</v>
      </c>
      <c r="J2005" s="252">
        <v>9207</v>
      </c>
      <c r="K2005" s="38">
        <f t="shared" si="96"/>
        <v>5892480</v>
      </c>
      <c r="L2005" s="192" t="s">
        <v>164</v>
      </c>
      <c r="M2005" s="192" t="s">
        <v>158</v>
      </c>
      <c r="N2005" s="52" t="str">
        <f>IF(AND('331-CT'!$E$7=TH!H2005,OR(L2005="331",M2005="331")),"331",IF(AND(OR(L2005="131",M2005="131"),H2005='131-CT'!$E$7),"131",""))</f>
        <v/>
      </c>
      <c r="O2005" s="818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751"/>
      <c r="AB2005" s="552"/>
      <c r="AC2005" s="552"/>
    </row>
    <row r="2006" spans="1:29" s="209" customFormat="1" ht="15.75" customHeight="1">
      <c r="A2006" s="202" t="str">
        <f>IF(B2006&lt;&gt;"",IF(AND(B2006&gt;=_TM1,B2006&lt;=_TM2,OR(TH!L2006="1111",TH!M2006="1111")),TH!D2006,""),"")</f>
        <v/>
      </c>
      <c r="B2006" s="36">
        <f t="shared" si="97"/>
        <v>5</v>
      </c>
      <c r="C2006" s="182">
        <f t="shared" si="94"/>
        <v>42495</v>
      </c>
      <c r="D2006" s="182" t="s">
        <v>1445</v>
      </c>
      <c r="E2006" s="189">
        <v>42495</v>
      </c>
      <c r="F2006" s="40" t="s">
        <v>676</v>
      </c>
      <c r="G2006" s="451"/>
      <c r="H2006" s="191" t="s">
        <v>1449</v>
      </c>
      <c r="I2006" s="252">
        <v>6595</v>
      </c>
      <c r="J2006" s="252">
        <v>7600</v>
      </c>
      <c r="K2006" s="38">
        <f t="shared" si="96"/>
        <v>50122000</v>
      </c>
      <c r="L2006" s="192" t="s">
        <v>164</v>
      </c>
      <c r="M2006" s="192" t="s">
        <v>158</v>
      </c>
      <c r="N2006" s="52" t="str">
        <f>IF(AND('331-CT'!$E$7=TH!H2006,OR(L2006="331",M2006="331")),"331",IF(AND(OR(L2006="131",M2006="131"),H2006='131-CT'!$E$7),"131",""))</f>
        <v/>
      </c>
      <c r="O2006" s="818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751"/>
      <c r="AB2006" s="552"/>
      <c r="AC2006" s="552"/>
    </row>
    <row r="2007" spans="1:29" s="209" customFormat="1" ht="15.75" customHeight="1">
      <c r="A2007" s="202" t="str">
        <f>IF(B2007&lt;&gt;"",IF(AND(B2007&gt;=_TM1,B2007&lt;=_TM2,OR(TH!L2007="1111",TH!M2007="1111")),TH!D2007,""),"")</f>
        <v/>
      </c>
      <c r="B2007" s="36">
        <f t="shared" si="97"/>
        <v>4</v>
      </c>
      <c r="C2007" s="182">
        <f t="shared" si="94"/>
        <v>42461</v>
      </c>
      <c r="D2007" s="182" t="s">
        <v>1445</v>
      </c>
      <c r="E2007" s="189">
        <v>42461</v>
      </c>
      <c r="F2007" s="40" t="s">
        <v>690</v>
      </c>
      <c r="G2007" s="451"/>
      <c r="H2007" s="191" t="s">
        <v>1449</v>
      </c>
      <c r="I2007" s="252">
        <v>18441</v>
      </c>
      <c r="J2007" s="252">
        <v>8600</v>
      </c>
      <c r="K2007" s="38">
        <f t="shared" si="96"/>
        <v>158592600</v>
      </c>
      <c r="L2007" s="192" t="s">
        <v>164</v>
      </c>
      <c r="M2007" s="192" t="s">
        <v>158</v>
      </c>
      <c r="N2007" s="52" t="str">
        <f>IF(AND('331-CT'!$E$7=TH!H2007,OR(L2007="331",M2007="331")),"331",IF(AND(OR(L2007="131",M2007="131"),H2007='131-CT'!$E$7),"131",""))</f>
        <v/>
      </c>
      <c r="O2007" s="818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751"/>
      <c r="AB2007" s="552"/>
      <c r="AC2007" s="552"/>
    </row>
    <row r="2008" spans="1:29" s="209" customFormat="1" ht="15.75" customHeight="1">
      <c r="A2008" s="202" t="str">
        <f>IF(B2008&lt;&gt;"",IF(AND(B2008&gt;=_TM1,B2008&lt;=_TM2,OR(TH!L2008="1111",TH!M2008="1111")),TH!D2008,""),"")</f>
        <v/>
      </c>
      <c r="B2008" s="36">
        <f t="shared" si="97"/>
        <v>4</v>
      </c>
      <c r="C2008" s="182">
        <f t="shared" si="94"/>
        <v>42464</v>
      </c>
      <c r="D2008" s="182" t="s">
        <v>1445</v>
      </c>
      <c r="E2008" s="189">
        <v>42464</v>
      </c>
      <c r="F2008" s="40" t="s">
        <v>680</v>
      </c>
      <c r="G2008" s="451"/>
      <c r="H2008" s="191" t="s">
        <v>1449</v>
      </c>
      <c r="I2008" s="252">
        <v>7293</v>
      </c>
      <c r="J2008" s="252">
        <v>9000</v>
      </c>
      <c r="K2008" s="38">
        <f t="shared" si="96"/>
        <v>65637000</v>
      </c>
      <c r="L2008" s="192" t="s">
        <v>164</v>
      </c>
      <c r="M2008" s="192" t="s">
        <v>158</v>
      </c>
      <c r="N2008" s="52" t="str">
        <f>IF(AND('331-CT'!$E$7=TH!H2008,OR(L2008="331",M2008="331")),"331",IF(AND(OR(L2008="131",M2008="131"),H2008='131-CT'!$E$7),"131",""))</f>
        <v/>
      </c>
      <c r="O2008" s="818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751"/>
      <c r="AB2008" s="552"/>
      <c r="AC2008" s="552"/>
    </row>
    <row r="2009" spans="1:29" s="209" customFormat="1" ht="15.75" customHeight="1">
      <c r="A2009" s="202" t="str">
        <f>IF(B2009&lt;&gt;"",IF(AND(B2009&gt;=_TM1,B2009&lt;=_TM2,OR(TH!L2009="1111",TH!M2009="1111")),TH!D2009,""),"")</f>
        <v/>
      </c>
      <c r="B2009" s="36">
        <f t="shared" si="97"/>
        <v>5</v>
      </c>
      <c r="C2009" s="182">
        <f t="shared" si="94"/>
        <v>42497</v>
      </c>
      <c r="D2009" s="182" t="s">
        <v>1445</v>
      </c>
      <c r="E2009" s="189">
        <v>42497</v>
      </c>
      <c r="F2009" s="40" t="s">
        <v>690</v>
      </c>
      <c r="G2009" s="451"/>
      <c r="H2009" s="191" t="s">
        <v>1449</v>
      </c>
      <c r="I2009" s="252">
        <v>1800</v>
      </c>
      <c r="J2009" s="252">
        <v>7200</v>
      </c>
      <c r="K2009" s="38">
        <f t="shared" si="96"/>
        <v>12960000</v>
      </c>
      <c r="L2009" s="192" t="s">
        <v>164</v>
      </c>
      <c r="M2009" s="192" t="s">
        <v>158</v>
      </c>
      <c r="N2009" s="52" t="str">
        <f>IF(AND('331-CT'!$E$7=TH!H2009,OR(L2009="331",M2009="331")),"331",IF(AND(OR(L2009="131",M2009="131"),H2009='131-CT'!$E$7),"131",""))</f>
        <v/>
      </c>
      <c r="O2009" s="818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751"/>
      <c r="AB2009" s="552"/>
    </row>
    <row r="2010" spans="1:29" s="209" customFormat="1" ht="15.75" customHeight="1">
      <c r="A2010" s="202" t="str">
        <f>IF(B2010&lt;&gt;"",IF(AND(B2010&gt;=_TM1,B2010&lt;=_TM2,OR(TH!L2010="1111",TH!M2010="1111")),TH!D2010,""),"")</f>
        <v/>
      </c>
      <c r="B2010" s="36">
        <f t="shared" si="97"/>
        <v>5</v>
      </c>
      <c r="C2010" s="182">
        <f t="shared" si="94"/>
        <v>42497</v>
      </c>
      <c r="D2010" s="182" t="s">
        <v>1445</v>
      </c>
      <c r="E2010" s="189">
        <v>42497</v>
      </c>
      <c r="F2010" s="40" t="s">
        <v>690</v>
      </c>
      <c r="G2010" s="451"/>
      <c r="H2010" s="191" t="s">
        <v>1449</v>
      </c>
      <c r="I2010" s="252">
        <v>2033</v>
      </c>
      <c r="J2010" s="252">
        <v>7200</v>
      </c>
      <c r="K2010" s="38">
        <f t="shared" si="96"/>
        <v>14637600</v>
      </c>
      <c r="L2010" s="192" t="s">
        <v>164</v>
      </c>
      <c r="M2010" s="192" t="s">
        <v>158</v>
      </c>
      <c r="N2010" s="52" t="str">
        <f>IF(AND('331-CT'!$E$7=TH!H2010,OR(L2010="331",M2010="331")),"331",IF(AND(OR(L2010="131",M2010="131"),H2010='131-CT'!$E$7),"131",""))</f>
        <v/>
      </c>
      <c r="O2010" s="818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751"/>
      <c r="AB2010" s="552"/>
      <c r="AC2010" s="552"/>
    </row>
    <row r="2011" spans="1:29" s="209" customFormat="1" ht="15.75" customHeight="1">
      <c r="A2011" s="202" t="str">
        <f>IF(B2011&lt;&gt;"",IF(AND(B2011&gt;=_TM1,B2011&lt;=_TM2,OR(TH!L2011="1111",TH!M2011="1111")),TH!D2011,""),"")</f>
        <v/>
      </c>
      <c r="B2011" s="36">
        <f t="shared" si="97"/>
        <v>6</v>
      </c>
      <c r="C2011" s="182">
        <f t="shared" si="94"/>
        <v>42535</v>
      </c>
      <c r="D2011" s="182" t="s">
        <v>1445</v>
      </c>
      <c r="E2011" s="189">
        <v>42535</v>
      </c>
      <c r="F2011" s="40" t="s">
        <v>682</v>
      </c>
      <c r="G2011" s="451"/>
      <c r="H2011" s="191" t="s">
        <v>1449</v>
      </c>
      <c r="I2011" s="252">
        <v>33077</v>
      </c>
      <c r="J2011" s="252">
        <v>8200</v>
      </c>
      <c r="K2011" s="38">
        <f t="shared" si="96"/>
        <v>271231400</v>
      </c>
      <c r="L2011" s="192" t="s">
        <v>164</v>
      </c>
      <c r="M2011" s="192" t="s">
        <v>158</v>
      </c>
      <c r="N2011" s="52" t="str">
        <f>IF(AND('331-CT'!$E$7=TH!H2011,OR(L2011="331",M2011="331")),"331",IF(AND(OR(L2011="131",M2011="131"),H2011='131-CT'!$E$7),"131",""))</f>
        <v/>
      </c>
      <c r="O2011" s="818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751"/>
      <c r="AB2011" s="552"/>
      <c r="AC2011" s="552"/>
    </row>
    <row r="2012" spans="1:29" s="209" customFormat="1" ht="15.75" customHeight="1">
      <c r="A2012" s="202" t="str">
        <f>IF(B2012&lt;&gt;"",IF(AND(B2012&gt;=_TM1,B2012&lt;=_TM2,OR(TH!L2012="1111",TH!M2012="1111")),TH!D2012,""),"")</f>
        <v/>
      </c>
      <c r="B2012" s="36">
        <f t="shared" si="97"/>
        <v>6</v>
      </c>
      <c r="C2012" s="182">
        <f t="shared" si="94"/>
        <v>42535</v>
      </c>
      <c r="D2012" s="182" t="s">
        <v>1445</v>
      </c>
      <c r="E2012" s="691">
        <v>42535</v>
      </c>
      <c r="F2012" s="40" t="s">
        <v>680</v>
      </c>
      <c r="G2012" s="451"/>
      <c r="H2012" s="191" t="s">
        <v>1449</v>
      </c>
      <c r="I2012" s="252">
        <v>5201</v>
      </c>
      <c r="J2012" s="252">
        <v>9000</v>
      </c>
      <c r="K2012" s="38">
        <f t="shared" si="96"/>
        <v>46809000</v>
      </c>
      <c r="L2012" s="192" t="s">
        <v>164</v>
      </c>
      <c r="M2012" s="192" t="s">
        <v>158</v>
      </c>
      <c r="N2012" s="52" t="str">
        <f>IF(AND('331-CT'!$E$7=TH!H2012,OR(L2012="331",M2012="331")),"331",IF(AND(OR(L2012="131",M2012="131"),H2012='131-CT'!$E$7),"131",""))</f>
        <v/>
      </c>
      <c r="O2012" s="818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751"/>
      <c r="AB2012" s="552"/>
    </row>
    <row r="2013" spans="1:29" s="209" customFormat="1" ht="15.75" customHeight="1">
      <c r="A2013" s="202" t="str">
        <f>IF(B2013&lt;&gt;"",IF(AND(B2013&gt;=_TM1,B2013&lt;=_TM2,OR(TH!L2013="1111",TH!M2013="1111")),TH!D2013,""),"")</f>
        <v/>
      </c>
      <c r="B2013" s="36">
        <f t="shared" si="97"/>
        <v>6</v>
      </c>
      <c r="C2013" s="182">
        <f t="shared" si="94"/>
        <v>42522</v>
      </c>
      <c r="D2013" s="182" t="s">
        <v>1445</v>
      </c>
      <c r="E2013" s="691">
        <v>42522</v>
      </c>
      <c r="F2013" s="40" t="s">
        <v>676</v>
      </c>
      <c r="G2013" s="451"/>
      <c r="H2013" s="191" t="s">
        <v>1449</v>
      </c>
      <c r="I2013" s="252">
        <v>5000</v>
      </c>
      <c r="J2013" s="252">
        <v>7600</v>
      </c>
      <c r="K2013" s="38">
        <f t="shared" si="96"/>
        <v>38000000</v>
      </c>
      <c r="L2013" s="192" t="s">
        <v>164</v>
      </c>
      <c r="M2013" s="192" t="s">
        <v>158</v>
      </c>
      <c r="N2013" s="52" t="str">
        <f>IF(AND('331-CT'!$E$7=TH!H2013,OR(L2013="331",M2013="331")),"331",IF(AND(OR(L2013="131",M2013="131"),H2013='131-CT'!$E$7),"131",""))</f>
        <v/>
      </c>
      <c r="O2013" s="818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751"/>
      <c r="AB2013" s="552"/>
      <c r="AC2013" s="552"/>
    </row>
    <row r="2014" spans="1:29" s="209" customFormat="1" ht="15.75" customHeight="1">
      <c r="A2014" s="202" t="str">
        <f>IF(B2014&lt;&gt;"",IF(AND(B2014&gt;=_TM1,B2014&lt;=_TM2,OR(TH!L2014="1111",TH!M2014="1111")),TH!D2014,""),"")</f>
        <v/>
      </c>
      <c r="B2014" s="36">
        <f t="shared" ref="B2014:B2015" si="101">IF(C2014&lt;&gt;"",MONTH(C2014),"")</f>
        <v>7</v>
      </c>
      <c r="C2014" s="182">
        <f t="shared" ref="C2014:C2015" si="102">E2014</f>
        <v>42552</v>
      </c>
      <c r="D2014" s="182" t="s">
        <v>1445</v>
      </c>
      <c r="E2014" s="691">
        <v>42552</v>
      </c>
      <c r="F2014" s="40" t="s">
        <v>680</v>
      </c>
      <c r="G2014" s="451"/>
      <c r="H2014" s="191" t="s">
        <v>1449</v>
      </c>
      <c r="I2014" s="252">
        <v>7200</v>
      </c>
      <c r="J2014" s="252">
        <v>9000</v>
      </c>
      <c r="K2014" s="38">
        <f t="shared" ref="K2014:K2015" si="103">ROUND(I2014*J2014,0)</f>
        <v>64800000</v>
      </c>
      <c r="L2014" s="192" t="s">
        <v>164</v>
      </c>
      <c r="M2014" s="192" t="s">
        <v>158</v>
      </c>
      <c r="N2014" s="52" t="str">
        <f>IF(AND('331-CT'!$E$7=TH!H2014,OR(L2014="331",M2014="331")),"331",IF(AND(OR(L2014="131",M2014="131"),H2014='131-CT'!$E$7),"131",""))</f>
        <v/>
      </c>
      <c r="O2014" s="818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A2014" s="751"/>
      <c r="AB2014" s="552"/>
    </row>
    <row r="2015" spans="1:29" s="209" customFormat="1" ht="15.75" customHeight="1">
      <c r="A2015" s="202" t="str">
        <f>IF(B2015&lt;&gt;"",IF(AND(B2015&gt;=_TM1,B2015&lt;=_TM2,OR(TH!L2015="1111",TH!M2015="1111")),TH!D2015,""),"")</f>
        <v/>
      </c>
      <c r="B2015" s="36">
        <f t="shared" si="101"/>
        <v>9</v>
      </c>
      <c r="C2015" s="182">
        <f t="shared" si="102"/>
        <v>42614</v>
      </c>
      <c r="D2015" s="182" t="s">
        <v>1445</v>
      </c>
      <c r="E2015" s="691">
        <v>42614</v>
      </c>
      <c r="F2015" s="40" t="s">
        <v>676</v>
      </c>
      <c r="G2015" s="451"/>
      <c r="H2015" s="191" t="s">
        <v>1449</v>
      </c>
      <c r="I2015" s="252">
        <v>3306</v>
      </c>
      <c r="J2015" s="252">
        <v>7600</v>
      </c>
      <c r="K2015" s="38">
        <f t="shared" si="103"/>
        <v>25125600</v>
      </c>
      <c r="L2015" s="192" t="s">
        <v>164</v>
      </c>
      <c r="M2015" s="192" t="s">
        <v>158</v>
      </c>
      <c r="N2015" s="52" t="str">
        <f>IF(AND('331-CT'!$E$7=TH!H2015,OR(L2015="331",M2015="331")),"331",IF(AND(OR(L2015="131",M2015="131"),H2015='131-CT'!$E$7),"131",""))</f>
        <v/>
      </c>
      <c r="O2015" s="818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A2015" s="751"/>
      <c r="AB2015" s="552"/>
      <c r="AC2015" s="552"/>
    </row>
    <row r="2016" spans="1:29" s="788" customFormat="1" ht="15.75" customHeight="1">
      <c r="A2016" s="202" t="str">
        <f>IF(B2016&lt;&gt;"",IF(AND(B2016&gt;=_TM1,B2016&lt;=_TM2,OR(TH!L2016="1111",TH!M2016="1111")),TH!D2016,""),"")</f>
        <v/>
      </c>
      <c r="B2016" s="779">
        <f t="shared" si="97"/>
        <v>10</v>
      </c>
      <c r="C2016" s="780">
        <f t="shared" si="94"/>
        <v>42644</v>
      </c>
      <c r="D2016" s="780" t="s">
        <v>1445</v>
      </c>
      <c r="E2016" s="781">
        <v>42644</v>
      </c>
      <c r="F2016" s="885" t="s">
        <v>676</v>
      </c>
      <c r="G2016" s="783"/>
      <c r="H2016" s="886" t="s">
        <v>1449</v>
      </c>
      <c r="I2016" s="887">
        <v>7969</v>
      </c>
      <c r="J2016" s="887">
        <v>7600</v>
      </c>
      <c r="K2016" s="829">
        <f t="shared" si="96"/>
        <v>60564400</v>
      </c>
      <c r="L2016" s="836" t="s">
        <v>164</v>
      </c>
      <c r="M2016" s="836" t="s">
        <v>158</v>
      </c>
      <c r="N2016" s="52" t="str">
        <f>IF(AND('331-CT'!$E$7=TH!H2016,OR(L2016="331",M2016="331")),"331",IF(AND(OR(L2016="131",M2016="131"),H2016='131-CT'!$E$7),"131",""))</f>
        <v/>
      </c>
      <c r="O2016" s="818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88"/>
      <c r="AB2016" s="787"/>
      <c r="AC2016" s="787"/>
    </row>
    <row r="2017" spans="1:30" s="209" customFormat="1" ht="15.75" customHeight="1">
      <c r="A2017" s="202" t="str">
        <f>IF(B2017&lt;&gt;"",IF(AND(B2017&gt;=_TM1,B2017&lt;=_TM2,OR(TH!L2017="1111",TH!M2017="1111")),TH!D2017,""),"")</f>
        <v/>
      </c>
      <c r="B2017" s="36">
        <f t="shared" si="97"/>
        <v>10</v>
      </c>
      <c r="C2017" s="182">
        <f t="shared" si="94"/>
        <v>42648</v>
      </c>
      <c r="D2017" s="182" t="s">
        <v>1445</v>
      </c>
      <c r="E2017" s="189">
        <v>42648</v>
      </c>
      <c r="F2017" s="40" t="s">
        <v>676</v>
      </c>
      <c r="G2017" s="451"/>
      <c r="H2017" s="191" t="s">
        <v>1449</v>
      </c>
      <c r="I2017" s="252">
        <v>10100</v>
      </c>
      <c r="J2017" s="252">
        <v>7300</v>
      </c>
      <c r="K2017" s="38">
        <f t="shared" si="96"/>
        <v>73730000</v>
      </c>
      <c r="L2017" s="192" t="s">
        <v>164</v>
      </c>
      <c r="M2017" s="192" t="s">
        <v>158</v>
      </c>
      <c r="N2017" s="52" t="str">
        <f>IF(AND('331-CT'!$E$7=TH!H2017,OR(L2017="331",M2017="331")),"331",IF(AND(OR(L2017="131",M2017="131"),H2017='131-CT'!$E$7),"131",""))</f>
        <v/>
      </c>
      <c r="O2017" s="818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751"/>
      <c r="AB2017" s="552"/>
      <c r="AC2017" s="552"/>
    </row>
    <row r="2018" spans="1:30" s="209" customFormat="1" ht="15.75" customHeight="1">
      <c r="A2018" s="202" t="str">
        <f>IF(B2018&lt;&gt;"",IF(AND(B2018&gt;=_TM1,B2018&lt;=_TM2,OR(TH!L2018="1111",TH!M2018="1111")),TH!D2018,""),"")</f>
        <v/>
      </c>
      <c r="B2018" s="36">
        <f t="shared" si="97"/>
        <v>10</v>
      </c>
      <c r="C2018" s="182">
        <f t="shared" si="94"/>
        <v>42648</v>
      </c>
      <c r="D2018" s="182" t="s">
        <v>1445</v>
      </c>
      <c r="E2018" s="189">
        <v>42648</v>
      </c>
      <c r="F2018" s="40" t="s">
        <v>690</v>
      </c>
      <c r="G2018" s="451"/>
      <c r="H2018" s="191" t="s">
        <v>1449</v>
      </c>
      <c r="I2018" s="252">
        <v>7166</v>
      </c>
      <c r="J2018" s="252">
        <v>8600</v>
      </c>
      <c r="K2018" s="38">
        <f t="shared" si="96"/>
        <v>61627600</v>
      </c>
      <c r="L2018" s="192" t="s">
        <v>164</v>
      </c>
      <c r="M2018" s="192" t="s">
        <v>158</v>
      </c>
      <c r="N2018" s="52" t="str">
        <f>IF(AND('331-CT'!$E$7=TH!H2018,OR(L2018="331",M2018="331")),"331",IF(AND(OR(L2018="131",M2018="131"),H2018='131-CT'!$E$7),"131",""))</f>
        <v/>
      </c>
      <c r="O2018" s="818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751"/>
      <c r="AB2018" s="552"/>
      <c r="AC2018" s="552"/>
    </row>
    <row r="2019" spans="1:30" s="209" customFormat="1" ht="15.75" customHeight="1">
      <c r="A2019" s="202" t="str">
        <f>IF(B2019&lt;&gt;"",IF(AND(B2019&gt;=_TM1,B2019&lt;=_TM2,OR(TH!L2019="1111",TH!M2019="1111")),TH!D2019,""),"")</f>
        <v/>
      </c>
      <c r="B2019" s="36">
        <f t="shared" si="97"/>
        <v>10</v>
      </c>
      <c r="C2019" s="182">
        <f t="shared" si="94"/>
        <v>42663</v>
      </c>
      <c r="D2019" s="182" t="s">
        <v>1445</v>
      </c>
      <c r="E2019" s="189">
        <v>42663</v>
      </c>
      <c r="F2019" s="40" t="s">
        <v>680</v>
      </c>
      <c r="G2019" s="451"/>
      <c r="H2019" s="191" t="s">
        <v>1449</v>
      </c>
      <c r="I2019" s="252">
        <v>8288</v>
      </c>
      <c r="J2019" s="252">
        <v>9000</v>
      </c>
      <c r="K2019" s="38">
        <f t="shared" si="96"/>
        <v>74592000</v>
      </c>
      <c r="L2019" s="192" t="s">
        <v>164</v>
      </c>
      <c r="M2019" s="192" t="s">
        <v>158</v>
      </c>
      <c r="N2019" s="52" t="str">
        <f>IF(AND('331-CT'!$E$7=TH!H2019,OR(L2019="331",M2019="331")),"331",IF(AND(OR(L2019="131",M2019="131"),H2019='131-CT'!$E$7),"131",""))</f>
        <v/>
      </c>
      <c r="O2019" s="818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751"/>
      <c r="AB2019" s="552"/>
      <c r="AC2019" s="552"/>
    </row>
    <row r="2020" spans="1:30" s="209" customFormat="1" ht="15.75" customHeight="1">
      <c r="A2020" s="202" t="str">
        <f>IF(B2020&lt;&gt;"",IF(AND(B2020&gt;=_TM1,B2020&lt;=_TM2,OR(TH!L2020="1111",TH!M2020="1111")),TH!D2020,""),"")</f>
        <v/>
      </c>
      <c r="B2020" s="36">
        <f t="shared" si="97"/>
        <v>11</v>
      </c>
      <c r="C2020" s="182">
        <f t="shared" si="94"/>
        <v>42675</v>
      </c>
      <c r="D2020" s="182" t="s">
        <v>1445</v>
      </c>
      <c r="E2020" s="189">
        <v>42675</v>
      </c>
      <c r="F2020" s="40" t="s">
        <v>680</v>
      </c>
      <c r="G2020" s="451"/>
      <c r="H2020" s="191" t="s">
        <v>1449</v>
      </c>
      <c r="I2020" s="252">
        <v>8778</v>
      </c>
      <c r="J2020" s="252">
        <v>9000</v>
      </c>
      <c r="K2020" s="38">
        <f t="shared" si="96"/>
        <v>79002000</v>
      </c>
      <c r="L2020" s="192" t="s">
        <v>164</v>
      </c>
      <c r="M2020" s="192" t="s">
        <v>158</v>
      </c>
      <c r="N2020" s="52" t="str">
        <f>IF(AND('331-CT'!$E$7=TH!H2020,OR(L2020="331",M2020="331")),"331",IF(AND(OR(L2020="131",M2020="131"),H2020='131-CT'!$E$7),"131",""))</f>
        <v/>
      </c>
      <c r="O2020" s="818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751"/>
      <c r="AB2020" s="552"/>
    </row>
    <row r="2021" spans="1:30" s="209" customFormat="1" ht="15.75" customHeight="1">
      <c r="A2021" s="202" t="str">
        <f>IF(B2021&lt;&gt;"",IF(AND(B2021&gt;=_TM1,B2021&lt;=_TM2,OR(TH!L2021="1111",TH!M2021="1111")),TH!D2021,""),"")</f>
        <v/>
      </c>
      <c r="B2021" s="36">
        <f t="shared" si="97"/>
        <v>11</v>
      </c>
      <c r="C2021" s="182">
        <f t="shared" si="94"/>
        <v>42675</v>
      </c>
      <c r="D2021" s="182" t="s">
        <v>1445</v>
      </c>
      <c r="E2021" s="37">
        <v>42675</v>
      </c>
      <c r="F2021" s="40" t="s">
        <v>676</v>
      </c>
      <c r="G2021" s="40"/>
      <c r="H2021" s="191" t="s">
        <v>1449</v>
      </c>
      <c r="I2021" s="252">
        <v>10150</v>
      </c>
      <c r="J2021" s="252">
        <v>7300</v>
      </c>
      <c r="K2021" s="38">
        <f t="shared" si="96"/>
        <v>74095000</v>
      </c>
      <c r="L2021" s="192" t="s">
        <v>164</v>
      </c>
      <c r="M2021" s="192" t="s">
        <v>158</v>
      </c>
      <c r="N2021" s="52" t="str">
        <f>IF(AND('331-CT'!$E$7=TH!H2021,OR(L2021="331",M2021="331")),"331",IF(AND(OR(L2021="131",M2021="131"),H2021='131-CT'!$E$7),"131",""))</f>
        <v/>
      </c>
      <c r="O2021" s="818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751"/>
      <c r="AB2021" s="552"/>
      <c r="AC2021" s="552"/>
    </row>
    <row r="2022" spans="1:30" s="209" customFormat="1" ht="15.75" customHeight="1">
      <c r="A2022" s="202" t="str">
        <f>IF(B2022&lt;&gt;"",IF(AND(B2022&gt;=_TM1,B2022&lt;=_TM2,OR(TH!L2022="1111",TH!M2022="1111")),TH!D2022,""),"")</f>
        <v/>
      </c>
      <c r="B2022" s="36">
        <f t="shared" si="97"/>
        <v>11</v>
      </c>
      <c r="C2022" s="182">
        <f t="shared" si="94"/>
        <v>42689</v>
      </c>
      <c r="D2022" s="182" t="s">
        <v>1445</v>
      </c>
      <c r="E2022" s="37">
        <v>42689</v>
      </c>
      <c r="F2022" s="40" t="s">
        <v>853</v>
      </c>
      <c r="G2022" s="40"/>
      <c r="H2022" s="191" t="s">
        <v>1449</v>
      </c>
      <c r="I2022" s="252">
        <v>4777</v>
      </c>
      <c r="J2022" s="252">
        <v>8500</v>
      </c>
      <c r="K2022" s="38">
        <f t="shared" si="96"/>
        <v>40604500</v>
      </c>
      <c r="L2022" s="192" t="s">
        <v>164</v>
      </c>
      <c r="M2022" s="192" t="s">
        <v>158</v>
      </c>
      <c r="N2022" s="52" t="str">
        <f>IF(AND('331-CT'!$E$7=TH!H2022,OR(L2022="331",M2022="331")),"331",IF(AND(OR(L2022="131",M2022="131"),H2022='131-CT'!$E$7),"131",""))</f>
        <v/>
      </c>
      <c r="O2022" s="818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751"/>
      <c r="AB2022" s="552"/>
    </row>
    <row r="2023" spans="1:30" s="209" customFormat="1" ht="15.75" customHeight="1">
      <c r="A2023" s="202" t="str">
        <f>IF(B2023&lt;&gt;"",IF(AND(B2023&gt;=_TM1,B2023&lt;=_TM2,OR(TH!L2023="1111",TH!M2023="1111")),TH!D2023,""),"")</f>
        <v/>
      </c>
      <c r="B2023" s="36">
        <f t="shared" si="97"/>
        <v>11</v>
      </c>
      <c r="C2023" s="182">
        <f t="shared" si="94"/>
        <v>42689</v>
      </c>
      <c r="D2023" s="182" t="s">
        <v>1445</v>
      </c>
      <c r="E2023" s="37">
        <v>42689</v>
      </c>
      <c r="F2023" s="40" t="s">
        <v>1248</v>
      </c>
      <c r="G2023" s="40"/>
      <c r="H2023" s="191" t="s">
        <v>1449</v>
      </c>
      <c r="I2023" s="252">
        <v>10008</v>
      </c>
      <c r="J2023" s="252">
        <v>8500</v>
      </c>
      <c r="K2023" s="38">
        <f t="shared" si="96"/>
        <v>85068000</v>
      </c>
      <c r="L2023" s="192" t="s">
        <v>164</v>
      </c>
      <c r="M2023" s="192" t="s">
        <v>158</v>
      </c>
      <c r="N2023" s="52" t="str">
        <f>IF(AND('331-CT'!$E$7=TH!H2023,OR(L2023="331",M2023="331")),"331",IF(AND(OR(L2023="131",M2023="131"),H2023='131-CT'!$E$7),"131",""))</f>
        <v/>
      </c>
      <c r="O2023" s="818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751"/>
      <c r="AB2023" s="552"/>
      <c r="AC2023" s="552"/>
    </row>
    <row r="2024" spans="1:30" s="209" customFormat="1" ht="15.75" customHeight="1">
      <c r="A2024" s="202" t="str">
        <f>IF(B2024&lt;&gt;"",IF(AND(B2024&gt;=_TM1,B2024&lt;=_TM2,OR(TH!L2024="1111",TH!M2024="1111")),TH!D2024,""),"")</f>
        <v/>
      </c>
      <c r="B2024" s="36">
        <f t="shared" si="97"/>
        <v>11</v>
      </c>
      <c r="C2024" s="182">
        <f t="shared" si="94"/>
        <v>42699</v>
      </c>
      <c r="D2024" s="182" t="s">
        <v>1445</v>
      </c>
      <c r="E2024" s="189">
        <v>42699</v>
      </c>
      <c r="F2024" s="187" t="s">
        <v>1245</v>
      </c>
      <c r="G2024" s="562"/>
      <c r="H2024" s="191" t="s">
        <v>1449</v>
      </c>
      <c r="I2024" s="252">
        <v>806</v>
      </c>
      <c r="J2024" s="252">
        <v>7600</v>
      </c>
      <c r="K2024" s="38">
        <f t="shared" si="96"/>
        <v>6125600</v>
      </c>
      <c r="L2024" s="192" t="s">
        <v>164</v>
      </c>
      <c r="M2024" s="192" t="s">
        <v>158</v>
      </c>
      <c r="N2024" s="52" t="str">
        <f>IF(AND('331-CT'!$E$7=TH!H2024,OR(L2024="331",M2024="331")),"331",IF(AND(OR(L2024="131",M2024="131"),H2024='131-CT'!$E$7),"131",""))</f>
        <v/>
      </c>
      <c r="O2024" s="818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751"/>
      <c r="AB2024" s="552"/>
    </row>
    <row r="2025" spans="1:30" s="209" customFormat="1" ht="15.75" customHeight="1">
      <c r="A2025" s="202" t="str">
        <f>IF(B2025&lt;&gt;"",IF(AND(B2025&gt;=_TM1,B2025&lt;=_TM2,OR(TH!L2025="1111",TH!M2025="1111")),TH!D2025,""),"")</f>
        <v/>
      </c>
      <c r="B2025" s="36">
        <f t="shared" si="97"/>
        <v>12</v>
      </c>
      <c r="C2025" s="182">
        <f t="shared" si="94"/>
        <v>42705</v>
      </c>
      <c r="D2025" s="182" t="s">
        <v>1445</v>
      </c>
      <c r="E2025" s="189">
        <v>42705</v>
      </c>
      <c r="F2025" s="187" t="s">
        <v>1247</v>
      </c>
      <c r="G2025" s="562"/>
      <c r="H2025" s="191" t="s">
        <v>1449</v>
      </c>
      <c r="I2025" s="252">
        <v>6282</v>
      </c>
      <c r="J2025" s="252">
        <v>9200</v>
      </c>
      <c r="K2025" s="38">
        <f t="shared" si="96"/>
        <v>57794400</v>
      </c>
      <c r="L2025" s="192" t="s">
        <v>164</v>
      </c>
      <c r="M2025" s="192" t="s">
        <v>158</v>
      </c>
      <c r="N2025" s="52" t="str">
        <f>IF(AND('331-CT'!$E$7=TH!H2025,OR(L2025="331",M2025="331")),"331",IF(AND(OR(L2025="131",M2025="131"),H2025='131-CT'!$E$7),"131",""))</f>
        <v/>
      </c>
      <c r="O2025" s="818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751"/>
      <c r="AB2025" s="552"/>
      <c r="AC2025" s="552"/>
    </row>
    <row r="2026" spans="1:30" s="209" customFormat="1" ht="15.75" customHeight="1">
      <c r="A2026" s="202" t="str">
        <f>IF(B2026&lt;&gt;"",IF(AND(B2026&gt;=_TM1,B2026&lt;=_TM2,OR(TH!L2026="1111",TH!M2026="1111")),TH!D2026,""),"")</f>
        <v/>
      </c>
      <c r="B2026" s="36">
        <f t="shared" si="97"/>
        <v>12</v>
      </c>
      <c r="C2026" s="182">
        <f t="shared" si="94"/>
        <v>42705</v>
      </c>
      <c r="D2026" s="182" t="s">
        <v>1445</v>
      </c>
      <c r="E2026" s="189">
        <v>42705</v>
      </c>
      <c r="F2026" s="187" t="s">
        <v>1248</v>
      </c>
      <c r="G2026" s="562"/>
      <c r="H2026" s="191" t="s">
        <v>1449</v>
      </c>
      <c r="I2026" s="252">
        <v>4325</v>
      </c>
      <c r="J2026" s="252">
        <v>8500</v>
      </c>
      <c r="K2026" s="38">
        <f t="shared" si="96"/>
        <v>36762500</v>
      </c>
      <c r="L2026" s="192" t="s">
        <v>164</v>
      </c>
      <c r="M2026" s="192" t="s">
        <v>158</v>
      </c>
      <c r="N2026" s="52" t="str">
        <f>IF(AND('331-CT'!$E$7=TH!H2026,OR(L2026="331",M2026="331")),"331",IF(AND(OR(L2026="131",M2026="131"),H2026='131-CT'!$E$7),"131",""))</f>
        <v/>
      </c>
      <c r="O2026" s="818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751"/>
      <c r="AB2026" s="552"/>
      <c r="AC2026" s="552"/>
    </row>
    <row r="2027" spans="1:30" s="209" customFormat="1" ht="15.75" customHeight="1">
      <c r="A2027" s="202" t="str">
        <f>IF(B2027&lt;&gt;"",IF(AND(B2027&gt;=_TM1,B2027&lt;=_TM2,OR(TH!L2027="1111",TH!M2027="1111")),TH!D2027,""),"")</f>
        <v/>
      </c>
      <c r="B2027" s="36">
        <f t="shared" si="97"/>
        <v>12</v>
      </c>
      <c r="C2027" s="182">
        <f t="shared" si="94"/>
        <v>42719</v>
      </c>
      <c r="D2027" s="182" t="s">
        <v>1445</v>
      </c>
      <c r="E2027" s="691">
        <v>42719</v>
      </c>
      <c r="F2027" s="187" t="s">
        <v>1247</v>
      </c>
      <c r="G2027" s="40"/>
      <c r="H2027" s="191" t="s">
        <v>1449</v>
      </c>
      <c r="I2027" s="252">
        <v>1215</v>
      </c>
      <c r="J2027" s="252">
        <v>9200</v>
      </c>
      <c r="K2027" s="38">
        <f t="shared" si="96"/>
        <v>11178000</v>
      </c>
      <c r="L2027" s="192" t="s">
        <v>164</v>
      </c>
      <c r="M2027" s="192" t="s">
        <v>158</v>
      </c>
      <c r="N2027" s="52" t="str">
        <f>IF(AND('331-CT'!$E$7=TH!H2027,OR(L2027="331",M2027="331")),"331",IF(AND(OR(L2027="131",M2027="131"),H2027='131-CT'!$E$7),"131",""))</f>
        <v/>
      </c>
      <c r="O2027" s="818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751"/>
      <c r="AB2027" s="552"/>
    </row>
    <row r="2028" spans="1:30" s="209" customFormat="1" ht="15.75" customHeight="1">
      <c r="A2028" s="202" t="str">
        <f>IF(B2028&lt;&gt;"",IF(AND(B2028&gt;=_TM1,B2028&lt;=_TM2,OR(TH!L2028="1111",TH!M2028="1111")),TH!D2028,""),"")</f>
        <v/>
      </c>
      <c r="B2028" s="36">
        <f t="shared" si="97"/>
        <v>12</v>
      </c>
      <c r="C2028" s="182">
        <f t="shared" si="94"/>
        <v>42719</v>
      </c>
      <c r="D2028" s="182" t="s">
        <v>1445</v>
      </c>
      <c r="E2028" s="691">
        <v>42719</v>
      </c>
      <c r="F2028" s="40" t="s">
        <v>1250</v>
      </c>
      <c r="G2028" s="40"/>
      <c r="H2028" s="191" t="s">
        <v>1449</v>
      </c>
      <c r="I2028" s="252">
        <v>3085</v>
      </c>
      <c r="J2028" s="252">
        <v>9200</v>
      </c>
      <c r="K2028" s="38">
        <f t="shared" si="96"/>
        <v>28382000</v>
      </c>
      <c r="L2028" s="192" t="s">
        <v>164</v>
      </c>
      <c r="M2028" s="192" t="s">
        <v>158</v>
      </c>
      <c r="N2028" s="52" t="str">
        <f>IF(AND('331-CT'!$E$7=TH!H2028,OR(L2028="331",M2028="331")),"331",IF(AND(OR(L2028="131",M2028="131"),H2028='131-CT'!$E$7),"131",""))</f>
        <v/>
      </c>
      <c r="O2028" s="818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751"/>
      <c r="AB2028" s="552"/>
      <c r="AC2028" s="552"/>
    </row>
    <row r="2029" spans="1:30" s="788" customFormat="1" ht="15.75" customHeight="1">
      <c r="A2029" s="202" t="str">
        <f>IF(B2029&lt;&gt;"",IF(AND(B2029&gt;=_TM1,B2029&lt;=_TM2,OR(TH!L2029="1111",TH!M2029="1111")),TH!D2029,""),"")</f>
        <v/>
      </c>
      <c r="B2029" s="779">
        <f t="shared" si="97"/>
        <v>1</v>
      </c>
      <c r="C2029" s="780">
        <f t="shared" si="94"/>
        <v>42373</v>
      </c>
      <c r="D2029" s="780" t="s">
        <v>1547</v>
      </c>
      <c r="E2029" s="851">
        <v>42373</v>
      </c>
      <c r="F2029" s="893" t="s">
        <v>482</v>
      </c>
      <c r="G2029" s="885" t="s">
        <v>828</v>
      </c>
      <c r="H2029" s="784" t="s">
        <v>1549</v>
      </c>
      <c r="I2029" s="785">
        <v>695</v>
      </c>
      <c r="J2029" s="785">
        <v>10512.108116819038</v>
      </c>
      <c r="K2029" s="829">
        <f t="shared" si="96"/>
        <v>7305915</v>
      </c>
      <c r="L2029" s="891" t="s">
        <v>166</v>
      </c>
      <c r="M2029" s="891" t="s">
        <v>164</v>
      </c>
      <c r="N2029" s="52" t="str">
        <f>IF(AND('331-CT'!$E$7=TH!H2029,OR(L2029="331",M2029="331")),"331",IF(AND(OR(L2029="131",M2029="131"),H2029='131-CT'!$E$7),"131",""))</f>
        <v/>
      </c>
      <c r="O2029" s="818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88"/>
      <c r="AB2029" s="787"/>
      <c r="AC2029" s="787"/>
    </row>
    <row r="2030" spans="1:30" s="209" customFormat="1" ht="15.75" customHeight="1">
      <c r="A2030" s="202" t="str">
        <f>IF(B2030&lt;&gt;"",IF(AND(B2030&gt;=_TM1,B2030&lt;=_TM2,OR(TH!L2030="1111",TH!M2030="1111")),TH!D2030,""),"")</f>
        <v/>
      </c>
      <c r="B2030" s="36">
        <f t="shared" si="97"/>
        <v>1</v>
      </c>
      <c r="C2030" s="182">
        <f t="shared" si="94"/>
        <v>42373</v>
      </c>
      <c r="D2030" s="182" t="s">
        <v>1547</v>
      </c>
      <c r="E2030" s="691">
        <v>42373</v>
      </c>
      <c r="F2030" s="40" t="s">
        <v>404</v>
      </c>
      <c r="G2030" s="40" t="s">
        <v>828</v>
      </c>
      <c r="H2030" s="7" t="s">
        <v>1549</v>
      </c>
      <c r="I2030" s="251">
        <v>2840</v>
      </c>
      <c r="J2030" s="251">
        <v>8760.0904929577464</v>
      </c>
      <c r="K2030" s="38">
        <f t="shared" si="96"/>
        <v>24878657</v>
      </c>
      <c r="L2030" s="561" t="s">
        <v>166</v>
      </c>
      <c r="M2030" s="561" t="s">
        <v>164</v>
      </c>
      <c r="N2030" s="52" t="str">
        <f>IF(AND('331-CT'!$E$7=TH!H2030,OR(L2030="331",M2030="331")),"331",IF(AND(OR(L2030="131",M2030="131"),H2030='131-CT'!$E$7),"131",""))</f>
        <v/>
      </c>
      <c r="O2030" s="818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751"/>
      <c r="AB2030" s="552"/>
      <c r="AD2030" s="931"/>
    </row>
    <row r="2031" spans="1:30" s="209" customFormat="1" ht="15.75" customHeight="1">
      <c r="A2031" s="202" t="str">
        <f>IF(B2031&lt;&gt;"",IF(AND(B2031&gt;=_TM1,B2031&lt;=_TM2,OR(TH!L2031="1111",TH!M2031="1111")),TH!D2031,""),"")</f>
        <v/>
      </c>
      <c r="B2031" s="36">
        <f t="shared" si="97"/>
        <v>1</v>
      </c>
      <c r="C2031" s="182">
        <f t="shared" si="94"/>
        <v>42373</v>
      </c>
      <c r="D2031" s="182" t="s">
        <v>1547</v>
      </c>
      <c r="E2031" s="691">
        <v>42373</v>
      </c>
      <c r="F2031" s="187" t="s">
        <v>863</v>
      </c>
      <c r="G2031" s="40" t="s">
        <v>864</v>
      </c>
      <c r="H2031" s="7" t="s">
        <v>1549</v>
      </c>
      <c r="I2031" s="714">
        <v>500</v>
      </c>
      <c r="J2031" s="251">
        <v>7425.2219999999998</v>
      </c>
      <c r="K2031" s="38">
        <f t="shared" ref="K2031:K2094" si="104">ROUND(I2031*J2031,0)</f>
        <v>3712611</v>
      </c>
      <c r="L2031" s="561" t="s">
        <v>166</v>
      </c>
      <c r="M2031" s="561" t="s">
        <v>164</v>
      </c>
      <c r="N2031" s="52" t="str">
        <f>IF(AND('331-CT'!$E$7=TH!H2031,OR(L2031="331",M2031="331")),"331",IF(AND(OR(L2031="131",M2031="131"),H2031='131-CT'!$E$7),"131",""))</f>
        <v/>
      </c>
      <c r="O2031" s="818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751"/>
      <c r="AB2031" s="552"/>
      <c r="AC2031" s="552"/>
      <c r="AD2031" s="931"/>
    </row>
    <row r="2032" spans="1:30" s="209" customFormat="1" ht="15.75" customHeight="1">
      <c r="A2032" s="202" t="str">
        <f>IF(B2032&lt;&gt;"",IF(AND(B2032&gt;=_TM1,B2032&lt;=_TM2,OR(TH!L2032="1111",TH!M2032="1111")),TH!D2032,""),"")</f>
        <v/>
      </c>
      <c r="B2032" s="36">
        <f t="shared" si="97"/>
        <v>1</v>
      </c>
      <c r="C2032" s="182">
        <f t="shared" si="94"/>
        <v>42374</v>
      </c>
      <c r="D2032" s="182" t="s">
        <v>1547</v>
      </c>
      <c r="E2032" s="691">
        <v>42374</v>
      </c>
      <c r="F2032" s="40" t="s">
        <v>1443</v>
      </c>
      <c r="G2032" s="40" t="s">
        <v>865</v>
      </c>
      <c r="H2032" s="7" t="s">
        <v>1549</v>
      </c>
      <c r="I2032" s="714">
        <v>716</v>
      </c>
      <c r="J2032" s="251">
        <v>7925.7974860335198</v>
      </c>
      <c r="K2032" s="38">
        <f t="shared" si="104"/>
        <v>5674871</v>
      </c>
      <c r="L2032" s="561" t="s">
        <v>166</v>
      </c>
      <c r="M2032" s="561" t="s">
        <v>164</v>
      </c>
      <c r="N2032" s="52" t="str">
        <f>IF(AND('331-CT'!$E$7=TH!H2032,OR(L2032="331",M2032="331")),"331",IF(AND(OR(L2032="131",M2032="131"),H2032='131-CT'!$E$7),"131",""))</f>
        <v/>
      </c>
      <c r="O2032" s="818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751"/>
      <c r="AB2032" s="552"/>
      <c r="AC2032" s="552"/>
      <c r="AD2032" s="931"/>
    </row>
    <row r="2033" spans="1:29" s="209" customFormat="1" ht="15.75" customHeight="1">
      <c r="A2033" s="202" t="str">
        <f>IF(B2033&lt;&gt;"",IF(AND(B2033&gt;=_TM1,B2033&lt;=_TM2,OR(TH!L2033="1111",TH!M2033="1111")),TH!D2033,""),"")</f>
        <v/>
      </c>
      <c r="B2033" s="36">
        <f t="shared" si="97"/>
        <v>1</v>
      </c>
      <c r="C2033" s="182">
        <f t="shared" si="94"/>
        <v>42374</v>
      </c>
      <c r="D2033" s="182" t="s">
        <v>1547</v>
      </c>
      <c r="E2033" s="691">
        <v>42374</v>
      </c>
      <c r="F2033" s="187" t="s">
        <v>1443</v>
      </c>
      <c r="G2033" s="40" t="s">
        <v>865</v>
      </c>
      <c r="H2033" s="7" t="s">
        <v>1549</v>
      </c>
      <c r="I2033" s="251">
        <v>732</v>
      </c>
      <c r="J2033" s="251">
        <v>8092.654661360687</v>
      </c>
      <c r="K2033" s="38">
        <f t="shared" si="104"/>
        <v>5923823</v>
      </c>
      <c r="L2033" s="561" t="s">
        <v>166</v>
      </c>
      <c r="M2033" s="561" t="s">
        <v>164</v>
      </c>
      <c r="N2033" s="52" t="str">
        <f>IF(AND('331-CT'!$E$7=TH!H2033,OR(L2033="331",M2033="331")),"331",IF(AND(OR(L2033="131",M2033="131"),H2033='131-CT'!$E$7),"131",""))</f>
        <v/>
      </c>
      <c r="O2033" s="818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751"/>
      <c r="AB2033" s="552"/>
    </row>
    <row r="2034" spans="1:29" s="209" customFormat="1" ht="15.75" customHeight="1">
      <c r="A2034" s="202" t="str">
        <f>IF(B2034&lt;&gt;"",IF(AND(B2034&gt;=_TM1,B2034&lt;=_TM2,OR(TH!L2034="1111",TH!M2034="1111")),TH!D2034,""),"")</f>
        <v/>
      </c>
      <c r="B2034" s="36">
        <f t="shared" si="97"/>
        <v>1</v>
      </c>
      <c r="C2034" s="182">
        <f t="shared" si="94"/>
        <v>42374</v>
      </c>
      <c r="D2034" s="182" t="s">
        <v>1547</v>
      </c>
      <c r="E2034" s="691">
        <v>42374</v>
      </c>
      <c r="F2034" s="187" t="s">
        <v>389</v>
      </c>
      <c r="G2034" s="40" t="s">
        <v>866</v>
      </c>
      <c r="H2034" s="7" t="s">
        <v>1549</v>
      </c>
      <c r="I2034" s="251">
        <v>626</v>
      </c>
      <c r="J2034" s="251">
        <v>6841.2132188822297</v>
      </c>
      <c r="K2034" s="38">
        <f t="shared" si="104"/>
        <v>4282599</v>
      </c>
      <c r="L2034" s="561" t="s">
        <v>166</v>
      </c>
      <c r="M2034" s="561" t="s">
        <v>164</v>
      </c>
      <c r="N2034" s="52" t="str">
        <f>IF(AND('331-CT'!$E$7=TH!H2034,OR(L2034="331",M2034="331")),"331",IF(AND(OR(L2034="131",M2034="131"),H2034='131-CT'!$E$7),"131",""))</f>
        <v/>
      </c>
      <c r="O2034" s="818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751"/>
      <c r="AB2034" s="552"/>
      <c r="AC2034" s="552"/>
    </row>
    <row r="2035" spans="1:29" s="209" customFormat="1" ht="15.75" customHeight="1">
      <c r="A2035" s="202" t="str">
        <f>IF(B2035&lt;&gt;"",IF(AND(B2035&gt;=_TM1,B2035&lt;=_TM2,OR(TH!L2035="1111",TH!M2035="1111")),TH!D2035,""),"")</f>
        <v/>
      </c>
      <c r="B2035" s="36">
        <f t="shared" si="97"/>
        <v>1</v>
      </c>
      <c r="C2035" s="182">
        <f t="shared" si="94"/>
        <v>42374</v>
      </c>
      <c r="D2035" s="182" t="s">
        <v>1547</v>
      </c>
      <c r="E2035" s="182">
        <v>42374</v>
      </c>
      <c r="F2035" s="187" t="s">
        <v>392</v>
      </c>
      <c r="G2035" s="562" t="s">
        <v>866</v>
      </c>
      <c r="H2035" s="7" t="s">
        <v>1549</v>
      </c>
      <c r="I2035" s="251">
        <v>613</v>
      </c>
      <c r="J2035" s="251">
        <v>8092.654661360687</v>
      </c>
      <c r="K2035" s="38">
        <f t="shared" si="104"/>
        <v>4960797</v>
      </c>
      <c r="L2035" s="561" t="s">
        <v>166</v>
      </c>
      <c r="M2035" s="561" t="s">
        <v>164</v>
      </c>
      <c r="N2035" s="52" t="str">
        <f>IF(AND('331-CT'!$E$7=TH!H2035,OR(L2035="331",M2035="331")),"331",IF(AND(OR(L2035="131",M2035="131"),H2035='131-CT'!$E$7),"131",""))</f>
        <v/>
      </c>
      <c r="O2035" s="818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751"/>
      <c r="AB2035" s="552"/>
    </row>
    <row r="2036" spans="1:29" s="209" customFormat="1" ht="15.75" customHeight="1">
      <c r="A2036" s="202" t="str">
        <f>IF(B2036&lt;&gt;"",IF(AND(B2036&gt;=_TM1,B2036&lt;=_TM2,OR(TH!L2036="1111",TH!M2036="1111")),TH!D2036,""),"")</f>
        <v/>
      </c>
      <c r="B2036" s="36">
        <f t="shared" si="97"/>
        <v>1</v>
      </c>
      <c r="C2036" s="182">
        <f t="shared" si="94"/>
        <v>42374</v>
      </c>
      <c r="D2036" s="182" t="s">
        <v>1547</v>
      </c>
      <c r="E2036" s="691">
        <v>42374</v>
      </c>
      <c r="F2036" s="40" t="s">
        <v>594</v>
      </c>
      <c r="G2036" s="40" t="s">
        <v>866</v>
      </c>
      <c r="H2036" s="7" t="s">
        <v>1549</v>
      </c>
      <c r="I2036" s="251">
        <v>612</v>
      </c>
      <c r="J2036" s="251">
        <v>7508.6486548707408</v>
      </c>
      <c r="K2036" s="38">
        <f t="shared" si="104"/>
        <v>4595293</v>
      </c>
      <c r="L2036" s="561" t="s">
        <v>166</v>
      </c>
      <c r="M2036" s="561" t="s">
        <v>164</v>
      </c>
      <c r="N2036" s="52" t="str">
        <f>IF(AND('331-CT'!$E$7=TH!H2036,OR(L2036="331",M2036="331")),"331",IF(AND(OR(L2036="131",M2036="131"),H2036='131-CT'!$E$7),"131",""))</f>
        <v/>
      </c>
      <c r="O2036" s="818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751"/>
      <c r="AB2036" s="552"/>
      <c r="AC2036" s="552"/>
    </row>
    <row r="2037" spans="1:29" s="209" customFormat="1" ht="15.75" customHeight="1">
      <c r="A2037" s="202" t="str">
        <f>IF(B2037&lt;&gt;"",IF(AND(B2037&gt;=_TM1,B2037&lt;=_TM2,OR(TH!L2037="1111",TH!M2037="1111")),TH!D2037,""),"")</f>
        <v/>
      </c>
      <c r="B2037" s="36">
        <f t="shared" si="97"/>
        <v>1</v>
      </c>
      <c r="C2037" s="182">
        <f t="shared" si="94"/>
        <v>42374</v>
      </c>
      <c r="D2037" s="182" t="s">
        <v>1547</v>
      </c>
      <c r="E2037" s="691">
        <v>42374</v>
      </c>
      <c r="F2037" s="187" t="s">
        <v>389</v>
      </c>
      <c r="G2037" s="40" t="s">
        <v>866</v>
      </c>
      <c r="H2037" s="7" t="s">
        <v>1549</v>
      </c>
      <c r="I2037" s="251">
        <v>905</v>
      </c>
      <c r="J2037" s="251">
        <v>6841.2132188822297</v>
      </c>
      <c r="K2037" s="38">
        <f t="shared" si="104"/>
        <v>6191298</v>
      </c>
      <c r="L2037" s="561" t="s">
        <v>166</v>
      </c>
      <c r="M2037" s="561" t="s">
        <v>164</v>
      </c>
      <c r="N2037" s="52" t="str">
        <f>IF(AND('331-CT'!$E$7=TH!H2037,OR(L2037="331",M2037="331")),"331",IF(AND(OR(L2037="131",M2037="131"),H2037='131-CT'!$E$7),"131",""))</f>
        <v/>
      </c>
      <c r="O2037" s="818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751"/>
      <c r="AB2037" s="552"/>
    </row>
    <row r="2038" spans="1:29" s="209" customFormat="1" ht="15.75" customHeight="1">
      <c r="A2038" s="202" t="str">
        <f>IF(B2038&lt;&gt;"",IF(AND(B2038&gt;=_TM1,B2038&lt;=_TM2,OR(TH!L2038="1111",TH!M2038="1111")),TH!D2038,""),"")</f>
        <v/>
      </c>
      <c r="B2038" s="36">
        <f t="shared" si="97"/>
        <v>1</v>
      </c>
      <c r="C2038" s="182">
        <f t="shared" si="94"/>
        <v>42374</v>
      </c>
      <c r="D2038" s="182" t="s">
        <v>1547</v>
      </c>
      <c r="E2038" s="691">
        <v>42374</v>
      </c>
      <c r="F2038" s="187" t="s">
        <v>414</v>
      </c>
      <c r="G2038" s="40" t="s">
        <v>866</v>
      </c>
      <c r="H2038" s="7" t="s">
        <v>1549</v>
      </c>
      <c r="I2038" s="251">
        <v>642</v>
      </c>
      <c r="J2038" s="251">
        <v>7592.0780843693046</v>
      </c>
      <c r="K2038" s="38">
        <f t="shared" si="104"/>
        <v>4874114</v>
      </c>
      <c r="L2038" s="561" t="s">
        <v>166</v>
      </c>
      <c r="M2038" s="561" t="s">
        <v>164</v>
      </c>
      <c r="N2038" s="52" t="str">
        <f>IF(AND('331-CT'!$E$7=TH!H2038,OR(L2038="331",M2038="331")),"331",IF(AND(OR(L2038="131",M2038="131"),H2038='131-CT'!$E$7),"131",""))</f>
        <v/>
      </c>
      <c r="O2038" s="818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751"/>
      <c r="AB2038" s="552"/>
      <c r="AC2038" s="552"/>
    </row>
    <row r="2039" spans="1:29" s="209" customFormat="1" ht="15.75" customHeight="1">
      <c r="A2039" s="202" t="str">
        <f>IF(B2039&lt;&gt;"",IF(AND(B2039&gt;=_TM1,B2039&lt;=_TM2,OR(TH!L2039="1111",TH!M2039="1111")),TH!D2039,""),"")</f>
        <v/>
      </c>
      <c r="B2039" s="36">
        <f t="shared" si="97"/>
        <v>1</v>
      </c>
      <c r="C2039" s="182">
        <f t="shared" si="94"/>
        <v>42375</v>
      </c>
      <c r="D2039" s="182" t="s">
        <v>1547</v>
      </c>
      <c r="E2039" s="691">
        <v>42375</v>
      </c>
      <c r="F2039" s="187" t="s">
        <v>436</v>
      </c>
      <c r="G2039" s="40" t="s">
        <v>867</v>
      </c>
      <c r="H2039" s="7" t="s">
        <v>1549</v>
      </c>
      <c r="I2039" s="714">
        <v>1580</v>
      </c>
      <c r="J2039" s="251">
        <v>5673.2012059023382</v>
      </c>
      <c r="K2039" s="38">
        <f t="shared" si="104"/>
        <v>8963658</v>
      </c>
      <c r="L2039" s="561" t="s">
        <v>166</v>
      </c>
      <c r="M2039" s="561" t="s">
        <v>164</v>
      </c>
      <c r="N2039" s="52" t="str">
        <f>IF(AND('331-CT'!$E$7=TH!H2039,OR(L2039="331",M2039="331")),"331",IF(AND(OR(L2039="131",M2039="131"),H2039='131-CT'!$E$7),"131",""))</f>
        <v/>
      </c>
      <c r="O2039" s="818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751"/>
      <c r="AB2039" s="552"/>
      <c r="AC2039" s="552"/>
    </row>
    <row r="2040" spans="1:29" s="209" customFormat="1" ht="15.75" customHeight="1">
      <c r="A2040" s="202" t="str">
        <f>IF(B2040&lt;&gt;"",IF(AND(B2040&gt;=_TM1,B2040&lt;=_TM2,OR(TH!L2040="1111",TH!M2040="1111")),TH!D2040,""),"")</f>
        <v/>
      </c>
      <c r="B2040" s="36">
        <f t="shared" si="97"/>
        <v>1</v>
      </c>
      <c r="C2040" s="182">
        <f t="shared" si="94"/>
        <v>42376</v>
      </c>
      <c r="D2040" s="182" t="s">
        <v>1547</v>
      </c>
      <c r="E2040" s="691">
        <v>42376</v>
      </c>
      <c r="F2040" s="187" t="s">
        <v>512</v>
      </c>
      <c r="G2040" s="40" t="s">
        <v>868</v>
      </c>
      <c r="H2040" s="7" t="s">
        <v>1549</v>
      </c>
      <c r="I2040" s="251">
        <v>358</v>
      </c>
      <c r="J2040" s="251">
        <v>4421.7597634238809</v>
      </c>
      <c r="K2040" s="38">
        <f t="shared" si="104"/>
        <v>1582990</v>
      </c>
      <c r="L2040" s="561" t="s">
        <v>166</v>
      </c>
      <c r="M2040" s="561" t="s">
        <v>164</v>
      </c>
      <c r="N2040" s="52" t="str">
        <f>IF(AND('331-CT'!$E$7=TH!H2040,OR(L2040="331",M2040="331")),"331",IF(AND(OR(L2040="131",M2040="131"),H2040='131-CT'!$E$7),"131",""))</f>
        <v/>
      </c>
      <c r="O2040" s="818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751"/>
      <c r="AB2040" s="552"/>
      <c r="AC2040" s="552"/>
    </row>
    <row r="2041" spans="1:29" s="209" customFormat="1" ht="15.75" customHeight="1">
      <c r="A2041" s="202" t="str">
        <f>IF(B2041&lt;&gt;"",IF(AND(B2041&gt;=_TM1,B2041&lt;=_TM2,OR(TH!L2041="1111",TH!M2041="1111")),TH!D2041,""),"")</f>
        <v/>
      </c>
      <c r="B2041" s="36">
        <f t="shared" si="97"/>
        <v>1</v>
      </c>
      <c r="C2041" s="182">
        <f t="shared" si="94"/>
        <v>42376</v>
      </c>
      <c r="D2041" s="182" t="s">
        <v>1547</v>
      </c>
      <c r="E2041" s="691">
        <v>42376</v>
      </c>
      <c r="F2041" s="187" t="s">
        <v>649</v>
      </c>
      <c r="G2041" s="40" t="s">
        <v>869</v>
      </c>
      <c r="H2041" s="7" t="s">
        <v>1549</v>
      </c>
      <c r="I2041" s="251">
        <v>203</v>
      </c>
      <c r="J2041" s="251">
        <v>13598.997008265897</v>
      </c>
      <c r="K2041" s="38">
        <f t="shared" si="104"/>
        <v>2760596</v>
      </c>
      <c r="L2041" s="561" t="s">
        <v>166</v>
      </c>
      <c r="M2041" s="561" t="s">
        <v>164</v>
      </c>
      <c r="N2041" s="52" t="str">
        <f>IF(AND('331-CT'!$E$7=TH!H2041,OR(L2041="331",M2041="331")),"331",IF(AND(OR(L2041="131",M2041="131"),H2041='131-CT'!$E$7),"131",""))</f>
        <v/>
      </c>
      <c r="O2041" s="818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751"/>
      <c r="AB2041" s="552"/>
      <c r="AC2041" s="552"/>
    </row>
    <row r="2042" spans="1:29" s="209" customFormat="1" ht="15.75" customHeight="1">
      <c r="A2042" s="202" t="str">
        <f>IF(B2042&lt;&gt;"",IF(AND(B2042&gt;=_TM1,B2042&lt;=_TM2,OR(TH!L2042="1111",TH!M2042="1111")),TH!D2042,""),"")</f>
        <v/>
      </c>
      <c r="B2042" s="36">
        <f t="shared" si="97"/>
        <v>1</v>
      </c>
      <c r="C2042" s="182">
        <f t="shared" ref="C2042:C2105" si="105">E2042</f>
        <v>42376</v>
      </c>
      <c r="D2042" s="182" t="s">
        <v>1547</v>
      </c>
      <c r="E2042" s="691">
        <v>42376</v>
      </c>
      <c r="F2042" s="187" t="s">
        <v>650</v>
      </c>
      <c r="G2042" s="40" t="s">
        <v>869</v>
      </c>
      <c r="H2042" s="7" t="s">
        <v>1549</v>
      </c>
      <c r="I2042" s="251">
        <v>104</v>
      </c>
      <c r="J2042" s="251">
        <v>18604.762778179724</v>
      </c>
      <c r="K2042" s="38">
        <f t="shared" si="104"/>
        <v>1934895</v>
      </c>
      <c r="L2042" s="561" t="s">
        <v>166</v>
      </c>
      <c r="M2042" s="561" t="s">
        <v>164</v>
      </c>
      <c r="N2042" s="52" t="str">
        <f>IF(AND('331-CT'!$E$7=TH!H2042,OR(L2042="331",M2042="331")),"331",IF(AND(OR(L2042="131",M2042="131"),H2042='131-CT'!$E$7),"131",""))</f>
        <v/>
      </c>
      <c r="O2042" s="818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751"/>
      <c r="AB2042" s="552"/>
      <c r="AC2042" s="552"/>
    </row>
    <row r="2043" spans="1:29" s="209" customFormat="1" ht="15.75" customHeight="1">
      <c r="A2043" s="202" t="str">
        <f>IF(B2043&lt;&gt;"",IF(AND(B2043&gt;=_TM1,B2043&lt;=_TM2,OR(TH!L2043="1111",TH!M2043="1111")),TH!D2043,""),"")</f>
        <v/>
      </c>
      <c r="B2043" s="36">
        <f t="shared" si="97"/>
        <v>1</v>
      </c>
      <c r="C2043" s="182">
        <f t="shared" si="105"/>
        <v>42376</v>
      </c>
      <c r="D2043" s="182" t="s">
        <v>1547</v>
      </c>
      <c r="E2043" s="691">
        <v>42376</v>
      </c>
      <c r="F2043" s="187" t="s">
        <v>870</v>
      </c>
      <c r="G2043" s="40" t="s">
        <v>869</v>
      </c>
      <c r="H2043" s="7" t="s">
        <v>1549</v>
      </c>
      <c r="I2043" s="251">
        <v>20</v>
      </c>
      <c r="J2043" s="251">
        <v>12097.267277291749</v>
      </c>
      <c r="K2043" s="38">
        <f t="shared" si="104"/>
        <v>241945</v>
      </c>
      <c r="L2043" s="561" t="s">
        <v>166</v>
      </c>
      <c r="M2043" s="561" t="s">
        <v>164</v>
      </c>
      <c r="N2043" s="52" t="str">
        <f>IF(AND('331-CT'!$E$7=TH!H2043,OR(L2043="331",M2043="331")),"331",IF(AND(OR(L2043="131",M2043="131"),H2043='131-CT'!$E$7),"131",""))</f>
        <v/>
      </c>
      <c r="O2043" s="818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751"/>
      <c r="AB2043" s="552"/>
      <c r="AC2043" s="552"/>
    </row>
    <row r="2044" spans="1:29" s="209" customFormat="1" ht="15.75" customHeight="1">
      <c r="A2044" s="202" t="str">
        <f>IF(B2044&lt;&gt;"",IF(AND(B2044&gt;=_TM1,B2044&lt;=_TM2,OR(TH!L2044="1111",TH!M2044="1111")),TH!D2044,""),"")</f>
        <v/>
      </c>
      <c r="B2044" s="36">
        <f t="shared" si="97"/>
        <v>1</v>
      </c>
      <c r="C2044" s="182">
        <f t="shared" si="105"/>
        <v>42376</v>
      </c>
      <c r="D2044" s="182" t="s">
        <v>1547</v>
      </c>
      <c r="E2044" s="691">
        <v>42376</v>
      </c>
      <c r="F2044" s="187" t="s">
        <v>871</v>
      </c>
      <c r="G2044" s="40" t="s">
        <v>869</v>
      </c>
      <c r="H2044" s="7" t="s">
        <v>1549</v>
      </c>
      <c r="I2044" s="251">
        <v>23</v>
      </c>
      <c r="J2044" s="251">
        <v>13598.997008265897</v>
      </c>
      <c r="K2044" s="38">
        <f t="shared" si="104"/>
        <v>312777</v>
      </c>
      <c r="L2044" s="561" t="s">
        <v>166</v>
      </c>
      <c r="M2044" s="561" t="s">
        <v>164</v>
      </c>
      <c r="N2044" s="52" t="str">
        <f>IF(AND('331-CT'!$E$7=TH!H2044,OR(L2044="331",M2044="331")),"331",IF(AND(OR(L2044="131",M2044="131"),H2044='131-CT'!$E$7),"131",""))</f>
        <v/>
      </c>
      <c r="O2044" s="818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751"/>
      <c r="AB2044" s="552"/>
      <c r="AC2044" s="552"/>
    </row>
    <row r="2045" spans="1:29" s="209" customFormat="1" ht="15.75" customHeight="1">
      <c r="A2045" s="202" t="str">
        <f>IF(B2045&lt;&gt;"",IF(AND(B2045&gt;=_TM1,B2045&lt;=_TM2,OR(TH!L2045="1111",TH!M2045="1111")),TH!D2045,""),"")</f>
        <v/>
      </c>
      <c r="B2045" s="36">
        <f t="shared" si="97"/>
        <v>1</v>
      </c>
      <c r="C2045" s="182">
        <f t="shared" si="105"/>
        <v>42376</v>
      </c>
      <c r="D2045" s="182" t="s">
        <v>1547</v>
      </c>
      <c r="E2045" s="691">
        <v>42376</v>
      </c>
      <c r="F2045" s="187" t="s">
        <v>872</v>
      </c>
      <c r="G2045" s="40" t="s">
        <v>869</v>
      </c>
      <c r="H2045" s="7" t="s">
        <v>1549</v>
      </c>
      <c r="I2045" s="251">
        <v>22</v>
      </c>
      <c r="J2045" s="251">
        <v>15768.162175228555</v>
      </c>
      <c r="K2045" s="38">
        <f t="shared" si="104"/>
        <v>346900</v>
      </c>
      <c r="L2045" s="561" t="s">
        <v>166</v>
      </c>
      <c r="M2045" s="561" t="s">
        <v>164</v>
      </c>
      <c r="N2045" s="52" t="str">
        <f>IF(AND('331-CT'!$E$7=TH!H2045,OR(L2045="331",M2045="331")),"331",IF(AND(OR(L2045="131",M2045="131"),H2045='131-CT'!$E$7),"131",""))</f>
        <v/>
      </c>
      <c r="O2045" s="818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751"/>
      <c r="AB2045" s="552"/>
      <c r="AC2045" s="552"/>
    </row>
    <row r="2046" spans="1:29" s="209" customFormat="1" ht="15.75" customHeight="1">
      <c r="A2046" s="202" t="str">
        <f>IF(B2046&lt;&gt;"",IF(AND(B2046&gt;=_TM1,B2046&lt;=_TM2,OR(TH!L2046="1111",TH!M2046="1111")),TH!D2046,""),"")</f>
        <v/>
      </c>
      <c r="B2046" s="36">
        <f t="shared" si="97"/>
        <v>1</v>
      </c>
      <c r="C2046" s="182">
        <f t="shared" si="105"/>
        <v>42376</v>
      </c>
      <c r="D2046" s="182" t="s">
        <v>1547</v>
      </c>
      <c r="E2046" s="691">
        <v>42376</v>
      </c>
      <c r="F2046" s="187" t="s">
        <v>873</v>
      </c>
      <c r="G2046" s="40" t="s">
        <v>869</v>
      </c>
      <c r="H2046" s="7" t="s">
        <v>1549</v>
      </c>
      <c r="I2046" s="251">
        <v>22</v>
      </c>
      <c r="J2046" s="251">
        <v>18771.621637176853</v>
      </c>
      <c r="K2046" s="38">
        <f t="shared" si="104"/>
        <v>412976</v>
      </c>
      <c r="L2046" s="561" t="s">
        <v>166</v>
      </c>
      <c r="M2046" s="561" t="s">
        <v>164</v>
      </c>
      <c r="N2046" s="52" t="str">
        <f>IF(AND('331-CT'!$E$7=TH!H2046,OR(L2046="331",M2046="331")),"331",IF(AND(OR(L2046="131",M2046="131"),H2046='131-CT'!$E$7),"131",""))</f>
        <v/>
      </c>
      <c r="O2046" s="818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751"/>
      <c r="AB2046" s="552"/>
      <c r="AC2046" s="552"/>
    </row>
    <row r="2047" spans="1:29" s="209" customFormat="1" ht="15.75" customHeight="1">
      <c r="A2047" s="202" t="str">
        <f>IF(B2047&lt;&gt;"",IF(AND(B2047&gt;=_TM1,B2047&lt;=_TM2,OR(TH!L2047="1111",TH!M2047="1111")),TH!D2047,""),"")</f>
        <v/>
      </c>
      <c r="B2047" s="36">
        <f t="shared" si="97"/>
        <v>1</v>
      </c>
      <c r="C2047" s="182">
        <f t="shared" si="105"/>
        <v>42376</v>
      </c>
      <c r="D2047" s="182" t="s">
        <v>1547</v>
      </c>
      <c r="E2047" s="182">
        <v>42376</v>
      </c>
      <c r="F2047" s="187" t="s">
        <v>874</v>
      </c>
      <c r="G2047" s="562" t="s">
        <v>869</v>
      </c>
      <c r="H2047" s="7" t="s">
        <v>1549</v>
      </c>
      <c r="I2047" s="251">
        <v>21</v>
      </c>
      <c r="J2047" s="251">
        <v>23109.951971102168</v>
      </c>
      <c r="K2047" s="38">
        <f t="shared" si="104"/>
        <v>485309</v>
      </c>
      <c r="L2047" s="561" t="s">
        <v>166</v>
      </c>
      <c r="M2047" s="561" t="s">
        <v>164</v>
      </c>
      <c r="N2047" s="52" t="str">
        <f>IF(AND('331-CT'!$E$7=TH!H2047,OR(L2047="331",M2047="331")),"331",IF(AND(OR(L2047="131",M2047="131"),H2047='131-CT'!$E$7),"131",""))</f>
        <v/>
      </c>
      <c r="O2047" s="818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751"/>
      <c r="AB2047" s="552"/>
    </row>
    <row r="2048" spans="1:29" s="209" customFormat="1" ht="15.75" customHeight="1">
      <c r="A2048" s="202" t="str">
        <f>IF(B2048&lt;&gt;"",IF(AND(B2048&gt;=_TM1,B2048&lt;=_TM2,OR(TH!L2048="1111",TH!M2048="1111")),TH!D2048,""),"")</f>
        <v/>
      </c>
      <c r="B2048" s="36">
        <f t="shared" si="97"/>
        <v>1</v>
      </c>
      <c r="C2048" s="182">
        <f t="shared" si="105"/>
        <v>42376</v>
      </c>
      <c r="D2048" s="182" t="s">
        <v>1547</v>
      </c>
      <c r="E2048" s="189">
        <v>42376</v>
      </c>
      <c r="F2048" s="190" t="s">
        <v>875</v>
      </c>
      <c r="G2048" s="451" t="s">
        <v>869</v>
      </c>
      <c r="H2048" s="7" t="s">
        <v>1549</v>
      </c>
      <c r="I2048" s="251">
        <v>22</v>
      </c>
      <c r="J2048" s="251">
        <v>25946.552574053338</v>
      </c>
      <c r="K2048" s="38">
        <f t="shared" si="104"/>
        <v>570824</v>
      </c>
      <c r="L2048" s="561" t="s">
        <v>166</v>
      </c>
      <c r="M2048" s="561" t="s">
        <v>164</v>
      </c>
      <c r="N2048" s="52" t="str">
        <f>IF(AND('331-CT'!$E$7=TH!H2048,OR(L2048="331",M2048="331")),"331",IF(AND(OR(L2048="131",M2048="131"),H2048='131-CT'!$E$7),"131",""))</f>
        <v/>
      </c>
      <c r="O2048" s="818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751"/>
      <c r="AB2048" s="552"/>
      <c r="AC2048" s="552"/>
    </row>
    <row r="2049" spans="1:29" s="209" customFormat="1" ht="15.75" customHeight="1">
      <c r="A2049" s="202" t="str">
        <f>IF(B2049&lt;&gt;"",IF(AND(B2049&gt;=_TM1,B2049&lt;=_TM2,OR(TH!L2049="1111",TH!M2049="1111")),TH!D2049,""),"")</f>
        <v/>
      </c>
      <c r="B2049" s="36">
        <f t="shared" si="97"/>
        <v>1</v>
      </c>
      <c r="C2049" s="182">
        <f t="shared" si="105"/>
        <v>42376</v>
      </c>
      <c r="D2049" s="182" t="s">
        <v>1547</v>
      </c>
      <c r="E2049" s="189">
        <v>42376</v>
      </c>
      <c r="F2049" s="190" t="s">
        <v>876</v>
      </c>
      <c r="G2049" s="451" t="s">
        <v>869</v>
      </c>
      <c r="H2049" s="7" t="s">
        <v>1549</v>
      </c>
      <c r="I2049" s="251">
        <v>21</v>
      </c>
      <c r="J2049" s="251">
        <v>27197.994016531793</v>
      </c>
      <c r="K2049" s="38">
        <f t="shared" si="104"/>
        <v>571158</v>
      </c>
      <c r="L2049" s="561" t="s">
        <v>166</v>
      </c>
      <c r="M2049" s="561" t="s">
        <v>164</v>
      </c>
      <c r="N2049" s="52" t="str">
        <f>IF(AND('331-CT'!$E$7=TH!H2049,OR(L2049="331",M2049="331")),"331",IF(AND(OR(L2049="131",M2049="131"),H2049='131-CT'!$E$7),"131",""))</f>
        <v/>
      </c>
      <c r="O2049" s="818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751"/>
      <c r="AB2049" s="552"/>
      <c r="AC2049" s="552"/>
    </row>
    <row r="2050" spans="1:29" s="209" customFormat="1" ht="15.75" customHeight="1">
      <c r="A2050" s="202" t="str">
        <f>IF(B2050&lt;&gt;"",IF(AND(B2050&gt;=_TM1,B2050&lt;=_TM2,OR(TH!L2050="1111",TH!M2050="1111")),TH!D2050,""),"")</f>
        <v/>
      </c>
      <c r="B2050" s="36">
        <f t="shared" si="97"/>
        <v>1</v>
      </c>
      <c r="C2050" s="182">
        <f t="shared" si="105"/>
        <v>42376</v>
      </c>
      <c r="D2050" s="182" t="s">
        <v>1547</v>
      </c>
      <c r="E2050" s="189">
        <v>42376</v>
      </c>
      <c r="F2050" s="190" t="s">
        <v>877</v>
      </c>
      <c r="G2050" s="451" t="s">
        <v>869</v>
      </c>
      <c r="H2050" s="7" t="s">
        <v>1549</v>
      </c>
      <c r="I2050" s="251">
        <v>24</v>
      </c>
      <c r="J2050" s="251">
        <v>34039.207235414025</v>
      </c>
      <c r="K2050" s="38">
        <f t="shared" si="104"/>
        <v>816941</v>
      </c>
      <c r="L2050" s="561" t="s">
        <v>166</v>
      </c>
      <c r="M2050" s="561" t="s">
        <v>164</v>
      </c>
      <c r="N2050" s="52" t="str">
        <f>IF(AND('331-CT'!$E$7=TH!H2050,OR(L2050="331",M2050="331")),"331",IF(AND(OR(L2050="131",M2050="131"),H2050='131-CT'!$E$7),"131",""))</f>
        <v/>
      </c>
      <c r="O2050" s="818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751"/>
      <c r="AB2050" s="552"/>
      <c r="AC2050" s="552"/>
    </row>
    <row r="2051" spans="1:29" s="209" customFormat="1" ht="15.75" customHeight="1">
      <c r="A2051" s="202" t="str">
        <f>IF(B2051&lt;&gt;"",IF(AND(B2051&gt;=_TM1,B2051&lt;=_TM2,OR(TH!L2051="1111",TH!M2051="1111")),TH!D2051,""),"")</f>
        <v/>
      </c>
      <c r="B2051" s="36">
        <f t="shared" si="97"/>
        <v>1</v>
      </c>
      <c r="C2051" s="182">
        <f t="shared" si="105"/>
        <v>42376</v>
      </c>
      <c r="D2051" s="182" t="s">
        <v>1547</v>
      </c>
      <c r="E2051" s="189">
        <v>42376</v>
      </c>
      <c r="F2051" s="190" t="s">
        <v>1205</v>
      </c>
      <c r="G2051" s="451" t="s">
        <v>878</v>
      </c>
      <c r="H2051" s="7" t="s">
        <v>1549</v>
      </c>
      <c r="I2051" s="251">
        <v>320</v>
      </c>
      <c r="J2051" s="251">
        <v>13098.420431274515</v>
      </c>
      <c r="K2051" s="38">
        <f t="shared" si="104"/>
        <v>4191495</v>
      </c>
      <c r="L2051" s="561" t="s">
        <v>166</v>
      </c>
      <c r="M2051" s="561" t="s">
        <v>164</v>
      </c>
      <c r="N2051" s="52" t="str">
        <f>IF(AND('331-CT'!$E$7=TH!H2051,OR(L2051="331",M2051="331")),"331",IF(AND(OR(L2051="131",M2051="131"),H2051='131-CT'!$E$7),"131",""))</f>
        <v/>
      </c>
      <c r="O2051" s="818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751"/>
      <c r="AB2051" s="552"/>
    </row>
    <row r="2052" spans="1:29" s="209" customFormat="1" ht="15.75" customHeight="1">
      <c r="A2052" s="202" t="str">
        <f>IF(B2052&lt;&gt;"",IF(AND(B2052&gt;=_TM1,B2052&lt;=_TM2,OR(TH!L2052="1111",TH!M2052="1111")),TH!D2052,""),"")</f>
        <v/>
      </c>
      <c r="B2052" s="36">
        <f t="shared" si="97"/>
        <v>1</v>
      </c>
      <c r="C2052" s="182">
        <f t="shared" si="105"/>
        <v>42376</v>
      </c>
      <c r="D2052" s="182" t="s">
        <v>1547</v>
      </c>
      <c r="E2052" s="189">
        <v>42376</v>
      </c>
      <c r="F2052" s="190" t="s">
        <v>1206</v>
      </c>
      <c r="G2052" s="451" t="s">
        <v>878</v>
      </c>
      <c r="H2052" s="7" t="s">
        <v>1549</v>
      </c>
      <c r="I2052" s="251">
        <v>280</v>
      </c>
      <c r="J2052" s="251">
        <v>7091.5015073779214</v>
      </c>
      <c r="K2052" s="38">
        <f t="shared" si="104"/>
        <v>1985620</v>
      </c>
      <c r="L2052" s="561" t="s">
        <v>166</v>
      </c>
      <c r="M2052" s="561" t="s">
        <v>164</v>
      </c>
      <c r="N2052" s="52" t="str">
        <f>IF(AND('331-CT'!$E$7=TH!H2052,OR(L2052="331",M2052="331")),"331",IF(AND(OR(L2052="131",M2052="131"),H2052='131-CT'!$E$7),"131",""))</f>
        <v/>
      </c>
      <c r="O2052" s="818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751"/>
      <c r="AB2052" s="552"/>
      <c r="AC2052" s="552"/>
    </row>
    <row r="2053" spans="1:29" s="209" customFormat="1" ht="15.75" customHeight="1">
      <c r="A2053" s="202" t="str">
        <f>IF(B2053&lt;&gt;"",IF(AND(B2053&gt;=_TM1,B2053&lt;=_TM2,OR(TH!L2053="1111",TH!M2053="1111")),TH!D2053,""),"")</f>
        <v/>
      </c>
      <c r="B2053" s="36">
        <f t="shared" si="97"/>
        <v>1</v>
      </c>
      <c r="C2053" s="182">
        <f t="shared" si="105"/>
        <v>42376</v>
      </c>
      <c r="D2053" s="182" t="s">
        <v>1547</v>
      </c>
      <c r="E2053" s="37">
        <v>42376</v>
      </c>
      <c r="F2053" s="40" t="s">
        <v>1207</v>
      </c>
      <c r="G2053" s="40" t="s">
        <v>878</v>
      </c>
      <c r="H2053" s="7" t="s">
        <v>1549</v>
      </c>
      <c r="I2053" s="251">
        <v>211</v>
      </c>
      <c r="J2053" s="251">
        <v>7842.3663728649954</v>
      </c>
      <c r="K2053" s="38">
        <f t="shared" si="104"/>
        <v>1654739</v>
      </c>
      <c r="L2053" s="561" t="s">
        <v>166</v>
      </c>
      <c r="M2053" s="561" t="s">
        <v>164</v>
      </c>
      <c r="N2053" s="52" t="str">
        <f>IF(AND('331-CT'!$E$7=TH!H2053,OR(L2053="331",M2053="331")),"331",IF(AND(OR(L2053="131",M2053="131"),H2053='131-CT'!$E$7),"131",""))</f>
        <v/>
      </c>
      <c r="O2053" s="818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751"/>
      <c r="AB2053" s="552"/>
    </row>
    <row r="2054" spans="1:29" s="209" customFormat="1" ht="15.75" customHeight="1">
      <c r="A2054" s="202" t="str">
        <f>IF(B2054&lt;&gt;"",IF(AND(B2054&gt;=_TM1,B2054&lt;=_TM2,OR(TH!L2054="1111",TH!M2054="1111")),TH!D2054,""),"")</f>
        <v/>
      </c>
      <c r="B2054" s="36">
        <f t="shared" ref="B2054:B2117" si="106">IF(C2054&lt;&gt;"",MONTH(C2054),"")</f>
        <v>1</v>
      </c>
      <c r="C2054" s="182">
        <f t="shared" si="105"/>
        <v>42376</v>
      </c>
      <c r="D2054" s="182" t="s">
        <v>1547</v>
      </c>
      <c r="E2054" s="37">
        <v>42376</v>
      </c>
      <c r="F2054" s="40" t="s">
        <v>1208</v>
      </c>
      <c r="G2054" s="40" t="s">
        <v>878</v>
      </c>
      <c r="H2054" s="7" t="s">
        <v>1549</v>
      </c>
      <c r="I2054" s="251">
        <v>75</v>
      </c>
      <c r="J2054" s="251">
        <v>8259.5135203578157</v>
      </c>
      <c r="K2054" s="38">
        <f t="shared" si="104"/>
        <v>619464</v>
      </c>
      <c r="L2054" s="561" t="s">
        <v>166</v>
      </c>
      <c r="M2054" s="561" t="s">
        <v>164</v>
      </c>
      <c r="N2054" s="52" t="str">
        <f>IF(AND('331-CT'!$E$7=TH!H2054,OR(L2054="331",M2054="331")),"331",IF(AND(OR(L2054="131",M2054="131"),H2054='131-CT'!$E$7),"131",""))</f>
        <v/>
      </c>
      <c r="O2054" s="818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751"/>
      <c r="AB2054" s="552"/>
      <c r="AC2054" s="552"/>
    </row>
    <row r="2055" spans="1:29" s="209" customFormat="1" ht="15.75" customHeight="1">
      <c r="A2055" s="202" t="str">
        <f>IF(B2055&lt;&gt;"",IF(AND(B2055&gt;=_TM1,B2055&lt;=_TM2,OR(TH!L2055="1111",TH!M2055="1111")),TH!D2055,""),"")</f>
        <v/>
      </c>
      <c r="B2055" s="36">
        <f t="shared" si="106"/>
        <v>1</v>
      </c>
      <c r="C2055" s="182">
        <f t="shared" si="105"/>
        <v>42376</v>
      </c>
      <c r="D2055" s="182" t="s">
        <v>1547</v>
      </c>
      <c r="E2055" s="182">
        <v>42376</v>
      </c>
      <c r="F2055" s="187" t="s">
        <v>1209</v>
      </c>
      <c r="G2055" s="562" t="s">
        <v>878</v>
      </c>
      <c r="H2055" s="7" t="s">
        <v>1549</v>
      </c>
      <c r="I2055" s="251">
        <v>70</v>
      </c>
      <c r="J2055" s="251">
        <v>5840.060064899465</v>
      </c>
      <c r="K2055" s="38">
        <f t="shared" si="104"/>
        <v>408804</v>
      </c>
      <c r="L2055" s="561" t="s">
        <v>166</v>
      </c>
      <c r="M2055" s="561" t="s">
        <v>164</v>
      </c>
      <c r="N2055" s="52" t="str">
        <f>IF(AND('331-CT'!$E$7=TH!H2055,OR(L2055="331",M2055="331")),"331",IF(AND(OR(L2055="131",M2055="131"),H2055='131-CT'!$E$7),"131",""))</f>
        <v/>
      </c>
      <c r="O2055" s="818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751"/>
      <c r="AB2055" s="552"/>
      <c r="AC2055" s="552"/>
    </row>
    <row r="2056" spans="1:29" s="209" customFormat="1" ht="15.75" customHeight="1">
      <c r="A2056" s="202" t="str">
        <f>IF(B2056&lt;&gt;"",IF(AND(B2056&gt;=_TM1,B2056&lt;=_TM2,OR(TH!L2056="1111",TH!M2056="1111")),TH!D2056,""),"")</f>
        <v/>
      </c>
      <c r="B2056" s="36">
        <f t="shared" si="106"/>
        <v>1</v>
      </c>
      <c r="C2056" s="182">
        <f t="shared" si="105"/>
        <v>42376</v>
      </c>
      <c r="D2056" s="182" t="s">
        <v>1547</v>
      </c>
      <c r="E2056" s="182">
        <v>42376</v>
      </c>
      <c r="F2056" s="187" t="s">
        <v>1210</v>
      </c>
      <c r="G2056" s="562" t="s">
        <v>878</v>
      </c>
      <c r="H2056" s="7" t="s">
        <v>1549</v>
      </c>
      <c r="I2056" s="251">
        <v>120</v>
      </c>
      <c r="J2056" s="251">
        <v>9010.3783858448896</v>
      </c>
      <c r="K2056" s="38">
        <f t="shared" si="104"/>
        <v>1081245</v>
      </c>
      <c r="L2056" s="561" t="s">
        <v>166</v>
      </c>
      <c r="M2056" s="561" t="s">
        <v>164</v>
      </c>
      <c r="N2056" s="52" t="str">
        <f>IF(AND('331-CT'!$E$7=TH!H2056,OR(L2056="331",M2056="331")),"331",IF(AND(OR(L2056="131",M2056="131"),H2056='131-CT'!$E$7),"131",""))</f>
        <v/>
      </c>
      <c r="O2056" s="818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751"/>
      <c r="AB2056" s="552"/>
      <c r="AC2056" s="552"/>
    </row>
    <row r="2057" spans="1:29" s="209" customFormat="1" ht="15.75" customHeight="1">
      <c r="A2057" s="202" t="str">
        <f>IF(B2057&lt;&gt;"",IF(AND(B2057&gt;=_TM1,B2057&lt;=_TM2,OR(TH!L2057="1111",TH!M2057="1111")),TH!D2057,""),"")</f>
        <v/>
      </c>
      <c r="B2057" s="36">
        <f t="shared" si="106"/>
        <v>1</v>
      </c>
      <c r="C2057" s="182">
        <f t="shared" si="105"/>
        <v>42376</v>
      </c>
      <c r="D2057" s="182" t="s">
        <v>1547</v>
      </c>
      <c r="E2057" s="182">
        <v>42376</v>
      </c>
      <c r="F2057" s="187" t="s">
        <v>1211</v>
      </c>
      <c r="G2057" s="562" t="s">
        <v>878</v>
      </c>
      <c r="H2057" s="7" t="s">
        <v>1549</v>
      </c>
      <c r="I2057" s="251">
        <v>110</v>
      </c>
      <c r="J2057" s="251">
        <v>14850.438450744354</v>
      </c>
      <c r="K2057" s="38">
        <f t="shared" si="104"/>
        <v>1633548</v>
      </c>
      <c r="L2057" s="561" t="s">
        <v>166</v>
      </c>
      <c r="M2057" s="561" t="s">
        <v>164</v>
      </c>
      <c r="N2057" s="52" t="str">
        <f>IF(AND('331-CT'!$E$7=TH!H2057,OR(L2057="331",M2057="331")),"331",IF(AND(OR(L2057="131",M2057="131"),H2057='131-CT'!$E$7),"131",""))</f>
        <v/>
      </c>
      <c r="O2057" s="818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751"/>
      <c r="AB2057" s="552"/>
      <c r="AC2057" s="552"/>
    </row>
    <row r="2058" spans="1:29" s="209" customFormat="1" ht="15.75" customHeight="1">
      <c r="A2058" s="202" t="str">
        <f>IF(B2058&lt;&gt;"",IF(AND(B2058&gt;=_TM1,B2058&lt;=_TM2,OR(TH!L2058="1111",TH!M2058="1111")),TH!D2058,""),"")</f>
        <v/>
      </c>
      <c r="B2058" s="36">
        <f t="shared" si="106"/>
        <v>1</v>
      </c>
      <c r="C2058" s="182">
        <f t="shared" si="105"/>
        <v>42376</v>
      </c>
      <c r="D2058" s="182" t="s">
        <v>1547</v>
      </c>
      <c r="E2058" s="182">
        <v>42376</v>
      </c>
      <c r="F2058" s="187" t="s">
        <v>1212</v>
      </c>
      <c r="G2058" s="562" t="s">
        <v>878</v>
      </c>
      <c r="H2058" s="7" t="s">
        <v>1549</v>
      </c>
      <c r="I2058" s="251">
        <v>96</v>
      </c>
      <c r="J2058" s="251">
        <v>14767.009021245791</v>
      </c>
      <c r="K2058" s="38">
        <f t="shared" si="104"/>
        <v>1417633</v>
      </c>
      <c r="L2058" s="561" t="s">
        <v>166</v>
      </c>
      <c r="M2058" s="561" t="s">
        <v>164</v>
      </c>
      <c r="N2058" s="52" t="str">
        <f>IF(AND('331-CT'!$E$7=TH!H2058,OR(L2058="331",M2058="331")),"331",IF(AND(OR(L2058="131",M2058="131"),H2058='131-CT'!$E$7),"131",""))</f>
        <v/>
      </c>
      <c r="O2058" s="818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751"/>
      <c r="AB2058" s="552"/>
      <c r="AC2058" s="552"/>
    </row>
    <row r="2059" spans="1:29" s="209" customFormat="1" ht="15.75" customHeight="1">
      <c r="A2059" s="202" t="str">
        <f>IF(B2059&lt;&gt;"",IF(AND(B2059&gt;=_TM1,B2059&lt;=_TM2,OR(TH!L2059="1111",TH!M2059="1111")),TH!D2059,""),"")</f>
        <v/>
      </c>
      <c r="B2059" s="36">
        <f t="shared" si="106"/>
        <v>1</v>
      </c>
      <c r="C2059" s="182">
        <f t="shared" si="105"/>
        <v>42376</v>
      </c>
      <c r="D2059" s="182" t="s">
        <v>1547</v>
      </c>
      <c r="E2059" s="182">
        <v>42376</v>
      </c>
      <c r="F2059" s="187" t="s">
        <v>1213</v>
      </c>
      <c r="G2059" s="562" t="s">
        <v>878</v>
      </c>
      <c r="H2059" s="7" t="s">
        <v>1549</v>
      </c>
      <c r="I2059" s="251">
        <v>500</v>
      </c>
      <c r="J2059" s="251">
        <v>13765.855867263024</v>
      </c>
      <c r="K2059" s="38">
        <f t="shared" si="104"/>
        <v>6882928</v>
      </c>
      <c r="L2059" s="561" t="s">
        <v>166</v>
      </c>
      <c r="M2059" s="561" t="s">
        <v>164</v>
      </c>
      <c r="N2059" s="52" t="str">
        <f>IF(AND('331-CT'!$E$7=TH!H2059,OR(L2059="331",M2059="331")),"331",IF(AND(OR(L2059="131",M2059="131"),H2059='131-CT'!$E$7),"131",""))</f>
        <v/>
      </c>
      <c r="O2059" s="818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751"/>
      <c r="AB2059" s="552"/>
      <c r="AC2059" s="552"/>
    </row>
    <row r="2060" spans="1:29" s="209" customFormat="1" ht="15.75" customHeight="1">
      <c r="A2060" s="202" t="str">
        <f>IF(B2060&lt;&gt;"",IF(AND(B2060&gt;=_TM1,B2060&lt;=_TM2,OR(TH!L2060="1111",TH!M2060="1111")),TH!D2060,""),"")</f>
        <v/>
      </c>
      <c r="B2060" s="36">
        <f t="shared" si="106"/>
        <v>1</v>
      </c>
      <c r="C2060" s="182">
        <f t="shared" si="105"/>
        <v>42376</v>
      </c>
      <c r="D2060" s="182" t="s">
        <v>1547</v>
      </c>
      <c r="E2060" s="182">
        <v>42376</v>
      </c>
      <c r="F2060" s="187" t="s">
        <v>1214</v>
      </c>
      <c r="G2060" s="562" t="s">
        <v>878</v>
      </c>
      <c r="H2060" s="7" t="s">
        <v>1549</v>
      </c>
      <c r="I2060" s="251">
        <v>86</v>
      </c>
      <c r="J2060" s="251">
        <v>9093.8078153434526</v>
      </c>
      <c r="K2060" s="38">
        <f t="shared" si="104"/>
        <v>782067</v>
      </c>
      <c r="L2060" s="561" t="s">
        <v>166</v>
      </c>
      <c r="M2060" s="561" t="s">
        <v>164</v>
      </c>
      <c r="N2060" s="52" t="str">
        <f>IF(AND('331-CT'!$E$7=TH!H2060,OR(L2060="331",M2060="331")),"331",IF(AND(OR(L2060="131",M2060="131"),H2060='131-CT'!$E$7),"131",""))</f>
        <v/>
      </c>
      <c r="O2060" s="818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751"/>
      <c r="AB2060" s="552"/>
      <c r="AC2060" s="552"/>
    </row>
    <row r="2061" spans="1:29" s="209" customFormat="1" ht="15.75" customHeight="1">
      <c r="A2061" s="202" t="str">
        <f>IF(B2061&lt;&gt;"",IF(AND(B2061&gt;=_TM1,B2061&lt;=_TM2,OR(TH!L2061="1111",TH!M2061="1111")),TH!D2061,""),"")</f>
        <v/>
      </c>
      <c r="B2061" s="36">
        <f t="shared" si="106"/>
        <v>1</v>
      </c>
      <c r="C2061" s="182">
        <f t="shared" si="105"/>
        <v>42376</v>
      </c>
      <c r="D2061" s="182" t="s">
        <v>1547</v>
      </c>
      <c r="E2061" s="182">
        <v>42376</v>
      </c>
      <c r="F2061" s="187" t="s">
        <v>879</v>
      </c>
      <c r="G2061" s="562" t="s">
        <v>880</v>
      </c>
      <c r="H2061" s="7" t="s">
        <v>1549</v>
      </c>
      <c r="I2061" s="251">
        <v>22</v>
      </c>
      <c r="J2061" s="251">
        <v>38460.96699883791</v>
      </c>
      <c r="K2061" s="38">
        <f t="shared" si="104"/>
        <v>846141</v>
      </c>
      <c r="L2061" s="561" t="s">
        <v>166</v>
      </c>
      <c r="M2061" s="561" t="s">
        <v>164</v>
      </c>
      <c r="N2061" s="52" t="str">
        <f>IF(AND('331-CT'!$E$7=TH!H2061,OR(L2061="331",M2061="331")),"331",IF(AND(OR(L2061="131",M2061="131"),H2061='131-CT'!$E$7),"131",""))</f>
        <v/>
      </c>
      <c r="O2061" s="818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751"/>
      <c r="AB2061" s="552"/>
      <c r="AC2061" s="552"/>
    </row>
    <row r="2062" spans="1:29" s="209" customFormat="1" ht="15.75" customHeight="1">
      <c r="A2062" s="202" t="str">
        <f>IF(B2062&lt;&gt;"",IF(AND(B2062&gt;=_TM1,B2062&lt;=_TM2,OR(TH!L2062="1111",TH!M2062="1111")),TH!D2062,""),"")</f>
        <v/>
      </c>
      <c r="B2062" s="36">
        <f t="shared" si="106"/>
        <v>1</v>
      </c>
      <c r="C2062" s="182">
        <f t="shared" si="105"/>
        <v>42376</v>
      </c>
      <c r="D2062" s="182" t="s">
        <v>1547</v>
      </c>
      <c r="E2062" s="189">
        <v>42376</v>
      </c>
      <c r="F2062" s="190" t="s">
        <v>881</v>
      </c>
      <c r="G2062" s="451" t="s">
        <v>880</v>
      </c>
      <c r="H2062" s="7" t="s">
        <v>1549</v>
      </c>
      <c r="I2062" s="251">
        <v>10</v>
      </c>
      <c r="J2062" s="251">
        <v>40963.849883794821</v>
      </c>
      <c r="K2062" s="38">
        <f t="shared" si="104"/>
        <v>409638</v>
      </c>
      <c r="L2062" s="561" t="s">
        <v>166</v>
      </c>
      <c r="M2062" s="561" t="s">
        <v>164</v>
      </c>
      <c r="N2062" s="52" t="str">
        <f>IF(AND('331-CT'!$E$7=TH!H2062,OR(L2062="331",M2062="331")),"331",IF(AND(OR(L2062="131",M2062="131"),H2062='131-CT'!$E$7),"131",""))</f>
        <v/>
      </c>
      <c r="O2062" s="818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751"/>
      <c r="AB2062" s="552"/>
      <c r="AC2062" s="552"/>
    </row>
    <row r="2063" spans="1:29" s="209" customFormat="1" ht="15.75" customHeight="1">
      <c r="A2063" s="202" t="str">
        <f>IF(B2063&lt;&gt;"",IF(AND(B2063&gt;=_TM1,B2063&lt;=_TM2,OR(TH!L2063="1111",TH!M2063="1111")),TH!D2063,""),"")</f>
        <v/>
      </c>
      <c r="B2063" s="36">
        <f t="shared" si="106"/>
        <v>1</v>
      </c>
      <c r="C2063" s="182">
        <f t="shared" si="105"/>
        <v>42376</v>
      </c>
      <c r="D2063" s="182" t="s">
        <v>1547</v>
      </c>
      <c r="E2063" s="189">
        <v>42376</v>
      </c>
      <c r="F2063" s="190" t="s">
        <v>882</v>
      </c>
      <c r="G2063" s="451" t="s">
        <v>880</v>
      </c>
      <c r="H2063" s="7" t="s">
        <v>1549</v>
      </c>
      <c r="I2063" s="251">
        <v>10</v>
      </c>
      <c r="J2063" s="251">
        <v>54229.12917406646</v>
      </c>
      <c r="K2063" s="38">
        <f t="shared" si="104"/>
        <v>542291</v>
      </c>
      <c r="L2063" s="561" t="s">
        <v>166</v>
      </c>
      <c r="M2063" s="561" t="s">
        <v>164</v>
      </c>
      <c r="N2063" s="52" t="str">
        <f>IF(AND('331-CT'!$E$7=TH!H2063,OR(L2063="331",M2063="331")),"331",IF(AND(OR(L2063="131",M2063="131"),H2063='131-CT'!$E$7),"131",""))</f>
        <v/>
      </c>
      <c r="O2063" s="818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751"/>
      <c r="AB2063" s="552"/>
      <c r="AC2063" s="552"/>
    </row>
    <row r="2064" spans="1:29" s="209" customFormat="1" ht="15.75" customHeight="1">
      <c r="A2064" s="202" t="str">
        <f>IF(B2064&lt;&gt;"",IF(AND(B2064&gt;=_TM1,B2064&lt;=_TM2,OR(TH!L2064="1111",TH!M2064="1111")),TH!D2064,""),"")</f>
        <v/>
      </c>
      <c r="B2064" s="36">
        <f t="shared" si="106"/>
        <v>1</v>
      </c>
      <c r="C2064" s="182">
        <f t="shared" si="105"/>
        <v>42377</v>
      </c>
      <c r="D2064" s="182" t="s">
        <v>1547</v>
      </c>
      <c r="E2064" s="691">
        <v>42377</v>
      </c>
      <c r="F2064" s="187" t="s">
        <v>610</v>
      </c>
      <c r="G2064" s="40" t="s">
        <v>884</v>
      </c>
      <c r="H2064" s="7" t="s">
        <v>1549</v>
      </c>
      <c r="I2064" s="251">
        <v>153</v>
      </c>
      <c r="J2064" s="251">
        <v>26864.276298537541</v>
      </c>
      <c r="K2064" s="38">
        <f t="shared" si="104"/>
        <v>4110234</v>
      </c>
      <c r="L2064" s="561" t="s">
        <v>166</v>
      </c>
      <c r="M2064" s="561" t="s">
        <v>164</v>
      </c>
      <c r="N2064" s="52" t="str">
        <f>IF(AND('331-CT'!$E$7=TH!H2064,OR(L2064="331",M2064="331")),"331",IF(AND(OR(L2064="131",M2064="131"),H2064='131-CT'!$E$7),"131",""))</f>
        <v/>
      </c>
      <c r="O2064" s="818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751"/>
      <c r="AB2064" s="552"/>
    </row>
    <row r="2065" spans="1:29" s="209" customFormat="1" ht="15.75" customHeight="1">
      <c r="A2065" s="202" t="str">
        <f>IF(B2065&lt;&gt;"",IF(AND(B2065&gt;=_TM1,B2065&lt;=_TM2,OR(TH!L2065="1111",TH!M2065="1111")),TH!D2065,""),"")</f>
        <v/>
      </c>
      <c r="B2065" s="36">
        <f t="shared" si="106"/>
        <v>1</v>
      </c>
      <c r="C2065" s="182">
        <f t="shared" si="105"/>
        <v>42381</v>
      </c>
      <c r="D2065" s="182" t="s">
        <v>1547</v>
      </c>
      <c r="E2065" s="691">
        <v>42381</v>
      </c>
      <c r="F2065" s="286" t="s">
        <v>454</v>
      </c>
      <c r="G2065" s="40" t="s">
        <v>885</v>
      </c>
      <c r="H2065" s="7" t="s">
        <v>1549</v>
      </c>
      <c r="I2065" s="251">
        <v>287</v>
      </c>
      <c r="J2065" s="251">
        <v>16018.450463724246</v>
      </c>
      <c r="K2065" s="38">
        <f t="shared" si="104"/>
        <v>4597295</v>
      </c>
      <c r="L2065" s="561" t="s">
        <v>166</v>
      </c>
      <c r="M2065" s="561" t="s">
        <v>164</v>
      </c>
      <c r="N2065" s="52" t="str">
        <f>IF(AND('331-CT'!$E$7=TH!H2065,OR(L2065="331",M2065="331")),"331",IF(AND(OR(L2065="131",M2065="131"),H2065='131-CT'!$E$7),"131",""))</f>
        <v/>
      </c>
      <c r="O2065" s="818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751"/>
      <c r="AB2065" s="552"/>
      <c r="AC2065" s="552"/>
    </row>
    <row r="2066" spans="1:29" s="209" customFormat="1" ht="15.75" customHeight="1">
      <c r="A2066" s="202" t="str">
        <f>IF(B2066&lt;&gt;"",IF(AND(B2066&gt;=_TM1,B2066&lt;=_TM2,OR(TH!L2066="1111",TH!M2066="1111")),TH!D2066,""),"")</f>
        <v/>
      </c>
      <c r="B2066" s="36">
        <f t="shared" si="106"/>
        <v>1</v>
      </c>
      <c r="C2066" s="182">
        <f t="shared" si="105"/>
        <v>42382</v>
      </c>
      <c r="D2066" s="182" t="s">
        <v>1547</v>
      </c>
      <c r="E2066" s="691">
        <v>42382</v>
      </c>
      <c r="F2066" s="187" t="s">
        <v>540</v>
      </c>
      <c r="G2066" s="40" t="s">
        <v>886</v>
      </c>
      <c r="H2066" s="7" t="s">
        <v>1549</v>
      </c>
      <c r="I2066" s="714">
        <v>504</v>
      </c>
      <c r="J2066" s="251">
        <v>8092.654661360687</v>
      </c>
      <c r="K2066" s="38">
        <f t="shared" si="104"/>
        <v>4078698</v>
      </c>
      <c r="L2066" s="561" t="s">
        <v>166</v>
      </c>
      <c r="M2066" s="561" t="s">
        <v>164</v>
      </c>
      <c r="N2066" s="52" t="str">
        <f>IF(AND('331-CT'!$E$7=TH!H2066,OR(L2066="331",M2066="331")),"331",IF(AND(OR(L2066="131",M2066="131"),H2066='131-CT'!$E$7),"131",""))</f>
        <v/>
      </c>
      <c r="O2066" s="818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751"/>
      <c r="AB2066" s="552"/>
      <c r="AC2066" s="552"/>
    </row>
    <row r="2067" spans="1:29" s="209" customFormat="1" ht="15.75" customHeight="1">
      <c r="A2067" s="202" t="str">
        <f>IF(B2067&lt;&gt;"",IF(AND(B2067&gt;=_TM1,B2067&lt;=_TM2,OR(TH!L2067="1111",TH!M2067="1111")),TH!D2067,""),"")</f>
        <v/>
      </c>
      <c r="B2067" s="36">
        <f t="shared" si="106"/>
        <v>1</v>
      </c>
      <c r="C2067" s="182">
        <f t="shared" si="105"/>
        <v>42382</v>
      </c>
      <c r="D2067" s="182" t="s">
        <v>1547</v>
      </c>
      <c r="E2067" s="691">
        <v>42382</v>
      </c>
      <c r="F2067" s="40" t="s">
        <v>415</v>
      </c>
      <c r="G2067" s="40" t="s">
        <v>887</v>
      </c>
      <c r="H2067" s="7" t="s">
        <v>1549</v>
      </c>
      <c r="I2067" s="251">
        <v>132</v>
      </c>
      <c r="J2067" s="251">
        <v>11179.543552807549</v>
      </c>
      <c r="K2067" s="38">
        <f t="shared" si="104"/>
        <v>1475700</v>
      </c>
      <c r="L2067" s="561" t="s">
        <v>166</v>
      </c>
      <c r="M2067" s="561" t="s">
        <v>164</v>
      </c>
      <c r="N2067" s="52" t="str">
        <f>IF(AND('331-CT'!$E$7=TH!H2067,OR(L2067="331",M2067="331")),"331",IF(AND(OR(L2067="131",M2067="131"),H2067='131-CT'!$E$7),"131",""))</f>
        <v/>
      </c>
      <c r="O2067" s="818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751"/>
      <c r="AB2067" s="552"/>
      <c r="AC2067" s="552"/>
    </row>
    <row r="2068" spans="1:29" s="209" customFormat="1" ht="15.75" customHeight="1">
      <c r="A2068" s="202" t="str">
        <f>IF(B2068&lt;&gt;"",IF(AND(B2068&gt;=_TM1,B2068&lt;=_TM2,OR(TH!L2068="1111",TH!M2068="1111")),TH!D2068,""),"")</f>
        <v/>
      </c>
      <c r="B2068" s="36">
        <f t="shared" si="106"/>
        <v>1</v>
      </c>
      <c r="C2068" s="182">
        <f t="shared" si="105"/>
        <v>42382</v>
      </c>
      <c r="D2068" s="182" t="s">
        <v>1547</v>
      </c>
      <c r="E2068" s="691">
        <v>42382</v>
      </c>
      <c r="F2068" s="187" t="s">
        <v>477</v>
      </c>
      <c r="G2068" s="40" t="s">
        <v>887</v>
      </c>
      <c r="H2068" s="7" t="s">
        <v>1549</v>
      </c>
      <c r="I2068" s="251">
        <v>222</v>
      </c>
      <c r="J2068" s="251">
        <v>7758.9369433664324</v>
      </c>
      <c r="K2068" s="38">
        <f t="shared" si="104"/>
        <v>1722484</v>
      </c>
      <c r="L2068" s="561" t="s">
        <v>166</v>
      </c>
      <c r="M2068" s="561" t="s">
        <v>164</v>
      </c>
      <c r="N2068" s="52" t="str">
        <f>IF(AND('331-CT'!$E$7=TH!H2068,OR(L2068="331",M2068="331")),"331",IF(AND(OR(L2068="131",M2068="131"),H2068='131-CT'!$E$7),"131",""))</f>
        <v/>
      </c>
      <c r="O2068" s="818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751"/>
      <c r="AB2068" s="552"/>
    </row>
    <row r="2069" spans="1:29" s="209" customFormat="1" ht="15.75" customHeight="1">
      <c r="A2069" s="202" t="str">
        <f>IF(B2069&lt;&gt;"",IF(AND(B2069&gt;=_TM1,B2069&lt;=_TM2,OR(TH!L2069="1111",TH!M2069="1111")),TH!D2069,""),"")</f>
        <v/>
      </c>
      <c r="B2069" s="36">
        <f t="shared" si="106"/>
        <v>1</v>
      </c>
      <c r="C2069" s="182">
        <f t="shared" si="105"/>
        <v>42383</v>
      </c>
      <c r="D2069" s="182" t="s">
        <v>1547</v>
      </c>
      <c r="E2069" s="691">
        <v>42383</v>
      </c>
      <c r="F2069" s="187" t="s">
        <v>415</v>
      </c>
      <c r="G2069" s="40" t="s">
        <v>832</v>
      </c>
      <c r="H2069" s="7" t="s">
        <v>1549</v>
      </c>
      <c r="I2069" s="714">
        <v>273</v>
      </c>
      <c r="J2069" s="251">
        <v>11096.114123308984</v>
      </c>
      <c r="K2069" s="38">
        <f t="shared" si="104"/>
        <v>3029239</v>
      </c>
      <c r="L2069" s="561" t="s">
        <v>166</v>
      </c>
      <c r="M2069" s="561" t="s">
        <v>164</v>
      </c>
      <c r="N2069" s="52" t="str">
        <f>IF(AND('331-CT'!$E$7=TH!H2069,OR(L2069="331",M2069="331")),"331",IF(AND(OR(L2069="131",M2069="131"),H2069='131-CT'!$E$7),"131",""))</f>
        <v/>
      </c>
      <c r="O2069" s="818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751"/>
      <c r="AB2069" s="552"/>
      <c r="AC2069" s="552"/>
    </row>
    <row r="2070" spans="1:29" s="209" customFormat="1" ht="15.75" customHeight="1">
      <c r="A2070" s="202" t="str">
        <f>IF(B2070&lt;&gt;"",IF(AND(B2070&gt;=_TM1,B2070&lt;=_TM2,OR(TH!L2070="1111",TH!M2070="1111")),TH!D2070,""),"")</f>
        <v/>
      </c>
      <c r="B2070" s="36">
        <f t="shared" si="106"/>
        <v>1</v>
      </c>
      <c r="C2070" s="182">
        <f t="shared" si="105"/>
        <v>42383</v>
      </c>
      <c r="D2070" s="182" t="s">
        <v>1547</v>
      </c>
      <c r="E2070" s="691">
        <v>42383</v>
      </c>
      <c r="F2070" s="187" t="s">
        <v>962</v>
      </c>
      <c r="G2070" s="40" t="s">
        <v>832</v>
      </c>
      <c r="H2070" s="7" t="s">
        <v>1549</v>
      </c>
      <c r="I2070" s="714">
        <v>500</v>
      </c>
      <c r="J2070" s="251">
        <v>19856.204220658179</v>
      </c>
      <c r="K2070" s="38">
        <f t="shared" si="104"/>
        <v>9928102</v>
      </c>
      <c r="L2070" s="561" t="s">
        <v>166</v>
      </c>
      <c r="M2070" s="561" t="s">
        <v>164</v>
      </c>
      <c r="N2070" s="52" t="str">
        <f>IF(AND('331-CT'!$E$7=TH!H2070,OR(L2070="331",M2070="331")),"331",IF(AND(OR(L2070="131",M2070="131"),H2070='131-CT'!$E$7),"131",""))</f>
        <v/>
      </c>
      <c r="O2070" s="818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751"/>
      <c r="AB2070" s="552"/>
      <c r="AC2070" s="552"/>
    </row>
    <row r="2071" spans="1:29" s="209" customFormat="1" ht="15.75" customHeight="1">
      <c r="A2071" s="202" t="str">
        <f>IF(B2071&lt;&gt;"",IF(AND(B2071&gt;=_TM1,B2071&lt;=_TM2,OR(TH!L2071="1111",TH!M2071="1111")),TH!D2071,""),"")</f>
        <v/>
      </c>
      <c r="B2071" s="36">
        <f t="shared" si="106"/>
        <v>1</v>
      </c>
      <c r="C2071" s="182">
        <f t="shared" si="105"/>
        <v>42383</v>
      </c>
      <c r="D2071" s="182" t="s">
        <v>1547</v>
      </c>
      <c r="E2071" s="691">
        <v>42383</v>
      </c>
      <c r="F2071" s="187" t="s">
        <v>646</v>
      </c>
      <c r="G2071" s="40" t="s">
        <v>833</v>
      </c>
      <c r="H2071" s="7" t="s">
        <v>1549</v>
      </c>
      <c r="I2071" s="714">
        <v>1000</v>
      </c>
      <c r="J2071" s="251">
        <v>6590.924930386539</v>
      </c>
      <c r="K2071" s="38">
        <f t="shared" si="104"/>
        <v>6590925</v>
      </c>
      <c r="L2071" s="561" t="s">
        <v>166</v>
      </c>
      <c r="M2071" s="561" t="s">
        <v>164</v>
      </c>
      <c r="N2071" s="52" t="str">
        <f>IF(AND('331-CT'!$E$7=TH!H2071,OR(L2071="331",M2071="331")),"331",IF(AND(OR(L2071="131",M2071="131"),H2071='131-CT'!$E$7),"131",""))</f>
        <v/>
      </c>
      <c r="O2071" s="818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751"/>
      <c r="AB2071" s="552"/>
    </row>
    <row r="2072" spans="1:29" s="209" customFormat="1" ht="15.75" customHeight="1">
      <c r="A2072" s="202" t="str">
        <f>IF(B2072&lt;&gt;"",IF(AND(B2072&gt;=_TM1,B2072&lt;=_TM2,OR(TH!L2072="1111",TH!M2072="1111")),TH!D2072,""),"")</f>
        <v/>
      </c>
      <c r="B2072" s="36">
        <f t="shared" si="106"/>
        <v>1</v>
      </c>
      <c r="C2072" s="182">
        <f t="shared" si="105"/>
        <v>42383</v>
      </c>
      <c r="D2072" s="182" t="s">
        <v>1547</v>
      </c>
      <c r="E2072" s="189">
        <v>42383</v>
      </c>
      <c r="F2072" s="190" t="s">
        <v>1434</v>
      </c>
      <c r="G2072" s="451" t="s">
        <v>888</v>
      </c>
      <c r="H2072" s="7" t="s">
        <v>1549</v>
      </c>
      <c r="I2072" s="251">
        <v>100</v>
      </c>
      <c r="J2072" s="251">
        <v>8509.8018088535064</v>
      </c>
      <c r="K2072" s="38">
        <f t="shared" si="104"/>
        <v>850980</v>
      </c>
      <c r="L2072" s="561" t="s">
        <v>166</v>
      </c>
      <c r="M2072" s="561" t="s">
        <v>164</v>
      </c>
      <c r="N2072" s="52" t="str">
        <f>IF(AND('331-CT'!$E$7=TH!H2072,OR(L2072="331",M2072="331")),"331",IF(AND(OR(L2072="131",M2072="131"),H2072='131-CT'!$E$7),"131",""))</f>
        <v/>
      </c>
      <c r="O2072" s="818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751"/>
      <c r="AB2072" s="552"/>
      <c r="AC2072" s="552"/>
    </row>
    <row r="2073" spans="1:29" s="209" customFormat="1" ht="15.75" customHeight="1">
      <c r="A2073" s="202" t="str">
        <f>IF(B2073&lt;&gt;"",IF(AND(B2073&gt;=_TM1,B2073&lt;=_TM2,OR(TH!L2073="1111",TH!M2073="1111")),TH!D2073,""),"")</f>
        <v/>
      </c>
      <c r="B2073" s="36">
        <f t="shared" si="106"/>
        <v>1</v>
      </c>
      <c r="C2073" s="182">
        <f t="shared" si="105"/>
        <v>42383</v>
      </c>
      <c r="D2073" s="182" t="s">
        <v>1547</v>
      </c>
      <c r="E2073" s="189">
        <v>42383</v>
      </c>
      <c r="F2073" s="190" t="s">
        <v>1435</v>
      </c>
      <c r="G2073" s="451" t="s">
        <v>888</v>
      </c>
      <c r="H2073" s="7" t="s">
        <v>1549</v>
      </c>
      <c r="I2073" s="251">
        <v>20</v>
      </c>
      <c r="J2073" s="251">
        <v>9761.2432513319618</v>
      </c>
      <c r="K2073" s="38">
        <f t="shared" si="104"/>
        <v>195225</v>
      </c>
      <c r="L2073" s="561" t="s">
        <v>166</v>
      </c>
      <c r="M2073" s="561" t="s">
        <v>164</v>
      </c>
      <c r="N2073" s="52" t="str">
        <f>IF(AND('331-CT'!$E$7=TH!H2073,OR(L2073="331",M2073="331")),"331",IF(AND(OR(L2073="131",M2073="131"),H2073='131-CT'!$E$7),"131",""))</f>
        <v/>
      </c>
      <c r="O2073" s="818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751"/>
      <c r="AB2073" s="552"/>
      <c r="AC2073" s="552"/>
    </row>
    <row r="2074" spans="1:29" s="209" customFormat="1" ht="15.75" customHeight="1">
      <c r="A2074" s="202" t="str">
        <f>IF(B2074&lt;&gt;"",IF(AND(B2074&gt;=_TM1,B2074&lt;=_TM2,OR(TH!L2074="1111",TH!M2074="1111")),TH!D2074,""),"")</f>
        <v/>
      </c>
      <c r="B2074" s="36">
        <f t="shared" si="106"/>
        <v>1</v>
      </c>
      <c r="C2074" s="182">
        <f t="shared" si="105"/>
        <v>42383</v>
      </c>
      <c r="D2074" s="182" t="s">
        <v>1547</v>
      </c>
      <c r="E2074" s="189">
        <v>42383</v>
      </c>
      <c r="F2074" s="190" t="s">
        <v>1306</v>
      </c>
      <c r="G2074" s="451" t="s">
        <v>888</v>
      </c>
      <c r="H2074" s="7" t="s">
        <v>1549</v>
      </c>
      <c r="I2074" s="251">
        <v>20</v>
      </c>
      <c r="J2074" s="251">
        <v>10345.24925782191</v>
      </c>
      <c r="K2074" s="38">
        <f t="shared" si="104"/>
        <v>206905</v>
      </c>
      <c r="L2074" s="561" t="s">
        <v>166</v>
      </c>
      <c r="M2074" s="561" t="s">
        <v>164</v>
      </c>
      <c r="N2074" s="52" t="str">
        <f>IF(AND('331-CT'!$E$7=TH!H2074,OR(L2074="331",M2074="331")),"331",IF(AND(OR(L2074="131",M2074="131"),H2074='131-CT'!$E$7),"131",""))</f>
        <v/>
      </c>
      <c r="O2074" s="818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751"/>
      <c r="AB2074" s="552"/>
      <c r="AC2074" s="552"/>
    </row>
    <row r="2075" spans="1:29" s="209" customFormat="1" ht="15.75" customHeight="1">
      <c r="A2075" s="202" t="str">
        <f>IF(B2075&lt;&gt;"",IF(AND(B2075&gt;=_TM1,B2075&lt;=_TM2,OR(TH!L2075="1111",TH!M2075="1111")),TH!D2075,""),"")</f>
        <v/>
      </c>
      <c r="B2075" s="36">
        <f t="shared" si="106"/>
        <v>1</v>
      </c>
      <c r="C2075" s="182">
        <f t="shared" si="105"/>
        <v>42383</v>
      </c>
      <c r="D2075" s="182" t="s">
        <v>1547</v>
      </c>
      <c r="E2075" s="189">
        <v>42383</v>
      </c>
      <c r="F2075" s="190" t="s">
        <v>1310</v>
      </c>
      <c r="G2075" s="451" t="s">
        <v>888</v>
      </c>
      <c r="H2075" s="7" t="s">
        <v>1549</v>
      </c>
      <c r="I2075" s="251">
        <v>20</v>
      </c>
      <c r="J2075" s="251">
        <v>9093.8078153434526</v>
      </c>
      <c r="K2075" s="38">
        <f t="shared" si="104"/>
        <v>181876</v>
      </c>
      <c r="L2075" s="561" t="s">
        <v>166</v>
      </c>
      <c r="M2075" s="561" t="s">
        <v>164</v>
      </c>
      <c r="N2075" s="52" t="str">
        <f>IF(AND('331-CT'!$E$7=TH!H2075,OR(L2075="331",M2075="331")),"331",IF(AND(OR(L2075="131",M2075="131"),H2075='131-CT'!$E$7),"131",""))</f>
        <v/>
      </c>
      <c r="O2075" s="818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751"/>
      <c r="AB2075" s="552"/>
      <c r="AC2075" s="552"/>
    </row>
    <row r="2076" spans="1:29" s="209" customFormat="1" ht="15.75" customHeight="1">
      <c r="A2076" s="202" t="str">
        <f>IF(B2076&lt;&gt;"",IF(AND(B2076&gt;=_TM1,B2076&lt;=_TM2,OR(TH!L2076="1111",TH!M2076="1111")),TH!D2076,""),"")</f>
        <v/>
      </c>
      <c r="B2076" s="36">
        <f t="shared" si="106"/>
        <v>1</v>
      </c>
      <c r="C2076" s="182">
        <f t="shared" si="105"/>
        <v>42383</v>
      </c>
      <c r="D2076" s="182" t="s">
        <v>1547</v>
      </c>
      <c r="E2076" s="189">
        <v>42383</v>
      </c>
      <c r="F2076" s="190" t="s">
        <v>1443</v>
      </c>
      <c r="G2076" s="451" t="s">
        <v>889</v>
      </c>
      <c r="H2076" s="7" t="s">
        <v>1549</v>
      </c>
      <c r="I2076" s="251">
        <v>314</v>
      </c>
      <c r="J2076" s="251">
        <v>11012.684693810421</v>
      </c>
      <c r="K2076" s="38">
        <f t="shared" si="104"/>
        <v>3457983</v>
      </c>
      <c r="L2076" s="561" t="s">
        <v>166</v>
      </c>
      <c r="M2076" s="561" t="s">
        <v>164</v>
      </c>
      <c r="N2076" s="52" t="str">
        <f>IF(AND('331-CT'!$E$7=TH!H2076,OR(L2076="331",M2076="331")),"331",IF(AND(OR(L2076="131",M2076="131"),H2076='131-CT'!$E$7),"131",""))</f>
        <v/>
      </c>
      <c r="O2076" s="818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751"/>
      <c r="AB2076" s="552"/>
      <c r="AC2076" s="552"/>
    </row>
    <row r="2077" spans="1:29" s="209" customFormat="1" ht="15.75" customHeight="1">
      <c r="A2077" s="202" t="str">
        <f>IF(B2077&lt;&gt;"",IF(AND(B2077&gt;=_TM1,B2077&lt;=_TM2,OR(TH!L2077="1111",TH!M2077="1111")),TH!D2077,""),"")</f>
        <v/>
      </c>
      <c r="B2077" s="36">
        <f t="shared" si="106"/>
        <v>1</v>
      </c>
      <c r="C2077" s="182">
        <f t="shared" si="105"/>
        <v>42383</v>
      </c>
      <c r="D2077" s="182" t="s">
        <v>1547</v>
      </c>
      <c r="E2077" s="189">
        <v>42383</v>
      </c>
      <c r="F2077" s="190" t="s">
        <v>659</v>
      </c>
      <c r="G2077" s="451" t="s">
        <v>890</v>
      </c>
      <c r="H2077" s="7" t="s">
        <v>1549</v>
      </c>
      <c r="I2077" s="251">
        <v>214</v>
      </c>
      <c r="J2077" s="251">
        <v>12013.837847793186</v>
      </c>
      <c r="K2077" s="38">
        <f t="shared" si="104"/>
        <v>2570961</v>
      </c>
      <c r="L2077" s="561" t="s">
        <v>166</v>
      </c>
      <c r="M2077" s="561" t="s">
        <v>164</v>
      </c>
      <c r="N2077" s="52" t="str">
        <f>IF(AND('331-CT'!$E$7=TH!H2077,OR(L2077="331",M2077="331")),"331",IF(AND(OR(L2077="131",M2077="131"),H2077='131-CT'!$E$7),"131",""))</f>
        <v/>
      </c>
      <c r="O2077" s="818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751"/>
      <c r="AB2077" s="552"/>
      <c r="AC2077" s="552"/>
    </row>
    <row r="2078" spans="1:29" s="209" customFormat="1" ht="15.75" customHeight="1">
      <c r="A2078" s="202" t="str">
        <f>IF(B2078&lt;&gt;"",IF(AND(B2078&gt;=_TM1,B2078&lt;=_TM2,OR(TH!L2078="1111",TH!M2078="1111")),TH!D2078,""),"")</f>
        <v/>
      </c>
      <c r="B2078" s="36">
        <f t="shared" si="106"/>
        <v>1</v>
      </c>
      <c r="C2078" s="182">
        <f t="shared" si="105"/>
        <v>42383</v>
      </c>
      <c r="D2078" s="182" t="s">
        <v>1547</v>
      </c>
      <c r="E2078" s="189">
        <v>42383</v>
      </c>
      <c r="F2078" s="190" t="s">
        <v>658</v>
      </c>
      <c r="G2078" s="451" t="s">
        <v>890</v>
      </c>
      <c r="H2078" s="7" t="s">
        <v>1549</v>
      </c>
      <c r="I2078" s="251">
        <v>621</v>
      </c>
      <c r="J2078" s="251">
        <v>6424.0660713894113</v>
      </c>
      <c r="K2078" s="38">
        <f t="shared" si="104"/>
        <v>3989345</v>
      </c>
      <c r="L2078" s="561" t="s">
        <v>166</v>
      </c>
      <c r="M2078" s="561" t="s">
        <v>164</v>
      </c>
      <c r="N2078" s="52" t="str">
        <f>IF(AND('331-CT'!$E$7=TH!H2078,OR(L2078="331",M2078="331")),"331",IF(AND(OR(L2078="131",M2078="131"),H2078='131-CT'!$E$7),"131",""))</f>
        <v/>
      </c>
      <c r="O2078" s="818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751"/>
      <c r="AB2078" s="552"/>
      <c r="AC2078" s="552"/>
    </row>
    <row r="2079" spans="1:29" s="209" customFormat="1" ht="15.75" customHeight="1">
      <c r="A2079" s="202" t="str">
        <f>IF(B2079&lt;&gt;"",IF(AND(B2079&gt;=_TM1,B2079&lt;=_TM2,OR(TH!L2079="1111",TH!M2079="1111")),TH!D2079,""),"")</f>
        <v/>
      </c>
      <c r="B2079" s="36">
        <f t="shared" si="106"/>
        <v>1</v>
      </c>
      <c r="C2079" s="182">
        <f t="shared" si="105"/>
        <v>42383</v>
      </c>
      <c r="D2079" s="182" t="s">
        <v>1547</v>
      </c>
      <c r="E2079" s="189">
        <v>42383</v>
      </c>
      <c r="F2079" s="190" t="s">
        <v>698</v>
      </c>
      <c r="G2079" s="451" t="s">
        <v>891</v>
      </c>
      <c r="H2079" s="7" t="s">
        <v>1549</v>
      </c>
      <c r="I2079" s="251">
        <v>170</v>
      </c>
      <c r="J2079" s="251">
        <v>11012.684693810421</v>
      </c>
      <c r="K2079" s="38">
        <f t="shared" si="104"/>
        <v>1872156</v>
      </c>
      <c r="L2079" s="561" t="s">
        <v>166</v>
      </c>
      <c r="M2079" s="561" t="s">
        <v>164</v>
      </c>
      <c r="N2079" s="52" t="str">
        <f>IF(AND('331-CT'!$E$7=TH!H2079,OR(L2079="331",M2079="331")),"331",IF(AND(OR(L2079="131",M2079="131"),H2079='131-CT'!$E$7),"131",""))</f>
        <v/>
      </c>
      <c r="O2079" s="818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751"/>
      <c r="AB2079" s="552"/>
      <c r="AC2079" s="552"/>
    </row>
    <row r="2080" spans="1:29" s="209" customFormat="1" ht="15.75" customHeight="1">
      <c r="A2080" s="202" t="str">
        <f>IF(B2080&lt;&gt;"",IF(AND(B2080&gt;=_TM1,B2080&lt;=_TM2,OR(TH!L2080="1111",TH!M2080="1111")),TH!D2080,""),"")</f>
        <v/>
      </c>
      <c r="B2080" s="36">
        <f t="shared" si="106"/>
        <v>1</v>
      </c>
      <c r="C2080" s="182">
        <f t="shared" si="105"/>
        <v>42383</v>
      </c>
      <c r="D2080" s="182" t="s">
        <v>1547</v>
      </c>
      <c r="E2080" s="189">
        <v>42383</v>
      </c>
      <c r="F2080" s="190" t="s">
        <v>706</v>
      </c>
      <c r="G2080" s="451" t="s">
        <v>891</v>
      </c>
      <c r="H2080" s="7" t="s">
        <v>1549</v>
      </c>
      <c r="I2080" s="251">
        <v>40</v>
      </c>
      <c r="J2080" s="251">
        <v>8092.654661360687</v>
      </c>
      <c r="K2080" s="38">
        <f t="shared" si="104"/>
        <v>323706</v>
      </c>
      <c r="L2080" s="561" t="s">
        <v>166</v>
      </c>
      <c r="M2080" s="561" t="s">
        <v>164</v>
      </c>
      <c r="N2080" s="52" t="str">
        <f>IF(AND('331-CT'!$E$7=TH!H2080,OR(L2080="331",M2080="331")),"331",IF(AND(OR(L2080="131",M2080="131"),H2080='131-CT'!$E$7),"131",""))</f>
        <v/>
      </c>
      <c r="O2080" s="818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751"/>
      <c r="AB2080" s="552"/>
    </row>
    <row r="2081" spans="1:29" s="209" customFormat="1" ht="15.75" customHeight="1">
      <c r="A2081" s="202" t="str">
        <f>IF(B2081&lt;&gt;"",IF(AND(B2081&gt;=_TM1,B2081&lt;=_TM2,OR(TH!L2081="1111",TH!M2081="1111")),TH!D2081,""),"")</f>
        <v/>
      </c>
      <c r="B2081" s="36">
        <f t="shared" si="106"/>
        <v>1</v>
      </c>
      <c r="C2081" s="182">
        <f t="shared" si="105"/>
        <v>42383</v>
      </c>
      <c r="D2081" s="182" t="s">
        <v>1547</v>
      </c>
      <c r="E2081" s="37">
        <v>42383</v>
      </c>
      <c r="F2081" s="40" t="s">
        <v>1215</v>
      </c>
      <c r="G2081" s="40" t="s">
        <v>891</v>
      </c>
      <c r="H2081" s="7" t="s">
        <v>1549</v>
      </c>
      <c r="I2081" s="251">
        <v>25</v>
      </c>
      <c r="J2081" s="251">
        <v>7174.9309368764852</v>
      </c>
      <c r="K2081" s="38">
        <f t="shared" si="104"/>
        <v>179373</v>
      </c>
      <c r="L2081" s="561" t="s">
        <v>166</v>
      </c>
      <c r="M2081" s="561" t="s">
        <v>164</v>
      </c>
      <c r="N2081" s="52" t="str">
        <f>IF(AND('331-CT'!$E$7=TH!H2081,OR(L2081="331",M2081="331")),"331",IF(AND(OR(L2081="131",M2081="131"),H2081='131-CT'!$E$7),"131",""))</f>
        <v/>
      </c>
      <c r="O2081" s="818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751"/>
      <c r="AB2081" s="552"/>
      <c r="AC2081" s="552"/>
    </row>
    <row r="2082" spans="1:29" s="209" customFormat="1" ht="15.75" customHeight="1">
      <c r="A2082" s="202" t="str">
        <f>IF(B2082&lt;&gt;"",IF(AND(B2082&gt;=_TM1,B2082&lt;=_TM2,OR(TH!L2082="1111",TH!M2082="1111")),TH!D2082,""),"")</f>
        <v/>
      </c>
      <c r="B2082" s="36">
        <f t="shared" si="106"/>
        <v>1</v>
      </c>
      <c r="C2082" s="182">
        <f t="shared" si="105"/>
        <v>42383</v>
      </c>
      <c r="D2082" s="182" t="s">
        <v>1547</v>
      </c>
      <c r="E2082" s="37">
        <v>42383</v>
      </c>
      <c r="F2082" s="40" t="s">
        <v>1216</v>
      </c>
      <c r="G2082" s="40" t="s">
        <v>891</v>
      </c>
      <c r="H2082" s="7" t="s">
        <v>1549</v>
      </c>
      <c r="I2082" s="251">
        <v>10</v>
      </c>
      <c r="J2082" s="251">
        <v>9344.0961038391451</v>
      </c>
      <c r="K2082" s="38">
        <f t="shared" si="104"/>
        <v>93441</v>
      </c>
      <c r="L2082" s="561" t="s">
        <v>166</v>
      </c>
      <c r="M2082" s="561" t="s">
        <v>164</v>
      </c>
      <c r="N2082" s="52" t="str">
        <f>IF(AND('331-CT'!$E$7=TH!H2082,OR(L2082="331",M2082="331")),"331",IF(AND(OR(L2082="131",M2082="131"),H2082='131-CT'!$E$7),"131",""))</f>
        <v/>
      </c>
      <c r="O2082" s="818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751"/>
      <c r="AB2082" s="552"/>
    </row>
    <row r="2083" spans="1:29" s="209" customFormat="1" ht="15.75" customHeight="1">
      <c r="A2083" s="202" t="str">
        <f>IF(B2083&lt;&gt;"",IF(AND(B2083&gt;=_TM1,B2083&lt;=_TM2,OR(TH!L2083="1111",TH!M2083="1111")),TH!D2083,""),"")</f>
        <v/>
      </c>
      <c r="B2083" s="36">
        <f t="shared" si="106"/>
        <v>1</v>
      </c>
      <c r="C2083" s="182">
        <f t="shared" si="105"/>
        <v>42383</v>
      </c>
      <c r="D2083" s="182" t="s">
        <v>1547</v>
      </c>
      <c r="E2083" s="37">
        <v>42383</v>
      </c>
      <c r="F2083" s="190" t="s">
        <v>1217</v>
      </c>
      <c r="G2083" s="40" t="s">
        <v>891</v>
      </c>
      <c r="H2083" s="7" t="s">
        <v>1549</v>
      </c>
      <c r="I2083" s="251">
        <v>580</v>
      </c>
      <c r="J2083" s="251">
        <v>8843.5195268477619</v>
      </c>
      <c r="K2083" s="38">
        <f t="shared" si="104"/>
        <v>5129241</v>
      </c>
      <c r="L2083" s="561" t="s">
        <v>166</v>
      </c>
      <c r="M2083" s="561" t="s">
        <v>164</v>
      </c>
      <c r="N2083" s="52" t="str">
        <f>IF(AND('331-CT'!$E$7=TH!H2083,OR(L2083="331",M2083="331")),"331",IF(AND(OR(L2083="131",M2083="131"),H2083='131-CT'!$E$7),"131",""))</f>
        <v/>
      </c>
      <c r="O2083" s="818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751"/>
      <c r="AB2083" s="552"/>
      <c r="AC2083" s="552"/>
    </row>
    <row r="2084" spans="1:29" s="209" customFormat="1" ht="15.75" customHeight="1">
      <c r="A2084" s="202" t="str">
        <f>IF(B2084&lt;&gt;"",IF(AND(B2084&gt;=_TM1,B2084&lt;=_TM2,OR(TH!L2084="1111",TH!M2084="1111")),TH!D2084,""),"")</f>
        <v/>
      </c>
      <c r="B2084" s="36">
        <f t="shared" si="106"/>
        <v>1</v>
      </c>
      <c r="C2084" s="182">
        <f t="shared" si="105"/>
        <v>42383</v>
      </c>
      <c r="D2084" s="182" t="s">
        <v>1547</v>
      </c>
      <c r="E2084" s="37">
        <v>42383</v>
      </c>
      <c r="F2084" s="40" t="s">
        <v>1218</v>
      </c>
      <c r="G2084" s="40" t="s">
        <v>891</v>
      </c>
      <c r="H2084" s="7" t="s">
        <v>1549</v>
      </c>
      <c r="I2084" s="251">
        <v>900</v>
      </c>
      <c r="J2084" s="251">
        <v>7925.7958023635592</v>
      </c>
      <c r="K2084" s="38">
        <f t="shared" si="104"/>
        <v>7133216</v>
      </c>
      <c r="L2084" s="561" t="s">
        <v>166</v>
      </c>
      <c r="M2084" s="561" t="s">
        <v>164</v>
      </c>
      <c r="N2084" s="52" t="str">
        <f>IF(AND('331-CT'!$E$7=TH!H2084,OR(L2084="331",M2084="331")),"331",IF(AND(OR(L2084="131",M2084="131"),H2084='131-CT'!$E$7),"131",""))</f>
        <v/>
      </c>
      <c r="O2084" s="818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751"/>
      <c r="AB2084" s="552"/>
      <c r="AC2084" s="552"/>
    </row>
    <row r="2085" spans="1:29" s="209" customFormat="1" ht="15.75" customHeight="1">
      <c r="A2085" s="202" t="str">
        <f>IF(B2085&lt;&gt;"",IF(AND(B2085&gt;=_TM1,B2085&lt;=_TM2,OR(TH!L2085="1111",TH!M2085="1111")),TH!D2085,""),"")</f>
        <v/>
      </c>
      <c r="B2085" s="36">
        <f t="shared" si="106"/>
        <v>1</v>
      </c>
      <c r="C2085" s="182">
        <f t="shared" si="105"/>
        <v>42383</v>
      </c>
      <c r="D2085" s="182" t="s">
        <v>1547</v>
      </c>
      <c r="E2085" s="37">
        <v>42383</v>
      </c>
      <c r="F2085" s="190" t="s">
        <v>1219</v>
      </c>
      <c r="G2085" s="40" t="s">
        <v>891</v>
      </c>
      <c r="H2085" s="7" t="s">
        <v>1549</v>
      </c>
      <c r="I2085" s="251">
        <v>12</v>
      </c>
      <c r="J2085" s="251">
        <v>6006.9189238965928</v>
      </c>
      <c r="K2085" s="38">
        <f t="shared" si="104"/>
        <v>72083</v>
      </c>
      <c r="L2085" s="561" t="s">
        <v>166</v>
      </c>
      <c r="M2085" s="561" t="s">
        <v>164</v>
      </c>
      <c r="N2085" s="52" t="str">
        <f>IF(AND('331-CT'!$E$7=TH!H2085,OR(L2085="331",M2085="331")),"331",IF(AND(OR(L2085="131",M2085="131"),H2085='131-CT'!$E$7),"131",""))</f>
        <v/>
      </c>
      <c r="O2085" s="818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751"/>
      <c r="AB2085" s="552"/>
    </row>
    <row r="2086" spans="1:29" s="209" customFormat="1" ht="15.75" customHeight="1">
      <c r="A2086" s="202" t="str">
        <f>IF(B2086&lt;&gt;"",IF(AND(B2086&gt;=_TM1,B2086&lt;=_TM2,OR(TH!L2086="1111",TH!M2086="1111")),TH!D2086,""),"")</f>
        <v/>
      </c>
      <c r="B2086" s="36">
        <f t="shared" si="106"/>
        <v>1</v>
      </c>
      <c r="C2086" s="182">
        <f t="shared" si="105"/>
        <v>42383</v>
      </c>
      <c r="D2086" s="182" t="s">
        <v>1547</v>
      </c>
      <c r="E2086" s="37">
        <v>42383</v>
      </c>
      <c r="F2086" s="40" t="s">
        <v>1220</v>
      </c>
      <c r="G2086" s="40" t="s">
        <v>891</v>
      </c>
      <c r="H2086" s="7" t="s">
        <v>1549</v>
      </c>
      <c r="I2086" s="251">
        <v>13</v>
      </c>
      <c r="J2086" s="251">
        <v>7675.5075138678685</v>
      </c>
      <c r="K2086" s="38">
        <f t="shared" si="104"/>
        <v>99782</v>
      </c>
      <c r="L2086" s="561" t="s">
        <v>166</v>
      </c>
      <c r="M2086" s="561" t="s">
        <v>164</v>
      </c>
      <c r="N2086" s="52" t="str">
        <f>IF(AND('331-CT'!$E$7=TH!H2086,OR(L2086="331",M2086="331")),"331",IF(AND(OR(L2086="131",M2086="131"),H2086='131-CT'!$E$7),"131",""))</f>
        <v/>
      </c>
      <c r="O2086" s="818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751"/>
      <c r="AB2086" s="552"/>
      <c r="AC2086" s="552"/>
    </row>
    <row r="2087" spans="1:29" s="209" customFormat="1" ht="15.75" customHeight="1">
      <c r="A2087" s="202" t="str">
        <f>IF(B2087&lt;&gt;"",IF(AND(B2087&gt;=_TM1,B2087&lt;=_TM2,OR(TH!L2087="1111",TH!M2087="1111")),TH!D2087,""),"")</f>
        <v/>
      </c>
      <c r="B2087" s="36">
        <f t="shared" si="106"/>
        <v>1</v>
      </c>
      <c r="C2087" s="182">
        <f t="shared" si="105"/>
        <v>42385</v>
      </c>
      <c r="D2087" s="182" t="s">
        <v>1547</v>
      </c>
      <c r="E2087" s="37">
        <v>42385</v>
      </c>
      <c r="F2087" s="40" t="s">
        <v>441</v>
      </c>
      <c r="G2087" s="40" t="s">
        <v>892</v>
      </c>
      <c r="H2087" s="7" t="s">
        <v>1549</v>
      </c>
      <c r="I2087" s="251">
        <v>619</v>
      </c>
      <c r="J2087" s="251">
        <v>13181.849860773078</v>
      </c>
      <c r="K2087" s="38">
        <f t="shared" si="104"/>
        <v>8159565</v>
      </c>
      <c r="L2087" s="561" t="s">
        <v>166</v>
      </c>
      <c r="M2087" s="561" t="s">
        <v>164</v>
      </c>
      <c r="N2087" s="52" t="str">
        <f>IF(AND('331-CT'!$E$7=TH!H2087,OR(L2087="331",M2087="331")),"331",IF(AND(OR(L2087="131",M2087="131"),H2087='131-CT'!$E$7),"131",""))</f>
        <v/>
      </c>
      <c r="O2087" s="818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751"/>
      <c r="AB2087" s="552"/>
      <c r="AC2087" s="552"/>
    </row>
    <row r="2088" spans="1:29" s="209" customFormat="1" ht="15.75" customHeight="1">
      <c r="A2088" s="202" t="str">
        <f>IF(B2088&lt;&gt;"",IF(AND(B2088&gt;=_TM1,B2088&lt;=_TM2,OR(TH!L2088="1111",TH!M2088="1111")),TH!D2088,""),"")</f>
        <v/>
      </c>
      <c r="B2088" s="36">
        <f t="shared" si="106"/>
        <v>1</v>
      </c>
      <c r="C2088" s="182">
        <f t="shared" si="105"/>
        <v>42385</v>
      </c>
      <c r="D2088" s="182" t="s">
        <v>1547</v>
      </c>
      <c r="E2088" s="37">
        <v>42385</v>
      </c>
      <c r="F2088" s="40" t="s">
        <v>893</v>
      </c>
      <c r="G2088" s="40" t="s">
        <v>894</v>
      </c>
      <c r="H2088" s="7" t="s">
        <v>1549</v>
      </c>
      <c r="I2088" s="251">
        <v>200</v>
      </c>
      <c r="J2088" s="251">
        <v>5256.0540584095188</v>
      </c>
      <c r="K2088" s="38">
        <f t="shared" si="104"/>
        <v>1051211</v>
      </c>
      <c r="L2088" s="561" t="s">
        <v>166</v>
      </c>
      <c r="M2088" s="561" t="s">
        <v>164</v>
      </c>
      <c r="N2088" s="52" t="str">
        <f>IF(AND('331-CT'!$E$7=TH!H2088,OR(L2088="331",M2088="331")),"331",IF(AND(OR(L2088="131",M2088="131"),H2088='131-CT'!$E$7),"131",""))</f>
        <v/>
      </c>
      <c r="O2088" s="818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751"/>
      <c r="AB2088" s="552"/>
      <c r="AC2088" s="552"/>
    </row>
    <row r="2089" spans="1:29" s="209" customFormat="1" ht="15.75" customHeight="1">
      <c r="A2089" s="202" t="str">
        <f>IF(B2089&lt;&gt;"",IF(AND(B2089&gt;=_TM1,B2089&lt;=_TM2,OR(TH!L2089="1111",TH!M2089="1111")),TH!D2089,""),"")</f>
        <v/>
      </c>
      <c r="B2089" s="36">
        <f t="shared" si="106"/>
        <v>1</v>
      </c>
      <c r="C2089" s="182">
        <f t="shared" si="105"/>
        <v>42385</v>
      </c>
      <c r="D2089" s="182" t="s">
        <v>1547</v>
      </c>
      <c r="E2089" s="37">
        <v>42385</v>
      </c>
      <c r="F2089" s="40" t="s">
        <v>895</v>
      </c>
      <c r="G2089" s="40" t="s">
        <v>894</v>
      </c>
      <c r="H2089" s="7" t="s">
        <v>1549</v>
      </c>
      <c r="I2089" s="251">
        <v>200</v>
      </c>
      <c r="J2089" s="251">
        <v>5506.3423469052104</v>
      </c>
      <c r="K2089" s="38">
        <f t="shared" si="104"/>
        <v>1101268</v>
      </c>
      <c r="L2089" s="561" t="s">
        <v>166</v>
      </c>
      <c r="M2089" s="561" t="s">
        <v>164</v>
      </c>
      <c r="N2089" s="52" t="str">
        <f>IF(AND('331-CT'!$E$7=TH!H2089,OR(L2089="331",M2089="331")),"331",IF(AND(OR(L2089="131",M2089="131"),H2089='131-CT'!$E$7),"131",""))</f>
        <v/>
      </c>
      <c r="O2089" s="818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751"/>
      <c r="AB2089" s="552"/>
      <c r="AC2089" s="552"/>
    </row>
    <row r="2090" spans="1:29" s="209" customFormat="1" ht="15.75" customHeight="1">
      <c r="A2090" s="202" t="str">
        <f>IF(B2090&lt;&gt;"",IF(AND(B2090&gt;=_TM1,B2090&lt;=_TM2,OR(TH!L2090="1111",TH!M2090="1111")),TH!D2090,""),"")</f>
        <v/>
      </c>
      <c r="B2090" s="36">
        <f t="shared" si="106"/>
        <v>1</v>
      </c>
      <c r="C2090" s="182">
        <f t="shared" si="105"/>
        <v>42385</v>
      </c>
      <c r="D2090" s="182" t="s">
        <v>1547</v>
      </c>
      <c r="E2090" s="37">
        <v>42385</v>
      </c>
      <c r="F2090" s="40" t="s">
        <v>896</v>
      </c>
      <c r="G2090" s="40" t="s">
        <v>894</v>
      </c>
      <c r="H2090" s="7" t="s">
        <v>1549</v>
      </c>
      <c r="I2090" s="251">
        <v>200</v>
      </c>
      <c r="J2090" s="251">
        <v>5339.4834879080827</v>
      </c>
      <c r="K2090" s="38">
        <f t="shared" si="104"/>
        <v>1067897</v>
      </c>
      <c r="L2090" s="561" t="s">
        <v>166</v>
      </c>
      <c r="M2090" s="561" t="s">
        <v>164</v>
      </c>
      <c r="N2090" s="52" t="str">
        <f>IF(AND('331-CT'!$E$7=TH!H2090,OR(L2090="331",M2090="331")),"331",IF(AND(OR(L2090="131",M2090="131"),H2090='131-CT'!$E$7),"131",""))</f>
        <v/>
      </c>
      <c r="O2090" s="818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751"/>
      <c r="AB2090" s="552"/>
      <c r="AC2090" s="552"/>
    </row>
    <row r="2091" spans="1:29" s="209" customFormat="1" ht="15.75" customHeight="1">
      <c r="A2091" s="202" t="str">
        <f>IF(B2091&lt;&gt;"",IF(AND(B2091&gt;=_TM1,B2091&lt;=_TM2,OR(TH!L2091="1111",TH!M2091="1111")),TH!D2091,""),"")</f>
        <v/>
      </c>
      <c r="B2091" s="36">
        <f t="shared" si="106"/>
        <v>1</v>
      </c>
      <c r="C2091" s="182">
        <f t="shared" si="105"/>
        <v>42388</v>
      </c>
      <c r="D2091" s="182" t="s">
        <v>1547</v>
      </c>
      <c r="E2091" s="37">
        <v>42388</v>
      </c>
      <c r="F2091" s="190" t="s">
        <v>897</v>
      </c>
      <c r="G2091" s="40" t="s">
        <v>898</v>
      </c>
      <c r="H2091" s="7" t="s">
        <v>1549</v>
      </c>
      <c r="I2091" s="251">
        <v>35</v>
      </c>
      <c r="J2091" s="251">
        <v>12097.267277291749</v>
      </c>
      <c r="K2091" s="38">
        <f t="shared" si="104"/>
        <v>423404</v>
      </c>
      <c r="L2091" s="561" t="s">
        <v>166</v>
      </c>
      <c r="M2091" s="561" t="s">
        <v>164</v>
      </c>
      <c r="N2091" s="52" t="str">
        <f>IF(AND('331-CT'!$E$7=TH!H2091,OR(L2091="331",M2091="331")),"331",IF(AND(OR(L2091="131",M2091="131"),H2091='131-CT'!$E$7),"131",""))</f>
        <v/>
      </c>
      <c r="O2091" s="818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751"/>
      <c r="AB2091" s="552"/>
      <c r="AC2091" s="552"/>
    </row>
    <row r="2092" spans="1:29" s="209" customFormat="1" ht="15.75" customHeight="1">
      <c r="A2092" s="202" t="str">
        <f>IF(B2092&lt;&gt;"",IF(AND(B2092&gt;=_TM1,B2092&lt;=_TM2,OR(TH!L2092="1111",TH!M2092="1111")),TH!D2092,""),"")</f>
        <v/>
      </c>
      <c r="B2092" s="36">
        <f t="shared" si="106"/>
        <v>1</v>
      </c>
      <c r="C2092" s="182">
        <f t="shared" si="105"/>
        <v>42388</v>
      </c>
      <c r="D2092" s="182" t="s">
        <v>1547</v>
      </c>
      <c r="E2092" s="37">
        <v>42388</v>
      </c>
      <c r="F2092" s="40" t="s">
        <v>899</v>
      </c>
      <c r="G2092" s="40" t="s">
        <v>898</v>
      </c>
      <c r="H2092" s="7" t="s">
        <v>1549</v>
      </c>
      <c r="I2092" s="251">
        <v>55</v>
      </c>
      <c r="J2092" s="251">
        <v>10595.537546317601</v>
      </c>
      <c r="K2092" s="38">
        <f t="shared" si="104"/>
        <v>582755</v>
      </c>
      <c r="L2092" s="561" t="s">
        <v>166</v>
      </c>
      <c r="M2092" s="561" t="s">
        <v>164</v>
      </c>
      <c r="N2092" s="52" t="str">
        <f>IF(AND('331-CT'!$E$7=TH!H2092,OR(L2092="331",M2092="331")),"331",IF(AND(OR(L2092="131",M2092="131"),H2092='131-CT'!$E$7),"131",""))</f>
        <v/>
      </c>
      <c r="O2092" s="818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751"/>
      <c r="AB2092" s="552"/>
    </row>
    <row r="2093" spans="1:29" s="209" customFormat="1" ht="15.75" customHeight="1">
      <c r="A2093" s="202" t="str">
        <f>IF(B2093&lt;&gt;"",IF(AND(B2093&gt;=_TM1,B2093&lt;=_TM2,OR(TH!L2093="1111",TH!M2093="1111")),TH!D2093,""),"")</f>
        <v/>
      </c>
      <c r="B2093" s="36">
        <f t="shared" si="106"/>
        <v>1</v>
      </c>
      <c r="C2093" s="182">
        <f t="shared" si="105"/>
        <v>42388</v>
      </c>
      <c r="D2093" s="182" t="s">
        <v>1547</v>
      </c>
      <c r="E2093" s="37">
        <v>42388</v>
      </c>
      <c r="F2093" s="190" t="s">
        <v>900</v>
      </c>
      <c r="G2093" s="40" t="s">
        <v>898</v>
      </c>
      <c r="H2093" s="7" t="s">
        <v>1549</v>
      </c>
      <c r="I2093" s="251">
        <v>50</v>
      </c>
      <c r="J2093" s="251">
        <v>11429.831841303239</v>
      </c>
      <c r="K2093" s="38">
        <f t="shared" si="104"/>
        <v>571492</v>
      </c>
      <c r="L2093" s="561" t="s">
        <v>166</v>
      </c>
      <c r="M2093" s="561" t="s">
        <v>164</v>
      </c>
      <c r="N2093" s="52" t="str">
        <f>IF(AND('331-CT'!$E$7=TH!H2093,OR(L2093="331",M2093="331")),"331",IF(AND(OR(L2093="131",M2093="131"),H2093='131-CT'!$E$7),"131",""))</f>
        <v/>
      </c>
      <c r="O2093" s="818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751"/>
      <c r="AB2093" s="552"/>
      <c r="AC2093" s="552"/>
    </row>
    <row r="2094" spans="1:29" s="209" customFormat="1" ht="15.75" customHeight="1">
      <c r="A2094" s="202" t="str">
        <f>IF(B2094&lt;&gt;"",IF(AND(B2094&gt;=_TM1,B2094&lt;=_TM2,OR(TH!L2094="1111",TH!M2094="1111")),TH!D2094,""),"")</f>
        <v/>
      </c>
      <c r="B2094" s="36">
        <f t="shared" si="106"/>
        <v>1</v>
      </c>
      <c r="C2094" s="182">
        <f t="shared" si="105"/>
        <v>42388</v>
      </c>
      <c r="D2094" s="182" t="s">
        <v>1547</v>
      </c>
      <c r="E2094" s="37">
        <v>42388</v>
      </c>
      <c r="F2094" s="40" t="s">
        <v>480</v>
      </c>
      <c r="G2094" s="40" t="s">
        <v>898</v>
      </c>
      <c r="H2094" s="7" t="s">
        <v>1549</v>
      </c>
      <c r="I2094" s="251">
        <v>510</v>
      </c>
      <c r="J2094" s="251">
        <v>10595.537546317601</v>
      </c>
      <c r="K2094" s="38">
        <f t="shared" si="104"/>
        <v>5403724</v>
      </c>
      <c r="L2094" s="561" t="s">
        <v>166</v>
      </c>
      <c r="M2094" s="561" t="s">
        <v>164</v>
      </c>
      <c r="N2094" s="52" t="str">
        <f>IF(AND('331-CT'!$E$7=TH!H2094,OR(L2094="331",M2094="331")),"331",IF(AND(OR(L2094="131",M2094="131"),H2094='131-CT'!$E$7),"131",""))</f>
        <v/>
      </c>
      <c r="O2094" s="818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751"/>
      <c r="AB2094" s="552"/>
      <c r="AC2094" s="552"/>
    </row>
    <row r="2095" spans="1:29" s="209" customFormat="1" ht="15.75" customHeight="1">
      <c r="A2095" s="202" t="str">
        <f>IF(B2095&lt;&gt;"",IF(AND(B2095&gt;=_TM1,B2095&lt;=_TM2,OR(TH!L2095="1111",TH!M2095="1111")),TH!D2095,""),"")</f>
        <v/>
      </c>
      <c r="B2095" s="36">
        <f t="shared" si="106"/>
        <v>1</v>
      </c>
      <c r="C2095" s="182">
        <f t="shared" si="105"/>
        <v>42388</v>
      </c>
      <c r="D2095" s="182" t="s">
        <v>1547</v>
      </c>
      <c r="E2095" s="37">
        <v>42388</v>
      </c>
      <c r="F2095" s="40" t="s">
        <v>901</v>
      </c>
      <c r="G2095" s="40" t="s">
        <v>898</v>
      </c>
      <c r="H2095" s="7" t="s">
        <v>1549</v>
      </c>
      <c r="I2095" s="251">
        <v>235</v>
      </c>
      <c r="J2095" s="251">
        <v>10178.390398824782</v>
      </c>
      <c r="K2095" s="38">
        <f t="shared" ref="K2095:K2158" si="107">ROUND(I2095*J2095,0)</f>
        <v>2391922</v>
      </c>
      <c r="L2095" s="561" t="s">
        <v>166</v>
      </c>
      <c r="M2095" s="561" t="s">
        <v>164</v>
      </c>
      <c r="N2095" s="52" t="str">
        <f>IF(AND('331-CT'!$E$7=TH!H2095,OR(L2095="331",M2095="331")),"331",IF(AND(OR(L2095="131",M2095="131"),H2095='131-CT'!$E$7),"131",""))</f>
        <v/>
      </c>
      <c r="O2095" s="818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751"/>
      <c r="AB2095" s="552"/>
      <c r="AC2095" s="552"/>
    </row>
    <row r="2096" spans="1:29" s="209" customFormat="1" ht="15.75" customHeight="1">
      <c r="A2096" s="202" t="str">
        <f>IF(B2096&lt;&gt;"",IF(AND(B2096&gt;=_TM1,B2096&lt;=_TM2,OR(TH!L2096="1111",TH!M2096="1111")),TH!D2096,""),"")</f>
        <v/>
      </c>
      <c r="B2096" s="36">
        <f t="shared" si="106"/>
        <v>1</v>
      </c>
      <c r="C2096" s="182">
        <f t="shared" si="105"/>
        <v>42388</v>
      </c>
      <c r="D2096" s="182" t="s">
        <v>1547</v>
      </c>
      <c r="E2096" s="37">
        <v>42388</v>
      </c>
      <c r="F2096" s="40" t="s">
        <v>481</v>
      </c>
      <c r="G2096" s="40" t="s">
        <v>898</v>
      </c>
      <c r="H2096" s="7" t="s">
        <v>1549</v>
      </c>
      <c r="I2096" s="251">
        <v>110</v>
      </c>
      <c r="J2096" s="251">
        <v>6924.6426483807936</v>
      </c>
      <c r="K2096" s="38">
        <f t="shared" si="107"/>
        <v>761711</v>
      </c>
      <c r="L2096" s="561" t="s">
        <v>166</v>
      </c>
      <c r="M2096" s="561" t="s">
        <v>164</v>
      </c>
      <c r="N2096" s="52" t="str">
        <f>IF(AND('331-CT'!$E$7=TH!H2096,OR(L2096="331",M2096="331")),"331",IF(AND(OR(L2096="131",M2096="131"),H2096='131-CT'!$E$7),"131",""))</f>
        <v/>
      </c>
      <c r="O2096" s="818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751"/>
      <c r="AB2096" s="552"/>
      <c r="AC2096" s="552"/>
    </row>
    <row r="2097" spans="1:29" s="209" customFormat="1" ht="15.75" customHeight="1">
      <c r="A2097" s="202" t="str">
        <f>IF(B2097&lt;&gt;"",IF(AND(B2097&gt;=_TM1,B2097&lt;=_TM2,OR(TH!L2097="1111",TH!M2097="1111")),TH!D2097,""),"")</f>
        <v/>
      </c>
      <c r="B2097" s="36">
        <f t="shared" si="106"/>
        <v>1</v>
      </c>
      <c r="C2097" s="182">
        <f t="shared" si="105"/>
        <v>42388</v>
      </c>
      <c r="D2097" s="182" t="s">
        <v>1547</v>
      </c>
      <c r="E2097" s="189">
        <v>42388</v>
      </c>
      <c r="F2097" s="190" t="s">
        <v>902</v>
      </c>
      <c r="G2097" s="451" t="s">
        <v>898</v>
      </c>
      <c r="H2097" s="7" t="s">
        <v>1549</v>
      </c>
      <c r="I2097" s="251">
        <v>24</v>
      </c>
      <c r="J2097" s="251">
        <v>8926.9489563463248</v>
      </c>
      <c r="K2097" s="38">
        <f t="shared" si="107"/>
        <v>214247</v>
      </c>
      <c r="L2097" s="561" t="s">
        <v>166</v>
      </c>
      <c r="M2097" s="561" t="s">
        <v>164</v>
      </c>
      <c r="N2097" s="52" t="str">
        <f>IF(AND('331-CT'!$E$7=TH!H2097,OR(L2097="331",M2097="331")),"331",IF(AND(OR(L2097="131",M2097="131"),H2097='131-CT'!$E$7),"131",""))</f>
        <v/>
      </c>
      <c r="O2097" s="818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751"/>
      <c r="AB2097" s="552"/>
      <c r="AC2097" s="552"/>
    </row>
    <row r="2098" spans="1:29" s="209" customFormat="1" ht="15.75" customHeight="1">
      <c r="A2098" s="202" t="str">
        <f>IF(B2098&lt;&gt;"",IF(AND(B2098&gt;=_TM1,B2098&lt;=_TM2,OR(TH!L2098="1111",TH!M2098="1111")),TH!D2098,""),"")</f>
        <v/>
      </c>
      <c r="B2098" s="36">
        <f t="shared" si="106"/>
        <v>1</v>
      </c>
      <c r="C2098" s="182">
        <f t="shared" si="105"/>
        <v>42388</v>
      </c>
      <c r="D2098" s="182" t="s">
        <v>1547</v>
      </c>
      <c r="E2098" s="189">
        <v>42388</v>
      </c>
      <c r="F2098" s="190" t="s">
        <v>473</v>
      </c>
      <c r="G2098" s="451" t="s">
        <v>898</v>
      </c>
      <c r="H2098" s="7" t="s">
        <v>1549</v>
      </c>
      <c r="I2098" s="251">
        <v>55</v>
      </c>
      <c r="J2098" s="251">
        <v>8259.5135203578157</v>
      </c>
      <c r="K2098" s="38">
        <f t="shared" si="107"/>
        <v>454273</v>
      </c>
      <c r="L2098" s="561" t="s">
        <v>166</v>
      </c>
      <c r="M2098" s="561" t="s">
        <v>164</v>
      </c>
      <c r="N2098" s="52" t="str">
        <f>IF(AND('331-CT'!$E$7=TH!H2098,OR(L2098="331",M2098="331")),"331",IF(AND(OR(L2098="131",M2098="131"),H2098='131-CT'!$E$7),"131",""))</f>
        <v/>
      </c>
      <c r="O2098" s="818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751"/>
      <c r="AB2098" s="552"/>
    </row>
    <row r="2099" spans="1:29" s="209" customFormat="1" ht="15.75" customHeight="1">
      <c r="A2099" s="202" t="str">
        <f>IF(B2099&lt;&gt;"",IF(AND(B2099&gt;=_TM1,B2099&lt;=_TM2,OR(TH!L2099="1111",TH!M2099="1111")),TH!D2099,""),"")</f>
        <v/>
      </c>
      <c r="B2099" s="36">
        <f t="shared" si="106"/>
        <v>1</v>
      </c>
      <c r="C2099" s="182">
        <f t="shared" si="105"/>
        <v>42388</v>
      </c>
      <c r="D2099" s="182" t="s">
        <v>1547</v>
      </c>
      <c r="E2099" s="189">
        <v>42388</v>
      </c>
      <c r="F2099" s="190" t="s">
        <v>1435</v>
      </c>
      <c r="G2099" s="448" t="s">
        <v>903</v>
      </c>
      <c r="H2099" s="7" t="s">
        <v>1549</v>
      </c>
      <c r="I2099" s="252">
        <v>2000</v>
      </c>
      <c r="J2099" s="251">
        <v>9761.2432513319618</v>
      </c>
      <c r="K2099" s="38">
        <f t="shared" si="107"/>
        <v>19522487</v>
      </c>
      <c r="L2099" s="561" t="s">
        <v>166</v>
      </c>
      <c r="M2099" s="561" t="s">
        <v>164</v>
      </c>
      <c r="N2099" s="52" t="str">
        <f>IF(AND('331-CT'!$E$7=TH!H2099,OR(L2099="331",M2099="331")),"331",IF(AND(OR(L2099="131",M2099="131"),H2099='131-CT'!$E$7),"131",""))</f>
        <v/>
      </c>
      <c r="O2099" s="818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751"/>
      <c r="AB2099" s="552"/>
      <c r="AC2099" s="552"/>
    </row>
    <row r="2100" spans="1:29" s="209" customFormat="1" ht="15.75" customHeight="1">
      <c r="A2100" s="202" t="str">
        <f>IF(B2100&lt;&gt;"",IF(AND(B2100&gt;=_TM1,B2100&lt;=_TM2,OR(TH!L2100="1111",TH!M2100="1111")),TH!D2100,""),"")</f>
        <v/>
      </c>
      <c r="B2100" s="36">
        <f t="shared" si="106"/>
        <v>1</v>
      </c>
      <c r="C2100" s="182">
        <f t="shared" si="105"/>
        <v>42388</v>
      </c>
      <c r="D2100" s="182" t="s">
        <v>1547</v>
      </c>
      <c r="E2100" s="189">
        <v>42388</v>
      </c>
      <c r="F2100" s="190" t="s">
        <v>870</v>
      </c>
      <c r="G2100" s="448" t="s">
        <v>904</v>
      </c>
      <c r="H2100" s="7" t="s">
        <v>1549</v>
      </c>
      <c r="I2100" s="252">
        <v>2539</v>
      </c>
      <c r="J2100" s="251">
        <v>12097.267277291749</v>
      </c>
      <c r="K2100" s="38">
        <f t="shared" si="107"/>
        <v>30714962</v>
      </c>
      <c r="L2100" s="561" t="s">
        <v>166</v>
      </c>
      <c r="M2100" s="561" t="s">
        <v>164</v>
      </c>
      <c r="N2100" s="52" t="str">
        <f>IF(AND('331-CT'!$E$7=TH!H2100,OR(L2100="331",M2100="331")),"331",IF(AND(OR(L2100="131",M2100="131"),H2100='131-CT'!$E$7),"131",""))</f>
        <v/>
      </c>
      <c r="O2100" s="818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751"/>
      <c r="AB2100" s="552"/>
      <c r="AC2100" s="552"/>
    </row>
    <row r="2101" spans="1:29" s="209" customFormat="1" ht="15.75" customHeight="1">
      <c r="A2101" s="202" t="str">
        <f>IF(B2101&lt;&gt;"",IF(AND(B2101&gt;=_TM1,B2101&lt;=_TM2,OR(TH!L2101="1111",TH!M2101="1111")),TH!D2101,""),"")</f>
        <v/>
      </c>
      <c r="B2101" s="36">
        <f t="shared" si="106"/>
        <v>1</v>
      </c>
      <c r="C2101" s="182">
        <f t="shared" si="105"/>
        <v>42389</v>
      </c>
      <c r="D2101" s="182" t="s">
        <v>1547</v>
      </c>
      <c r="E2101" s="691">
        <v>42389</v>
      </c>
      <c r="F2101" s="187" t="s">
        <v>627</v>
      </c>
      <c r="G2101" s="40" t="s">
        <v>906</v>
      </c>
      <c r="H2101" s="7" t="s">
        <v>1549</v>
      </c>
      <c r="I2101" s="251">
        <v>313</v>
      </c>
      <c r="J2101" s="251">
        <v>6257.2072123922844</v>
      </c>
      <c r="K2101" s="38">
        <f t="shared" si="107"/>
        <v>1958506</v>
      </c>
      <c r="L2101" s="561" t="s">
        <v>166</v>
      </c>
      <c r="M2101" s="561" t="s">
        <v>164</v>
      </c>
      <c r="N2101" s="52" t="str">
        <f>IF(AND('331-CT'!$E$7=TH!H2101,OR(L2101="331",M2101="331")),"331",IF(AND(OR(L2101="131",M2101="131"),H2101='131-CT'!$E$7),"131",""))</f>
        <v/>
      </c>
      <c r="O2101" s="818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751"/>
      <c r="AB2101" s="552"/>
      <c r="AC2101" s="552"/>
    </row>
    <row r="2102" spans="1:29" s="209" customFormat="1" ht="15.75" customHeight="1">
      <c r="A2102" s="202" t="str">
        <f>IF(B2102&lt;&gt;"",IF(AND(B2102&gt;=_TM1,B2102&lt;=_TM2,OR(TH!L2102="1111",TH!M2102="1111")),TH!D2102,""),"")</f>
        <v/>
      </c>
      <c r="B2102" s="36">
        <f t="shared" si="106"/>
        <v>1</v>
      </c>
      <c r="C2102" s="182">
        <f t="shared" si="105"/>
        <v>42389</v>
      </c>
      <c r="D2102" s="182" t="s">
        <v>1547</v>
      </c>
      <c r="E2102" s="691">
        <v>42389</v>
      </c>
      <c r="F2102" s="40" t="s">
        <v>1443</v>
      </c>
      <c r="G2102" s="40" t="s">
        <v>906</v>
      </c>
      <c r="H2102" s="7" t="s">
        <v>1549</v>
      </c>
      <c r="I2102" s="251">
        <v>321</v>
      </c>
      <c r="J2102" s="251">
        <v>7925.7958023635592</v>
      </c>
      <c r="K2102" s="38">
        <f t="shared" si="107"/>
        <v>2544180</v>
      </c>
      <c r="L2102" s="561" t="s">
        <v>166</v>
      </c>
      <c r="M2102" s="561" t="s">
        <v>164</v>
      </c>
      <c r="N2102" s="52" t="str">
        <f>IF(AND('331-CT'!$E$7=TH!H2102,OR(L2102="331",M2102="331")),"331",IF(AND(OR(L2102="131",M2102="131"),H2102='131-CT'!$E$7),"131",""))</f>
        <v/>
      </c>
      <c r="O2102" s="818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751"/>
      <c r="AB2102" s="552"/>
      <c r="AC2102" s="552"/>
    </row>
    <row r="2103" spans="1:29" s="209" customFormat="1" ht="15.75" customHeight="1">
      <c r="A2103" s="202" t="str">
        <f>IF(B2103&lt;&gt;"",IF(AND(B2103&gt;=_TM1,B2103&lt;=_TM2,OR(TH!L2103="1111",TH!M2103="1111")),TH!D2103,""),"")</f>
        <v/>
      </c>
      <c r="B2103" s="36">
        <f t="shared" si="106"/>
        <v>1</v>
      </c>
      <c r="C2103" s="182">
        <f t="shared" si="105"/>
        <v>42389</v>
      </c>
      <c r="D2103" s="182" t="s">
        <v>1547</v>
      </c>
      <c r="E2103" s="691">
        <v>42389</v>
      </c>
      <c r="F2103" s="187" t="s">
        <v>1443</v>
      </c>
      <c r="G2103" s="40" t="s">
        <v>906</v>
      </c>
      <c r="H2103" s="7" t="s">
        <v>1549</v>
      </c>
      <c r="I2103" s="251">
        <v>105</v>
      </c>
      <c r="J2103" s="251">
        <v>7925.7958023635592</v>
      </c>
      <c r="K2103" s="38">
        <f t="shared" si="107"/>
        <v>832209</v>
      </c>
      <c r="L2103" s="561" t="s">
        <v>166</v>
      </c>
      <c r="M2103" s="561" t="s">
        <v>164</v>
      </c>
      <c r="N2103" s="52" t="str">
        <f>IF(AND('331-CT'!$E$7=TH!H2103,OR(L2103="331",M2103="331")),"331",IF(AND(OR(L2103="131",M2103="131"),H2103='131-CT'!$E$7),"131",""))</f>
        <v/>
      </c>
      <c r="O2103" s="818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751"/>
      <c r="AB2103" s="552"/>
      <c r="AC2103" s="552"/>
    </row>
    <row r="2104" spans="1:29" s="209" customFormat="1" ht="15.75" customHeight="1">
      <c r="A2104" s="202" t="str">
        <f>IF(B2104&lt;&gt;"",IF(AND(B2104&gt;=_TM1,B2104&lt;=_TM2,OR(TH!L2104="1111",TH!M2104="1111")),TH!D2104,""),"")</f>
        <v/>
      </c>
      <c r="B2104" s="36">
        <f t="shared" si="106"/>
        <v>1</v>
      </c>
      <c r="C2104" s="182">
        <f t="shared" si="105"/>
        <v>42389</v>
      </c>
      <c r="D2104" s="182" t="s">
        <v>1547</v>
      </c>
      <c r="E2104" s="691">
        <v>42389</v>
      </c>
      <c r="F2104" s="286" t="s">
        <v>1443</v>
      </c>
      <c r="G2104" s="40" t="s">
        <v>906</v>
      </c>
      <c r="H2104" s="7" t="s">
        <v>1549</v>
      </c>
      <c r="I2104" s="251">
        <v>203</v>
      </c>
      <c r="J2104" s="251">
        <v>8092.654661360687</v>
      </c>
      <c r="K2104" s="38">
        <f t="shared" si="107"/>
        <v>1642809</v>
      </c>
      <c r="L2104" s="561" t="s">
        <v>166</v>
      </c>
      <c r="M2104" s="561" t="s">
        <v>164</v>
      </c>
      <c r="N2104" s="52" t="str">
        <f>IF(AND('331-CT'!$E$7=TH!H2104,OR(L2104="331",M2104="331")),"331",IF(AND(OR(L2104="131",M2104="131"),H2104='131-CT'!$E$7),"131",""))</f>
        <v/>
      </c>
      <c r="O2104" s="818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751"/>
      <c r="AB2104" s="552"/>
      <c r="AC2104" s="552"/>
    </row>
    <row r="2105" spans="1:29" s="209" customFormat="1" ht="15.75" customHeight="1">
      <c r="A2105" s="202" t="str">
        <f>IF(B2105&lt;&gt;"",IF(AND(B2105&gt;=_TM1,B2105&lt;=_TM2,OR(TH!L2105="1111",TH!M2105="1111")),TH!D2105,""),"")</f>
        <v/>
      </c>
      <c r="B2105" s="36">
        <f t="shared" si="106"/>
        <v>1</v>
      </c>
      <c r="C2105" s="182">
        <f t="shared" si="105"/>
        <v>42389</v>
      </c>
      <c r="D2105" s="182" t="s">
        <v>1547</v>
      </c>
      <c r="E2105" s="691">
        <v>42389</v>
      </c>
      <c r="F2105" s="286" t="s">
        <v>1309</v>
      </c>
      <c r="G2105" s="40" t="s">
        <v>390</v>
      </c>
      <c r="H2105" s="7" t="s">
        <v>1549</v>
      </c>
      <c r="I2105" s="251">
        <v>100</v>
      </c>
      <c r="J2105" s="251">
        <v>11096.114123308984</v>
      </c>
      <c r="K2105" s="38">
        <f t="shared" si="107"/>
        <v>1109611</v>
      </c>
      <c r="L2105" s="561" t="s">
        <v>166</v>
      </c>
      <c r="M2105" s="561" t="s">
        <v>164</v>
      </c>
      <c r="N2105" s="52" t="str">
        <f>IF(AND('331-CT'!$E$7=TH!H2105,OR(L2105="331",M2105="331")),"331",IF(AND(OR(L2105="131",M2105="131"),H2105='131-CT'!$E$7),"131",""))</f>
        <v/>
      </c>
      <c r="O2105" s="818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751"/>
      <c r="AB2105" s="552"/>
      <c r="AC2105" s="552"/>
    </row>
    <row r="2106" spans="1:29" s="209" customFormat="1" ht="15.75" customHeight="1">
      <c r="A2106" s="202" t="str">
        <f>IF(B2106&lt;&gt;"",IF(AND(B2106&gt;=_TM1,B2106&lt;=_TM2,OR(TH!L2106="1111",TH!M2106="1111")),TH!D2106,""),"")</f>
        <v/>
      </c>
      <c r="B2106" s="36">
        <f t="shared" si="106"/>
        <v>1</v>
      </c>
      <c r="C2106" s="182">
        <f t="shared" ref="C2106:C2169" si="108">E2106</f>
        <v>42390</v>
      </c>
      <c r="D2106" s="182" t="s">
        <v>1547</v>
      </c>
      <c r="E2106" s="691">
        <v>42390</v>
      </c>
      <c r="F2106" s="187" t="s">
        <v>389</v>
      </c>
      <c r="G2106" s="40" t="s">
        <v>394</v>
      </c>
      <c r="H2106" s="7" t="s">
        <v>1549</v>
      </c>
      <c r="I2106" s="714">
        <v>951</v>
      </c>
      <c r="J2106" s="251">
        <v>6841.2132188822297</v>
      </c>
      <c r="K2106" s="38">
        <f t="shared" si="107"/>
        <v>6505994</v>
      </c>
      <c r="L2106" s="561" t="s">
        <v>166</v>
      </c>
      <c r="M2106" s="561" t="s">
        <v>164</v>
      </c>
      <c r="N2106" s="52" t="str">
        <f>IF(AND('331-CT'!$E$7=TH!H2106,OR(L2106="331",M2106="331")),"331",IF(AND(OR(L2106="131",M2106="131"),H2106='131-CT'!$E$7),"131",""))</f>
        <v/>
      </c>
      <c r="O2106" s="818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751"/>
      <c r="AB2106" s="552"/>
      <c r="AC2106" s="552"/>
    </row>
    <row r="2107" spans="1:29" s="209" customFormat="1" ht="15.75" customHeight="1">
      <c r="A2107" s="202" t="str">
        <f>IF(B2107&lt;&gt;"",IF(AND(B2107&gt;=_TM1,B2107&lt;=_TM2,OR(TH!L2107="1111",TH!M2107="1111")),TH!D2107,""),"")</f>
        <v/>
      </c>
      <c r="B2107" s="36">
        <f t="shared" si="106"/>
        <v>1</v>
      </c>
      <c r="C2107" s="182">
        <f t="shared" si="108"/>
        <v>42391</v>
      </c>
      <c r="D2107" s="182" t="s">
        <v>1547</v>
      </c>
      <c r="E2107" s="691">
        <v>42391</v>
      </c>
      <c r="F2107" s="187" t="s">
        <v>660</v>
      </c>
      <c r="G2107" s="40" t="s">
        <v>395</v>
      </c>
      <c r="H2107" s="7" t="s">
        <v>1549</v>
      </c>
      <c r="I2107" s="251">
        <v>312</v>
      </c>
      <c r="J2107" s="251">
        <v>4755.4774814181355</v>
      </c>
      <c r="K2107" s="38">
        <f t="shared" si="107"/>
        <v>1483709</v>
      </c>
      <c r="L2107" s="561" t="s">
        <v>166</v>
      </c>
      <c r="M2107" s="561" t="s">
        <v>164</v>
      </c>
      <c r="N2107" s="52" t="str">
        <f>IF(AND('331-CT'!$E$7=TH!H2107,OR(L2107="331",M2107="331")),"331",IF(AND(OR(L2107="131",M2107="131"),H2107='131-CT'!$E$7),"131",""))</f>
        <v/>
      </c>
      <c r="O2107" s="818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751"/>
      <c r="AB2107" s="552"/>
    </row>
    <row r="2108" spans="1:29" s="209" customFormat="1" ht="15.75" customHeight="1">
      <c r="A2108" s="202" t="str">
        <f>IF(B2108&lt;&gt;"",IF(AND(B2108&gt;=_TM1,B2108&lt;=_TM2,OR(TH!L2108="1111",TH!M2108="1111")),TH!D2108,""),"")</f>
        <v/>
      </c>
      <c r="B2108" s="36">
        <f t="shared" si="106"/>
        <v>1</v>
      </c>
      <c r="C2108" s="182">
        <f t="shared" si="108"/>
        <v>42391</v>
      </c>
      <c r="D2108" s="182" t="s">
        <v>1547</v>
      </c>
      <c r="E2108" s="691">
        <v>42391</v>
      </c>
      <c r="F2108" s="187" t="s">
        <v>907</v>
      </c>
      <c r="G2108" s="40" t="s">
        <v>395</v>
      </c>
      <c r="H2108" s="7" t="s">
        <v>1549</v>
      </c>
      <c r="I2108" s="714">
        <v>500</v>
      </c>
      <c r="J2108" s="251">
        <v>5589.7717764037743</v>
      </c>
      <c r="K2108" s="38">
        <f t="shared" si="107"/>
        <v>2794886</v>
      </c>
      <c r="L2108" s="561" t="s">
        <v>166</v>
      </c>
      <c r="M2108" s="561" t="s">
        <v>164</v>
      </c>
      <c r="N2108" s="52" t="str">
        <f>IF(AND('331-CT'!$E$7=TH!H2108,OR(L2108="331",M2108="331")),"331",IF(AND(OR(L2108="131",M2108="131"),H2108='131-CT'!$E$7),"131",""))</f>
        <v/>
      </c>
      <c r="O2108" s="818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751"/>
      <c r="AB2108" s="552"/>
      <c r="AC2108" s="552"/>
    </row>
    <row r="2109" spans="1:29" s="209" customFormat="1" ht="15.75" customHeight="1">
      <c r="A2109" s="202" t="str">
        <f>IF(B2109&lt;&gt;"",IF(AND(B2109&gt;=_TM1,B2109&lt;=_TM2,OR(TH!L2109="1111",TH!M2109="1111")),TH!D2109,""),"")</f>
        <v/>
      </c>
      <c r="B2109" s="36">
        <f t="shared" si="106"/>
        <v>1</v>
      </c>
      <c r="C2109" s="182">
        <f t="shared" si="108"/>
        <v>42391</v>
      </c>
      <c r="D2109" s="182" t="s">
        <v>1547</v>
      </c>
      <c r="E2109" s="189">
        <v>42391</v>
      </c>
      <c r="F2109" s="190" t="s">
        <v>908</v>
      </c>
      <c r="G2109" s="451" t="s">
        <v>395</v>
      </c>
      <c r="H2109" s="7" t="s">
        <v>1549</v>
      </c>
      <c r="I2109" s="252">
        <v>348</v>
      </c>
      <c r="J2109" s="252">
        <v>3837.7537569339343</v>
      </c>
      <c r="K2109" s="38">
        <f t="shared" si="107"/>
        <v>1335538</v>
      </c>
      <c r="L2109" s="561" t="s">
        <v>166</v>
      </c>
      <c r="M2109" s="561" t="s">
        <v>164</v>
      </c>
      <c r="N2109" s="52" t="str">
        <f>IF(AND('331-CT'!$E$7=TH!H2109,OR(L2109="331",M2109="331")),"331",IF(AND(OR(L2109="131",M2109="131"),H2109='131-CT'!$E$7),"131",""))</f>
        <v/>
      </c>
      <c r="O2109" s="818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751"/>
      <c r="AB2109" s="552"/>
    </row>
    <row r="2110" spans="1:29" s="209" customFormat="1" ht="15.75" customHeight="1">
      <c r="A2110" s="202" t="str">
        <f>IF(B2110&lt;&gt;"",IF(AND(B2110&gt;=_TM1,B2110&lt;=_TM2,OR(TH!L2110="1111",TH!M2110="1111")),TH!D2110,""),"")</f>
        <v/>
      </c>
      <c r="B2110" s="36">
        <f t="shared" si="106"/>
        <v>1</v>
      </c>
      <c r="C2110" s="182">
        <f t="shared" si="108"/>
        <v>42391</v>
      </c>
      <c r="D2110" s="182" t="s">
        <v>1547</v>
      </c>
      <c r="E2110" s="189">
        <v>42391</v>
      </c>
      <c r="F2110" s="190" t="s">
        <v>1221</v>
      </c>
      <c r="G2110" s="451" t="s">
        <v>397</v>
      </c>
      <c r="H2110" s="7" t="s">
        <v>1549</v>
      </c>
      <c r="I2110" s="251">
        <v>22</v>
      </c>
      <c r="J2110" s="251">
        <v>10929.255264311856</v>
      </c>
      <c r="K2110" s="38">
        <f t="shared" si="107"/>
        <v>240444</v>
      </c>
      <c r="L2110" s="561" t="s">
        <v>166</v>
      </c>
      <c r="M2110" s="561" t="s">
        <v>164</v>
      </c>
      <c r="N2110" s="52" t="str">
        <f>IF(AND('331-CT'!$E$7=TH!H2110,OR(L2110="331",M2110="331")),"331",IF(AND(OR(L2110="131",M2110="131"),H2110='131-CT'!$E$7),"131",""))</f>
        <v/>
      </c>
      <c r="O2110" s="818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751"/>
      <c r="AB2110" s="552"/>
      <c r="AC2110" s="552"/>
    </row>
    <row r="2111" spans="1:29" s="209" customFormat="1" ht="15.75" customHeight="1">
      <c r="A2111" s="202" t="str">
        <f>IF(B2111&lt;&gt;"",IF(AND(B2111&gt;=_TM1,B2111&lt;=_TM2,OR(TH!L2111="1111",TH!M2111="1111")),TH!D2111,""),"")</f>
        <v/>
      </c>
      <c r="B2111" s="36">
        <f t="shared" si="106"/>
        <v>1</v>
      </c>
      <c r="C2111" s="182">
        <f t="shared" si="108"/>
        <v>42391</v>
      </c>
      <c r="D2111" s="182" t="s">
        <v>1547</v>
      </c>
      <c r="E2111" s="189">
        <v>42391</v>
      </c>
      <c r="F2111" s="187" t="s">
        <v>1222</v>
      </c>
      <c r="G2111" s="451" t="s">
        <v>397</v>
      </c>
      <c r="H2111" s="7" t="s">
        <v>1549</v>
      </c>
      <c r="I2111" s="251">
        <v>50</v>
      </c>
      <c r="J2111" s="251">
        <v>7842.3663728649954</v>
      </c>
      <c r="K2111" s="38">
        <f t="shared" si="107"/>
        <v>392118</v>
      </c>
      <c r="L2111" s="561" t="s">
        <v>166</v>
      </c>
      <c r="M2111" s="561" t="s">
        <v>164</v>
      </c>
      <c r="N2111" s="52" t="str">
        <f>IF(AND('331-CT'!$E$7=TH!H2111,OR(L2111="331",M2111="331")),"331",IF(AND(OR(L2111="131",M2111="131"),H2111='131-CT'!$E$7),"131",""))</f>
        <v/>
      </c>
      <c r="O2111" s="818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751"/>
      <c r="AB2111" s="552"/>
      <c r="AC2111" s="552"/>
    </row>
    <row r="2112" spans="1:29" s="209" customFormat="1" ht="15.75" customHeight="1">
      <c r="A2112" s="202" t="str">
        <f>IF(B2112&lt;&gt;"",IF(AND(B2112&gt;=_TM1,B2112&lt;=_TM2,OR(TH!L2112="1111",TH!M2112="1111")),TH!D2112,""),"")</f>
        <v/>
      </c>
      <c r="B2112" s="36">
        <f t="shared" si="106"/>
        <v>1</v>
      </c>
      <c r="C2112" s="182">
        <f t="shared" si="108"/>
        <v>42391</v>
      </c>
      <c r="D2112" s="182" t="s">
        <v>1547</v>
      </c>
      <c r="E2112" s="189">
        <v>42391</v>
      </c>
      <c r="F2112" s="187" t="s">
        <v>1207</v>
      </c>
      <c r="G2112" s="451" t="s">
        <v>397</v>
      </c>
      <c r="H2112" s="7" t="s">
        <v>1549</v>
      </c>
      <c r="I2112" s="251">
        <v>70</v>
      </c>
      <c r="J2112" s="251">
        <v>7842.3663728649954</v>
      </c>
      <c r="K2112" s="38">
        <f t="shared" si="107"/>
        <v>548966</v>
      </c>
      <c r="L2112" s="561" t="s">
        <v>166</v>
      </c>
      <c r="M2112" s="561" t="s">
        <v>164</v>
      </c>
      <c r="N2112" s="52" t="str">
        <f>IF(AND('331-CT'!$E$7=TH!H2112,OR(L2112="331",M2112="331")),"331",IF(AND(OR(L2112="131",M2112="131"),H2112='131-CT'!$E$7),"131",""))</f>
        <v/>
      </c>
      <c r="O2112" s="818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751"/>
      <c r="AB2112" s="552"/>
      <c r="AC2112" s="552"/>
    </row>
    <row r="2113" spans="1:29" s="209" customFormat="1" ht="15.75" customHeight="1">
      <c r="A2113" s="202" t="str">
        <f>IF(B2113&lt;&gt;"",IF(AND(B2113&gt;=_TM1,B2113&lt;=_TM2,OR(TH!L2113="1111",TH!M2113="1111")),TH!D2113,""),"")</f>
        <v/>
      </c>
      <c r="B2113" s="36">
        <f t="shared" si="106"/>
        <v>1</v>
      </c>
      <c r="C2113" s="182">
        <f t="shared" si="108"/>
        <v>42391</v>
      </c>
      <c r="D2113" s="182" t="s">
        <v>1547</v>
      </c>
      <c r="E2113" s="189">
        <v>42391</v>
      </c>
      <c r="F2113" s="40" t="s">
        <v>711</v>
      </c>
      <c r="G2113" s="451" t="s">
        <v>397</v>
      </c>
      <c r="H2113" s="7" t="s">
        <v>1549</v>
      </c>
      <c r="I2113" s="251">
        <v>297</v>
      </c>
      <c r="J2113" s="251">
        <v>7008.0720778793575</v>
      </c>
      <c r="K2113" s="38">
        <f t="shared" si="107"/>
        <v>2081397</v>
      </c>
      <c r="L2113" s="561" t="s">
        <v>166</v>
      </c>
      <c r="M2113" s="561" t="s">
        <v>164</v>
      </c>
      <c r="N2113" s="52" t="str">
        <f>IF(AND('331-CT'!$E$7=TH!H2113,OR(L2113="331",M2113="331")),"331",IF(AND(OR(L2113="131",M2113="131"),H2113='131-CT'!$E$7),"131",""))</f>
        <v/>
      </c>
      <c r="O2113" s="818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751"/>
      <c r="AB2113" s="552"/>
      <c r="AC2113" s="552"/>
    </row>
    <row r="2114" spans="1:29" s="209" customFormat="1" ht="15.75" customHeight="1">
      <c r="A2114" s="202" t="str">
        <f>IF(B2114&lt;&gt;"",IF(AND(B2114&gt;=_TM1,B2114&lt;=_TM2,OR(TH!L2114="1111",TH!M2114="1111")),TH!D2114,""),"")</f>
        <v/>
      </c>
      <c r="B2114" s="36">
        <f t="shared" si="106"/>
        <v>1</v>
      </c>
      <c r="C2114" s="182">
        <f t="shared" si="108"/>
        <v>42391</v>
      </c>
      <c r="D2114" s="182" t="s">
        <v>1547</v>
      </c>
      <c r="E2114" s="189">
        <v>42391</v>
      </c>
      <c r="F2114" s="190" t="s">
        <v>1223</v>
      </c>
      <c r="G2114" s="451" t="s">
        <v>397</v>
      </c>
      <c r="H2114" s="7" t="s">
        <v>1549</v>
      </c>
      <c r="I2114" s="251">
        <v>900</v>
      </c>
      <c r="J2114" s="251">
        <v>8009.2252318621231</v>
      </c>
      <c r="K2114" s="38">
        <f t="shared" si="107"/>
        <v>7208303</v>
      </c>
      <c r="L2114" s="561" t="s">
        <v>166</v>
      </c>
      <c r="M2114" s="561" t="s">
        <v>164</v>
      </c>
      <c r="N2114" s="52" t="str">
        <f>IF(AND('331-CT'!$E$7=TH!H2114,OR(L2114="331",M2114="331")),"331",IF(AND(OR(L2114="131",M2114="131"),H2114='131-CT'!$E$7),"131",""))</f>
        <v/>
      </c>
      <c r="O2114" s="818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751"/>
      <c r="AB2114" s="552"/>
    </row>
    <row r="2115" spans="1:29" s="209" customFormat="1" ht="15.75" customHeight="1">
      <c r="A2115" s="202" t="str">
        <f>IF(B2115&lt;&gt;"",IF(AND(B2115&gt;=_TM1,B2115&lt;=_TM2,OR(TH!L2115="1111",TH!M2115="1111")),TH!D2115,""),"")</f>
        <v/>
      </c>
      <c r="B2115" s="36">
        <f t="shared" si="106"/>
        <v>1</v>
      </c>
      <c r="C2115" s="182">
        <f t="shared" si="108"/>
        <v>42391</v>
      </c>
      <c r="D2115" s="182" t="s">
        <v>1547</v>
      </c>
      <c r="E2115" s="189">
        <v>42391</v>
      </c>
      <c r="F2115" s="190" t="s">
        <v>709</v>
      </c>
      <c r="G2115" s="451" t="s">
        <v>397</v>
      </c>
      <c r="H2115" s="7" t="s">
        <v>1549</v>
      </c>
      <c r="I2115" s="251">
        <v>300</v>
      </c>
      <c r="J2115" s="251">
        <v>13181.849860773078</v>
      </c>
      <c r="K2115" s="38">
        <f t="shared" si="107"/>
        <v>3954555</v>
      </c>
      <c r="L2115" s="561" t="s">
        <v>166</v>
      </c>
      <c r="M2115" s="561" t="s">
        <v>164</v>
      </c>
      <c r="N2115" s="52" t="str">
        <f>IF(AND('331-CT'!$E$7=TH!H2115,OR(L2115="331",M2115="331")),"331",IF(AND(OR(L2115="131",M2115="131"),H2115='131-CT'!$E$7),"131",""))</f>
        <v/>
      </c>
      <c r="O2115" s="818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751"/>
      <c r="AB2115" s="552"/>
      <c r="AC2115" s="552"/>
    </row>
    <row r="2116" spans="1:29" s="209" customFormat="1" ht="15.75" customHeight="1">
      <c r="A2116" s="202" t="str">
        <f>IF(B2116&lt;&gt;"",IF(AND(B2116&gt;=_TM1,B2116&lt;=_TM2,OR(TH!L2116="1111",TH!M2116="1111")),TH!D2116,""),"")</f>
        <v/>
      </c>
      <c r="B2116" s="36">
        <f t="shared" si="106"/>
        <v>1</v>
      </c>
      <c r="C2116" s="182">
        <f t="shared" si="108"/>
        <v>42391</v>
      </c>
      <c r="D2116" s="182" t="s">
        <v>1547</v>
      </c>
      <c r="E2116" s="691">
        <v>42391</v>
      </c>
      <c r="F2116" s="40" t="s">
        <v>713</v>
      </c>
      <c r="G2116" s="40" t="s">
        <v>397</v>
      </c>
      <c r="H2116" s="7" t="s">
        <v>1549</v>
      </c>
      <c r="I2116" s="251">
        <v>10</v>
      </c>
      <c r="J2116" s="251">
        <v>16685.885899712757</v>
      </c>
      <c r="K2116" s="38">
        <f t="shared" si="107"/>
        <v>166859</v>
      </c>
      <c r="L2116" s="561" t="s">
        <v>166</v>
      </c>
      <c r="M2116" s="561" t="s">
        <v>164</v>
      </c>
      <c r="N2116" s="52" t="str">
        <f>IF(AND('331-CT'!$E$7=TH!H2116,OR(L2116="331",M2116="331")),"331",IF(AND(OR(L2116="131",M2116="131"),H2116='131-CT'!$E$7),"131",""))</f>
        <v/>
      </c>
      <c r="O2116" s="818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751"/>
      <c r="AB2116" s="552"/>
      <c r="AC2116" s="552"/>
    </row>
    <row r="2117" spans="1:29" s="209" customFormat="1" ht="15.75" customHeight="1">
      <c r="A2117" s="202" t="str">
        <f>IF(B2117&lt;&gt;"",IF(AND(B2117&gt;=_TM1,B2117&lt;=_TM2,OR(TH!L2117="1111",TH!M2117="1111")),TH!D2117,""),"")</f>
        <v/>
      </c>
      <c r="B2117" s="36">
        <f t="shared" si="106"/>
        <v>1</v>
      </c>
      <c r="C2117" s="182">
        <f t="shared" si="108"/>
        <v>42391</v>
      </c>
      <c r="D2117" s="182" t="s">
        <v>1547</v>
      </c>
      <c r="E2117" s="691">
        <v>42391</v>
      </c>
      <c r="F2117" s="187" t="s">
        <v>1224</v>
      </c>
      <c r="G2117" s="40" t="s">
        <v>397</v>
      </c>
      <c r="H2117" s="7" t="s">
        <v>1549</v>
      </c>
      <c r="I2117" s="251">
        <v>10</v>
      </c>
      <c r="J2117" s="251">
        <v>14600.150162248663</v>
      </c>
      <c r="K2117" s="38">
        <f t="shared" si="107"/>
        <v>146002</v>
      </c>
      <c r="L2117" s="561" t="s">
        <v>166</v>
      </c>
      <c r="M2117" s="561" t="s">
        <v>164</v>
      </c>
      <c r="N2117" s="52" t="str">
        <f>IF(AND('331-CT'!$E$7=TH!H2117,OR(L2117="331",M2117="331")),"331",IF(AND(OR(L2117="131",M2117="131"),H2117='131-CT'!$E$7),"131",""))</f>
        <v/>
      </c>
      <c r="O2117" s="818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751"/>
      <c r="AB2117" s="552"/>
    </row>
    <row r="2118" spans="1:29" s="209" customFormat="1" ht="15.75" customHeight="1">
      <c r="A2118" s="202" t="str">
        <f>IF(B2118&lt;&gt;"",IF(AND(B2118&gt;=_TM1,B2118&lt;=_TM2,OR(TH!L2118="1111",TH!M2118="1111")),TH!D2118,""),"")</f>
        <v/>
      </c>
      <c r="B2118" s="36">
        <f t="shared" ref="B2118:B2181" si="109">IF(C2118&lt;&gt;"",MONTH(C2118),"")</f>
        <v>1</v>
      </c>
      <c r="C2118" s="182">
        <f t="shared" si="108"/>
        <v>42391</v>
      </c>
      <c r="D2118" s="182" t="s">
        <v>1547</v>
      </c>
      <c r="E2118" s="691">
        <v>42391</v>
      </c>
      <c r="F2118" s="40" t="s">
        <v>712</v>
      </c>
      <c r="G2118" s="40" t="s">
        <v>397</v>
      </c>
      <c r="H2118" s="7" t="s">
        <v>1549</v>
      </c>
      <c r="I2118" s="251">
        <v>10</v>
      </c>
      <c r="J2118" s="251">
        <v>8176.0840908592509</v>
      </c>
      <c r="K2118" s="38">
        <f t="shared" si="107"/>
        <v>81761</v>
      </c>
      <c r="L2118" s="561" t="s">
        <v>166</v>
      </c>
      <c r="M2118" s="561" t="s">
        <v>164</v>
      </c>
      <c r="N2118" s="52" t="str">
        <f>IF(AND('331-CT'!$E$7=TH!H2118,OR(L2118="331",M2118="331")),"331",IF(AND(OR(L2118="131",M2118="131"),H2118='131-CT'!$E$7),"131",""))</f>
        <v/>
      </c>
      <c r="O2118" s="818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751"/>
      <c r="AB2118" s="552"/>
      <c r="AC2118" s="552"/>
    </row>
    <row r="2119" spans="1:29" s="209" customFormat="1" ht="15.75" customHeight="1">
      <c r="A2119" s="202" t="str">
        <f>IF(B2119&lt;&gt;"",IF(AND(B2119&gt;=_TM1,B2119&lt;=_TM2,OR(TH!L2119="1111",TH!M2119="1111")),TH!D2119,""),"")</f>
        <v/>
      </c>
      <c r="B2119" s="36">
        <f t="shared" si="109"/>
        <v>1</v>
      </c>
      <c r="C2119" s="182">
        <f t="shared" si="108"/>
        <v>42391</v>
      </c>
      <c r="D2119" s="182" t="s">
        <v>1547</v>
      </c>
      <c r="E2119" s="691">
        <v>42391</v>
      </c>
      <c r="F2119" s="40" t="s">
        <v>1210</v>
      </c>
      <c r="G2119" s="40" t="s">
        <v>397</v>
      </c>
      <c r="H2119" s="7" t="s">
        <v>1549</v>
      </c>
      <c r="I2119" s="251">
        <v>10</v>
      </c>
      <c r="J2119" s="251">
        <v>9010.3783858448896</v>
      </c>
      <c r="K2119" s="38">
        <f t="shared" si="107"/>
        <v>90104</v>
      </c>
      <c r="L2119" s="561" t="s">
        <v>166</v>
      </c>
      <c r="M2119" s="561" t="s">
        <v>164</v>
      </c>
      <c r="N2119" s="52" t="str">
        <f>IF(AND('331-CT'!$E$7=TH!H2119,OR(L2119="331",M2119="331")),"331",IF(AND(OR(L2119="131",M2119="131"),H2119='131-CT'!$E$7),"131",""))</f>
        <v/>
      </c>
      <c r="O2119" s="818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751"/>
      <c r="AB2119" s="552"/>
    </row>
    <row r="2120" spans="1:29" s="209" customFormat="1" ht="15.75" customHeight="1">
      <c r="A2120" s="202" t="str">
        <f>IF(B2120&lt;&gt;"",IF(AND(B2120&gt;=_TM1,B2120&lt;=_TM2,OR(TH!L2120="1111",TH!M2120="1111")),TH!D2120,""),"")</f>
        <v/>
      </c>
      <c r="B2120" s="36">
        <f t="shared" si="109"/>
        <v>1</v>
      </c>
      <c r="C2120" s="182">
        <f t="shared" si="108"/>
        <v>42394</v>
      </c>
      <c r="D2120" s="182" t="s">
        <v>1547</v>
      </c>
      <c r="E2120" s="691">
        <v>42394</v>
      </c>
      <c r="F2120" s="187" t="s">
        <v>1309</v>
      </c>
      <c r="G2120" s="40" t="s">
        <v>398</v>
      </c>
      <c r="H2120" s="7" t="s">
        <v>1549</v>
      </c>
      <c r="I2120" s="251">
        <v>100</v>
      </c>
      <c r="J2120" s="251">
        <v>11096.114123308984</v>
      </c>
      <c r="K2120" s="38">
        <f t="shared" si="107"/>
        <v>1109611</v>
      </c>
      <c r="L2120" s="561" t="s">
        <v>166</v>
      </c>
      <c r="M2120" s="561" t="s">
        <v>164</v>
      </c>
      <c r="N2120" s="52" t="str">
        <f>IF(AND('331-CT'!$E$7=TH!H2120,OR(L2120="331",M2120="331")),"331",IF(AND(OR(L2120="131",M2120="131"),H2120='131-CT'!$E$7),"131",""))</f>
        <v/>
      </c>
      <c r="O2120" s="818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751"/>
      <c r="AB2120" s="552"/>
      <c r="AC2120" s="552"/>
    </row>
    <row r="2121" spans="1:29" s="209" customFormat="1" ht="15.75" customHeight="1">
      <c r="A2121" s="202" t="str">
        <f>IF(B2121&lt;&gt;"",IF(AND(B2121&gt;=_TM1,B2121&lt;=_TM2,OR(TH!L2121="1111",TH!M2121="1111")),TH!D2121,""),"")</f>
        <v/>
      </c>
      <c r="B2121" s="36">
        <f t="shared" si="109"/>
        <v>1</v>
      </c>
      <c r="C2121" s="182">
        <f t="shared" si="108"/>
        <v>42395</v>
      </c>
      <c r="D2121" s="182" t="s">
        <v>1547</v>
      </c>
      <c r="E2121" s="691">
        <v>42395</v>
      </c>
      <c r="F2121" s="40" t="s">
        <v>1435</v>
      </c>
      <c r="G2121" s="40" t="s">
        <v>909</v>
      </c>
      <c r="H2121" s="7" t="s">
        <v>1549</v>
      </c>
      <c r="I2121" s="251">
        <v>1500</v>
      </c>
      <c r="J2121" s="251">
        <v>9761.2432513319618</v>
      </c>
      <c r="K2121" s="38">
        <f t="shared" si="107"/>
        <v>14641865</v>
      </c>
      <c r="L2121" s="561" t="s">
        <v>166</v>
      </c>
      <c r="M2121" s="561" t="s">
        <v>164</v>
      </c>
      <c r="N2121" s="52" t="str">
        <f>IF(AND('331-CT'!$E$7=TH!H2121,OR(L2121="331",M2121="331")),"331",IF(AND(OR(L2121="131",M2121="131"),H2121='131-CT'!$E$7),"131",""))</f>
        <v/>
      </c>
      <c r="O2121" s="818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751"/>
      <c r="AB2121" s="552"/>
    </row>
    <row r="2122" spans="1:29" s="209" customFormat="1" ht="15.75" customHeight="1">
      <c r="A2122" s="202" t="str">
        <f>IF(B2122&lt;&gt;"",IF(AND(B2122&gt;=_TM1,B2122&lt;=_TM2,OR(TH!L2122="1111",TH!M2122="1111")),TH!D2122,""),"")</f>
        <v/>
      </c>
      <c r="B2122" s="36">
        <f t="shared" si="109"/>
        <v>1</v>
      </c>
      <c r="C2122" s="182">
        <f t="shared" si="108"/>
        <v>42395</v>
      </c>
      <c r="D2122" s="182" t="s">
        <v>1547</v>
      </c>
      <c r="E2122" s="691">
        <v>42395</v>
      </c>
      <c r="F2122" s="187" t="s">
        <v>1306</v>
      </c>
      <c r="G2122" s="40" t="s">
        <v>909</v>
      </c>
      <c r="H2122" s="7" t="s">
        <v>1549</v>
      </c>
      <c r="I2122" s="251">
        <v>1300</v>
      </c>
      <c r="J2122" s="251">
        <v>10345.24925782191</v>
      </c>
      <c r="K2122" s="38">
        <f t="shared" si="107"/>
        <v>13448824</v>
      </c>
      <c r="L2122" s="561" t="s">
        <v>166</v>
      </c>
      <c r="M2122" s="561" t="s">
        <v>164</v>
      </c>
      <c r="N2122" s="52" t="str">
        <f>IF(AND('331-CT'!$E$7=TH!H2122,OR(L2122="331",M2122="331")),"331",IF(AND(OR(L2122="131",M2122="131"),H2122='131-CT'!$E$7),"131",""))</f>
        <v/>
      </c>
      <c r="O2122" s="818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751"/>
      <c r="AB2122" s="552"/>
      <c r="AC2122" s="552"/>
    </row>
    <row r="2123" spans="1:29" s="209" customFormat="1" ht="15.75" customHeight="1">
      <c r="A2123" s="202" t="str">
        <f>IF(B2123&lt;&gt;"",IF(AND(B2123&gt;=_TM1,B2123&lt;=_TM2,OR(TH!L2123="1111",TH!M2123="1111")),TH!D2123,""),"")</f>
        <v/>
      </c>
      <c r="B2123" s="36">
        <f t="shared" si="109"/>
        <v>1</v>
      </c>
      <c r="C2123" s="182">
        <f t="shared" si="108"/>
        <v>42395</v>
      </c>
      <c r="D2123" s="182" t="s">
        <v>1547</v>
      </c>
      <c r="E2123" s="37">
        <v>42395</v>
      </c>
      <c r="F2123" s="187" t="s">
        <v>653</v>
      </c>
      <c r="G2123" s="40" t="s">
        <v>401</v>
      </c>
      <c r="H2123" s="7" t="s">
        <v>1549</v>
      </c>
      <c r="I2123" s="251">
        <v>50</v>
      </c>
      <c r="J2123" s="251">
        <v>23109.951971102168</v>
      </c>
      <c r="K2123" s="38">
        <f t="shared" si="107"/>
        <v>1155498</v>
      </c>
      <c r="L2123" s="561" t="s">
        <v>166</v>
      </c>
      <c r="M2123" s="561" t="s">
        <v>164</v>
      </c>
      <c r="N2123" s="52" t="str">
        <f>IF(AND('331-CT'!$E$7=TH!H2123,OR(L2123="331",M2123="331")),"331",IF(AND(OR(L2123="131",M2123="131"),H2123='131-CT'!$E$7),"131",""))</f>
        <v/>
      </c>
      <c r="O2123" s="818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751"/>
      <c r="AB2123" s="552"/>
      <c r="AC2123" s="552"/>
    </row>
    <row r="2124" spans="1:29" s="209" customFormat="1" ht="15.75" customHeight="1">
      <c r="A2124" s="202" t="str">
        <f>IF(B2124&lt;&gt;"",IF(AND(B2124&gt;=_TM1,B2124&lt;=_TM2,OR(TH!L2124="1111",TH!M2124="1111")),TH!D2124,""),"")</f>
        <v/>
      </c>
      <c r="B2124" s="36">
        <f t="shared" si="109"/>
        <v>1</v>
      </c>
      <c r="C2124" s="182">
        <f t="shared" si="108"/>
        <v>42395</v>
      </c>
      <c r="D2124" s="182" t="s">
        <v>1547</v>
      </c>
      <c r="E2124" s="37">
        <v>42395</v>
      </c>
      <c r="F2124" s="190" t="s">
        <v>656</v>
      </c>
      <c r="G2124" s="40" t="s">
        <v>401</v>
      </c>
      <c r="H2124" s="7" t="s">
        <v>1549</v>
      </c>
      <c r="I2124" s="251">
        <v>98</v>
      </c>
      <c r="J2124" s="251">
        <v>18855.051066675413</v>
      </c>
      <c r="K2124" s="38">
        <f t="shared" si="107"/>
        <v>1847795</v>
      </c>
      <c r="L2124" s="561" t="s">
        <v>166</v>
      </c>
      <c r="M2124" s="561" t="s">
        <v>164</v>
      </c>
      <c r="N2124" s="52" t="str">
        <f>IF(AND('331-CT'!$E$7=TH!H2124,OR(L2124="331",M2124="331")),"331",IF(AND(OR(L2124="131",M2124="131"),H2124='131-CT'!$E$7),"131",""))</f>
        <v/>
      </c>
      <c r="O2124" s="818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751"/>
      <c r="AB2124" s="552"/>
      <c r="AC2124" s="552"/>
    </row>
    <row r="2125" spans="1:29" s="209" customFormat="1" ht="15.75" customHeight="1">
      <c r="A2125" s="202" t="str">
        <f>IF(B2125&lt;&gt;"",IF(AND(B2125&gt;=_TM1,B2125&lt;=_TM2,OR(TH!L2125="1111",TH!M2125="1111")),TH!D2125,""),"")</f>
        <v/>
      </c>
      <c r="B2125" s="36">
        <f t="shared" si="109"/>
        <v>1</v>
      </c>
      <c r="C2125" s="182">
        <f t="shared" si="108"/>
        <v>42395</v>
      </c>
      <c r="D2125" s="182" t="s">
        <v>1547</v>
      </c>
      <c r="E2125" s="182">
        <v>42395</v>
      </c>
      <c r="F2125" s="190" t="s">
        <v>655</v>
      </c>
      <c r="G2125" s="562" t="s">
        <v>401</v>
      </c>
      <c r="H2125" s="7" t="s">
        <v>1549</v>
      </c>
      <c r="I2125" s="251">
        <v>55</v>
      </c>
      <c r="J2125" s="251">
        <v>23193.381400600731</v>
      </c>
      <c r="K2125" s="38">
        <f t="shared" si="107"/>
        <v>1275636</v>
      </c>
      <c r="L2125" s="561" t="s">
        <v>166</v>
      </c>
      <c r="M2125" s="561" t="s">
        <v>164</v>
      </c>
      <c r="N2125" s="52" t="str">
        <f>IF(AND('331-CT'!$E$7=TH!H2125,OR(L2125="331",M2125="331")),"331",IF(AND(OR(L2125="131",M2125="131"),H2125='131-CT'!$E$7),"131",""))</f>
        <v/>
      </c>
      <c r="O2125" s="818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751"/>
      <c r="AB2125" s="552"/>
      <c r="AC2125" s="552"/>
    </row>
    <row r="2126" spans="1:29" s="209" customFormat="1" ht="15.75" customHeight="1">
      <c r="A2126" s="202" t="str">
        <f>IF(B2126&lt;&gt;"",IF(AND(B2126&gt;=_TM1,B2126&lt;=_TM2,OR(TH!L2126="1111",TH!M2126="1111")),TH!D2126,""),"")</f>
        <v/>
      </c>
      <c r="B2126" s="36">
        <f t="shared" si="109"/>
        <v>1</v>
      </c>
      <c r="C2126" s="182">
        <f t="shared" si="108"/>
        <v>42395</v>
      </c>
      <c r="D2126" s="182" t="s">
        <v>1547</v>
      </c>
      <c r="E2126" s="189">
        <v>42395</v>
      </c>
      <c r="F2126" s="187" t="s">
        <v>1233</v>
      </c>
      <c r="G2126" s="451" t="s">
        <v>402</v>
      </c>
      <c r="H2126" s="7" t="s">
        <v>1549</v>
      </c>
      <c r="I2126" s="251">
        <v>196</v>
      </c>
      <c r="J2126" s="251">
        <v>2669.7417439540413</v>
      </c>
      <c r="K2126" s="38">
        <f t="shared" si="107"/>
        <v>523269</v>
      </c>
      <c r="L2126" s="561" t="s">
        <v>166</v>
      </c>
      <c r="M2126" s="561" t="s">
        <v>164</v>
      </c>
      <c r="N2126" s="52" t="str">
        <f>IF(AND('331-CT'!$E$7=TH!H2126,OR(L2126="331",M2126="331")),"331",IF(AND(OR(L2126="131",M2126="131"),H2126='131-CT'!$E$7),"131",""))</f>
        <v/>
      </c>
      <c r="O2126" s="818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751"/>
      <c r="AB2126" s="552"/>
      <c r="AC2126" s="552"/>
    </row>
    <row r="2127" spans="1:29" s="209" customFormat="1" ht="15.75" customHeight="1">
      <c r="A2127" s="202" t="str">
        <f>IF(B2127&lt;&gt;"",IF(AND(B2127&gt;=_TM1,B2127&lt;=_TM2,OR(TH!L2127="1111",TH!M2127="1111")),TH!D2127,""),"")</f>
        <v/>
      </c>
      <c r="B2127" s="36">
        <f t="shared" si="109"/>
        <v>1</v>
      </c>
      <c r="C2127" s="182">
        <f t="shared" si="108"/>
        <v>42395</v>
      </c>
      <c r="D2127" s="182" t="s">
        <v>1547</v>
      </c>
      <c r="E2127" s="189">
        <v>42395</v>
      </c>
      <c r="F2127" s="187" t="s">
        <v>1234</v>
      </c>
      <c r="G2127" s="451" t="s">
        <v>402</v>
      </c>
      <c r="H2127" s="7" t="s">
        <v>1549</v>
      </c>
      <c r="I2127" s="251">
        <v>500</v>
      </c>
      <c r="J2127" s="251">
        <v>1334.8708719770207</v>
      </c>
      <c r="K2127" s="38">
        <f t="shared" si="107"/>
        <v>667435</v>
      </c>
      <c r="L2127" s="561" t="s">
        <v>166</v>
      </c>
      <c r="M2127" s="561" t="s">
        <v>164</v>
      </c>
      <c r="N2127" s="52" t="str">
        <f>IF(AND('331-CT'!$E$7=TH!H2127,OR(L2127="331",M2127="331")),"331",IF(AND(OR(L2127="131",M2127="131"),H2127='131-CT'!$E$7),"131",""))</f>
        <v/>
      </c>
      <c r="O2127" s="818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751"/>
      <c r="AB2127" s="552"/>
      <c r="AC2127" s="552"/>
    </row>
    <row r="2128" spans="1:29" s="209" customFormat="1" ht="15.75" customHeight="1">
      <c r="A2128" s="202" t="str">
        <f>IF(B2128&lt;&gt;"",IF(AND(B2128&gt;=_TM1,B2128&lt;=_TM2,OR(TH!L2128="1111",TH!M2128="1111")),TH!D2128,""),"")</f>
        <v/>
      </c>
      <c r="B2128" s="36">
        <f t="shared" si="109"/>
        <v>1</v>
      </c>
      <c r="C2128" s="182">
        <f t="shared" si="108"/>
        <v>42395</v>
      </c>
      <c r="D2128" s="182" t="s">
        <v>1547</v>
      </c>
      <c r="E2128" s="189">
        <v>42395</v>
      </c>
      <c r="F2128" s="187" t="s">
        <v>1235</v>
      </c>
      <c r="G2128" s="451" t="s">
        <v>402</v>
      </c>
      <c r="H2128" s="7" t="s">
        <v>1549</v>
      </c>
      <c r="I2128" s="251">
        <v>100</v>
      </c>
      <c r="J2128" s="251">
        <v>3504.0360389396787</v>
      </c>
      <c r="K2128" s="38">
        <f t="shared" si="107"/>
        <v>350404</v>
      </c>
      <c r="L2128" s="561" t="s">
        <v>166</v>
      </c>
      <c r="M2128" s="561" t="s">
        <v>164</v>
      </c>
      <c r="N2128" s="52" t="str">
        <f>IF(AND('331-CT'!$E$7=TH!H2128,OR(L2128="331",M2128="331")),"331",IF(AND(OR(L2128="131",M2128="131"),H2128='131-CT'!$E$7),"131",""))</f>
        <v/>
      </c>
      <c r="O2128" s="818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751"/>
      <c r="AB2128" s="552"/>
      <c r="AC2128" s="552"/>
    </row>
    <row r="2129" spans="1:29" s="209" customFormat="1" ht="15.75" customHeight="1">
      <c r="A2129" s="202" t="str">
        <f>IF(B2129&lt;&gt;"",IF(AND(B2129&gt;=_TM1,B2129&lt;=_TM2,OR(TH!L2129="1111",TH!M2129="1111")),TH!D2129,""),"")</f>
        <v/>
      </c>
      <c r="B2129" s="36">
        <f t="shared" si="109"/>
        <v>1</v>
      </c>
      <c r="C2129" s="182">
        <f t="shared" si="108"/>
        <v>42395</v>
      </c>
      <c r="D2129" s="182" t="s">
        <v>1547</v>
      </c>
      <c r="E2129" s="189">
        <v>42395</v>
      </c>
      <c r="F2129" s="190" t="s">
        <v>1236</v>
      </c>
      <c r="G2129" s="451" t="s">
        <v>402</v>
      </c>
      <c r="H2129" s="7" t="s">
        <v>1549</v>
      </c>
      <c r="I2129" s="251">
        <v>50</v>
      </c>
      <c r="J2129" s="251">
        <v>1418.3003014755845</v>
      </c>
      <c r="K2129" s="38">
        <f t="shared" si="107"/>
        <v>70915</v>
      </c>
      <c r="L2129" s="561" t="s">
        <v>166</v>
      </c>
      <c r="M2129" s="561" t="s">
        <v>164</v>
      </c>
      <c r="N2129" s="52" t="str">
        <f>IF(AND('331-CT'!$E$7=TH!H2129,OR(L2129="331",M2129="331")),"331",IF(AND(OR(L2129="131",M2129="131"),H2129='131-CT'!$E$7),"131",""))</f>
        <v/>
      </c>
      <c r="O2129" s="818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751"/>
      <c r="AB2129" s="552"/>
    </row>
    <row r="2130" spans="1:29" s="209" customFormat="1" ht="15.75" customHeight="1">
      <c r="A2130" s="202" t="str">
        <f>IF(B2130&lt;&gt;"",IF(AND(B2130&gt;=_TM1,B2130&lt;=_TM2,OR(TH!L2130="1111",TH!M2130="1111")),TH!D2130,""),"")</f>
        <v/>
      </c>
      <c r="B2130" s="36">
        <f t="shared" si="109"/>
        <v>1</v>
      </c>
      <c r="C2130" s="182">
        <f t="shared" si="108"/>
        <v>42395</v>
      </c>
      <c r="D2130" s="182" t="s">
        <v>1547</v>
      </c>
      <c r="E2130" s="189">
        <v>42395</v>
      </c>
      <c r="F2130" s="190" t="s">
        <v>1237</v>
      </c>
      <c r="G2130" s="451" t="s">
        <v>402</v>
      </c>
      <c r="H2130" s="7" t="s">
        <v>1549</v>
      </c>
      <c r="I2130" s="251">
        <v>400</v>
      </c>
      <c r="J2130" s="251">
        <v>750.8648654870741</v>
      </c>
      <c r="K2130" s="38">
        <f t="shared" si="107"/>
        <v>300346</v>
      </c>
      <c r="L2130" s="561" t="s">
        <v>166</v>
      </c>
      <c r="M2130" s="561" t="s">
        <v>164</v>
      </c>
      <c r="N2130" s="52" t="str">
        <f>IF(AND('331-CT'!$E$7=TH!H2130,OR(L2130="331",M2130="331")),"331",IF(AND(OR(L2130="131",M2130="131"),H2130='131-CT'!$E$7),"131",""))</f>
        <v/>
      </c>
      <c r="O2130" s="818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751"/>
      <c r="AB2130" s="552"/>
      <c r="AC2130" s="552"/>
    </row>
    <row r="2131" spans="1:29" s="209" customFormat="1" ht="15.75" customHeight="1">
      <c r="A2131" s="202" t="str">
        <f>IF(B2131&lt;&gt;"",IF(AND(B2131&gt;=_TM1,B2131&lt;=_TM2,OR(TH!L2131="1111",TH!M2131="1111")),TH!D2131,""),"")</f>
        <v/>
      </c>
      <c r="B2131" s="36">
        <f t="shared" si="109"/>
        <v>1</v>
      </c>
      <c r="C2131" s="182">
        <f t="shared" si="108"/>
        <v>42395</v>
      </c>
      <c r="D2131" s="182" t="s">
        <v>1547</v>
      </c>
      <c r="E2131" s="189">
        <v>42395</v>
      </c>
      <c r="F2131" s="190" t="s">
        <v>1238</v>
      </c>
      <c r="G2131" s="451" t="s">
        <v>402</v>
      </c>
      <c r="H2131" s="7" t="s">
        <v>1549</v>
      </c>
      <c r="I2131" s="251">
        <v>110</v>
      </c>
      <c r="J2131" s="251">
        <v>3754.3243274353704</v>
      </c>
      <c r="K2131" s="38">
        <f t="shared" si="107"/>
        <v>412976</v>
      </c>
      <c r="L2131" s="561" t="s">
        <v>166</v>
      </c>
      <c r="M2131" s="561" t="s">
        <v>164</v>
      </c>
      <c r="N2131" s="52" t="str">
        <f>IF(AND('331-CT'!$E$7=TH!H2131,OR(L2131="331",M2131="331")),"331",IF(AND(OR(L2131="131",M2131="131"),H2131='131-CT'!$E$7),"131",""))</f>
        <v/>
      </c>
      <c r="O2131" s="818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751"/>
      <c r="AB2131" s="552"/>
    </row>
    <row r="2132" spans="1:29" s="209" customFormat="1" ht="15.75" customHeight="1">
      <c r="A2132" s="202" t="str">
        <f>IF(B2132&lt;&gt;"",IF(AND(B2132&gt;=_TM1,B2132&lt;=_TM2,OR(TH!L2132="1111",TH!M2132="1111")),TH!D2132,""),"")</f>
        <v/>
      </c>
      <c r="B2132" s="36">
        <f t="shared" si="109"/>
        <v>1</v>
      </c>
      <c r="C2132" s="182">
        <f t="shared" si="108"/>
        <v>42395</v>
      </c>
      <c r="D2132" s="182" t="s">
        <v>1547</v>
      </c>
      <c r="E2132" s="189">
        <v>42395</v>
      </c>
      <c r="F2132" s="190" t="s">
        <v>1239</v>
      </c>
      <c r="G2132" s="451" t="s">
        <v>402</v>
      </c>
      <c r="H2132" s="7" t="s">
        <v>1549</v>
      </c>
      <c r="I2132" s="251">
        <v>55</v>
      </c>
      <c r="J2132" s="251">
        <v>1418.3003014755845</v>
      </c>
      <c r="K2132" s="38">
        <f t="shared" si="107"/>
        <v>78007</v>
      </c>
      <c r="L2132" s="561" t="s">
        <v>166</v>
      </c>
      <c r="M2132" s="561" t="s">
        <v>164</v>
      </c>
      <c r="N2132" s="52" t="str">
        <f>IF(AND('331-CT'!$E$7=TH!H2132,OR(L2132="331",M2132="331")),"331",IF(AND(OR(L2132="131",M2132="131"),H2132='131-CT'!$E$7),"131",""))</f>
        <v/>
      </c>
      <c r="O2132" s="818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751"/>
      <c r="AB2132" s="552"/>
      <c r="AC2132" s="552"/>
    </row>
    <row r="2133" spans="1:29" s="209" customFormat="1" ht="15.75" customHeight="1">
      <c r="A2133" s="202" t="str">
        <f>IF(B2133&lt;&gt;"",IF(AND(B2133&gt;=_TM1,B2133&lt;=_TM2,OR(TH!L2133="1111",TH!M2133="1111")),TH!D2133,""),"")</f>
        <v/>
      </c>
      <c r="B2133" s="36">
        <f t="shared" si="109"/>
        <v>1</v>
      </c>
      <c r="C2133" s="182">
        <f t="shared" si="108"/>
        <v>42395</v>
      </c>
      <c r="D2133" s="182" t="s">
        <v>1547</v>
      </c>
      <c r="E2133" s="189">
        <v>42395</v>
      </c>
      <c r="F2133" s="190" t="s">
        <v>1240</v>
      </c>
      <c r="G2133" s="451" t="s">
        <v>402</v>
      </c>
      <c r="H2133" s="7" t="s">
        <v>1549</v>
      </c>
      <c r="I2133" s="251">
        <v>440</v>
      </c>
      <c r="J2133" s="251">
        <v>917.72372448420163</v>
      </c>
      <c r="K2133" s="38">
        <f t="shared" si="107"/>
        <v>403798</v>
      </c>
      <c r="L2133" s="561" t="s">
        <v>166</v>
      </c>
      <c r="M2133" s="561" t="s">
        <v>164</v>
      </c>
      <c r="N2133" s="52" t="str">
        <f>IF(AND('331-CT'!$E$7=TH!H2133,OR(L2133="331",M2133="331")),"331",IF(AND(OR(L2133="131",M2133="131"),H2133='131-CT'!$E$7),"131",""))</f>
        <v/>
      </c>
      <c r="O2133" s="818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751"/>
      <c r="AB2133" s="552"/>
      <c r="AC2133" s="552"/>
    </row>
    <row r="2134" spans="1:29" s="209" customFormat="1" ht="15.75" customHeight="1">
      <c r="A2134" s="202" t="str">
        <f>IF(B2134&lt;&gt;"",IF(AND(B2134&gt;=_TM1,B2134&lt;=_TM2,OR(TH!L2134="1111",TH!M2134="1111")),TH!D2134,""),"")</f>
        <v/>
      </c>
      <c r="B2134" s="36">
        <f t="shared" si="109"/>
        <v>1</v>
      </c>
      <c r="C2134" s="182">
        <f t="shared" si="108"/>
        <v>42395</v>
      </c>
      <c r="D2134" s="182" t="s">
        <v>1547</v>
      </c>
      <c r="E2134" s="189">
        <v>42395</v>
      </c>
      <c r="F2134" s="190" t="s">
        <v>708</v>
      </c>
      <c r="G2134" s="451" t="s">
        <v>403</v>
      </c>
      <c r="H2134" s="7" t="s">
        <v>1549</v>
      </c>
      <c r="I2134" s="251">
        <v>50</v>
      </c>
      <c r="J2134" s="251">
        <v>12180.696706790313</v>
      </c>
      <c r="K2134" s="38">
        <f t="shared" si="107"/>
        <v>609035</v>
      </c>
      <c r="L2134" s="561" t="s">
        <v>166</v>
      </c>
      <c r="M2134" s="561" t="s">
        <v>164</v>
      </c>
      <c r="N2134" s="52" t="str">
        <f>IF(AND('331-CT'!$E$7=TH!H2134,OR(L2134="331",M2134="331")),"331",IF(AND(OR(L2134="131",M2134="131"),H2134='131-CT'!$E$7),"131",""))</f>
        <v/>
      </c>
      <c r="O2134" s="818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751"/>
      <c r="AB2134" s="552"/>
    </row>
    <row r="2135" spans="1:29" s="209" customFormat="1" ht="15.75" customHeight="1">
      <c r="A2135" s="202" t="str">
        <f>IF(B2135&lt;&gt;"",IF(AND(B2135&gt;=_TM1,B2135&lt;=_TM2,OR(TH!L2135="1111",TH!M2135="1111")),TH!D2135,""),"")</f>
        <v/>
      </c>
      <c r="B2135" s="36">
        <f t="shared" si="109"/>
        <v>1</v>
      </c>
      <c r="C2135" s="182">
        <f t="shared" si="108"/>
        <v>42395</v>
      </c>
      <c r="D2135" s="182" t="s">
        <v>1547</v>
      </c>
      <c r="E2135" s="189">
        <v>42395</v>
      </c>
      <c r="F2135" s="190" t="s">
        <v>1225</v>
      </c>
      <c r="G2135" s="451" t="s">
        <v>403</v>
      </c>
      <c r="H2135" s="7" t="s">
        <v>1549</v>
      </c>
      <c r="I2135" s="251">
        <v>100</v>
      </c>
      <c r="J2135" s="251">
        <v>6507.4955008879751</v>
      </c>
      <c r="K2135" s="38">
        <f t="shared" si="107"/>
        <v>650750</v>
      </c>
      <c r="L2135" s="561" t="s">
        <v>166</v>
      </c>
      <c r="M2135" s="561" t="s">
        <v>164</v>
      </c>
      <c r="N2135" s="52" t="str">
        <f>IF(AND('331-CT'!$E$7=TH!H2135,OR(L2135="331",M2135="331")),"331",IF(AND(OR(L2135="131",M2135="131"),H2135='131-CT'!$E$7),"131",""))</f>
        <v/>
      </c>
      <c r="O2135" s="818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751"/>
      <c r="AB2135" s="552"/>
      <c r="AC2135" s="552"/>
    </row>
    <row r="2136" spans="1:29" s="209" customFormat="1" ht="15.75" customHeight="1">
      <c r="A2136" s="202" t="str">
        <f>IF(B2136&lt;&gt;"",IF(AND(B2136&gt;=_TM1,B2136&lt;=_TM2,OR(TH!L2136="1111",TH!M2136="1111")),TH!D2136,""),"")</f>
        <v/>
      </c>
      <c r="B2136" s="36">
        <f t="shared" si="109"/>
        <v>1</v>
      </c>
      <c r="C2136" s="182">
        <f t="shared" si="108"/>
        <v>42395</v>
      </c>
      <c r="D2136" s="182" t="s">
        <v>1547</v>
      </c>
      <c r="E2136" s="189">
        <v>42395</v>
      </c>
      <c r="F2136" s="190" t="s">
        <v>1226</v>
      </c>
      <c r="G2136" s="451" t="s">
        <v>403</v>
      </c>
      <c r="H2136" s="7" t="s">
        <v>1549</v>
      </c>
      <c r="I2136" s="251">
        <v>1000</v>
      </c>
      <c r="J2136" s="251">
        <v>1334.8708719770207</v>
      </c>
      <c r="K2136" s="38">
        <f t="shared" si="107"/>
        <v>1334871</v>
      </c>
      <c r="L2136" s="561" t="s">
        <v>166</v>
      </c>
      <c r="M2136" s="561" t="s">
        <v>164</v>
      </c>
      <c r="N2136" s="52" t="str">
        <f>IF(AND('331-CT'!$E$7=TH!H2136,OR(L2136="331",M2136="331")),"331",IF(AND(OR(L2136="131",M2136="131"),H2136='131-CT'!$E$7),"131",""))</f>
        <v/>
      </c>
      <c r="O2136" s="818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751"/>
      <c r="AB2136" s="552"/>
      <c r="AC2136" s="552"/>
    </row>
    <row r="2137" spans="1:29" s="209" customFormat="1" ht="15.75" customHeight="1">
      <c r="A2137" s="202" t="str">
        <f>IF(B2137&lt;&gt;"",IF(AND(B2137&gt;=_TM1,B2137&lt;=_TM2,OR(TH!L2137="1111",TH!M2137="1111")),TH!D2137,""),"")</f>
        <v/>
      </c>
      <c r="B2137" s="36">
        <f t="shared" si="109"/>
        <v>1</v>
      </c>
      <c r="C2137" s="182">
        <f t="shared" si="108"/>
        <v>42395</v>
      </c>
      <c r="D2137" s="182" t="s">
        <v>1547</v>
      </c>
      <c r="E2137" s="189">
        <v>42395</v>
      </c>
      <c r="F2137" s="190" t="s">
        <v>700</v>
      </c>
      <c r="G2137" s="451" t="s">
        <v>403</v>
      </c>
      <c r="H2137" s="7" t="s">
        <v>1549</v>
      </c>
      <c r="I2137" s="251">
        <v>190</v>
      </c>
      <c r="J2137" s="251">
        <v>7174.9309368764852</v>
      </c>
      <c r="K2137" s="38">
        <f t="shared" si="107"/>
        <v>1363237</v>
      </c>
      <c r="L2137" s="561" t="s">
        <v>166</v>
      </c>
      <c r="M2137" s="561" t="s">
        <v>164</v>
      </c>
      <c r="N2137" s="52" t="str">
        <f>IF(AND('331-CT'!$E$7=TH!H2137,OR(L2137="331",M2137="331")),"331",IF(AND(OR(L2137="131",M2137="131"),H2137='131-CT'!$E$7),"131",""))</f>
        <v/>
      </c>
      <c r="O2137" s="818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751"/>
      <c r="AB2137" s="552"/>
      <c r="AC2137" s="552"/>
    </row>
    <row r="2138" spans="1:29" s="209" customFormat="1" ht="15.75" customHeight="1">
      <c r="A2138" s="202" t="str">
        <f>IF(B2138&lt;&gt;"",IF(AND(B2138&gt;=_TM1,B2138&lt;=_TM2,OR(TH!L2138="1111",TH!M2138="1111")),TH!D2138,""),"")</f>
        <v/>
      </c>
      <c r="B2138" s="36">
        <f t="shared" si="109"/>
        <v>1</v>
      </c>
      <c r="C2138" s="182">
        <f t="shared" si="108"/>
        <v>42395</v>
      </c>
      <c r="D2138" s="182" t="s">
        <v>1547</v>
      </c>
      <c r="E2138" s="37">
        <v>42395</v>
      </c>
      <c r="F2138" s="40" t="s">
        <v>701</v>
      </c>
      <c r="G2138" s="40" t="s">
        <v>403</v>
      </c>
      <c r="H2138" s="7" t="s">
        <v>1549</v>
      </c>
      <c r="I2138" s="251">
        <v>195</v>
      </c>
      <c r="J2138" s="251">
        <v>6590.924930386539</v>
      </c>
      <c r="K2138" s="38">
        <f t="shared" si="107"/>
        <v>1285230</v>
      </c>
      <c r="L2138" s="561" t="s">
        <v>166</v>
      </c>
      <c r="M2138" s="561" t="s">
        <v>164</v>
      </c>
      <c r="N2138" s="52" t="str">
        <f>IF(AND('331-CT'!$E$7=TH!H2138,OR(L2138="331",M2138="331")),"331",IF(AND(OR(L2138="131",M2138="131"),H2138='131-CT'!$E$7),"131",""))</f>
        <v/>
      </c>
      <c r="O2138" s="818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751"/>
      <c r="AB2138" s="552"/>
      <c r="AC2138" s="552"/>
    </row>
    <row r="2139" spans="1:29" s="209" customFormat="1" ht="15.75" customHeight="1">
      <c r="A2139" s="202" t="str">
        <f>IF(B2139&lt;&gt;"",IF(AND(B2139&gt;=_TM1,B2139&lt;=_TM2,OR(TH!L2139="1111",TH!M2139="1111")),TH!D2139,""),"")</f>
        <v/>
      </c>
      <c r="B2139" s="36">
        <f t="shared" si="109"/>
        <v>1</v>
      </c>
      <c r="C2139" s="182">
        <f t="shared" si="108"/>
        <v>42395</v>
      </c>
      <c r="D2139" s="182" t="s">
        <v>1547</v>
      </c>
      <c r="E2139" s="37">
        <v>42395</v>
      </c>
      <c r="F2139" s="40" t="s">
        <v>702</v>
      </c>
      <c r="G2139" s="40" t="s">
        <v>403</v>
      </c>
      <c r="H2139" s="7" t="s">
        <v>1549</v>
      </c>
      <c r="I2139" s="251">
        <v>125</v>
      </c>
      <c r="J2139" s="251">
        <v>9677.8138218333988</v>
      </c>
      <c r="K2139" s="38">
        <f t="shared" si="107"/>
        <v>1209727</v>
      </c>
      <c r="L2139" s="561" t="s">
        <v>166</v>
      </c>
      <c r="M2139" s="561" t="s">
        <v>164</v>
      </c>
      <c r="N2139" s="52" t="str">
        <f>IF(AND('331-CT'!$E$7=TH!H2139,OR(L2139="331",M2139="331")),"331",IF(AND(OR(L2139="131",M2139="131"),H2139='131-CT'!$E$7),"131",""))</f>
        <v/>
      </c>
      <c r="O2139" s="818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751"/>
      <c r="AB2139" s="552"/>
    </row>
    <row r="2140" spans="1:29" s="209" customFormat="1" ht="15.75" customHeight="1">
      <c r="A2140" s="202" t="str">
        <f>IF(B2140&lt;&gt;"",IF(AND(B2140&gt;=_TM1,B2140&lt;=_TM2,OR(TH!L2140="1111",TH!M2140="1111")),TH!D2140,""),"")</f>
        <v/>
      </c>
      <c r="B2140" s="36">
        <f t="shared" si="109"/>
        <v>1</v>
      </c>
      <c r="C2140" s="182">
        <f t="shared" si="108"/>
        <v>42395</v>
      </c>
      <c r="D2140" s="182" t="s">
        <v>1547</v>
      </c>
      <c r="E2140" s="37">
        <v>42395</v>
      </c>
      <c r="F2140" s="40" t="s">
        <v>703</v>
      </c>
      <c r="G2140" s="40" t="s">
        <v>403</v>
      </c>
      <c r="H2140" s="7" t="s">
        <v>1549</v>
      </c>
      <c r="I2140" s="251">
        <v>125</v>
      </c>
      <c r="J2140" s="251">
        <v>8926.9489563463248</v>
      </c>
      <c r="K2140" s="38">
        <f t="shared" si="107"/>
        <v>1115869</v>
      </c>
      <c r="L2140" s="561" t="s">
        <v>166</v>
      </c>
      <c r="M2140" s="561" t="s">
        <v>164</v>
      </c>
      <c r="N2140" s="52" t="str">
        <f>IF(AND('331-CT'!$E$7=TH!H2140,OR(L2140="331",M2140="331")),"331",IF(AND(OR(L2140="131",M2140="131"),H2140='131-CT'!$E$7),"131",""))</f>
        <v/>
      </c>
      <c r="O2140" s="818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751"/>
      <c r="AB2140" s="552"/>
      <c r="AC2140" s="552"/>
    </row>
    <row r="2141" spans="1:29" s="209" customFormat="1" ht="15.75" customHeight="1">
      <c r="A2141" s="202" t="str">
        <f>IF(B2141&lt;&gt;"",IF(AND(B2141&gt;=_TM1,B2141&lt;=_TM2,OR(TH!L2141="1111",TH!M2141="1111")),TH!D2141,""),"")</f>
        <v/>
      </c>
      <c r="B2141" s="36">
        <f t="shared" si="109"/>
        <v>1</v>
      </c>
      <c r="C2141" s="182">
        <f t="shared" si="108"/>
        <v>42395</v>
      </c>
      <c r="D2141" s="182" t="s">
        <v>1547</v>
      </c>
      <c r="E2141" s="37">
        <v>42395</v>
      </c>
      <c r="F2141" s="40" t="s">
        <v>1227</v>
      </c>
      <c r="G2141" s="40" t="s">
        <v>403</v>
      </c>
      <c r="H2141" s="7" t="s">
        <v>1549</v>
      </c>
      <c r="I2141" s="251">
        <v>390</v>
      </c>
      <c r="J2141" s="251">
        <v>14850.438450744354</v>
      </c>
      <c r="K2141" s="38">
        <f t="shared" si="107"/>
        <v>5791671</v>
      </c>
      <c r="L2141" s="561" t="s">
        <v>166</v>
      </c>
      <c r="M2141" s="561" t="s">
        <v>164</v>
      </c>
      <c r="N2141" s="52" t="str">
        <f>IF(AND('331-CT'!$E$7=TH!H2141,OR(L2141="331",M2141="331")),"331",IF(AND(OR(L2141="131",M2141="131"),H2141='131-CT'!$E$7),"131",""))</f>
        <v/>
      </c>
      <c r="O2141" s="818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751"/>
      <c r="AB2141" s="552"/>
      <c r="AC2141" s="552"/>
    </row>
    <row r="2142" spans="1:29" s="209" customFormat="1" ht="15.75" customHeight="1">
      <c r="A2142" s="202" t="str">
        <f>IF(B2142&lt;&gt;"",IF(AND(B2142&gt;=_TM1,B2142&lt;=_TM2,OR(TH!L2142="1111",TH!M2142="1111")),TH!D2142,""),"")</f>
        <v/>
      </c>
      <c r="B2142" s="36">
        <f t="shared" si="109"/>
        <v>1</v>
      </c>
      <c r="C2142" s="182">
        <f t="shared" si="108"/>
        <v>42395</v>
      </c>
      <c r="D2142" s="182" t="s">
        <v>1547</v>
      </c>
      <c r="E2142" s="37">
        <v>42395</v>
      </c>
      <c r="F2142" s="40" t="s">
        <v>1228</v>
      </c>
      <c r="G2142" s="40" t="s">
        <v>403</v>
      </c>
      <c r="H2142" s="7" t="s">
        <v>1549</v>
      </c>
      <c r="I2142" s="251">
        <v>420</v>
      </c>
      <c r="J2142" s="251">
        <v>8760.0900973491971</v>
      </c>
      <c r="K2142" s="38">
        <f t="shared" si="107"/>
        <v>3679238</v>
      </c>
      <c r="L2142" s="561" t="s">
        <v>166</v>
      </c>
      <c r="M2142" s="561" t="s">
        <v>164</v>
      </c>
      <c r="N2142" s="52" t="str">
        <f>IF(AND('331-CT'!$E$7=TH!H2142,OR(L2142="331",M2142="331")),"331",IF(AND(OR(L2142="131",M2142="131"),H2142='131-CT'!$E$7),"131",""))</f>
        <v/>
      </c>
      <c r="O2142" s="818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751"/>
      <c r="AB2142" s="552"/>
      <c r="AC2142" s="552"/>
    </row>
    <row r="2143" spans="1:29" s="209" customFormat="1" ht="15.75" customHeight="1">
      <c r="A2143" s="202" t="str">
        <f>IF(B2143&lt;&gt;"",IF(AND(B2143&gt;=_TM1,B2143&lt;=_TM2,OR(TH!L2143="1111",TH!M2143="1111")),TH!D2143,""),"")</f>
        <v/>
      </c>
      <c r="B2143" s="36">
        <f t="shared" si="109"/>
        <v>1</v>
      </c>
      <c r="C2143" s="182">
        <f t="shared" si="108"/>
        <v>42397</v>
      </c>
      <c r="D2143" s="182" t="s">
        <v>1547</v>
      </c>
      <c r="E2143" s="37">
        <v>42397</v>
      </c>
      <c r="F2143" s="40" t="s">
        <v>710</v>
      </c>
      <c r="G2143" s="40" t="s">
        <v>405</v>
      </c>
      <c r="H2143" s="7" t="s">
        <v>1549</v>
      </c>
      <c r="I2143" s="251">
        <v>500</v>
      </c>
      <c r="J2143" s="251">
        <v>15601.30331623143</v>
      </c>
      <c r="K2143" s="38">
        <f t="shared" si="107"/>
        <v>7800652</v>
      </c>
      <c r="L2143" s="561" t="s">
        <v>166</v>
      </c>
      <c r="M2143" s="561" t="s">
        <v>164</v>
      </c>
      <c r="N2143" s="52" t="str">
        <f>IF(AND('331-CT'!$E$7=TH!H2143,OR(L2143="331",M2143="331")),"331",IF(AND(OR(L2143="131",M2143="131"),H2143='131-CT'!$E$7),"131",""))</f>
        <v/>
      </c>
      <c r="O2143" s="818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751"/>
      <c r="AB2143" s="552"/>
    </row>
    <row r="2144" spans="1:29" s="209" customFormat="1" ht="15.75" customHeight="1">
      <c r="A2144" s="202" t="str">
        <f>IF(B2144&lt;&gt;"",IF(AND(B2144&gt;=_TM1,B2144&lt;=_TM2,OR(TH!L2144="1111",TH!M2144="1111")),TH!D2144,""),"")</f>
        <v/>
      </c>
      <c r="B2144" s="36">
        <f t="shared" si="109"/>
        <v>1</v>
      </c>
      <c r="C2144" s="182">
        <f t="shared" si="108"/>
        <v>42397</v>
      </c>
      <c r="D2144" s="182" t="s">
        <v>1547</v>
      </c>
      <c r="E2144" s="37">
        <v>42397</v>
      </c>
      <c r="F2144" s="40" t="s">
        <v>533</v>
      </c>
      <c r="G2144" s="40" t="s">
        <v>405</v>
      </c>
      <c r="H2144" s="7" t="s">
        <v>1549</v>
      </c>
      <c r="I2144" s="251">
        <v>2000</v>
      </c>
      <c r="J2144" s="251">
        <v>4421.7597634238809</v>
      </c>
      <c r="K2144" s="38">
        <f t="shared" si="107"/>
        <v>8843520</v>
      </c>
      <c r="L2144" s="561" t="s">
        <v>166</v>
      </c>
      <c r="M2144" s="561" t="s">
        <v>164</v>
      </c>
      <c r="N2144" s="52" t="str">
        <f>IF(AND('331-CT'!$E$7=TH!H2144,OR(L2144="331",M2144="331")),"331",IF(AND(OR(L2144="131",M2144="131"),H2144='131-CT'!$E$7),"131",""))</f>
        <v/>
      </c>
      <c r="O2144" s="818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751"/>
      <c r="AB2144" s="552"/>
      <c r="AC2144" s="552"/>
    </row>
    <row r="2145" spans="1:29" s="209" customFormat="1" ht="15.75" customHeight="1">
      <c r="A2145" s="202" t="str">
        <f>IF(B2145&lt;&gt;"",IF(AND(B2145&gt;=_TM1,B2145&lt;=_TM2,OR(TH!L2145="1111",TH!M2145="1111")),TH!D2145,""),"")</f>
        <v/>
      </c>
      <c r="B2145" s="36">
        <f t="shared" si="109"/>
        <v>1</v>
      </c>
      <c r="C2145" s="182">
        <f t="shared" si="108"/>
        <v>42397</v>
      </c>
      <c r="D2145" s="182" t="s">
        <v>1547</v>
      </c>
      <c r="E2145" s="37">
        <v>42397</v>
      </c>
      <c r="F2145" s="40" t="s">
        <v>531</v>
      </c>
      <c r="G2145" s="40" t="s">
        <v>405</v>
      </c>
      <c r="H2145" s="7" t="s">
        <v>1549</v>
      </c>
      <c r="I2145" s="251">
        <v>300</v>
      </c>
      <c r="J2145" s="251">
        <v>8843.5195268477619</v>
      </c>
      <c r="K2145" s="38">
        <f t="shared" si="107"/>
        <v>2653056</v>
      </c>
      <c r="L2145" s="561" t="s">
        <v>166</v>
      </c>
      <c r="M2145" s="561" t="s">
        <v>164</v>
      </c>
      <c r="N2145" s="52" t="str">
        <f>IF(AND('331-CT'!$E$7=TH!H2145,OR(L2145="331",M2145="331")),"331",IF(AND(OR(L2145="131",M2145="131"),H2145='131-CT'!$E$7),"131",""))</f>
        <v/>
      </c>
      <c r="O2145" s="818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751"/>
      <c r="AB2145" s="552"/>
    </row>
    <row r="2146" spans="1:29" s="209" customFormat="1" ht="15.75" customHeight="1">
      <c r="A2146" s="202" t="str">
        <f>IF(B2146&lt;&gt;"",IF(AND(B2146&gt;=_TM1,B2146&lt;=_TM2,OR(TH!L2146="1111",TH!M2146="1111")),TH!D2146,""),"")</f>
        <v/>
      </c>
      <c r="B2146" s="36">
        <f t="shared" si="109"/>
        <v>1</v>
      </c>
      <c r="C2146" s="182">
        <f t="shared" si="108"/>
        <v>42397</v>
      </c>
      <c r="D2146" s="182" t="s">
        <v>1547</v>
      </c>
      <c r="E2146" s="37">
        <v>42397</v>
      </c>
      <c r="F2146" s="40" t="s">
        <v>448</v>
      </c>
      <c r="G2146" s="40" t="s">
        <v>406</v>
      </c>
      <c r="H2146" s="7" t="s">
        <v>1549</v>
      </c>
      <c r="I2146" s="251">
        <v>1004</v>
      </c>
      <c r="J2146" s="251">
        <v>8676.6606678506341</v>
      </c>
      <c r="K2146" s="38">
        <f t="shared" si="107"/>
        <v>8711367</v>
      </c>
      <c r="L2146" s="561" t="s">
        <v>166</v>
      </c>
      <c r="M2146" s="561" t="s">
        <v>164</v>
      </c>
      <c r="N2146" s="52" t="str">
        <f>IF(AND('331-CT'!$E$7=TH!H2146,OR(L2146="331",M2146="331")),"331",IF(AND(OR(L2146="131",M2146="131"),H2146='131-CT'!$E$7),"131",""))</f>
        <v/>
      </c>
      <c r="O2146" s="818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751"/>
      <c r="AB2146" s="552"/>
      <c r="AC2146" s="552"/>
    </row>
    <row r="2147" spans="1:29" s="209" customFormat="1" ht="15.75" customHeight="1">
      <c r="A2147" s="202" t="str">
        <f>IF(B2147&lt;&gt;"",IF(AND(B2147&gt;=_TM1,B2147&lt;=_TM2,OR(TH!L2147="1111",TH!M2147="1111")),TH!D2147,""),"")</f>
        <v/>
      </c>
      <c r="B2147" s="36">
        <f t="shared" si="109"/>
        <v>1</v>
      </c>
      <c r="C2147" s="182">
        <f t="shared" si="108"/>
        <v>42397</v>
      </c>
      <c r="D2147" s="182" t="s">
        <v>1547</v>
      </c>
      <c r="E2147" s="37">
        <v>42397</v>
      </c>
      <c r="F2147" s="40" t="s">
        <v>1241</v>
      </c>
      <c r="G2147" s="40" t="s">
        <v>406</v>
      </c>
      <c r="H2147" s="7" t="s">
        <v>1549</v>
      </c>
      <c r="I2147" s="251">
        <v>1004</v>
      </c>
      <c r="J2147" s="251">
        <v>1084.5825834813293</v>
      </c>
      <c r="K2147" s="38">
        <f t="shared" si="107"/>
        <v>1088921</v>
      </c>
      <c r="L2147" s="561" t="s">
        <v>166</v>
      </c>
      <c r="M2147" s="561" t="s">
        <v>164</v>
      </c>
      <c r="N2147" s="52" t="str">
        <f>IF(AND('331-CT'!$E$7=TH!H2147,OR(L2147="331",M2147="331")),"331",IF(AND(OR(L2147="131",M2147="131"),H2147='131-CT'!$E$7),"131",""))</f>
        <v/>
      </c>
      <c r="O2147" s="818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751"/>
      <c r="AB2147" s="552"/>
    </row>
    <row r="2148" spans="1:29" s="209" customFormat="1" ht="15.75" customHeight="1">
      <c r="A2148" s="202" t="str">
        <f>IF(B2148&lt;&gt;"",IF(AND(B2148&gt;=_TM1,B2148&lt;=_TM2,OR(TH!L2148="1111",TH!M2148="1111")),TH!D2148,""),"")</f>
        <v/>
      </c>
      <c r="B2148" s="36">
        <f t="shared" si="109"/>
        <v>1</v>
      </c>
      <c r="C2148" s="182">
        <f t="shared" si="108"/>
        <v>42397</v>
      </c>
      <c r="D2148" s="182" t="s">
        <v>1547</v>
      </c>
      <c r="E2148" s="37">
        <v>42397</v>
      </c>
      <c r="F2148" s="40" t="s">
        <v>910</v>
      </c>
      <c r="G2148" s="40" t="s">
        <v>406</v>
      </c>
      <c r="H2148" s="7" t="s">
        <v>1549</v>
      </c>
      <c r="I2148" s="251">
        <v>502</v>
      </c>
      <c r="J2148" s="251">
        <v>6507.4955008879751</v>
      </c>
      <c r="K2148" s="38">
        <f t="shared" si="107"/>
        <v>3266763</v>
      </c>
      <c r="L2148" s="561" t="s">
        <v>166</v>
      </c>
      <c r="M2148" s="561" t="s">
        <v>164</v>
      </c>
      <c r="N2148" s="52" t="str">
        <f>IF(AND('331-CT'!$E$7=TH!H2148,OR(L2148="331",M2148="331")),"331",IF(AND(OR(L2148="131",M2148="131"),H2148='131-CT'!$E$7),"131",""))</f>
        <v/>
      </c>
      <c r="O2148" s="818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751"/>
      <c r="AB2148" s="552"/>
      <c r="AC2148" s="552"/>
    </row>
    <row r="2149" spans="1:29" s="209" customFormat="1" ht="15.75" customHeight="1">
      <c r="A2149" s="202" t="str">
        <f>IF(B2149&lt;&gt;"",IF(AND(B2149&gt;=_TM1,B2149&lt;=_TM2,OR(TH!L2149="1111",TH!M2149="1111")),TH!D2149,""),"")</f>
        <v/>
      </c>
      <c r="B2149" s="36">
        <f t="shared" si="109"/>
        <v>1</v>
      </c>
      <c r="C2149" s="182">
        <f t="shared" si="108"/>
        <v>42397</v>
      </c>
      <c r="D2149" s="182" t="s">
        <v>1547</v>
      </c>
      <c r="E2149" s="37">
        <v>42397</v>
      </c>
      <c r="F2149" s="40" t="s">
        <v>1237</v>
      </c>
      <c r="G2149" s="40" t="s">
        <v>406</v>
      </c>
      <c r="H2149" s="7" t="s">
        <v>1549</v>
      </c>
      <c r="I2149" s="251">
        <v>502</v>
      </c>
      <c r="J2149" s="251">
        <v>750.8648654870741</v>
      </c>
      <c r="K2149" s="38">
        <f t="shared" si="107"/>
        <v>376934</v>
      </c>
      <c r="L2149" s="561" t="s">
        <v>166</v>
      </c>
      <c r="M2149" s="561" t="s">
        <v>164</v>
      </c>
      <c r="N2149" s="52" t="str">
        <f>IF(AND('331-CT'!$E$7=TH!H2149,OR(L2149="331",M2149="331")),"331",IF(AND(OR(L2149="131",M2149="131"),H2149='131-CT'!$E$7),"131",""))</f>
        <v/>
      </c>
      <c r="O2149" s="818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751"/>
      <c r="AB2149" s="552"/>
      <c r="AC2149" s="552"/>
    </row>
    <row r="2150" spans="1:29" s="209" customFormat="1" ht="15.75" customHeight="1">
      <c r="A2150" s="202" t="str">
        <f>IF(B2150&lt;&gt;"",IF(AND(B2150&gt;=_TM1,B2150&lt;=_TM2,OR(TH!L2150="1111",TH!M2150="1111")),TH!D2150,""),"")</f>
        <v/>
      </c>
      <c r="B2150" s="36">
        <f t="shared" si="109"/>
        <v>1</v>
      </c>
      <c r="C2150" s="182">
        <f t="shared" si="108"/>
        <v>42397</v>
      </c>
      <c r="D2150" s="182" t="s">
        <v>1547</v>
      </c>
      <c r="E2150" s="37">
        <v>42397</v>
      </c>
      <c r="F2150" s="40" t="s">
        <v>638</v>
      </c>
      <c r="G2150" s="40" t="s">
        <v>409</v>
      </c>
      <c r="H2150" s="7" t="s">
        <v>1549</v>
      </c>
      <c r="I2150" s="251">
        <v>210</v>
      </c>
      <c r="J2150" s="251">
        <v>6674.3543598851029</v>
      </c>
      <c r="K2150" s="38">
        <f t="shared" si="107"/>
        <v>1401614</v>
      </c>
      <c r="L2150" s="561" t="s">
        <v>166</v>
      </c>
      <c r="M2150" s="561" t="s">
        <v>164</v>
      </c>
      <c r="N2150" s="52" t="str">
        <f>IF(AND('331-CT'!$E$7=TH!H2150,OR(L2150="331",M2150="331")),"331",IF(AND(OR(L2150="131",M2150="131"),H2150='131-CT'!$E$7),"131",""))</f>
        <v/>
      </c>
      <c r="O2150" s="818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751"/>
      <c r="AB2150" s="552"/>
      <c r="AC2150" s="552"/>
    </row>
    <row r="2151" spans="1:29" s="209" customFormat="1" ht="15.75" customHeight="1">
      <c r="A2151" s="202" t="str">
        <f>IF(B2151&lt;&gt;"",IF(AND(B2151&gt;=_TM1,B2151&lt;=_TM2,OR(TH!L2151="1111",TH!M2151="1111")),TH!D2151,""),"")</f>
        <v/>
      </c>
      <c r="B2151" s="36">
        <f t="shared" si="109"/>
        <v>1</v>
      </c>
      <c r="C2151" s="182">
        <f t="shared" si="108"/>
        <v>42397</v>
      </c>
      <c r="D2151" s="182" t="s">
        <v>1547</v>
      </c>
      <c r="E2151" s="37">
        <v>42397</v>
      </c>
      <c r="F2151" s="40" t="s">
        <v>639</v>
      </c>
      <c r="G2151" s="40" t="s">
        <v>409</v>
      </c>
      <c r="H2151" s="7" t="s">
        <v>1549</v>
      </c>
      <c r="I2151" s="251">
        <v>309</v>
      </c>
      <c r="J2151" s="251">
        <v>7758.9369433664324</v>
      </c>
      <c r="K2151" s="38">
        <f t="shared" si="107"/>
        <v>2397512</v>
      </c>
      <c r="L2151" s="561" t="s">
        <v>166</v>
      </c>
      <c r="M2151" s="561" t="s">
        <v>164</v>
      </c>
      <c r="N2151" s="52" t="str">
        <f>IF(AND('331-CT'!$E$7=TH!H2151,OR(L2151="331",M2151="331")),"331",IF(AND(OR(L2151="131",M2151="131"),H2151='131-CT'!$E$7),"131",""))</f>
        <v/>
      </c>
      <c r="O2151" s="818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751"/>
      <c r="AB2151" s="552"/>
    </row>
    <row r="2152" spans="1:29" s="209" customFormat="1" ht="15.75" customHeight="1">
      <c r="A2152" s="202" t="str">
        <f>IF(B2152&lt;&gt;"",IF(AND(B2152&gt;=_TM1,B2152&lt;=_TM2,OR(TH!L2152="1111",TH!M2152="1111")),TH!D2152,""),"")</f>
        <v/>
      </c>
      <c r="B2152" s="36">
        <f t="shared" si="109"/>
        <v>1</v>
      </c>
      <c r="C2152" s="182">
        <f t="shared" si="108"/>
        <v>42397</v>
      </c>
      <c r="D2152" s="182" t="s">
        <v>1547</v>
      </c>
      <c r="E2152" s="37">
        <v>42397</v>
      </c>
      <c r="F2152" s="187" t="s">
        <v>911</v>
      </c>
      <c r="G2152" s="40" t="s">
        <v>412</v>
      </c>
      <c r="H2152" s="7" t="s">
        <v>1549</v>
      </c>
      <c r="I2152" s="251">
        <v>206</v>
      </c>
      <c r="J2152" s="251">
        <v>19188.768784669668</v>
      </c>
      <c r="K2152" s="38">
        <f t="shared" si="107"/>
        <v>3952886</v>
      </c>
      <c r="L2152" s="561" t="s">
        <v>166</v>
      </c>
      <c r="M2152" s="561" t="s">
        <v>164</v>
      </c>
      <c r="N2152" s="52" t="str">
        <f>IF(AND('331-CT'!$E$7=TH!H2152,OR(L2152="331",M2152="331")),"331",IF(AND(OR(L2152="131",M2152="131"),H2152='131-CT'!$E$7),"131",""))</f>
        <v/>
      </c>
      <c r="O2152" s="818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751"/>
      <c r="AB2152" s="552"/>
      <c r="AC2152" s="552"/>
    </row>
    <row r="2153" spans="1:29" s="209" customFormat="1" ht="15.75" customHeight="1">
      <c r="A2153" s="202" t="str">
        <f>IF(B2153&lt;&gt;"",IF(AND(B2153&gt;=_TM1,B2153&lt;=_TM2,OR(TH!L2153="1111",TH!M2153="1111")),TH!D2153,""),"")</f>
        <v/>
      </c>
      <c r="B2153" s="36">
        <f t="shared" si="109"/>
        <v>1</v>
      </c>
      <c r="C2153" s="182">
        <f t="shared" si="108"/>
        <v>42397</v>
      </c>
      <c r="D2153" s="182" t="s">
        <v>1547</v>
      </c>
      <c r="E2153" s="37">
        <v>42397</v>
      </c>
      <c r="F2153" s="40" t="s">
        <v>1242</v>
      </c>
      <c r="G2153" s="40" t="s">
        <v>412</v>
      </c>
      <c r="H2153" s="7" t="s">
        <v>1549</v>
      </c>
      <c r="I2153" s="251">
        <v>500</v>
      </c>
      <c r="J2153" s="251">
        <v>1835.4474489684033</v>
      </c>
      <c r="K2153" s="38">
        <f t="shared" si="107"/>
        <v>917724</v>
      </c>
      <c r="L2153" s="561" t="s">
        <v>166</v>
      </c>
      <c r="M2153" s="561" t="s">
        <v>164</v>
      </c>
      <c r="N2153" s="52" t="str">
        <f>IF(AND('331-CT'!$E$7=TH!H2153,OR(L2153="331",M2153="331")),"331",IF(AND(OR(L2153="131",M2153="131"),H2153='131-CT'!$E$7),"131",""))</f>
        <v/>
      </c>
      <c r="O2153" s="818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751"/>
      <c r="AB2153" s="552"/>
      <c r="AC2153" s="552"/>
    </row>
    <row r="2154" spans="1:29" s="209" customFormat="1" ht="15.75" customHeight="1">
      <c r="A2154" s="202" t="str">
        <f>IF(B2154&lt;&gt;"",IF(AND(B2154&gt;=_TM1,B2154&lt;=_TM2,OR(TH!L2154="1111",TH!M2154="1111")),TH!D2154,""),"")</f>
        <v/>
      </c>
      <c r="B2154" s="36">
        <f t="shared" si="109"/>
        <v>1</v>
      </c>
      <c r="C2154" s="182">
        <f t="shared" si="108"/>
        <v>42397</v>
      </c>
      <c r="D2154" s="182" t="s">
        <v>1547</v>
      </c>
      <c r="E2154" s="37">
        <v>42397</v>
      </c>
      <c r="F2154" s="190" t="s">
        <v>1243</v>
      </c>
      <c r="G2154" s="40" t="s">
        <v>412</v>
      </c>
      <c r="H2154" s="7" t="s">
        <v>1549</v>
      </c>
      <c r="I2154" s="251">
        <v>1500</v>
      </c>
      <c r="J2154" s="251">
        <v>2669.7417439540413</v>
      </c>
      <c r="K2154" s="38">
        <f t="shared" si="107"/>
        <v>4004613</v>
      </c>
      <c r="L2154" s="561" t="s">
        <v>166</v>
      </c>
      <c r="M2154" s="561" t="s">
        <v>164</v>
      </c>
      <c r="N2154" s="52" t="str">
        <f>IF(AND('331-CT'!$E$7=TH!H2154,OR(L2154="331",M2154="331")),"331",IF(AND(OR(L2154="131",M2154="131"),H2154='131-CT'!$E$7),"131",""))</f>
        <v/>
      </c>
      <c r="O2154" s="818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751"/>
      <c r="AB2154" s="552"/>
      <c r="AC2154" s="552"/>
    </row>
    <row r="2155" spans="1:29" s="209" customFormat="1" ht="15.75" customHeight="1">
      <c r="A2155" s="202" t="str">
        <f>IF(B2155&lt;&gt;"",IF(AND(B2155&gt;=_TM1,B2155&lt;=_TM2,OR(TH!L2155="1111",TH!M2155="1111")),TH!D2155,""),"")</f>
        <v/>
      </c>
      <c r="B2155" s="36">
        <f t="shared" si="109"/>
        <v>1</v>
      </c>
      <c r="C2155" s="182">
        <f t="shared" si="108"/>
        <v>42397</v>
      </c>
      <c r="D2155" s="182" t="s">
        <v>1547</v>
      </c>
      <c r="E2155" s="37">
        <v>42397</v>
      </c>
      <c r="F2155" s="40" t="s">
        <v>1237</v>
      </c>
      <c r="G2155" s="40" t="s">
        <v>413</v>
      </c>
      <c r="H2155" s="7" t="s">
        <v>1549</v>
      </c>
      <c r="I2155" s="251">
        <v>502</v>
      </c>
      <c r="J2155" s="251">
        <v>750.8648654870741</v>
      </c>
      <c r="K2155" s="38">
        <f t="shared" si="107"/>
        <v>376934</v>
      </c>
      <c r="L2155" s="561" t="s">
        <v>166</v>
      </c>
      <c r="M2155" s="561" t="s">
        <v>164</v>
      </c>
      <c r="N2155" s="52" t="str">
        <f>IF(AND('331-CT'!$E$7=TH!H2155,OR(L2155="331",M2155="331")),"331",IF(AND(OR(L2155="131",M2155="131"),H2155='131-CT'!$E$7),"131",""))</f>
        <v/>
      </c>
      <c r="O2155" s="818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751"/>
      <c r="AB2155" s="552"/>
    </row>
    <row r="2156" spans="1:29" s="209" customFormat="1" ht="15.75" customHeight="1">
      <c r="A2156" s="202" t="str">
        <f>IF(B2156&lt;&gt;"",IF(AND(B2156&gt;=_TM1,B2156&lt;=_TM2,OR(TH!L2156="1111",TH!M2156="1111")),TH!D2156,""),"")</f>
        <v/>
      </c>
      <c r="B2156" s="36">
        <f t="shared" si="109"/>
        <v>1</v>
      </c>
      <c r="C2156" s="182">
        <f t="shared" si="108"/>
        <v>42397</v>
      </c>
      <c r="D2156" s="182" t="s">
        <v>1547</v>
      </c>
      <c r="E2156" s="189">
        <v>42397</v>
      </c>
      <c r="F2156" s="190" t="s">
        <v>1308</v>
      </c>
      <c r="G2156" s="451" t="s">
        <v>416</v>
      </c>
      <c r="H2156" s="7" t="s">
        <v>1549</v>
      </c>
      <c r="I2156" s="251">
        <v>50</v>
      </c>
      <c r="J2156" s="251">
        <v>10094.960969326217</v>
      </c>
      <c r="K2156" s="38">
        <f t="shared" si="107"/>
        <v>504748</v>
      </c>
      <c r="L2156" s="561" t="s">
        <v>166</v>
      </c>
      <c r="M2156" s="561" t="s">
        <v>164</v>
      </c>
      <c r="N2156" s="52" t="str">
        <f>IF(AND('331-CT'!$E$7=TH!H2156,OR(L2156="331",M2156="331")),"331",IF(AND(OR(L2156="131",M2156="131"),H2156='131-CT'!$E$7),"131",""))</f>
        <v/>
      </c>
      <c r="O2156" s="818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751"/>
      <c r="AB2156" s="552"/>
      <c r="AC2156" s="552"/>
    </row>
    <row r="2157" spans="1:29" s="209" customFormat="1" ht="15.75" customHeight="1">
      <c r="A2157" s="202" t="str">
        <f>IF(B2157&lt;&gt;"",IF(AND(B2157&gt;=_TM1,B2157&lt;=_TM2,OR(TH!L2157="1111",TH!M2157="1111")),TH!D2157,""),"")</f>
        <v/>
      </c>
      <c r="B2157" s="36">
        <f t="shared" si="109"/>
        <v>1</v>
      </c>
      <c r="C2157" s="182">
        <f t="shared" si="108"/>
        <v>42397</v>
      </c>
      <c r="D2157" s="182" t="s">
        <v>1547</v>
      </c>
      <c r="E2157" s="189">
        <v>42397</v>
      </c>
      <c r="F2157" s="190" t="s">
        <v>912</v>
      </c>
      <c r="G2157" s="451" t="s">
        <v>689</v>
      </c>
      <c r="H2157" s="7" t="s">
        <v>1549</v>
      </c>
      <c r="I2157" s="251">
        <v>59</v>
      </c>
      <c r="J2157" s="251">
        <v>63072.648700914222</v>
      </c>
      <c r="K2157" s="38">
        <f t="shared" si="107"/>
        <v>3721286</v>
      </c>
      <c r="L2157" s="561" t="s">
        <v>166</v>
      </c>
      <c r="M2157" s="561" t="s">
        <v>164</v>
      </c>
      <c r="N2157" s="52" t="str">
        <f>IF(AND('331-CT'!$E$7=TH!H2157,OR(L2157="331",M2157="331")),"331",IF(AND(OR(L2157="131",M2157="131"),H2157='131-CT'!$E$7),"131",""))</f>
        <v/>
      </c>
      <c r="O2157" s="818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751"/>
      <c r="AB2157" s="552"/>
    </row>
    <row r="2158" spans="1:29" s="209" customFormat="1" ht="15.75" customHeight="1">
      <c r="A2158" s="202" t="str">
        <f>IF(B2158&lt;&gt;"",IF(AND(B2158&gt;=_TM1,B2158&lt;=_TM2,OR(TH!L2158="1111",TH!M2158="1111")),TH!D2158,""),"")</f>
        <v/>
      </c>
      <c r="B2158" s="36">
        <f t="shared" si="109"/>
        <v>1</v>
      </c>
      <c r="C2158" s="182">
        <f t="shared" si="108"/>
        <v>42397</v>
      </c>
      <c r="D2158" s="182" t="s">
        <v>1547</v>
      </c>
      <c r="E2158" s="189">
        <v>42397</v>
      </c>
      <c r="F2158" s="190" t="s">
        <v>663</v>
      </c>
      <c r="G2158" s="451" t="s">
        <v>689</v>
      </c>
      <c r="H2158" s="7" t="s">
        <v>1549</v>
      </c>
      <c r="I2158" s="251">
        <v>100</v>
      </c>
      <c r="J2158" s="251">
        <v>36291.801831875244</v>
      </c>
      <c r="K2158" s="38">
        <f t="shared" si="107"/>
        <v>3629180</v>
      </c>
      <c r="L2158" s="561" t="s">
        <v>166</v>
      </c>
      <c r="M2158" s="561" t="s">
        <v>164</v>
      </c>
      <c r="N2158" s="52" t="str">
        <f>IF(AND('331-CT'!$E$7=TH!H2158,OR(L2158="331",M2158="331")),"331",IF(AND(OR(L2158="131",M2158="131"),H2158='131-CT'!$E$7),"131",""))</f>
        <v/>
      </c>
      <c r="O2158" s="818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751"/>
      <c r="AB2158" s="552"/>
      <c r="AC2158" s="552"/>
    </row>
    <row r="2159" spans="1:29" s="209" customFormat="1" ht="15.75" customHeight="1">
      <c r="A2159" s="202" t="str">
        <f>IF(B2159&lt;&gt;"",IF(AND(B2159&gt;=_TM1,B2159&lt;=_TM2,OR(TH!L2159="1111",TH!M2159="1111")),TH!D2159,""),"")</f>
        <v/>
      </c>
      <c r="B2159" s="36">
        <f t="shared" si="109"/>
        <v>1</v>
      </c>
      <c r="C2159" s="182">
        <f t="shared" si="108"/>
        <v>42397</v>
      </c>
      <c r="D2159" s="182" t="s">
        <v>1547</v>
      </c>
      <c r="E2159" s="189">
        <v>42397</v>
      </c>
      <c r="F2159" s="190" t="s">
        <v>913</v>
      </c>
      <c r="G2159" s="451" t="s">
        <v>689</v>
      </c>
      <c r="H2159" s="7" t="s">
        <v>1549</v>
      </c>
      <c r="I2159" s="251">
        <v>37</v>
      </c>
      <c r="J2159" s="251">
        <v>22442.516535113657</v>
      </c>
      <c r="K2159" s="38">
        <f t="shared" ref="K2159:K2222" si="110">ROUND(I2159*J2159,0)</f>
        <v>830373</v>
      </c>
      <c r="L2159" s="561" t="s">
        <v>166</v>
      </c>
      <c r="M2159" s="561" t="s">
        <v>164</v>
      </c>
      <c r="N2159" s="52" t="str">
        <f>IF(AND('331-CT'!$E$7=TH!H2159,OR(L2159="331",M2159="331")),"331",IF(AND(OR(L2159="131",M2159="131"),H2159='131-CT'!$E$7),"131",""))</f>
        <v/>
      </c>
      <c r="O2159" s="818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751"/>
      <c r="AB2159" s="552"/>
      <c r="AC2159" s="552"/>
    </row>
    <row r="2160" spans="1:29" s="209" customFormat="1" ht="15.75" customHeight="1">
      <c r="A2160" s="202" t="str">
        <f>IF(B2160&lt;&gt;"",IF(AND(B2160&gt;=_TM1,B2160&lt;=_TM2,OR(TH!L2160="1111",TH!M2160="1111")),TH!D2160,""),"")</f>
        <v/>
      </c>
      <c r="B2160" s="36">
        <f t="shared" si="109"/>
        <v>1</v>
      </c>
      <c r="C2160" s="182">
        <f t="shared" si="108"/>
        <v>42397</v>
      </c>
      <c r="D2160" s="182" t="s">
        <v>1547</v>
      </c>
      <c r="E2160" s="189">
        <v>42397</v>
      </c>
      <c r="F2160" s="190" t="s">
        <v>418</v>
      </c>
      <c r="G2160" s="451" t="s">
        <v>689</v>
      </c>
      <c r="H2160" s="7" t="s">
        <v>1549</v>
      </c>
      <c r="I2160" s="251">
        <v>131</v>
      </c>
      <c r="J2160" s="251">
        <v>60486.336386458745</v>
      </c>
      <c r="K2160" s="38">
        <f t="shared" si="110"/>
        <v>7923710</v>
      </c>
      <c r="L2160" s="561" t="s">
        <v>166</v>
      </c>
      <c r="M2160" s="561" t="s">
        <v>164</v>
      </c>
      <c r="N2160" s="52" t="str">
        <f>IF(AND('331-CT'!$E$7=TH!H2160,OR(L2160="331",M2160="331")),"331",IF(AND(OR(L2160="131",M2160="131"),H2160='131-CT'!$E$7),"131",""))</f>
        <v/>
      </c>
      <c r="O2160" s="818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751"/>
      <c r="AB2160" s="552"/>
      <c r="AC2160" s="552"/>
    </row>
    <row r="2161" spans="1:29" s="209" customFormat="1" ht="15.75" customHeight="1">
      <c r="A2161" s="202" t="str">
        <f>IF(B2161&lt;&gt;"",IF(AND(B2161&gt;=_TM1,B2161&lt;=_TM2,OR(TH!L2161="1111",TH!M2161="1111")),TH!D2161,""),"")</f>
        <v/>
      </c>
      <c r="B2161" s="36">
        <f t="shared" si="109"/>
        <v>1</v>
      </c>
      <c r="C2161" s="182">
        <f t="shared" si="108"/>
        <v>42399</v>
      </c>
      <c r="D2161" s="182" t="s">
        <v>1547</v>
      </c>
      <c r="E2161" s="189">
        <v>42399</v>
      </c>
      <c r="F2161" s="187" t="s">
        <v>914</v>
      </c>
      <c r="G2161" s="451" t="s">
        <v>419</v>
      </c>
      <c r="H2161" s="7" t="s">
        <v>1549</v>
      </c>
      <c r="I2161" s="251">
        <v>51</v>
      </c>
      <c r="J2161" s="251">
        <v>7008.0720778793575</v>
      </c>
      <c r="K2161" s="38">
        <f t="shared" si="110"/>
        <v>357412</v>
      </c>
      <c r="L2161" s="561" t="s">
        <v>166</v>
      </c>
      <c r="M2161" s="561" t="s">
        <v>164</v>
      </c>
      <c r="N2161" s="52" t="str">
        <f>IF(AND('331-CT'!$E$7=TH!H2161,OR(L2161="331",M2161="331")),"331",IF(AND(OR(L2161="131",M2161="131"),H2161='131-CT'!$E$7),"131",""))</f>
        <v/>
      </c>
      <c r="O2161" s="818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751"/>
      <c r="AB2161" s="552"/>
    </row>
    <row r="2162" spans="1:29" s="209" customFormat="1" ht="15.75" customHeight="1">
      <c r="A2162" s="202" t="str">
        <f>IF(B2162&lt;&gt;"",IF(AND(B2162&gt;=_TM1,B2162&lt;=_TM2,OR(TH!L2162="1111",TH!M2162="1111")),TH!D2162,""),"")</f>
        <v/>
      </c>
      <c r="B2162" s="36">
        <f t="shared" si="109"/>
        <v>1</v>
      </c>
      <c r="C2162" s="182">
        <f t="shared" si="108"/>
        <v>42399</v>
      </c>
      <c r="D2162" s="182" t="s">
        <v>1547</v>
      </c>
      <c r="E2162" s="189">
        <v>42399</v>
      </c>
      <c r="F2162" s="190" t="s">
        <v>480</v>
      </c>
      <c r="G2162" s="451" t="s">
        <v>419</v>
      </c>
      <c r="H2162" s="7" t="s">
        <v>1549</v>
      </c>
      <c r="I2162" s="251">
        <v>978</v>
      </c>
      <c r="J2162" s="251">
        <v>10595.537546317601</v>
      </c>
      <c r="K2162" s="38">
        <f t="shared" si="110"/>
        <v>10362436</v>
      </c>
      <c r="L2162" s="561" t="s">
        <v>166</v>
      </c>
      <c r="M2162" s="561" t="s">
        <v>164</v>
      </c>
      <c r="N2162" s="52" t="str">
        <f>IF(AND('331-CT'!$E$7=TH!H2162,OR(L2162="331",M2162="331")),"331",IF(AND(OR(L2162="131",M2162="131"),H2162='131-CT'!$E$7),"131",""))</f>
        <v/>
      </c>
      <c r="O2162" s="818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751"/>
      <c r="AB2162" s="552"/>
      <c r="AC2162" s="552"/>
    </row>
    <row r="2163" spans="1:29" s="209" customFormat="1" ht="15.75" customHeight="1">
      <c r="A2163" s="202" t="str">
        <f>IF(B2163&lt;&gt;"",IF(AND(B2163&gt;=_TM1,B2163&lt;=_TM2,OR(TH!L2163="1111",TH!M2163="1111")),TH!D2163,""),"")</f>
        <v/>
      </c>
      <c r="B2163" s="36">
        <f t="shared" si="109"/>
        <v>1</v>
      </c>
      <c r="C2163" s="182">
        <f t="shared" si="108"/>
        <v>42399</v>
      </c>
      <c r="D2163" s="182" t="s">
        <v>1547</v>
      </c>
      <c r="E2163" s="189">
        <v>42399</v>
      </c>
      <c r="F2163" s="190" t="s">
        <v>408</v>
      </c>
      <c r="G2163" s="451" t="s">
        <v>419</v>
      </c>
      <c r="H2163" s="7" t="s">
        <v>1549</v>
      </c>
      <c r="I2163" s="251">
        <v>53</v>
      </c>
      <c r="J2163" s="251">
        <v>11012.684693810421</v>
      </c>
      <c r="K2163" s="38">
        <f t="shared" si="110"/>
        <v>583672</v>
      </c>
      <c r="L2163" s="561" t="s">
        <v>166</v>
      </c>
      <c r="M2163" s="561" t="s">
        <v>164</v>
      </c>
      <c r="N2163" s="52" t="str">
        <f>IF(AND('331-CT'!$E$7=TH!H2163,OR(L2163="331",M2163="331")),"331",IF(AND(OR(L2163="131",M2163="131"),H2163='131-CT'!$E$7),"131",""))</f>
        <v/>
      </c>
      <c r="O2163" s="818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751"/>
      <c r="AB2163" s="552"/>
    </row>
    <row r="2164" spans="1:29" s="209" customFormat="1" ht="15.75" customHeight="1">
      <c r="A2164" s="202" t="str">
        <f>IF(B2164&lt;&gt;"",IF(AND(B2164&gt;=_TM1,B2164&lt;=_TM2,OR(TH!L2164="1111",TH!M2164="1111")),TH!D2164,""),"")</f>
        <v/>
      </c>
      <c r="B2164" s="36">
        <f t="shared" si="109"/>
        <v>1</v>
      </c>
      <c r="C2164" s="182">
        <f t="shared" si="108"/>
        <v>42399</v>
      </c>
      <c r="D2164" s="182" t="s">
        <v>1547</v>
      </c>
      <c r="E2164" s="189">
        <v>42399</v>
      </c>
      <c r="F2164" s="190" t="s">
        <v>897</v>
      </c>
      <c r="G2164" s="451" t="s">
        <v>419</v>
      </c>
      <c r="H2164" s="7" t="s">
        <v>1549</v>
      </c>
      <c r="I2164" s="251">
        <v>1570</v>
      </c>
      <c r="J2164" s="251">
        <v>12097.267277291749</v>
      </c>
      <c r="K2164" s="38">
        <f t="shared" si="110"/>
        <v>18992710</v>
      </c>
      <c r="L2164" s="561" t="s">
        <v>166</v>
      </c>
      <c r="M2164" s="561" t="s">
        <v>164</v>
      </c>
      <c r="N2164" s="52" t="str">
        <f>IF(AND('331-CT'!$E$7=TH!H2164,OR(L2164="331",M2164="331")),"331",IF(AND(OR(L2164="131",M2164="131"),H2164='131-CT'!$E$7),"131",""))</f>
        <v/>
      </c>
      <c r="O2164" s="818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751"/>
      <c r="AB2164" s="552"/>
      <c r="AC2164" s="552"/>
    </row>
    <row r="2165" spans="1:29" s="209" customFormat="1" ht="15.75" customHeight="1">
      <c r="A2165" s="202" t="str">
        <f>IF(B2165&lt;&gt;"",IF(AND(B2165&gt;=_TM1,B2165&lt;=_TM2,OR(TH!L2165="1111",TH!M2165="1111")),TH!D2165,""),"")</f>
        <v/>
      </c>
      <c r="B2165" s="36">
        <f t="shared" si="109"/>
        <v>1</v>
      </c>
      <c r="C2165" s="182">
        <f t="shared" si="108"/>
        <v>42399</v>
      </c>
      <c r="D2165" s="182" t="s">
        <v>1547</v>
      </c>
      <c r="E2165" s="691">
        <v>42399</v>
      </c>
      <c r="F2165" s="187" t="s">
        <v>480</v>
      </c>
      <c r="G2165" s="40" t="s">
        <v>915</v>
      </c>
      <c r="H2165" s="7" t="s">
        <v>1549</v>
      </c>
      <c r="I2165" s="251">
        <v>834</v>
      </c>
      <c r="J2165" s="251">
        <v>10595.537546317601</v>
      </c>
      <c r="K2165" s="38">
        <f t="shared" si="110"/>
        <v>8836678</v>
      </c>
      <c r="L2165" s="561" t="s">
        <v>166</v>
      </c>
      <c r="M2165" s="561" t="s">
        <v>164</v>
      </c>
      <c r="N2165" s="52" t="str">
        <f>IF(AND('331-CT'!$E$7=TH!H2165,OR(L2165="331",M2165="331")),"331",IF(AND(OR(L2165="131",M2165="131"),H2165='131-CT'!$E$7),"131",""))</f>
        <v/>
      </c>
      <c r="O2165" s="818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751"/>
      <c r="AB2165" s="552"/>
      <c r="AC2165" s="552"/>
    </row>
    <row r="2166" spans="1:29" s="209" customFormat="1" ht="15.75" customHeight="1">
      <c r="A2166" s="202" t="str">
        <f>IF(B2166&lt;&gt;"",IF(AND(B2166&gt;=_TM1,B2166&lt;=_TM2,OR(TH!L2166="1111",TH!M2166="1111")),TH!D2166,""),"")</f>
        <v/>
      </c>
      <c r="B2166" s="36">
        <f t="shared" si="109"/>
        <v>1</v>
      </c>
      <c r="C2166" s="182">
        <f t="shared" si="108"/>
        <v>42399</v>
      </c>
      <c r="D2166" s="182" t="s">
        <v>1547</v>
      </c>
      <c r="E2166" s="691">
        <v>42399</v>
      </c>
      <c r="F2166" s="286" t="s">
        <v>916</v>
      </c>
      <c r="G2166" s="40" t="s">
        <v>915</v>
      </c>
      <c r="H2166" s="7" t="s">
        <v>1549</v>
      </c>
      <c r="I2166" s="251">
        <v>106</v>
      </c>
      <c r="J2166" s="251">
        <v>9427.5255333377063</v>
      </c>
      <c r="K2166" s="38">
        <f t="shared" si="110"/>
        <v>999318</v>
      </c>
      <c r="L2166" s="561" t="s">
        <v>166</v>
      </c>
      <c r="M2166" s="561" t="s">
        <v>164</v>
      </c>
      <c r="N2166" s="52" t="str">
        <f>IF(AND('331-CT'!$E$7=TH!H2166,OR(L2166="331",M2166="331")),"331",IF(AND(OR(L2166="131",M2166="131"),H2166='131-CT'!$E$7),"131",""))</f>
        <v/>
      </c>
      <c r="O2166" s="818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751"/>
      <c r="AB2166" s="552"/>
      <c r="AC2166" s="552"/>
    </row>
    <row r="2167" spans="1:29" s="209" customFormat="1" ht="15.75" customHeight="1">
      <c r="A2167" s="202" t="str">
        <f>IF(B2167&lt;&gt;"",IF(AND(B2167&gt;=_TM1,B2167&lt;=_TM2,OR(TH!L2167="1111",TH!M2167="1111")),TH!D2167,""),"")</f>
        <v/>
      </c>
      <c r="B2167" s="36">
        <f t="shared" si="109"/>
        <v>1</v>
      </c>
      <c r="C2167" s="182">
        <f t="shared" si="108"/>
        <v>42399</v>
      </c>
      <c r="D2167" s="182" t="s">
        <v>1547</v>
      </c>
      <c r="E2167" s="691">
        <v>42399</v>
      </c>
      <c r="F2167" s="40" t="s">
        <v>917</v>
      </c>
      <c r="G2167" s="40" t="s">
        <v>915</v>
      </c>
      <c r="H2167" s="7" t="s">
        <v>1549</v>
      </c>
      <c r="I2167" s="251">
        <v>70</v>
      </c>
      <c r="J2167" s="251">
        <v>11179.543552807549</v>
      </c>
      <c r="K2167" s="38">
        <f t="shared" si="110"/>
        <v>782568</v>
      </c>
      <c r="L2167" s="561" t="s">
        <v>166</v>
      </c>
      <c r="M2167" s="561" t="s">
        <v>164</v>
      </c>
      <c r="N2167" s="52" t="str">
        <f>IF(AND('331-CT'!$E$7=TH!H2167,OR(L2167="331",M2167="331")),"331",IF(AND(OR(L2167="131",M2167="131"),H2167='131-CT'!$E$7),"131",""))</f>
        <v/>
      </c>
      <c r="O2167" s="818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751"/>
      <c r="AB2167" s="552"/>
    </row>
    <row r="2168" spans="1:29" s="209" customFormat="1" ht="15.75" customHeight="1">
      <c r="A2168" s="202" t="str">
        <f>IF(B2168&lt;&gt;"",IF(AND(B2168&gt;=_TM1,B2168&lt;=_TM2,OR(TH!L2168="1111",TH!M2168="1111")),TH!D2168,""),"")</f>
        <v/>
      </c>
      <c r="B2168" s="36">
        <f t="shared" si="109"/>
        <v>1</v>
      </c>
      <c r="C2168" s="182">
        <f t="shared" si="108"/>
        <v>42399</v>
      </c>
      <c r="D2168" s="182" t="s">
        <v>1547</v>
      </c>
      <c r="E2168" s="691">
        <v>42399</v>
      </c>
      <c r="F2168" s="187" t="s">
        <v>918</v>
      </c>
      <c r="G2168" s="40" t="s">
        <v>915</v>
      </c>
      <c r="H2168" s="7" t="s">
        <v>1549</v>
      </c>
      <c r="I2168" s="251">
        <v>23</v>
      </c>
      <c r="J2168" s="251">
        <v>10011.531539827654</v>
      </c>
      <c r="K2168" s="38">
        <f t="shared" si="110"/>
        <v>230265</v>
      </c>
      <c r="L2168" s="561" t="s">
        <v>166</v>
      </c>
      <c r="M2168" s="561" t="s">
        <v>164</v>
      </c>
      <c r="N2168" s="52" t="str">
        <f>IF(AND('331-CT'!$E$7=TH!H2168,OR(L2168="331",M2168="331")),"331",IF(AND(OR(L2168="131",M2168="131"),H2168='131-CT'!$E$7),"131",""))</f>
        <v/>
      </c>
      <c r="O2168" s="818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751"/>
      <c r="AB2168" s="552"/>
      <c r="AC2168" s="552"/>
    </row>
    <row r="2169" spans="1:29" s="209" customFormat="1" ht="15.75" customHeight="1">
      <c r="A2169" s="202" t="str">
        <f>IF(B2169&lt;&gt;"",IF(AND(B2169&gt;=_TM1,B2169&lt;=_TM2,OR(TH!L2169="1111",TH!M2169="1111")),TH!D2169,""),"")</f>
        <v/>
      </c>
      <c r="B2169" s="36">
        <f t="shared" si="109"/>
        <v>1</v>
      </c>
      <c r="C2169" s="182">
        <f t="shared" si="108"/>
        <v>42399</v>
      </c>
      <c r="D2169" s="182" t="s">
        <v>1547</v>
      </c>
      <c r="E2169" s="37">
        <v>42399</v>
      </c>
      <c r="F2169" s="190" t="s">
        <v>919</v>
      </c>
      <c r="G2169" s="40" t="s">
        <v>915</v>
      </c>
      <c r="H2169" s="7" t="s">
        <v>1549</v>
      </c>
      <c r="I2169" s="251">
        <v>55</v>
      </c>
      <c r="J2169" s="251">
        <v>10512.108116819038</v>
      </c>
      <c r="K2169" s="38">
        <f t="shared" si="110"/>
        <v>578166</v>
      </c>
      <c r="L2169" s="561" t="s">
        <v>166</v>
      </c>
      <c r="M2169" s="561" t="s">
        <v>164</v>
      </c>
      <c r="N2169" s="52" t="str">
        <f>IF(AND('331-CT'!$E$7=TH!H2169,OR(L2169="331",M2169="331")),"331",IF(AND(OR(L2169="131",M2169="131"),H2169='131-CT'!$E$7),"131",""))</f>
        <v/>
      </c>
      <c r="O2169" s="818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751"/>
      <c r="AB2169" s="552"/>
      <c r="AC2169" s="552"/>
    </row>
    <row r="2170" spans="1:29" s="209" customFormat="1" ht="15.75" customHeight="1">
      <c r="A2170" s="202" t="str">
        <f>IF(B2170&lt;&gt;"",IF(AND(B2170&gt;=_TM1,B2170&lt;=_TM2,OR(TH!L2170="1111",TH!M2170="1111")),TH!D2170,""),"")</f>
        <v/>
      </c>
      <c r="B2170" s="36">
        <f t="shared" si="109"/>
        <v>1</v>
      </c>
      <c r="C2170" s="182">
        <f t="shared" ref="C2170:C2233" si="111">E2170</f>
        <v>42399</v>
      </c>
      <c r="D2170" s="182" t="s">
        <v>1547</v>
      </c>
      <c r="E2170" s="37">
        <v>42399</v>
      </c>
      <c r="F2170" s="190" t="s">
        <v>920</v>
      </c>
      <c r="G2170" s="40" t="s">
        <v>420</v>
      </c>
      <c r="H2170" s="7" t="s">
        <v>1549</v>
      </c>
      <c r="I2170" s="251">
        <v>209</v>
      </c>
      <c r="J2170" s="251">
        <v>7091.5015073779214</v>
      </c>
      <c r="K2170" s="38">
        <f t="shared" si="110"/>
        <v>1482124</v>
      </c>
      <c r="L2170" s="561" t="s">
        <v>166</v>
      </c>
      <c r="M2170" s="561" t="s">
        <v>164</v>
      </c>
      <c r="N2170" s="52" t="str">
        <f>IF(AND('331-CT'!$E$7=TH!H2170,OR(L2170="331",M2170="331")),"331",IF(AND(OR(L2170="131",M2170="131"),H2170='131-CT'!$E$7),"131",""))</f>
        <v/>
      </c>
      <c r="O2170" s="818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751"/>
      <c r="AB2170" s="552"/>
    </row>
    <row r="2171" spans="1:29" s="209" customFormat="1" ht="15.75" customHeight="1">
      <c r="A2171" s="202" t="str">
        <f>IF(B2171&lt;&gt;"",IF(AND(B2171&gt;=_TM1,B2171&lt;=_TM2,OR(TH!L2171="1111",TH!M2171="1111")),TH!D2171,""),"")</f>
        <v/>
      </c>
      <c r="B2171" s="36">
        <f t="shared" si="109"/>
        <v>1</v>
      </c>
      <c r="C2171" s="182">
        <f t="shared" si="111"/>
        <v>42399</v>
      </c>
      <c r="D2171" s="182" t="s">
        <v>1547</v>
      </c>
      <c r="E2171" s="37">
        <v>42399</v>
      </c>
      <c r="F2171" s="187" t="s">
        <v>921</v>
      </c>
      <c r="G2171" s="40" t="s">
        <v>420</v>
      </c>
      <c r="H2171" s="7" t="s">
        <v>1549</v>
      </c>
      <c r="I2171" s="251">
        <v>10</v>
      </c>
      <c r="J2171" s="251">
        <v>6924.6426483807936</v>
      </c>
      <c r="K2171" s="38">
        <f t="shared" si="110"/>
        <v>69246</v>
      </c>
      <c r="L2171" s="561" t="s">
        <v>166</v>
      </c>
      <c r="M2171" s="561" t="s">
        <v>164</v>
      </c>
      <c r="N2171" s="52" t="str">
        <f>IF(AND('331-CT'!$E$7=TH!H2171,OR(L2171="331",M2171="331")),"331",IF(AND(OR(L2171="131",M2171="131"),H2171='131-CT'!$E$7),"131",""))</f>
        <v/>
      </c>
      <c r="O2171" s="818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751"/>
      <c r="AB2171" s="552"/>
      <c r="AC2171" s="552"/>
    </row>
    <row r="2172" spans="1:29" s="209" customFormat="1" ht="15.75" customHeight="1">
      <c r="A2172" s="202" t="str">
        <f>IF(B2172&lt;&gt;"",IF(AND(B2172&gt;=_TM1,B2172&lt;=_TM2,OR(TH!L2172="1111",TH!M2172="1111")),TH!D2172,""),"")</f>
        <v/>
      </c>
      <c r="B2172" s="36">
        <f t="shared" si="109"/>
        <v>1</v>
      </c>
      <c r="C2172" s="182">
        <f t="shared" si="111"/>
        <v>42399</v>
      </c>
      <c r="D2172" s="182" t="s">
        <v>1547</v>
      </c>
      <c r="E2172" s="37">
        <v>42399</v>
      </c>
      <c r="F2172" s="187" t="s">
        <v>922</v>
      </c>
      <c r="G2172" s="40" t="s">
        <v>421</v>
      </c>
      <c r="H2172" s="7" t="s">
        <v>1549</v>
      </c>
      <c r="I2172" s="251">
        <v>50</v>
      </c>
      <c r="J2172" s="251">
        <v>26363.699721546156</v>
      </c>
      <c r="K2172" s="38">
        <f t="shared" si="110"/>
        <v>1318185</v>
      </c>
      <c r="L2172" s="561" t="s">
        <v>166</v>
      </c>
      <c r="M2172" s="561" t="s">
        <v>164</v>
      </c>
      <c r="N2172" s="52" t="str">
        <f>IF(AND('331-CT'!$E$7=TH!H2172,OR(L2172="331",M2172="331")),"331",IF(AND(OR(L2172="131",M2172="131"),H2172='131-CT'!$E$7),"131",""))</f>
        <v/>
      </c>
      <c r="O2172" s="818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751"/>
      <c r="AB2172" s="552"/>
      <c r="AC2172" s="552"/>
    </row>
    <row r="2173" spans="1:29" s="209" customFormat="1" ht="15.75" customHeight="1">
      <c r="A2173" s="202" t="str">
        <f>IF(B2173&lt;&gt;"",IF(AND(B2173&gt;=_TM1,B2173&lt;=_TM2,OR(TH!L2173="1111",TH!M2173="1111")),TH!D2173,""),"")</f>
        <v/>
      </c>
      <c r="B2173" s="36">
        <f t="shared" si="109"/>
        <v>2</v>
      </c>
      <c r="C2173" s="182">
        <f t="shared" si="111"/>
        <v>42401</v>
      </c>
      <c r="D2173" s="182" t="s">
        <v>1547</v>
      </c>
      <c r="E2173" s="37">
        <v>42401</v>
      </c>
      <c r="F2173" s="187" t="s">
        <v>923</v>
      </c>
      <c r="G2173" s="40" t="s">
        <v>422</v>
      </c>
      <c r="H2173" s="7" t="s">
        <v>1549</v>
      </c>
      <c r="I2173" s="251">
        <v>103</v>
      </c>
      <c r="J2173" s="251">
        <v>11179.543552807549</v>
      </c>
      <c r="K2173" s="38">
        <f t="shared" si="110"/>
        <v>1151493</v>
      </c>
      <c r="L2173" s="561" t="s">
        <v>166</v>
      </c>
      <c r="M2173" s="561" t="s">
        <v>164</v>
      </c>
      <c r="N2173" s="52" t="str">
        <f>IF(AND('331-CT'!$E$7=TH!H2173,OR(L2173="331",M2173="331")),"331",IF(AND(OR(L2173="131",M2173="131"),H2173='131-CT'!$E$7),"131",""))</f>
        <v/>
      </c>
      <c r="O2173" s="818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751"/>
      <c r="AB2173" s="552"/>
      <c r="AC2173" s="552"/>
    </row>
    <row r="2174" spans="1:29" s="209" customFormat="1" ht="15.75" customHeight="1">
      <c r="A2174" s="202" t="str">
        <f>IF(B2174&lt;&gt;"",IF(AND(B2174&gt;=_TM1,B2174&lt;=_TM2,OR(TH!L2174="1111",TH!M2174="1111")),TH!D2174,""),"")</f>
        <v/>
      </c>
      <c r="B2174" s="36">
        <f t="shared" si="109"/>
        <v>2</v>
      </c>
      <c r="C2174" s="182">
        <f t="shared" si="111"/>
        <v>42401</v>
      </c>
      <c r="D2174" s="182" t="s">
        <v>1547</v>
      </c>
      <c r="E2174" s="37">
        <v>42401</v>
      </c>
      <c r="F2174" s="187" t="s">
        <v>962</v>
      </c>
      <c r="G2174" s="40" t="s">
        <v>423</v>
      </c>
      <c r="H2174" s="7" t="s">
        <v>1549</v>
      </c>
      <c r="I2174" s="251">
        <v>141</v>
      </c>
      <c r="J2174" s="251">
        <v>19856.204220658179</v>
      </c>
      <c r="K2174" s="38">
        <f t="shared" si="110"/>
        <v>2799725</v>
      </c>
      <c r="L2174" s="561" t="s">
        <v>166</v>
      </c>
      <c r="M2174" s="561" t="s">
        <v>164</v>
      </c>
      <c r="N2174" s="52" t="str">
        <f>IF(AND('331-CT'!$E$7=TH!H2174,OR(L2174="331",M2174="331")),"331",IF(AND(OR(L2174="131",M2174="131"),H2174='131-CT'!$E$7),"131",""))</f>
        <v/>
      </c>
      <c r="O2174" s="818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751"/>
      <c r="AB2174" s="552"/>
      <c r="AC2174" s="552"/>
    </row>
    <row r="2175" spans="1:29" s="209" customFormat="1" ht="15.75" customHeight="1">
      <c r="A2175" s="202" t="str">
        <f>IF(B2175&lt;&gt;"",IF(AND(B2175&gt;=_TM1,B2175&lt;=_TM2,OR(TH!L2175="1111",TH!M2175="1111")),TH!D2175,""),"")</f>
        <v/>
      </c>
      <c r="B2175" s="36">
        <f t="shared" si="109"/>
        <v>2</v>
      </c>
      <c r="C2175" s="182">
        <f t="shared" si="111"/>
        <v>42401</v>
      </c>
      <c r="D2175" s="182" t="s">
        <v>1547</v>
      </c>
      <c r="E2175" s="37">
        <v>42401</v>
      </c>
      <c r="F2175" s="40" t="s">
        <v>636</v>
      </c>
      <c r="G2175" s="40" t="s">
        <v>924</v>
      </c>
      <c r="H2175" s="7" t="s">
        <v>1549</v>
      </c>
      <c r="I2175" s="251">
        <v>250</v>
      </c>
      <c r="J2175" s="251">
        <v>9177.2372448420174</v>
      </c>
      <c r="K2175" s="38">
        <f t="shared" si="110"/>
        <v>2294309</v>
      </c>
      <c r="L2175" s="561" t="s">
        <v>166</v>
      </c>
      <c r="M2175" s="561" t="s">
        <v>164</v>
      </c>
      <c r="N2175" s="52" t="str">
        <f>IF(AND('331-CT'!$E$7=TH!H2175,OR(L2175="331",M2175="331")),"331",IF(AND(OR(L2175="131",M2175="131"),H2175='131-CT'!$E$7),"131",""))</f>
        <v/>
      </c>
      <c r="O2175" s="818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751"/>
      <c r="AB2175" s="552"/>
    </row>
    <row r="2176" spans="1:29" s="209" customFormat="1" ht="15.75" customHeight="1">
      <c r="A2176" s="202" t="str">
        <f>IF(B2176&lt;&gt;"",IF(AND(B2176&gt;=_TM1,B2176&lt;=_TM2,OR(TH!L2176="1111",TH!M2176="1111")),TH!D2176,""),"")</f>
        <v/>
      </c>
      <c r="B2176" s="36">
        <f t="shared" si="109"/>
        <v>2</v>
      </c>
      <c r="C2176" s="182">
        <f t="shared" si="111"/>
        <v>42402</v>
      </c>
      <c r="D2176" s="182" t="s">
        <v>1547</v>
      </c>
      <c r="E2176" s="37">
        <v>42402</v>
      </c>
      <c r="F2176" s="40" t="s">
        <v>659</v>
      </c>
      <c r="G2176" s="40" t="s">
        <v>925</v>
      </c>
      <c r="H2176" s="7" t="s">
        <v>1549</v>
      </c>
      <c r="I2176" s="251">
        <v>100</v>
      </c>
      <c r="J2176" s="251">
        <v>12013.837847793186</v>
      </c>
      <c r="K2176" s="38">
        <f t="shared" si="110"/>
        <v>1201384</v>
      </c>
      <c r="L2176" s="561" t="s">
        <v>166</v>
      </c>
      <c r="M2176" s="561" t="s">
        <v>164</v>
      </c>
      <c r="N2176" s="52" t="str">
        <f>IF(AND('331-CT'!$E$7=TH!H2176,OR(L2176="331",M2176="331")),"331",IF(AND(OR(L2176="131",M2176="131"),H2176='131-CT'!$E$7),"131",""))</f>
        <v/>
      </c>
      <c r="O2176" s="818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751"/>
      <c r="AB2176" s="552"/>
      <c r="AC2176" s="552"/>
    </row>
    <row r="2177" spans="1:29" s="209" customFormat="1" ht="15.75" customHeight="1">
      <c r="A2177" s="202" t="str">
        <f>IF(B2177&lt;&gt;"",IF(AND(B2177&gt;=_TM1,B2177&lt;=_TM2,OR(TH!L2177="1111",TH!M2177="1111")),TH!D2177,""),"")</f>
        <v/>
      </c>
      <c r="B2177" s="36">
        <f t="shared" si="109"/>
        <v>2</v>
      </c>
      <c r="C2177" s="182">
        <f t="shared" si="111"/>
        <v>42402</v>
      </c>
      <c r="D2177" s="182" t="s">
        <v>1547</v>
      </c>
      <c r="E2177" s="37">
        <v>42402</v>
      </c>
      <c r="F2177" s="190" t="s">
        <v>658</v>
      </c>
      <c r="G2177" s="40" t="s">
        <v>925</v>
      </c>
      <c r="H2177" s="7" t="s">
        <v>1549</v>
      </c>
      <c r="I2177" s="251">
        <v>505</v>
      </c>
      <c r="J2177" s="251">
        <v>6424.0660713894113</v>
      </c>
      <c r="K2177" s="38">
        <f t="shared" si="110"/>
        <v>3244153</v>
      </c>
      <c r="L2177" s="561" t="s">
        <v>166</v>
      </c>
      <c r="M2177" s="561" t="s">
        <v>164</v>
      </c>
      <c r="N2177" s="52" t="str">
        <f>IF(AND('331-CT'!$E$7=TH!H2177,OR(L2177="331",M2177="331")),"331",IF(AND(OR(L2177="131",M2177="131"),H2177='131-CT'!$E$7),"131",""))</f>
        <v/>
      </c>
      <c r="O2177" s="818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751"/>
      <c r="AB2177" s="552"/>
    </row>
    <row r="2178" spans="1:29" s="209" customFormat="1" ht="15.75" customHeight="1">
      <c r="A2178" s="202" t="str">
        <f>IF(B2178&lt;&gt;"",IF(AND(B2178&gt;=_TM1,B2178&lt;=_TM2,OR(TH!L2178="1111",TH!M2178="1111")),TH!D2178,""),"")</f>
        <v/>
      </c>
      <c r="B2178" s="36">
        <f t="shared" si="109"/>
        <v>2</v>
      </c>
      <c r="C2178" s="182">
        <f t="shared" si="111"/>
        <v>42402</v>
      </c>
      <c r="D2178" s="182" t="s">
        <v>1547</v>
      </c>
      <c r="E2178" s="37">
        <v>42402</v>
      </c>
      <c r="F2178" s="187" t="s">
        <v>389</v>
      </c>
      <c r="G2178" s="40" t="s">
        <v>425</v>
      </c>
      <c r="H2178" s="7" t="s">
        <v>1549</v>
      </c>
      <c r="I2178" s="251">
        <v>494</v>
      </c>
      <c r="J2178" s="251">
        <v>6841.2132188822297</v>
      </c>
      <c r="K2178" s="38">
        <f t="shared" si="110"/>
        <v>3379559</v>
      </c>
      <c r="L2178" s="561" t="s">
        <v>166</v>
      </c>
      <c r="M2178" s="561" t="s">
        <v>164</v>
      </c>
      <c r="N2178" s="52" t="str">
        <f>IF(AND('331-CT'!$E$7=TH!H2178,OR(L2178="331",M2178="331")),"331",IF(AND(OR(L2178="131",M2178="131"),H2178='131-CT'!$E$7),"131",""))</f>
        <v/>
      </c>
      <c r="O2178" s="818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751"/>
      <c r="AB2178" s="552"/>
      <c r="AC2178" s="552"/>
    </row>
    <row r="2179" spans="1:29" s="209" customFormat="1" ht="15.75" customHeight="1">
      <c r="A2179" s="202" t="str">
        <f>IF(B2179&lt;&gt;"",IF(AND(B2179&gt;=_TM1,B2179&lt;=_TM2,OR(TH!L2179="1111",TH!M2179="1111")),TH!D2179,""),"")</f>
        <v/>
      </c>
      <c r="B2179" s="36">
        <f t="shared" si="109"/>
        <v>2</v>
      </c>
      <c r="C2179" s="182">
        <f t="shared" si="111"/>
        <v>42403</v>
      </c>
      <c r="D2179" s="182" t="s">
        <v>1547</v>
      </c>
      <c r="E2179" s="37">
        <v>42403</v>
      </c>
      <c r="F2179" s="40" t="s">
        <v>1434</v>
      </c>
      <c r="G2179" s="40" t="s">
        <v>926</v>
      </c>
      <c r="H2179" s="7" t="s">
        <v>1549</v>
      </c>
      <c r="I2179" s="251">
        <v>235</v>
      </c>
      <c r="J2179" s="251">
        <v>8509.8018088535064</v>
      </c>
      <c r="K2179" s="38">
        <f t="shared" si="110"/>
        <v>1999803</v>
      </c>
      <c r="L2179" s="561" t="s">
        <v>166</v>
      </c>
      <c r="M2179" s="561" t="s">
        <v>164</v>
      </c>
      <c r="N2179" s="52" t="str">
        <f>IF(AND('331-CT'!$E$7=TH!H2179,OR(L2179="331",M2179="331")),"331",IF(AND(OR(L2179="131",M2179="131"),H2179='131-CT'!$E$7),"131",""))</f>
        <v/>
      </c>
      <c r="O2179" s="818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751"/>
      <c r="AB2179" s="552"/>
      <c r="AC2179" s="552"/>
    </row>
    <row r="2180" spans="1:29" s="209" customFormat="1" ht="15.75" customHeight="1">
      <c r="A2180" s="202" t="str">
        <f>IF(B2180&lt;&gt;"",IF(AND(B2180&gt;=_TM1,B2180&lt;=_TM2,OR(TH!L2180="1111",TH!M2180="1111")),TH!D2180,""),"")</f>
        <v/>
      </c>
      <c r="B2180" s="36">
        <f t="shared" si="109"/>
        <v>2</v>
      </c>
      <c r="C2180" s="182">
        <f t="shared" si="111"/>
        <v>42403</v>
      </c>
      <c r="D2180" s="182" t="s">
        <v>1547</v>
      </c>
      <c r="E2180" s="37">
        <v>42403</v>
      </c>
      <c r="F2180" s="40" t="s">
        <v>1307</v>
      </c>
      <c r="G2180" s="40" t="s">
        <v>926</v>
      </c>
      <c r="H2180" s="7" t="s">
        <v>1549</v>
      </c>
      <c r="I2180" s="251">
        <v>600</v>
      </c>
      <c r="J2180" s="251">
        <v>12681.273283781695</v>
      </c>
      <c r="K2180" s="38">
        <f t="shared" si="110"/>
        <v>7608764</v>
      </c>
      <c r="L2180" s="561" t="s">
        <v>166</v>
      </c>
      <c r="M2180" s="561" t="s">
        <v>164</v>
      </c>
      <c r="N2180" s="52" t="str">
        <f>IF(AND('331-CT'!$E$7=TH!H2180,OR(L2180="331",M2180="331")),"331",IF(AND(OR(L2180="131",M2180="131"),H2180='131-CT'!$E$7),"131",""))</f>
        <v/>
      </c>
      <c r="O2180" s="818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751"/>
      <c r="AB2180" s="552"/>
    </row>
    <row r="2181" spans="1:29" s="209" customFormat="1" ht="15.75" customHeight="1">
      <c r="A2181" s="202" t="str">
        <f>IF(B2181&lt;&gt;"",IF(AND(B2181&gt;=_TM1,B2181&lt;=_TM2,OR(TH!L2181="1111",TH!M2181="1111")),TH!D2181,""),"")</f>
        <v/>
      </c>
      <c r="B2181" s="36">
        <f t="shared" si="109"/>
        <v>2</v>
      </c>
      <c r="C2181" s="182">
        <f t="shared" si="111"/>
        <v>42403</v>
      </c>
      <c r="D2181" s="182" t="s">
        <v>1547</v>
      </c>
      <c r="E2181" s="37">
        <v>42403</v>
      </c>
      <c r="F2181" s="190" t="s">
        <v>1310</v>
      </c>
      <c r="G2181" s="40" t="s">
        <v>926</v>
      </c>
      <c r="H2181" s="7" t="s">
        <v>1549</v>
      </c>
      <c r="I2181" s="251">
        <v>600</v>
      </c>
      <c r="J2181" s="251">
        <v>9093.8078153434526</v>
      </c>
      <c r="K2181" s="38">
        <f t="shared" si="110"/>
        <v>5456285</v>
      </c>
      <c r="L2181" s="561" t="s">
        <v>166</v>
      </c>
      <c r="M2181" s="561" t="s">
        <v>164</v>
      </c>
      <c r="N2181" s="52" t="str">
        <f>IF(AND('331-CT'!$E$7=TH!H2181,OR(L2181="331",M2181="331")),"331",IF(AND(OR(L2181="131",M2181="131"),H2181='131-CT'!$E$7),"131",""))</f>
        <v/>
      </c>
      <c r="O2181" s="818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751"/>
      <c r="AB2181" s="552"/>
      <c r="AC2181" s="552"/>
    </row>
    <row r="2182" spans="1:29" s="209" customFormat="1" ht="15.75" customHeight="1">
      <c r="A2182" s="202" t="str">
        <f>IF(B2182&lt;&gt;"",IF(AND(B2182&gt;=_TM1,B2182&lt;=_TM2,OR(TH!L2182="1111",TH!M2182="1111")),TH!D2182,""),"")</f>
        <v/>
      </c>
      <c r="B2182" s="36">
        <f t="shared" ref="B2182:B2245" si="112">IF(C2182&lt;&gt;"",MONTH(C2182),"")</f>
        <v>2</v>
      </c>
      <c r="C2182" s="182">
        <f t="shared" si="111"/>
        <v>42403</v>
      </c>
      <c r="D2182" s="182" t="s">
        <v>1547</v>
      </c>
      <c r="E2182" s="37">
        <v>42403</v>
      </c>
      <c r="F2182" s="187" t="s">
        <v>1308</v>
      </c>
      <c r="G2182" s="40" t="s">
        <v>926</v>
      </c>
      <c r="H2182" s="7" t="s">
        <v>1549</v>
      </c>
      <c r="I2182" s="251">
        <v>350</v>
      </c>
      <c r="J2182" s="251">
        <v>10094.960969326217</v>
      </c>
      <c r="K2182" s="38">
        <f t="shared" si="110"/>
        <v>3533236</v>
      </c>
      <c r="L2182" s="561" t="s">
        <v>166</v>
      </c>
      <c r="M2182" s="561" t="s">
        <v>164</v>
      </c>
      <c r="N2182" s="52" t="str">
        <f>IF(AND('331-CT'!$E$7=TH!H2182,OR(L2182="331",M2182="331")),"331",IF(AND(OR(L2182="131",M2182="131"),H2182='131-CT'!$E$7),"131",""))</f>
        <v/>
      </c>
      <c r="O2182" s="818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751"/>
      <c r="AB2182" s="552"/>
    </row>
    <row r="2183" spans="1:29" s="209" customFormat="1" ht="15.75" customHeight="1">
      <c r="A2183" s="202" t="str">
        <f>IF(B2183&lt;&gt;"",IF(AND(B2183&gt;=_TM1,B2183&lt;=_TM2,OR(TH!L2183="1111",TH!M2183="1111")),TH!D2183,""),"")</f>
        <v/>
      </c>
      <c r="B2183" s="36">
        <f t="shared" si="112"/>
        <v>2</v>
      </c>
      <c r="C2183" s="182">
        <f t="shared" si="111"/>
        <v>42403</v>
      </c>
      <c r="D2183" s="182" t="s">
        <v>1547</v>
      </c>
      <c r="E2183" s="37">
        <v>42403</v>
      </c>
      <c r="F2183" s="40" t="s">
        <v>1309</v>
      </c>
      <c r="G2183" s="40" t="s">
        <v>926</v>
      </c>
      <c r="H2183" s="7" t="s">
        <v>1549</v>
      </c>
      <c r="I2183" s="251">
        <v>500</v>
      </c>
      <c r="J2183" s="251">
        <v>11096.114123308984</v>
      </c>
      <c r="K2183" s="38">
        <f t="shared" si="110"/>
        <v>5548057</v>
      </c>
      <c r="L2183" s="561" t="s">
        <v>166</v>
      </c>
      <c r="M2183" s="561" t="s">
        <v>164</v>
      </c>
      <c r="N2183" s="52" t="str">
        <f>IF(AND('331-CT'!$E$7=TH!H2183,OR(L2183="331",M2183="331")),"331",IF(AND(OR(L2183="131",M2183="131"),H2183='131-CT'!$E$7),"131",""))</f>
        <v/>
      </c>
      <c r="O2183" s="818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751"/>
      <c r="AB2183" s="552"/>
      <c r="AC2183" s="552"/>
    </row>
    <row r="2184" spans="1:29" s="209" customFormat="1" ht="15.75" customHeight="1">
      <c r="A2184" s="202" t="str">
        <f>IF(B2184&lt;&gt;"",IF(AND(B2184&gt;=_TM1,B2184&lt;=_TM2,OR(TH!L2184="1111",TH!M2184="1111")),TH!D2184,""),"")</f>
        <v/>
      </c>
      <c r="B2184" s="36">
        <f t="shared" si="112"/>
        <v>2</v>
      </c>
      <c r="C2184" s="182">
        <f t="shared" si="111"/>
        <v>42403</v>
      </c>
      <c r="D2184" s="182" t="s">
        <v>1547</v>
      </c>
      <c r="E2184" s="37">
        <v>42403</v>
      </c>
      <c r="F2184" s="40" t="s">
        <v>1436</v>
      </c>
      <c r="G2184" s="40" t="s">
        <v>926</v>
      </c>
      <c r="H2184" s="7" t="s">
        <v>1549</v>
      </c>
      <c r="I2184" s="251">
        <v>500</v>
      </c>
      <c r="J2184" s="251">
        <v>17436.750765199831</v>
      </c>
      <c r="K2184" s="38">
        <f t="shared" si="110"/>
        <v>8718375</v>
      </c>
      <c r="L2184" s="561" t="s">
        <v>166</v>
      </c>
      <c r="M2184" s="561" t="s">
        <v>164</v>
      </c>
      <c r="N2184" s="52" t="str">
        <f>IF(AND('331-CT'!$E$7=TH!H2184,OR(L2184="331",M2184="331")),"331",IF(AND(OR(L2184="131",M2184="131"),H2184='131-CT'!$E$7),"131",""))</f>
        <v/>
      </c>
      <c r="O2184" s="818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751"/>
      <c r="AB2184" s="552"/>
    </row>
    <row r="2185" spans="1:29" s="209" customFormat="1" ht="15.75" customHeight="1">
      <c r="A2185" s="202" t="str">
        <f>IF(B2185&lt;&gt;"",IF(AND(B2185&gt;=_TM1,B2185&lt;=_TM2,OR(TH!L2185="1111",TH!M2185="1111")),TH!D2185,""),"")</f>
        <v/>
      </c>
      <c r="B2185" s="36">
        <f t="shared" si="112"/>
        <v>2</v>
      </c>
      <c r="C2185" s="182">
        <f t="shared" si="111"/>
        <v>42418</v>
      </c>
      <c r="D2185" s="182" t="s">
        <v>1547</v>
      </c>
      <c r="E2185" s="189">
        <v>42418</v>
      </c>
      <c r="F2185" s="190" t="s">
        <v>389</v>
      </c>
      <c r="G2185" s="451" t="s">
        <v>426</v>
      </c>
      <c r="H2185" s="7" t="s">
        <v>1549</v>
      </c>
      <c r="I2185" s="251">
        <v>421</v>
      </c>
      <c r="J2185" s="251">
        <v>6841.2132188822297</v>
      </c>
      <c r="K2185" s="38">
        <f t="shared" si="110"/>
        <v>2880151</v>
      </c>
      <c r="L2185" s="561" t="s">
        <v>166</v>
      </c>
      <c r="M2185" s="561" t="s">
        <v>164</v>
      </c>
      <c r="N2185" s="52" t="str">
        <f>IF(AND('331-CT'!$E$7=TH!H2185,OR(L2185="331",M2185="331")),"331",IF(AND(OR(L2185="131",M2185="131"),H2185='131-CT'!$E$7),"131",""))</f>
        <v/>
      </c>
      <c r="O2185" s="818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751"/>
      <c r="AB2185" s="552"/>
      <c r="AC2185" s="552"/>
    </row>
    <row r="2186" spans="1:29" s="209" customFormat="1" ht="15.75" customHeight="1">
      <c r="A2186" s="202" t="str">
        <f>IF(B2186&lt;&gt;"",IF(AND(B2186&gt;=_TM1,B2186&lt;=_TM2,OR(TH!L2186="1111",TH!M2186="1111")),TH!D2186,""),"")</f>
        <v/>
      </c>
      <c r="B2186" s="36">
        <f t="shared" si="112"/>
        <v>2</v>
      </c>
      <c r="C2186" s="182">
        <f t="shared" si="111"/>
        <v>42418</v>
      </c>
      <c r="D2186" s="182" t="s">
        <v>1547</v>
      </c>
      <c r="E2186" s="189">
        <v>42418</v>
      </c>
      <c r="F2186" s="190" t="s">
        <v>927</v>
      </c>
      <c r="G2186" s="451" t="s">
        <v>426</v>
      </c>
      <c r="H2186" s="7" t="s">
        <v>1549</v>
      </c>
      <c r="I2186" s="251">
        <v>596</v>
      </c>
      <c r="J2186" s="251">
        <v>7675.5075138678685</v>
      </c>
      <c r="K2186" s="38">
        <f t="shared" si="110"/>
        <v>4574602</v>
      </c>
      <c r="L2186" s="561" t="s">
        <v>166</v>
      </c>
      <c r="M2186" s="561" t="s">
        <v>164</v>
      </c>
      <c r="N2186" s="52" t="str">
        <f>IF(AND('331-CT'!$E$7=TH!H2186,OR(L2186="331",M2186="331")),"331",IF(AND(OR(L2186="131",M2186="131"),H2186='131-CT'!$E$7),"131",""))</f>
        <v/>
      </c>
      <c r="O2186" s="818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751"/>
      <c r="AB2186" s="552"/>
      <c r="AC2186" s="552"/>
    </row>
    <row r="2187" spans="1:29" s="209" customFormat="1" ht="15.75" customHeight="1">
      <c r="A2187" s="202" t="str">
        <f>IF(B2187&lt;&gt;"",IF(AND(B2187&gt;=_TM1,B2187&lt;=_TM2,OR(TH!L2187="1111",TH!M2187="1111")),TH!D2187,""),"")</f>
        <v/>
      </c>
      <c r="B2187" s="36">
        <f t="shared" si="112"/>
        <v>2</v>
      </c>
      <c r="C2187" s="182">
        <f t="shared" si="111"/>
        <v>42418</v>
      </c>
      <c r="D2187" s="182" t="s">
        <v>1547</v>
      </c>
      <c r="E2187" s="189">
        <v>42418</v>
      </c>
      <c r="F2187" s="190" t="s">
        <v>626</v>
      </c>
      <c r="G2187" s="451" t="s">
        <v>426</v>
      </c>
      <c r="H2187" s="7" t="s">
        <v>1549</v>
      </c>
      <c r="I2187" s="251">
        <v>309</v>
      </c>
      <c r="J2187" s="251">
        <v>12347.555565787441</v>
      </c>
      <c r="K2187" s="38">
        <f t="shared" si="110"/>
        <v>3815395</v>
      </c>
      <c r="L2187" s="561" t="s">
        <v>166</v>
      </c>
      <c r="M2187" s="561" t="s">
        <v>164</v>
      </c>
      <c r="N2187" s="52" t="str">
        <f>IF(AND('331-CT'!$E$7=TH!H2187,OR(L2187="331",M2187="331")),"331",IF(AND(OR(L2187="131",M2187="131"),H2187='131-CT'!$E$7),"131",""))</f>
        <v/>
      </c>
      <c r="O2187" s="818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751"/>
      <c r="AB2187" s="552"/>
      <c r="AC2187" s="552"/>
    </row>
    <row r="2188" spans="1:29" s="209" customFormat="1" ht="15.75" customHeight="1">
      <c r="A2188" s="202" t="str">
        <f>IF(B2188&lt;&gt;"",IF(AND(B2188&gt;=_TM1,B2188&lt;=_TM2,OR(TH!L2188="1111",TH!M2188="1111")),TH!D2188,""),"")</f>
        <v/>
      </c>
      <c r="B2188" s="36">
        <f t="shared" si="112"/>
        <v>2</v>
      </c>
      <c r="C2188" s="182">
        <f t="shared" si="111"/>
        <v>42420</v>
      </c>
      <c r="D2188" s="182" t="s">
        <v>1547</v>
      </c>
      <c r="E2188" s="189">
        <v>42420</v>
      </c>
      <c r="F2188" s="190" t="s">
        <v>396</v>
      </c>
      <c r="G2188" s="451" t="s">
        <v>427</v>
      </c>
      <c r="H2188" s="7" t="s">
        <v>1549</v>
      </c>
      <c r="I2188" s="251">
        <v>2259</v>
      </c>
      <c r="J2188" s="251">
        <v>6173.7777828937205</v>
      </c>
      <c r="K2188" s="38">
        <f t="shared" si="110"/>
        <v>13946564</v>
      </c>
      <c r="L2188" s="561" t="s">
        <v>166</v>
      </c>
      <c r="M2188" s="561" t="s">
        <v>164</v>
      </c>
      <c r="N2188" s="52" t="str">
        <f>IF(AND('331-CT'!$E$7=TH!H2188,OR(L2188="331",M2188="331")),"331",IF(AND(OR(L2188="131",M2188="131"),H2188='131-CT'!$E$7),"131",""))</f>
        <v/>
      </c>
      <c r="O2188" s="818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751"/>
      <c r="AB2188" s="552"/>
      <c r="AC2188" s="552"/>
    </row>
    <row r="2189" spans="1:29" s="209" customFormat="1" ht="15.75" customHeight="1">
      <c r="A2189" s="202" t="str">
        <f>IF(B2189&lt;&gt;"",IF(AND(B2189&gt;=_TM1,B2189&lt;=_TM2,OR(TH!L2189="1111",TH!M2189="1111")),TH!D2189,""),"")</f>
        <v/>
      </c>
      <c r="B2189" s="36">
        <f t="shared" si="112"/>
        <v>2</v>
      </c>
      <c r="C2189" s="182">
        <f t="shared" si="111"/>
        <v>42422</v>
      </c>
      <c r="D2189" s="182" t="s">
        <v>1547</v>
      </c>
      <c r="E2189" s="189">
        <v>42422</v>
      </c>
      <c r="F2189" s="190" t="s">
        <v>962</v>
      </c>
      <c r="G2189" s="451" t="s">
        <v>430</v>
      </c>
      <c r="H2189" s="7" t="s">
        <v>1549</v>
      </c>
      <c r="I2189" s="251">
        <v>349</v>
      </c>
      <c r="J2189" s="251">
        <v>19856.204220658179</v>
      </c>
      <c r="K2189" s="38">
        <f t="shared" si="110"/>
        <v>6929815</v>
      </c>
      <c r="L2189" s="561" t="s">
        <v>166</v>
      </c>
      <c r="M2189" s="561" t="s">
        <v>164</v>
      </c>
      <c r="N2189" s="52" t="str">
        <f>IF(AND('331-CT'!$E$7=TH!H2189,OR(L2189="331",M2189="331")),"331",IF(AND(OR(L2189="131",M2189="131"),H2189='131-CT'!$E$7),"131",""))</f>
        <v/>
      </c>
      <c r="O2189" s="818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751"/>
      <c r="AB2189" s="552"/>
      <c r="AC2189" s="552"/>
    </row>
    <row r="2190" spans="1:29" s="209" customFormat="1" ht="15.75" customHeight="1">
      <c r="A2190" s="202" t="str">
        <f>IF(B2190&lt;&gt;"",IF(AND(B2190&gt;=_TM1,B2190&lt;=_TM2,OR(TH!L2190="1111",TH!M2190="1111")),TH!D2190,""),"")</f>
        <v/>
      </c>
      <c r="B2190" s="36">
        <f t="shared" si="112"/>
        <v>2</v>
      </c>
      <c r="C2190" s="182">
        <f t="shared" si="111"/>
        <v>42422</v>
      </c>
      <c r="D2190" s="182" t="s">
        <v>1547</v>
      </c>
      <c r="E2190" s="189">
        <v>42422</v>
      </c>
      <c r="F2190" s="190" t="s">
        <v>597</v>
      </c>
      <c r="G2190" s="451" t="s">
        <v>430</v>
      </c>
      <c r="H2190" s="7" t="s">
        <v>1549</v>
      </c>
      <c r="I2190" s="251">
        <v>205</v>
      </c>
      <c r="J2190" s="251">
        <v>8092.654661360687</v>
      </c>
      <c r="K2190" s="38">
        <f t="shared" si="110"/>
        <v>1658994</v>
      </c>
      <c r="L2190" s="561" t="s">
        <v>166</v>
      </c>
      <c r="M2190" s="561" t="s">
        <v>164</v>
      </c>
      <c r="N2190" s="52" t="str">
        <f>IF(AND('331-CT'!$E$7=TH!H2190,OR(L2190="331",M2190="331")),"331",IF(AND(OR(L2190="131",M2190="131"),H2190='131-CT'!$E$7),"131",""))</f>
        <v/>
      </c>
      <c r="O2190" s="818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751"/>
      <c r="AB2190" s="552"/>
      <c r="AC2190" s="552"/>
    </row>
    <row r="2191" spans="1:29" s="209" customFormat="1" ht="15.75" customHeight="1">
      <c r="A2191" s="202" t="str">
        <f>IF(B2191&lt;&gt;"",IF(AND(B2191&gt;=_TM1,B2191&lt;=_TM2,OR(TH!L2191="1111",TH!M2191="1111")),TH!D2191,""),"")</f>
        <v/>
      </c>
      <c r="B2191" s="36">
        <f t="shared" si="112"/>
        <v>2</v>
      </c>
      <c r="C2191" s="182">
        <f t="shared" si="111"/>
        <v>42422</v>
      </c>
      <c r="D2191" s="182" t="s">
        <v>1547</v>
      </c>
      <c r="E2191" s="189">
        <v>42422</v>
      </c>
      <c r="F2191" s="190" t="s">
        <v>456</v>
      </c>
      <c r="G2191" s="451" t="s">
        <v>430</v>
      </c>
      <c r="H2191" s="7" t="s">
        <v>1549</v>
      </c>
      <c r="I2191" s="251">
        <v>407</v>
      </c>
      <c r="J2191" s="251">
        <v>7842.3663728649954</v>
      </c>
      <c r="K2191" s="38">
        <f t="shared" si="110"/>
        <v>3191843</v>
      </c>
      <c r="L2191" s="561" t="s">
        <v>166</v>
      </c>
      <c r="M2191" s="561" t="s">
        <v>164</v>
      </c>
      <c r="N2191" s="52" t="str">
        <f>IF(AND('331-CT'!$E$7=TH!H2191,OR(L2191="331",M2191="331")),"331",IF(AND(OR(L2191="131",M2191="131"),H2191='131-CT'!$E$7),"131",""))</f>
        <v/>
      </c>
      <c r="O2191" s="818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751"/>
      <c r="AB2191" s="552"/>
      <c r="AC2191" s="552"/>
    </row>
    <row r="2192" spans="1:29" s="209" customFormat="1" ht="15.75" customHeight="1">
      <c r="A2192" s="202" t="str">
        <f>IF(B2192&lt;&gt;"",IF(AND(B2192&gt;=_TM1,B2192&lt;=_TM2,OR(TH!L2192="1111",TH!M2192="1111")),TH!D2192,""),"")</f>
        <v/>
      </c>
      <c r="B2192" s="36">
        <f t="shared" si="112"/>
        <v>2</v>
      </c>
      <c r="C2192" s="182">
        <f t="shared" si="111"/>
        <v>42422</v>
      </c>
      <c r="D2192" s="182" t="s">
        <v>1547</v>
      </c>
      <c r="E2192" s="189">
        <v>42422</v>
      </c>
      <c r="F2192" s="190" t="s">
        <v>477</v>
      </c>
      <c r="G2192" s="451" t="s">
        <v>430</v>
      </c>
      <c r="H2192" s="7" t="s">
        <v>1549</v>
      </c>
      <c r="I2192" s="251">
        <v>105</v>
      </c>
      <c r="J2192" s="251">
        <v>7758.9369433664324</v>
      </c>
      <c r="K2192" s="38">
        <f t="shared" si="110"/>
        <v>814688</v>
      </c>
      <c r="L2192" s="561" t="s">
        <v>166</v>
      </c>
      <c r="M2192" s="561" t="s">
        <v>164</v>
      </c>
      <c r="N2192" s="52" t="str">
        <f>IF(AND('331-CT'!$E$7=TH!H2192,OR(L2192="331",M2192="331")),"331",IF(AND(OR(L2192="131",M2192="131"),H2192='131-CT'!$E$7),"131",""))</f>
        <v/>
      </c>
      <c r="O2192" s="818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751"/>
      <c r="AB2192" s="552"/>
      <c r="AC2192" s="552"/>
    </row>
    <row r="2193" spans="1:29" s="209" customFormat="1" ht="15.75" customHeight="1">
      <c r="A2193" s="202" t="str">
        <f>IF(B2193&lt;&gt;"",IF(AND(B2193&gt;=_TM1,B2193&lt;=_TM2,OR(TH!L2193="1111",TH!M2193="1111")),TH!D2193,""),"")</f>
        <v/>
      </c>
      <c r="B2193" s="36">
        <f t="shared" si="112"/>
        <v>2</v>
      </c>
      <c r="C2193" s="182">
        <f t="shared" si="111"/>
        <v>42423</v>
      </c>
      <c r="D2193" s="182" t="s">
        <v>1547</v>
      </c>
      <c r="E2193" s="189">
        <v>42423</v>
      </c>
      <c r="F2193" s="190" t="s">
        <v>928</v>
      </c>
      <c r="G2193" s="451" t="s">
        <v>431</v>
      </c>
      <c r="H2193" s="7" t="s">
        <v>1549</v>
      </c>
      <c r="I2193" s="251">
        <v>500</v>
      </c>
      <c r="J2193" s="251">
        <v>11096.114123308984</v>
      </c>
      <c r="K2193" s="38">
        <f t="shared" si="110"/>
        <v>5548057</v>
      </c>
      <c r="L2193" s="561" t="s">
        <v>166</v>
      </c>
      <c r="M2193" s="561" t="s">
        <v>164</v>
      </c>
      <c r="N2193" s="52" t="str">
        <f>IF(AND('331-CT'!$E$7=TH!H2193,OR(L2193="331",M2193="331")),"331",IF(AND(OR(L2193="131",M2193="131"),H2193='131-CT'!$E$7),"131",""))</f>
        <v/>
      </c>
      <c r="O2193" s="818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751"/>
      <c r="AB2193" s="552"/>
    </row>
    <row r="2194" spans="1:29" s="209" customFormat="1" ht="15.75" customHeight="1">
      <c r="A2194" s="202" t="str">
        <f>IF(B2194&lt;&gt;"",IF(AND(B2194&gt;=_TM1,B2194&lt;=_TM2,OR(TH!L2194="1111",TH!M2194="1111")),TH!D2194,""),"")</f>
        <v/>
      </c>
      <c r="B2194" s="36">
        <f t="shared" si="112"/>
        <v>2</v>
      </c>
      <c r="C2194" s="182">
        <f t="shared" si="111"/>
        <v>42423</v>
      </c>
      <c r="D2194" s="182" t="s">
        <v>1547</v>
      </c>
      <c r="E2194" s="37">
        <v>42423</v>
      </c>
      <c r="F2194" s="40" t="s">
        <v>415</v>
      </c>
      <c r="G2194" s="40" t="s">
        <v>432</v>
      </c>
      <c r="H2194" s="7" t="s">
        <v>1549</v>
      </c>
      <c r="I2194" s="251">
        <v>102</v>
      </c>
      <c r="J2194" s="251">
        <v>11179.543552807549</v>
      </c>
      <c r="K2194" s="38">
        <f t="shared" si="110"/>
        <v>1140313</v>
      </c>
      <c r="L2194" s="561" t="s">
        <v>166</v>
      </c>
      <c r="M2194" s="561" t="s">
        <v>164</v>
      </c>
      <c r="N2194" s="52" t="str">
        <f>IF(AND('331-CT'!$E$7=TH!H2194,OR(L2194="331",M2194="331")),"331",IF(AND(OR(L2194="131",M2194="131"),H2194='131-CT'!$E$7),"131",""))</f>
        <v/>
      </c>
      <c r="O2194" s="818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751"/>
      <c r="AB2194" s="552"/>
      <c r="AC2194" s="552"/>
    </row>
    <row r="2195" spans="1:29" s="209" customFormat="1" ht="15.75" customHeight="1">
      <c r="A2195" s="202" t="str">
        <f>IF(B2195&lt;&gt;"",IF(AND(B2195&gt;=_TM1,B2195&lt;=_TM2,OR(TH!L2195="1111",TH!M2195="1111")),TH!D2195,""),"")</f>
        <v/>
      </c>
      <c r="B2195" s="36">
        <f t="shared" si="112"/>
        <v>2</v>
      </c>
      <c r="C2195" s="182">
        <f t="shared" si="111"/>
        <v>42423</v>
      </c>
      <c r="D2195" s="182" t="s">
        <v>1547</v>
      </c>
      <c r="E2195" s="37">
        <v>42423</v>
      </c>
      <c r="F2195" s="40" t="s">
        <v>1435</v>
      </c>
      <c r="G2195" s="40" t="s">
        <v>433</v>
      </c>
      <c r="H2195" s="7" t="s">
        <v>1549</v>
      </c>
      <c r="I2195" s="251">
        <v>1509</v>
      </c>
      <c r="J2195" s="251">
        <v>9761.2432513319618</v>
      </c>
      <c r="K2195" s="38">
        <f t="shared" si="110"/>
        <v>14729716</v>
      </c>
      <c r="L2195" s="561" t="s">
        <v>166</v>
      </c>
      <c r="M2195" s="561" t="s">
        <v>164</v>
      </c>
      <c r="N2195" s="52" t="str">
        <f>IF(AND('331-CT'!$E$7=TH!H2195,OR(L2195="331",M2195="331")),"331",IF(AND(OR(L2195="131",M2195="131"),H2195='131-CT'!$E$7),"131",""))</f>
        <v/>
      </c>
      <c r="O2195" s="818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751"/>
      <c r="AB2195" s="552"/>
      <c r="AC2195" s="552"/>
    </row>
    <row r="2196" spans="1:29" s="209" customFormat="1" ht="15.75" customHeight="1">
      <c r="A2196" s="202" t="str">
        <f>IF(B2196&lt;&gt;"",IF(AND(B2196&gt;=_TM1,B2196&lt;=_TM2,OR(TH!L2196="1111",TH!M2196="1111")),TH!D2196,""),"")</f>
        <v/>
      </c>
      <c r="B2196" s="36">
        <f t="shared" si="112"/>
        <v>2</v>
      </c>
      <c r="C2196" s="182">
        <f t="shared" si="111"/>
        <v>42423</v>
      </c>
      <c r="D2196" s="182" t="s">
        <v>1547</v>
      </c>
      <c r="E2196" s="37">
        <v>42423</v>
      </c>
      <c r="F2196" s="40" t="s">
        <v>1306</v>
      </c>
      <c r="G2196" s="40" t="s">
        <v>433</v>
      </c>
      <c r="H2196" s="7" t="s">
        <v>1549</v>
      </c>
      <c r="I2196" s="251">
        <v>783</v>
      </c>
      <c r="J2196" s="251">
        <v>10345.24925782191</v>
      </c>
      <c r="K2196" s="38">
        <f t="shared" si="110"/>
        <v>8100330</v>
      </c>
      <c r="L2196" s="561" t="s">
        <v>166</v>
      </c>
      <c r="M2196" s="561" t="s">
        <v>164</v>
      </c>
      <c r="N2196" s="52" t="str">
        <f>IF(AND('331-CT'!$E$7=TH!H2196,OR(L2196="331",M2196="331")),"331",IF(AND(OR(L2196="131",M2196="131"),H2196='131-CT'!$E$7),"131",""))</f>
        <v/>
      </c>
      <c r="O2196" s="818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751"/>
      <c r="AB2196" s="552"/>
      <c r="AC2196" s="552"/>
    </row>
    <row r="2197" spans="1:29" s="209" customFormat="1" ht="15.75" customHeight="1">
      <c r="A2197" s="202" t="str">
        <f>IF(B2197&lt;&gt;"",IF(AND(B2197&gt;=_TM1,B2197&lt;=_TM2,OR(TH!L2197="1111",TH!M2197="1111")),TH!D2197,""),"")</f>
        <v/>
      </c>
      <c r="B2197" s="36">
        <f t="shared" si="112"/>
        <v>2</v>
      </c>
      <c r="C2197" s="182">
        <f t="shared" si="111"/>
        <v>42423</v>
      </c>
      <c r="D2197" s="182" t="s">
        <v>1547</v>
      </c>
      <c r="E2197" s="37">
        <v>42423</v>
      </c>
      <c r="F2197" s="190" t="s">
        <v>645</v>
      </c>
      <c r="G2197" s="40" t="s">
        <v>434</v>
      </c>
      <c r="H2197" s="7" t="s">
        <v>1549</v>
      </c>
      <c r="I2197" s="251">
        <v>1000</v>
      </c>
      <c r="J2197" s="251">
        <v>9510.9549628362711</v>
      </c>
      <c r="K2197" s="38">
        <f t="shared" si="110"/>
        <v>9510955</v>
      </c>
      <c r="L2197" s="561" t="s">
        <v>166</v>
      </c>
      <c r="M2197" s="561" t="s">
        <v>164</v>
      </c>
      <c r="N2197" s="52" t="str">
        <f>IF(AND('331-CT'!$E$7=TH!H2197,OR(L2197="331",M2197="331")),"331",IF(AND(OR(L2197="131",M2197="131"),H2197='131-CT'!$E$7),"131",""))</f>
        <v/>
      </c>
      <c r="O2197" s="818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751"/>
      <c r="AB2197" s="552"/>
    </row>
    <row r="2198" spans="1:29" s="209" customFormat="1" ht="15.75" customHeight="1">
      <c r="A2198" s="202" t="str">
        <f>IF(B2198&lt;&gt;"",IF(AND(B2198&gt;=_TM1,B2198&lt;=_TM2,OR(TH!L2198="1111",TH!M2198="1111")),TH!D2198,""),"")</f>
        <v/>
      </c>
      <c r="B2198" s="36">
        <f t="shared" si="112"/>
        <v>2</v>
      </c>
      <c r="C2198" s="182">
        <f t="shared" si="111"/>
        <v>42423</v>
      </c>
      <c r="D2198" s="182" t="s">
        <v>1547</v>
      </c>
      <c r="E2198" s="37">
        <v>42423</v>
      </c>
      <c r="F2198" s="40" t="s">
        <v>645</v>
      </c>
      <c r="G2198" s="40" t="s">
        <v>434</v>
      </c>
      <c r="H2198" s="7" t="s">
        <v>1549</v>
      </c>
      <c r="I2198" s="251">
        <v>50</v>
      </c>
      <c r="J2198" s="251">
        <v>9510.9549628362711</v>
      </c>
      <c r="K2198" s="38">
        <f t="shared" si="110"/>
        <v>475548</v>
      </c>
      <c r="L2198" s="561" t="s">
        <v>166</v>
      </c>
      <c r="M2198" s="561" t="s">
        <v>164</v>
      </c>
      <c r="N2198" s="52" t="str">
        <f>IF(AND('331-CT'!$E$7=TH!H2198,OR(L2198="331",M2198="331")),"331",IF(AND(OR(L2198="131",M2198="131"),H2198='131-CT'!$E$7),"131",""))</f>
        <v/>
      </c>
      <c r="O2198" s="818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751"/>
      <c r="AB2198" s="552"/>
      <c r="AC2198" s="552"/>
    </row>
    <row r="2199" spans="1:29" s="209" customFormat="1" ht="15.75" customHeight="1">
      <c r="A2199" s="202" t="str">
        <f>IF(B2199&lt;&gt;"",IF(AND(B2199&gt;=_TM1,B2199&lt;=_TM2,OR(TH!L2199="1111",TH!M2199="1111")),TH!D2199,""),"")</f>
        <v/>
      </c>
      <c r="B2199" s="36">
        <f t="shared" si="112"/>
        <v>2</v>
      </c>
      <c r="C2199" s="182">
        <f t="shared" si="111"/>
        <v>42423</v>
      </c>
      <c r="D2199" s="182" t="s">
        <v>1547</v>
      </c>
      <c r="E2199" s="37">
        <v>42423</v>
      </c>
      <c r="F2199" s="40" t="s">
        <v>693</v>
      </c>
      <c r="G2199" s="40" t="s">
        <v>434</v>
      </c>
      <c r="H2199" s="7" t="s">
        <v>1549</v>
      </c>
      <c r="I2199" s="251">
        <v>2100</v>
      </c>
      <c r="J2199" s="251">
        <v>750.8648654870741</v>
      </c>
      <c r="K2199" s="38">
        <f t="shared" si="110"/>
        <v>1576816</v>
      </c>
      <c r="L2199" s="561" t="s">
        <v>166</v>
      </c>
      <c r="M2199" s="561" t="s">
        <v>164</v>
      </c>
      <c r="N2199" s="52" t="str">
        <f>IF(AND('331-CT'!$E$7=TH!H2199,OR(L2199="331",M2199="331")),"331",IF(AND(OR(L2199="131",M2199="131"),H2199='131-CT'!$E$7),"131",""))</f>
        <v/>
      </c>
      <c r="O2199" s="818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751"/>
      <c r="AB2199" s="552"/>
      <c r="AC2199" s="552"/>
    </row>
    <row r="2200" spans="1:29" s="209" customFormat="1" ht="15.75" customHeight="1">
      <c r="A2200" s="202" t="str">
        <f>IF(B2200&lt;&gt;"",IF(AND(B2200&gt;=_TM1,B2200&lt;=_TM2,OR(TH!L2200="1111",TH!M2200="1111")),TH!D2200,""),"")</f>
        <v/>
      </c>
      <c r="B2200" s="36">
        <f t="shared" si="112"/>
        <v>2</v>
      </c>
      <c r="C2200" s="182">
        <f t="shared" si="111"/>
        <v>42424</v>
      </c>
      <c r="D2200" s="182" t="s">
        <v>1547</v>
      </c>
      <c r="E2200" s="37">
        <v>42424</v>
      </c>
      <c r="F2200" s="40" t="s">
        <v>929</v>
      </c>
      <c r="G2200" s="40" t="s">
        <v>435</v>
      </c>
      <c r="H2200" s="7" t="s">
        <v>1549</v>
      </c>
      <c r="I2200" s="251">
        <v>500</v>
      </c>
      <c r="J2200" s="251">
        <v>17603.609624196957</v>
      </c>
      <c r="K2200" s="38">
        <f t="shared" si="110"/>
        <v>8801805</v>
      </c>
      <c r="L2200" s="561" t="s">
        <v>166</v>
      </c>
      <c r="M2200" s="561" t="s">
        <v>164</v>
      </c>
      <c r="N2200" s="52" t="str">
        <f>IF(AND('331-CT'!$E$7=TH!H2200,OR(L2200="331",M2200="331")),"331",IF(AND(OR(L2200="131",M2200="131"),H2200='131-CT'!$E$7),"131",""))</f>
        <v/>
      </c>
      <c r="O2200" s="818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751"/>
      <c r="AB2200" s="552"/>
      <c r="AC2200" s="552"/>
    </row>
    <row r="2201" spans="1:29" s="209" customFormat="1" ht="15.75" customHeight="1">
      <c r="A2201" s="202" t="str">
        <f>IF(B2201&lt;&gt;"",IF(AND(B2201&gt;=_TM1,B2201&lt;=_TM2,OR(TH!L2201="1111",TH!M2201="1111")),TH!D2201,""),"")</f>
        <v/>
      </c>
      <c r="B2201" s="36">
        <f t="shared" si="112"/>
        <v>2</v>
      </c>
      <c r="C2201" s="182">
        <f t="shared" si="111"/>
        <v>42424</v>
      </c>
      <c r="D2201" s="182" t="s">
        <v>1547</v>
      </c>
      <c r="E2201" s="37">
        <v>42424</v>
      </c>
      <c r="F2201" s="40" t="s">
        <v>628</v>
      </c>
      <c r="G2201" s="40" t="s">
        <v>437</v>
      </c>
      <c r="H2201" s="7" t="s">
        <v>1549</v>
      </c>
      <c r="I2201" s="251">
        <v>61</v>
      </c>
      <c r="J2201" s="251">
        <v>23693.957977592116</v>
      </c>
      <c r="K2201" s="38">
        <f t="shared" si="110"/>
        <v>1445331</v>
      </c>
      <c r="L2201" s="561" t="s">
        <v>166</v>
      </c>
      <c r="M2201" s="561" t="s">
        <v>164</v>
      </c>
      <c r="N2201" s="52" t="str">
        <f>IF(AND('331-CT'!$E$7=TH!H2201,OR(L2201="331",M2201="331")),"331",IF(AND(OR(L2201="131",M2201="131"),H2201='131-CT'!$E$7),"131",""))</f>
        <v/>
      </c>
      <c r="O2201" s="818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751"/>
      <c r="AB2201" s="552"/>
    </row>
    <row r="2202" spans="1:29" s="209" customFormat="1" ht="15.75" customHeight="1">
      <c r="A2202" s="202" t="str">
        <f>IF(B2202&lt;&gt;"",IF(AND(B2202&gt;=_TM1,B2202&lt;=_TM2,OR(TH!L2202="1111",TH!M2202="1111")),TH!D2202,""),"")</f>
        <v/>
      </c>
      <c r="B2202" s="36">
        <f t="shared" si="112"/>
        <v>2</v>
      </c>
      <c r="C2202" s="182">
        <f t="shared" si="111"/>
        <v>42424</v>
      </c>
      <c r="D2202" s="182" t="s">
        <v>1547</v>
      </c>
      <c r="E2202" s="37">
        <v>42424</v>
      </c>
      <c r="F2202" s="40" t="s">
        <v>418</v>
      </c>
      <c r="G2202" s="40" t="s">
        <v>437</v>
      </c>
      <c r="H2202" s="7" t="s">
        <v>1549</v>
      </c>
      <c r="I2202" s="251">
        <v>147</v>
      </c>
      <c r="J2202" s="251">
        <v>60486.336386458745</v>
      </c>
      <c r="K2202" s="38">
        <f t="shared" si="110"/>
        <v>8891491</v>
      </c>
      <c r="L2202" s="561" t="s">
        <v>166</v>
      </c>
      <c r="M2202" s="561" t="s">
        <v>164</v>
      </c>
      <c r="N2202" s="52" t="str">
        <f>IF(AND('331-CT'!$E$7=TH!H2202,OR(L2202="331",M2202="331")),"331",IF(AND(OR(L2202="131",M2202="131"),H2202='131-CT'!$E$7),"131",""))</f>
        <v/>
      </c>
      <c r="O2202" s="818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751"/>
      <c r="AB2202" s="552"/>
      <c r="AC2202" s="552"/>
    </row>
    <row r="2203" spans="1:29" s="209" customFormat="1" ht="15.75" customHeight="1">
      <c r="A2203" s="202" t="str">
        <f>IF(B2203&lt;&gt;"",IF(AND(B2203&gt;=_TM1,B2203&lt;=_TM2,OR(TH!L2203="1111",TH!M2203="1111")),TH!D2203,""),"")</f>
        <v/>
      </c>
      <c r="B2203" s="36">
        <f t="shared" si="112"/>
        <v>2</v>
      </c>
      <c r="C2203" s="182">
        <f t="shared" si="111"/>
        <v>42424</v>
      </c>
      <c r="D2203" s="182" t="s">
        <v>1547</v>
      </c>
      <c r="E2203" s="37">
        <v>42424</v>
      </c>
      <c r="F2203" s="40" t="s">
        <v>912</v>
      </c>
      <c r="G2203" s="40" t="s">
        <v>437</v>
      </c>
      <c r="H2203" s="7" t="s">
        <v>1549</v>
      </c>
      <c r="I2203" s="251">
        <v>51</v>
      </c>
      <c r="J2203" s="251">
        <v>63072.648700914222</v>
      </c>
      <c r="K2203" s="38">
        <f t="shared" si="110"/>
        <v>3216705</v>
      </c>
      <c r="L2203" s="561" t="s">
        <v>166</v>
      </c>
      <c r="M2203" s="561" t="s">
        <v>164</v>
      </c>
      <c r="N2203" s="52" t="str">
        <f>IF(AND('331-CT'!$E$7=TH!H2203,OR(L2203="331",M2203="331")),"331",IF(AND(OR(L2203="131",M2203="131"),H2203='131-CT'!$E$7),"131",""))</f>
        <v/>
      </c>
      <c r="O2203" s="818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751"/>
      <c r="AB2203" s="552"/>
      <c r="AC2203" s="552"/>
    </row>
    <row r="2204" spans="1:29" s="209" customFormat="1" ht="15.75" customHeight="1">
      <c r="A2204" s="202" t="str">
        <f>IF(B2204&lt;&gt;"",IF(AND(B2204&gt;=_TM1,B2204&lt;=_TM2,OR(TH!L2204="1111",TH!M2204="1111")),TH!D2204,""),"")</f>
        <v/>
      </c>
      <c r="B2204" s="36">
        <f t="shared" si="112"/>
        <v>2</v>
      </c>
      <c r="C2204" s="182">
        <f t="shared" si="111"/>
        <v>42424</v>
      </c>
      <c r="D2204" s="182" t="s">
        <v>1547</v>
      </c>
      <c r="E2204" s="189">
        <v>42424</v>
      </c>
      <c r="F2204" s="190" t="s">
        <v>516</v>
      </c>
      <c r="G2204" s="451" t="s">
        <v>439</v>
      </c>
      <c r="H2204" s="7" t="s">
        <v>1549</v>
      </c>
      <c r="I2204" s="251">
        <v>200</v>
      </c>
      <c r="J2204" s="251">
        <v>10929.255264311856</v>
      </c>
      <c r="K2204" s="38">
        <f t="shared" si="110"/>
        <v>2185851</v>
      </c>
      <c r="L2204" s="561" t="s">
        <v>166</v>
      </c>
      <c r="M2204" s="561" t="s">
        <v>164</v>
      </c>
      <c r="N2204" s="52" t="str">
        <f>IF(AND('331-CT'!$E$7=TH!H2204,OR(L2204="331",M2204="331")),"331",IF(AND(OR(L2204="131",M2204="131"),H2204='131-CT'!$E$7),"131",""))</f>
        <v/>
      </c>
      <c r="O2204" s="818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751"/>
      <c r="AB2204" s="552"/>
      <c r="AC2204" s="552"/>
    </row>
    <row r="2205" spans="1:29" s="209" customFormat="1" ht="15.75" customHeight="1">
      <c r="A2205" s="202" t="str">
        <f>IF(B2205&lt;&gt;"",IF(AND(B2205&gt;=_TM1,B2205&lt;=_TM2,OR(TH!L2205="1111",TH!M2205="1111")),TH!D2205,""),"")</f>
        <v/>
      </c>
      <c r="B2205" s="36">
        <f t="shared" si="112"/>
        <v>2</v>
      </c>
      <c r="C2205" s="182">
        <f t="shared" si="111"/>
        <v>42424</v>
      </c>
      <c r="D2205" s="182" t="s">
        <v>1547</v>
      </c>
      <c r="E2205" s="189">
        <v>42424</v>
      </c>
      <c r="F2205" s="190" t="s">
        <v>1229</v>
      </c>
      <c r="G2205" s="451" t="s">
        <v>439</v>
      </c>
      <c r="H2205" s="7" t="s">
        <v>1549</v>
      </c>
      <c r="I2205" s="251">
        <v>40</v>
      </c>
      <c r="J2205" s="251">
        <v>12764.70271328026</v>
      </c>
      <c r="K2205" s="38">
        <f t="shared" si="110"/>
        <v>510588</v>
      </c>
      <c r="L2205" s="561" t="s">
        <v>166</v>
      </c>
      <c r="M2205" s="561" t="s">
        <v>164</v>
      </c>
      <c r="N2205" s="52" t="str">
        <f>IF(AND('331-CT'!$E$7=TH!H2205,OR(L2205="331",M2205="331")),"331",IF(AND(OR(L2205="131",M2205="131"),H2205='131-CT'!$E$7),"131",""))</f>
        <v/>
      </c>
      <c r="O2205" s="818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751"/>
      <c r="AB2205" s="552"/>
      <c r="AC2205" s="552"/>
    </row>
    <row r="2206" spans="1:29" s="209" customFormat="1" ht="15.75" customHeight="1">
      <c r="A2206" s="202" t="str">
        <f>IF(B2206&lt;&gt;"",IF(AND(B2206&gt;=_TM1,B2206&lt;=_TM2,OR(TH!L2206="1111",TH!M2206="1111")),TH!D2206,""),"")</f>
        <v/>
      </c>
      <c r="B2206" s="36">
        <f t="shared" si="112"/>
        <v>2</v>
      </c>
      <c r="C2206" s="182">
        <f t="shared" si="111"/>
        <v>42424</v>
      </c>
      <c r="D2206" s="182" t="s">
        <v>1547</v>
      </c>
      <c r="E2206" s="189">
        <v>42424</v>
      </c>
      <c r="F2206" s="190" t="s">
        <v>697</v>
      </c>
      <c r="G2206" s="451" t="s">
        <v>439</v>
      </c>
      <c r="H2206" s="7" t="s">
        <v>1549</v>
      </c>
      <c r="I2206" s="251">
        <v>5</v>
      </c>
      <c r="J2206" s="251">
        <v>14349.86187375297</v>
      </c>
      <c r="K2206" s="38">
        <f t="shared" si="110"/>
        <v>71749</v>
      </c>
      <c r="L2206" s="561" t="s">
        <v>166</v>
      </c>
      <c r="M2206" s="561" t="s">
        <v>164</v>
      </c>
      <c r="N2206" s="52" t="str">
        <f>IF(AND('331-CT'!$E$7=TH!H2206,OR(L2206="331",M2206="331")),"331",IF(AND(OR(L2206="131",M2206="131"),H2206='131-CT'!$E$7),"131",""))</f>
        <v/>
      </c>
      <c r="O2206" s="818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751"/>
      <c r="AB2206" s="552"/>
      <c r="AC2206" s="552"/>
    </row>
    <row r="2207" spans="1:29" s="209" customFormat="1" ht="15.75" customHeight="1">
      <c r="A2207" s="202" t="str">
        <f>IF(B2207&lt;&gt;"",IF(AND(B2207&gt;=_TM1,B2207&lt;=_TM2,OR(TH!L2207="1111",TH!M2207="1111")),TH!D2207,""),"")</f>
        <v/>
      </c>
      <c r="B2207" s="36">
        <f t="shared" si="112"/>
        <v>2</v>
      </c>
      <c r="C2207" s="182">
        <f t="shared" si="111"/>
        <v>42424</v>
      </c>
      <c r="D2207" s="182" t="s">
        <v>1547</v>
      </c>
      <c r="E2207" s="189">
        <v>42424</v>
      </c>
      <c r="F2207" s="190" t="s">
        <v>695</v>
      </c>
      <c r="G2207" s="451" t="s">
        <v>439</v>
      </c>
      <c r="H2207" s="7" t="s">
        <v>1549</v>
      </c>
      <c r="I2207" s="251">
        <v>30</v>
      </c>
      <c r="J2207" s="251">
        <v>13849.285296761587</v>
      </c>
      <c r="K2207" s="38">
        <f t="shared" si="110"/>
        <v>415479</v>
      </c>
      <c r="L2207" s="561" t="s">
        <v>166</v>
      </c>
      <c r="M2207" s="561" t="s">
        <v>164</v>
      </c>
      <c r="N2207" s="52" t="str">
        <f>IF(AND('331-CT'!$E$7=TH!H2207,OR(L2207="331",M2207="331")),"331",IF(AND(OR(L2207="131",M2207="131"),H2207='131-CT'!$E$7),"131",""))</f>
        <v/>
      </c>
      <c r="O2207" s="818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751"/>
      <c r="AB2207" s="552"/>
      <c r="AC2207" s="552"/>
    </row>
    <row r="2208" spans="1:29" s="209" customFormat="1" ht="15.75" customHeight="1">
      <c r="A2208" s="202" t="str">
        <f>IF(B2208&lt;&gt;"",IF(AND(B2208&gt;=_TM1,B2208&lt;=_TM2,OR(TH!L2208="1111",TH!M2208="1111")),TH!D2208,""),"")</f>
        <v/>
      </c>
      <c r="B2208" s="36">
        <f t="shared" si="112"/>
        <v>2</v>
      </c>
      <c r="C2208" s="182">
        <f t="shared" si="111"/>
        <v>42424</v>
      </c>
      <c r="D2208" s="182" t="s">
        <v>1547</v>
      </c>
      <c r="E2208" s="189">
        <v>42424</v>
      </c>
      <c r="F2208" s="190" t="s">
        <v>714</v>
      </c>
      <c r="G2208" s="451" t="s">
        <v>439</v>
      </c>
      <c r="H2208" s="7" t="s">
        <v>1549</v>
      </c>
      <c r="I2208" s="251">
        <v>550</v>
      </c>
      <c r="J2208" s="251">
        <v>8176.0840908592509</v>
      </c>
      <c r="K2208" s="38">
        <f t="shared" si="110"/>
        <v>4496846</v>
      </c>
      <c r="L2208" s="561" t="s">
        <v>166</v>
      </c>
      <c r="M2208" s="561" t="s">
        <v>164</v>
      </c>
      <c r="N2208" s="52" t="str">
        <f>IF(AND('331-CT'!$E$7=TH!H2208,OR(L2208="331",M2208="331")),"331",IF(AND(OR(L2208="131",M2208="131"),H2208='131-CT'!$E$7),"131",""))</f>
        <v/>
      </c>
      <c r="O2208" s="818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751"/>
      <c r="AB2208" s="552"/>
      <c r="AC2208" s="552"/>
    </row>
    <row r="2209" spans="1:29" s="209" customFormat="1" ht="15.75" customHeight="1">
      <c r="A2209" s="202" t="str">
        <f>IF(B2209&lt;&gt;"",IF(AND(B2209&gt;=_TM1,B2209&lt;=_TM2,OR(TH!L2209="1111",TH!M2209="1111")),TH!D2209,""),"")</f>
        <v/>
      </c>
      <c r="B2209" s="36">
        <f t="shared" si="112"/>
        <v>2</v>
      </c>
      <c r="C2209" s="182">
        <f t="shared" si="111"/>
        <v>42424</v>
      </c>
      <c r="D2209" s="182" t="s">
        <v>1547</v>
      </c>
      <c r="E2209" s="189">
        <v>42424</v>
      </c>
      <c r="F2209" s="190" t="s">
        <v>518</v>
      </c>
      <c r="G2209" s="451" t="s">
        <v>439</v>
      </c>
      <c r="H2209" s="7" t="s">
        <v>1549</v>
      </c>
      <c r="I2209" s="251">
        <v>45</v>
      </c>
      <c r="J2209" s="251">
        <v>12264.126136288876</v>
      </c>
      <c r="K2209" s="38">
        <f t="shared" si="110"/>
        <v>551886</v>
      </c>
      <c r="L2209" s="561" t="s">
        <v>166</v>
      </c>
      <c r="M2209" s="561" t="s">
        <v>164</v>
      </c>
      <c r="N2209" s="52" t="str">
        <f>IF(AND('331-CT'!$E$7=TH!H2209,OR(L2209="331",M2209="331")),"331",IF(AND(OR(L2209="131",M2209="131"),H2209='131-CT'!$E$7),"131",""))</f>
        <v/>
      </c>
      <c r="O2209" s="818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751"/>
      <c r="AB2209" s="552"/>
      <c r="AC2209" s="552"/>
    </row>
    <row r="2210" spans="1:29" s="209" customFormat="1" ht="15.75" customHeight="1">
      <c r="A2210" s="202" t="str">
        <f>IF(B2210&lt;&gt;"",IF(AND(B2210&gt;=_TM1,B2210&lt;=_TM2,OR(TH!L2210="1111",TH!M2210="1111")),TH!D2210,""),"")</f>
        <v/>
      </c>
      <c r="B2210" s="36">
        <f t="shared" si="112"/>
        <v>2</v>
      </c>
      <c r="C2210" s="182">
        <f t="shared" si="111"/>
        <v>42425</v>
      </c>
      <c r="D2210" s="182" t="s">
        <v>1547</v>
      </c>
      <c r="E2210" s="189">
        <v>42425</v>
      </c>
      <c r="F2210" s="190" t="s">
        <v>930</v>
      </c>
      <c r="G2210" s="451" t="s">
        <v>440</v>
      </c>
      <c r="H2210" s="7" t="s">
        <v>1549</v>
      </c>
      <c r="I2210" s="251">
        <v>110</v>
      </c>
      <c r="J2210" s="251">
        <v>6924.6426483807936</v>
      </c>
      <c r="K2210" s="38">
        <f t="shared" si="110"/>
        <v>761711</v>
      </c>
      <c r="L2210" s="561" t="s">
        <v>166</v>
      </c>
      <c r="M2210" s="561" t="s">
        <v>164</v>
      </c>
      <c r="N2210" s="52" t="str">
        <f>IF(AND('331-CT'!$E$7=TH!H2210,OR(L2210="331",M2210="331")),"331",IF(AND(OR(L2210="131",M2210="131"),H2210='131-CT'!$E$7),"131",""))</f>
        <v/>
      </c>
      <c r="O2210" s="818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751"/>
      <c r="AB2210" s="552"/>
    </row>
    <row r="2211" spans="1:29" s="209" customFormat="1" ht="15.75" customHeight="1">
      <c r="A2211" s="202" t="str">
        <f>IF(B2211&lt;&gt;"",IF(AND(B2211&gt;=_TM1,B2211&lt;=_TM2,OR(TH!L2211="1111",TH!M2211="1111")),TH!D2211,""),"")</f>
        <v/>
      </c>
      <c r="B2211" s="36">
        <f t="shared" si="112"/>
        <v>2</v>
      </c>
      <c r="C2211" s="182">
        <f t="shared" si="111"/>
        <v>42425</v>
      </c>
      <c r="D2211" s="182" t="s">
        <v>1547</v>
      </c>
      <c r="E2211" s="189">
        <v>42425</v>
      </c>
      <c r="F2211" s="190" t="s">
        <v>480</v>
      </c>
      <c r="G2211" s="451" t="s">
        <v>440</v>
      </c>
      <c r="H2211" s="7" t="s">
        <v>1549</v>
      </c>
      <c r="I2211" s="251">
        <v>1172</v>
      </c>
      <c r="J2211" s="251">
        <v>10595.537546317601</v>
      </c>
      <c r="K2211" s="38">
        <f t="shared" si="110"/>
        <v>12417970</v>
      </c>
      <c r="L2211" s="561" t="s">
        <v>166</v>
      </c>
      <c r="M2211" s="561" t="s">
        <v>164</v>
      </c>
      <c r="N2211" s="52" t="str">
        <f>IF(AND('331-CT'!$E$7=TH!H2211,OR(L2211="331",M2211="331")),"331",IF(AND(OR(L2211="131",M2211="131"),H2211='131-CT'!$E$7),"131",""))</f>
        <v/>
      </c>
      <c r="O2211" s="818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751"/>
    </row>
    <row r="2212" spans="1:29" s="209" customFormat="1" ht="15.75" customHeight="1">
      <c r="A2212" s="202" t="str">
        <f>IF(B2212&lt;&gt;"",IF(AND(B2212&gt;=_TM1,B2212&lt;=_TM2,OR(TH!L2212="1111",TH!M2212="1111")),TH!D2212,""),"")</f>
        <v/>
      </c>
      <c r="B2212" s="36">
        <f t="shared" si="112"/>
        <v>2</v>
      </c>
      <c r="C2212" s="182">
        <f t="shared" si="111"/>
        <v>42425</v>
      </c>
      <c r="D2212" s="182" t="s">
        <v>1547</v>
      </c>
      <c r="E2212" s="189">
        <v>42425</v>
      </c>
      <c r="F2212" s="190" t="s">
        <v>916</v>
      </c>
      <c r="G2212" s="451" t="s">
        <v>440</v>
      </c>
      <c r="H2212" s="7" t="s">
        <v>1549</v>
      </c>
      <c r="I2212" s="251">
        <v>110</v>
      </c>
      <c r="J2212" s="251">
        <v>11012.684693810421</v>
      </c>
      <c r="K2212" s="38">
        <f t="shared" si="110"/>
        <v>1211395</v>
      </c>
      <c r="L2212" s="561" t="s">
        <v>166</v>
      </c>
      <c r="M2212" s="561" t="s">
        <v>164</v>
      </c>
      <c r="N2212" s="52" t="str">
        <f>IF(AND('331-CT'!$E$7=TH!H2212,OR(L2212="331",M2212="331")),"331",IF(AND(OR(L2212="131",M2212="131"),H2212='131-CT'!$E$7),"131",""))</f>
        <v/>
      </c>
      <c r="O2212" s="818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751"/>
    </row>
    <row r="2213" spans="1:29" s="209" customFormat="1" ht="15.75" customHeight="1">
      <c r="A2213" s="202" t="str">
        <f>IF(B2213&lt;&gt;"",IF(AND(B2213&gt;=_TM1,B2213&lt;=_TM2,OR(TH!L2213="1111",TH!M2213="1111")),TH!D2213,""),"")</f>
        <v/>
      </c>
      <c r="B2213" s="36">
        <f t="shared" si="112"/>
        <v>2</v>
      </c>
      <c r="C2213" s="182">
        <f t="shared" si="111"/>
        <v>42425</v>
      </c>
      <c r="D2213" s="182" t="s">
        <v>1547</v>
      </c>
      <c r="E2213" s="189">
        <v>42425</v>
      </c>
      <c r="F2213" s="190" t="s">
        <v>931</v>
      </c>
      <c r="G2213" s="451" t="s">
        <v>440</v>
      </c>
      <c r="H2213" s="7" t="s">
        <v>1549</v>
      </c>
      <c r="I2213" s="251">
        <v>110</v>
      </c>
      <c r="J2213" s="251">
        <v>13014.99100177595</v>
      </c>
      <c r="K2213" s="38">
        <f t="shared" si="110"/>
        <v>1431649</v>
      </c>
      <c r="L2213" s="561" t="s">
        <v>166</v>
      </c>
      <c r="M2213" s="561" t="s">
        <v>164</v>
      </c>
      <c r="N2213" s="52" t="str">
        <f>IF(AND('331-CT'!$E$7=TH!H2213,OR(L2213="331",M2213="331")),"331",IF(AND(OR(L2213="131",M2213="131"),H2213='131-CT'!$E$7),"131",""))</f>
        <v/>
      </c>
      <c r="O2213" s="818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751"/>
    </row>
    <row r="2214" spans="1:29" s="209" customFormat="1" ht="15.75" customHeight="1">
      <c r="A2214" s="202" t="str">
        <f>IF(B2214&lt;&gt;"",IF(AND(B2214&gt;=_TM1,B2214&lt;=_TM2,OR(TH!L2214="1111",TH!M2214="1111")),TH!D2214,""),"")</f>
        <v/>
      </c>
      <c r="B2214" s="36">
        <f t="shared" si="112"/>
        <v>2</v>
      </c>
      <c r="C2214" s="182">
        <f t="shared" si="111"/>
        <v>42425</v>
      </c>
      <c r="D2214" s="182" t="s">
        <v>1547</v>
      </c>
      <c r="E2214" s="189">
        <v>42425</v>
      </c>
      <c r="F2214" s="190" t="s">
        <v>698</v>
      </c>
      <c r="G2214" s="451" t="s">
        <v>442</v>
      </c>
      <c r="H2214" s="7" t="s">
        <v>1549</v>
      </c>
      <c r="I2214" s="251">
        <v>20</v>
      </c>
      <c r="J2214" s="251">
        <v>11012.684693810421</v>
      </c>
      <c r="K2214" s="38">
        <f t="shared" si="110"/>
        <v>220254</v>
      </c>
      <c r="L2214" s="561" t="s">
        <v>166</v>
      </c>
      <c r="M2214" s="561" t="s">
        <v>164</v>
      </c>
      <c r="N2214" s="52" t="str">
        <f>IF(AND('331-CT'!$E$7=TH!H2214,OR(L2214="331",M2214="331")),"331",IF(AND(OR(L2214="131",M2214="131"),H2214='131-CT'!$E$7),"131",""))</f>
        <v/>
      </c>
      <c r="O2214" s="818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751"/>
    </row>
    <row r="2215" spans="1:29" s="209" customFormat="1" ht="15.75" customHeight="1">
      <c r="A2215" s="202" t="str">
        <f>IF(B2215&lt;&gt;"",IF(AND(B2215&gt;=_TM1,B2215&lt;=_TM2,OR(TH!L2215="1111",TH!M2215="1111")),TH!D2215,""),"")</f>
        <v/>
      </c>
      <c r="B2215" s="36">
        <f t="shared" si="112"/>
        <v>2</v>
      </c>
      <c r="C2215" s="182">
        <f t="shared" si="111"/>
        <v>42425</v>
      </c>
      <c r="D2215" s="182" t="s">
        <v>1547</v>
      </c>
      <c r="E2215" s="189">
        <v>42425</v>
      </c>
      <c r="F2215" s="190" t="s">
        <v>696</v>
      </c>
      <c r="G2215" s="451" t="s">
        <v>442</v>
      </c>
      <c r="H2215" s="7" t="s">
        <v>1549</v>
      </c>
      <c r="I2215" s="251">
        <v>40</v>
      </c>
      <c r="J2215" s="251">
        <v>7592.0780843693046</v>
      </c>
      <c r="K2215" s="38">
        <f t="shared" si="110"/>
        <v>303683</v>
      </c>
      <c r="L2215" s="561" t="s">
        <v>166</v>
      </c>
      <c r="M2215" s="561" t="s">
        <v>164</v>
      </c>
      <c r="N2215" s="52" t="str">
        <f>IF(AND('331-CT'!$E$7=TH!H2215,OR(L2215="331",M2215="331")),"331",IF(AND(OR(L2215="131",M2215="131"),H2215='131-CT'!$E$7),"131",""))</f>
        <v/>
      </c>
      <c r="O2215" s="818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751"/>
    </row>
    <row r="2216" spans="1:29" s="209" customFormat="1" ht="15.75" customHeight="1">
      <c r="A2216" s="202" t="str">
        <f>IF(B2216&lt;&gt;"",IF(AND(B2216&gt;=_TM1,B2216&lt;=_TM2,OR(TH!L2216="1111",TH!M2216="1111")),TH!D2216,""),"")</f>
        <v/>
      </c>
      <c r="B2216" s="36">
        <f t="shared" si="112"/>
        <v>2</v>
      </c>
      <c r="C2216" s="182">
        <f t="shared" si="111"/>
        <v>42425</v>
      </c>
      <c r="D2216" s="182" t="s">
        <v>1547</v>
      </c>
      <c r="E2216" s="189">
        <v>42425</v>
      </c>
      <c r="F2216" s="190" t="s">
        <v>530</v>
      </c>
      <c r="G2216" s="451" t="s">
        <v>442</v>
      </c>
      <c r="H2216" s="7" t="s">
        <v>1549</v>
      </c>
      <c r="I2216" s="251">
        <v>100</v>
      </c>
      <c r="J2216" s="251">
        <v>8259.5135203578157</v>
      </c>
      <c r="K2216" s="38">
        <f t="shared" si="110"/>
        <v>825951</v>
      </c>
      <c r="L2216" s="561" t="s">
        <v>166</v>
      </c>
      <c r="M2216" s="561" t="s">
        <v>164</v>
      </c>
      <c r="N2216" s="52" t="str">
        <f>IF(AND('331-CT'!$E$7=TH!H2216,OR(L2216="331",M2216="331")),"331",IF(AND(OR(L2216="131",M2216="131"),H2216='131-CT'!$E$7),"131",""))</f>
        <v/>
      </c>
      <c r="O2216" s="818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751"/>
    </row>
    <row r="2217" spans="1:29" s="209" customFormat="1" ht="15.75" customHeight="1">
      <c r="A2217" s="202" t="str">
        <f>IF(B2217&lt;&gt;"",IF(AND(B2217&gt;=_TM1,B2217&lt;=_TM2,OR(TH!L2217="1111",TH!M2217="1111")),TH!D2217,""),"")</f>
        <v/>
      </c>
      <c r="B2217" s="36">
        <f t="shared" si="112"/>
        <v>2</v>
      </c>
      <c r="C2217" s="182">
        <f t="shared" si="111"/>
        <v>42425</v>
      </c>
      <c r="D2217" s="182" t="s">
        <v>1547</v>
      </c>
      <c r="E2217" s="189">
        <v>42425</v>
      </c>
      <c r="F2217" s="190" t="s">
        <v>517</v>
      </c>
      <c r="G2217" s="451" t="s">
        <v>442</v>
      </c>
      <c r="H2217" s="7" t="s">
        <v>1549</v>
      </c>
      <c r="I2217" s="251">
        <v>60</v>
      </c>
      <c r="J2217" s="251">
        <v>14933.867880242919</v>
      </c>
      <c r="K2217" s="38">
        <f t="shared" si="110"/>
        <v>896032</v>
      </c>
      <c r="L2217" s="561" t="s">
        <v>166</v>
      </c>
      <c r="M2217" s="561" t="s">
        <v>164</v>
      </c>
      <c r="N2217" s="52" t="str">
        <f>IF(AND('331-CT'!$E$7=TH!H2217,OR(L2217="331",M2217="331")),"331",IF(AND(OR(L2217="131",M2217="131"),H2217='131-CT'!$E$7),"131",""))</f>
        <v/>
      </c>
      <c r="O2217" s="818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751"/>
    </row>
    <row r="2218" spans="1:29" s="209" customFormat="1" ht="15.75" customHeight="1">
      <c r="A2218" s="202" t="str">
        <f>IF(B2218&lt;&gt;"",IF(AND(B2218&gt;=_TM1,B2218&lt;=_TM2,OR(TH!L2218="1111",TH!M2218="1111")),TH!D2218,""),"")</f>
        <v/>
      </c>
      <c r="B2218" s="36">
        <f t="shared" si="112"/>
        <v>2</v>
      </c>
      <c r="C2218" s="182">
        <f t="shared" si="111"/>
        <v>42425</v>
      </c>
      <c r="D2218" s="182" t="s">
        <v>1547</v>
      </c>
      <c r="E2218" s="189">
        <v>42425</v>
      </c>
      <c r="F2218" s="190" t="s">
        <v>704</v>
      </c>
      <c r="G2218" s="451" t="s">
        <v>442</v>
      </c>
      <c r="H2218" s="7" t="s">
        <v>1549</v>
      </c>
      <c r="I2218" s="251">
        <v>45</v>
      </c>
      <c r="J2218" s="251">
        <v>13181.849860773078</v>
      </c>
      <c r="K2218" s="38">
        <f t="shared" si="110"/>
        <v>593183</v>
      </c>
      <c r="L2218" s="561" t="s">
        <v>166</v>
      </c>
      <c r="M2218" s="561" t="s">
        <v>164</v>
      </c>
      <c r="N2218" s="52" t="str">
        <f>IF(AND('331-CT'!$E$7=TH!H2218,OR(L2218="331",M2218="331")),"331",IF(AND(OR(L2218="131",M2218="131"),H2218='131-CT'!$E$7),"131",""))</f>
        <v/>
      </c>
      <c r="O2218" s="818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751"/>
    </row>
    <row r="2219" spans="1:29" s="209" customFormat="1" ht="15.75" customHeight="1">
      <c r="A2219" s="202" t="str">
        <f>IF(B2219&lt;&gt;"",IF(AND(B2219&gt;=_TM1,B2219&lt;=_TM2,OR(TH!L2219="1111",TH!M2219="1111")),TH!D2219,""),"")</f>
        <v/>
      </c>
      <c r="B2219" s="36">
        <f t="shared" si="112"/>
        <v>2</v>
      </c>
      <c r="C2219" s="182">
        <f t="shared" si="111"/>
        <v>42425</v>
      </c>
      <c r="D2219" s="182" t="s">
        <v>1547</v>
      </c>
      <c r="E2219" s="37">
        <v>42425</v>
      </c>
      <c r="F2219" s="190" t="s">
        <v>517</v>
      </c>
      <c r="G2219" s="451" t="s">
        <v>442</v>
      </c>
      <c r="H2219" s="7" t="s">
        <v>1549</v>
      </c>
      <c r="I2219" s="251">
        <v>15</v>
      </c>
      <c r="J2219" s="251">
        <v>14933.867880242919</v>
      </c>
      <c r="K2219" s="38">
        <f t="shared" si="110"/>
        <v>224008</v>
      </c>
      <c r="L2219" s="561" t="s">
        <v>166</v>
      </c>
      <c r="M2219" s="561" t="s">
        <v>164</v>
      </c>
      <c r="N2219" s="52" t="str">
        <f>IF(AND('331-CT'!$E$7=TH!H2219,OR(L2219="331",M2219="331")),"331",IF(AND(OR(L2219="131",M2219="131"),H2219='131-CT'!$E$7),"131",""))</f>
        <v/>
      </c>
      <c r="O2219" s="818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751"/>
    </row>
    <row r="2220" spans="1:29" s="209" customFormat="1" ht="15.75" customHeight="1">
      <c r="A2220" s="202" t="str">
        <f>IF(B2220&lt;&gt;"",IF(AND(B2220&gt;=_TM1,B2220&lt;=_TM2,OR(TH!L2220="1111",TH!M2220="1111")),TH!D2220,""),"")</f>
        <v/>
      </c>
      <c r="B2220" s="36">
        <f t="shared" si="112"/>
        <v>2</v>
      </c>
      <c r="C2220" s="182">
        <f t="shared" si="111"/>
        <v>42425</v>
      </c>
      <c r="D2220" s="182" t="s">
        <v>1547</v>
      </c>
      <c r="E2220" s="37">
        <v>42425</v>
      </c>
      <c r="F2220" s="190" t="s">
        <v>707</v>
      </c>
      <c r="G2220" s="451" t="s">
        <v>442</v>
      </c>
      <c r="H2220" s="7" t="s">
        <v>1549</v>
      </c>
      <c r="I2220" s="251">
        <v>10</v>
      </c>
      <c r="J2220" s="251">
        <v>13014.99100177595</v>
      </c>
      <c r="K2220" s="38">
        <f t="shared" si="110"/>
        <v>130150</v>
      </c>
      <c r="L2220" s="561" t="s">
        <v>166</v>
      </c>
      <c r="M2220" s="561" t="s">
        <v>164</v>
      </c>
      <c r="N2220" s="52" t="str">
        <f>IF(AND('331-CT'!$E$7=TH!H2220,OR(L2220="331",M2220="331")),"331",IF(AND(OR(L2220="131",M2220="131"),H2220='131-CT'!$E$7),"131",""))</f>
        <v/>
      </c>
      <c r="O2220" s="818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751"/>
    </row>
    <row r="2221" spans="1:29" s="209" customFormat="1" ht="15.75" customHeight="1">
      <c r="A2221" s="202" t="str">
        <f>IF(B2221&lt;&gt;"",IF(AND(B2221&gt;=_TM1,B2221&lt;=_TM2,OR(TH!L2221="1111",TH!M2221="1111")),TH!D2221,""),"")</f>
        <v/>
      </c>
      <c r="B2221" s="36">
        <f t="shared" si="112"/>
        <v>2</v>
      </c>
      <c r="C2221" s="182">
        <f t="shared" si="111"/>
        <v>42427</v>
      </c>
      <c r="D2221" s="182" t="s">
        <v>1547</v>
      </c>
      <c r="E2221" s="37">
        <v>42427</v>
      </c>
      <c r="F2221" s="190" t="s">
        <v>699</v>
      </c>
      <c r="G2221" s="451" t="s">
        <v>932</v>
      </c>
      <c r="H2221" s="7" t="s">
        <v>1549</v>
      </c>
      <c r="I2221" s="251">
        <v>40</v>
      </c>
      <c r="J2221" s="251">
        <v>9260.6666743405804</v>
      </c>
      <c r="K2221" s="38">
        <f t="shared" si="110"/>
        <v>370427</v>
      </c>
      <c r="L2221" s="561" t="s">
        <v>166</v>
      </c>
      <c r="M2221" s="561" t="s">
        <v>164</v>
      </c>
      <c r="N2221" s="52" t="str">
        <f>IF(AND('331-CT'!$E$7=TH!H2221,OR(L2221="331",M2221="331")),"331",IF(AND(OR(L2221="131",M2221="131"),H2221='131-CT'!$E$7),"131",""))</f>
        <v/>
      </c>
      <c r="O2221" s="818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751"/>
    </row>
    <row r="2222" spans="1:29" s="209" customFormat="1" ht="15.75" customHeight="1">
      <c r="A2222" s="202" t="str">
        <f>IF(B2222&lt;&gt;"",IF(AND(B2222&gt;=_TM1,B2222&lt;=_TM2,OR(TH!L2222="1111",TH!M2222="1111")),TH!D2222,""),"")</f>
        <v/>
      </c>
      <c r="B2222" s="36">
        <f t="shared" si="112"/>
        <v>2</v>
      </c>
      <c r="C2222" s="182">
        <f t="shared" si="111"/>
        <v>42427</v>
      </c>
      <c r="D2222" s="182" t="s">
        <v>1547</v>
      </c>
      <c r="E2222" s="37">
        <v>42427</v>
      </c>
      <c r="F2222" s="190" t="s">
        <v>708</v>
      </c>
      <c r="G2222" s="451" t="s">
        <v>932</v>
      </c>
      <c r="H2222" s="7" t="s">
        <v>1549</v>
      </c>
      <c r="I2222" s="251">
        <v>20</v>
      </c>
      <c r="J2222" s="251">
        <v>12180.696706790313</v>
      </c>
      <c r="K2222" s="38">
        <f t="shared" si="110"/>
        <v>243614</v>
      </c>
      <c r="L2222" s="561" t="s">
        <v>166</v>
      </c>
      <c r="M2222" s="561" t="s">
        <v>164</v>
      </c>
      <c r="N2222" s="52" t="str">
        <f>IF(AND('331-CT'!$E$7=TH!H2222,OR(L2222="331",M2222="331")),"331",IF(AND(OR(L2222="131",M2222="131"),H2222='131-CT'!$E$7),"131",""))</f>
        <v/>
      </c>
      <c r="O2222" s="818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751"/>
    </row>
    <row r="2223" spans="1:29" s="209" customFormat="1" ht="15.75" customHeight="1">
      <c r="A2223" s="202" t="str">
        <f>IF(B2223&lt;&gt;"",IF(AND(B2223&gt;=_TM1,B2223&lt;=_TM2,OR(TH!L2223="1111",TH!M2223="1111")),TH!D2223,""),"")</f>
        <v/>
      </c>
      <c r="B2223" s="36">
        <f t="shared" si="112"/>
        <v>2</v>
      </c>
      <c r="C2223" s="182">
        <f t="shared" si="111"/>
        <v>42427</v>
      </c>
      <c r="D2223" s="182" t="s">
        <v>1547</v>
      </c>
      <c r="E2223" s="37">
        <v>42427</v>
      </c>
      <c r="F2223" s="190" t="s">
        <v>697</v>
      </c>
      <c r="G2223" s="451" t="s">
        <v>932</v>
      </c>
      <c r="H2223" s="7" t="s">
        <v>1549</v>
      </c>
      <c r="I2223" s="251">
        <v>10</v>
      </c>
      <c r="J2223" s="251">
        <v>14349.86187375297</v>
      </c>
      <c r="K2223" s="38">
        <f t="shared" ref="K2223:K2286" si="113">ROUND(I2223*J2223,0)</f>
        <v>143499</v>
      </c>
      <c r="L2223" s="561" t="s">
        <v>166</v>
      </c>
      <c r="M2223" s="561" t="s">
        <v>164</v>
      </c>
      <c r="N2223" s="52" t="str">
        <f>IF(AND('331-CT'!$E$7=TH!H2223,OR(L2223="331",M2223="331")),"331",IF(AND(OR(L2223="131",M2223="131"),H2223='131-CT'!$E$7),"131",""))</f>
        <v/>
      </c>
      <c r="O2223" s="818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751"/>
    </row>
    <row r="2224" spans="1:29" s="209" customFormat="1" ht="15.75" customHeight="1">
      <c r="A2224" s="202" t="str">
        <f>IF(B2224&lt;&gt;"",IF(AND(B2224&gt;=_TM1,B2224&lt;=_TM2,OR(TH!L2224="1111",TH!M2224="1111")),TH!D2224,""),"")</f>
        <v/>
      </c>
      <c r="B2224" s="36">
        <f t="shared" si="112"/>
        <v>2</v>
      </c>
      <c r="C2224" s="182">
        <f t="shared" si="111"/>
        <v>42427</v>
      </c>
      <c r="D2224" s="182" t="s">
        <v>1547</v>
      </c>
      <c r="E2224" s="37">
        <v>42427</v>
      </c>
      <c r="F2224" s="190" t="s">
        <v>1230</v>
      </c>
      <c r="G2224" s="451" t="s">
        <v>932</v>
      </c>
      <c r="H2224" s="7" t="s">
        <v>1549</v>
      </c>
      <c r="I2224" s="251">
        <v>15</v>
      </c>
      <c r="J2224" s="251">
        <v>12514.414424784569</v>
      </c>
      <c r="K2224" s="38">
        <f t="shared" si="113"/>
        <v>187716</v>
      </c>
      <c r="L2224" s="561" t="s">
        <v>166</v>
      </c>
      <c r="M2224" s="561" t="s">
        <v>164</v>
      </c>
      <c r="N2224" s="52" t="str">
        <f>IF(AND('331-CT'!$E$7=TH!H2224,OR(L2224="331",M2224="331")),"331",IF(AND(OR(L2224="131",M2224="131"),H2224='131-CT'!$E$7),"131",""))</f>
        <v/>
      </c>
      <c r="O2224" s="818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751"/>
    </row>
    <row r="2225" spans="1:27" s="209" customFormat="1" ht="15.75" customHeight="1">
      <c r="A2225" s="202" t="str">
        <f>IF(B2225&lt;&gt;"",IF(AND(B2225&gt;=_TM1,B2225&lt;=_TM2,OR(TH!L2225="1111",TH!M2225="1111")),TH!D2225,""),"")</f>
        <v/>
      </c>
      <c r="B2225" s="36">
        <f t="shared" si="112"/>
        <v>2</v>
      </c>
      <c r="C2225" s="182">
        <f t="shared" si="111"/>
        <v>42427</v>
      </c>
      <c r="D2225" s="182" t="s">
        <v>1547</v>
      </c>
      <c r="E2225" s="37">
        <v>42427</v>
      </c>
      <c r="F2225" s="190" t="s">
        <v>1231</v>
      </c>
      <c r="G2225" s="451" t="s">
        <v>932</v>
      </c>
      <c r="H2225" s="7" t="s">
        <v>1549</v>
      </c>
      <c r="I2225" s="251">
        <v>10</v>
      </c>
      <c r="J2225" s="251">
        <v>18604.762778179724</v>
      </c>
      <c r="K2225" s="38">
        <f t="shared" si="113"/>
        <v>186048</v>
      </c>
      <c r="L2225" s="561" t="s">
        <v>166</v>
      </c>
      <c r="M2225" s="561" t="s">
        <v>164</v>
      </c>
      <c r="N2225" s="52" t="str">
        <f>IF(AND('331-CT'!$E$7=TH!H2225,OR(L2225="331",M2225="331")),"331",IF(AND(OR(L2225="131",M2225="131"),H2225='131-CT'!$E$7),"131",""))</f>
        <v/>
      </c>
      <c r="O2225" s="818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751"/>
    </row>
    <row r="2226" spans="1:27" s="209" customFormat="1" ht="15.75" customHeight="1">
      <c r="A2226" s="202" t="str">
        <f>IF(B2226&lt;&gt;"",IF(AND(B2226&gt;=_TM1,B2226&lt;=_TM2,OR(TH!L2226="1111",TH!M2226="1111")),TH!D2226,""),"")</f>
        <v/>
      </c>
      <c r="B2226" s="36">
        <f t="shared" si="112"/>
        <v>2</v>
      </c>
      <c r="C2226" s="182">
        <f t="shared" si="111"/>
        <v>42427</v>
      </c>
      <c r="D2226" s="182" t="s">
        <v>1547</v>
      </c>
      <c r="E2226" s="37">
        <v>42427</v>
      </c>
      <c r="F2226" s="190" t="s">
        <v>705</v>
      </c>
      <c r="G2226" s="451" t="s">
        <v>932</v>
      </c>
      <c r="H2226" s="7" t="s">
        <v>1549</v>
      </c>
      <c r="I2226" s="251">
        <v>10</v>
      </c>
      <c r="J2226" s="251">
        <v>18771.621637176853</v>
      </c>
      <c r="K2226" s="38">
        <f t="shared" si="113"/>
        <v>187716</v>
      </c>
      <c r="L2226" s="561" t="s">
        <v>166</v>
      </c>
      <c r="M2226" s="561" t="s">
        <v>164</v>
      </c>
      <c r="N2226" s="52" t="str">
        <f>IF(AND('331-CT'!$E$7=TH!H2226,OR(L2226="331",M2226="331")),"331",IF(AND(OR(L2226="131",M2226="131"),H2226='131-CT'!$E$7),"131",""))</f>
        <v/>
      </c>
      <c r="O2226" s="818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751"/>
    </row>
    <row r="2227" spans="1:27" s="209" customFormat="1" ht="15.75" customHeight="1">
      <c r="A2227" s="202" t="str">
        <f>IF(B2227&lt;&gt;"",IF(AND(B2227&gt;=_TM1,B2227&lt;=_TM2,OR(TH!L2227="1111",TH!M2227="1111")),TH!D2227,""),"")</f>
        <v/>
      </c>
      <c r="B2227" s="36">
        <f t="shared" si="112"/>
        <v>2</v>
      </c>
      <c r="C2227" s="182">
        <f t="shared" si="111"/>
        <v>42427</v>
      </c>
      <c r="D2227" s="182" t="s">
        <v>1547</v>
      </c>
      <c r="E2227" s="37">
        <v>42427</v>
      </c>
      <c r="F2227" s="190" t="s">
        <v>1232</v>
      </c>
      <c r="G2227" s="451" t="s">
        <v>932</v>
      </c>
      <c r="H2227" s="7" t="s">
        <v>1549</v>
      </c>
      <c r="I2227" s="251">
        <v>20</v>
      </c>
      <c r="J2227" s="251">
        <v>12931.561572277387</v>
      </c>
      <c r="K2227" s="38">
        <f t="shared" si="113"/>
        <v>258631</v>
      </c>
      <c r="L2227" s="561" t="s">
        <v>166</v>
      </c>
      <c r="M2227" s="561" t="s">
        <v>164</v>
      </c>
      <c r="N2227" s="52" t="str">
        <f>IF(AND('331-CT'!$E$7=TH!H2227,OR(L2227="331",M2227="331")),"331",IF(AND(OR(L2227="131",M2227="131"),H2227='131-CT'!$E$7),"131",""))</f>
        <v/>
      </c>
      <c r="O2227" s="818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751"/>
    </row>
    <row r="2228" spans="1:27" s="209" customFormat="1" ht="15.75" customHeight="1">
      <c r="A2228" s="202" t="str">
        <f>IF(B2228&lt;&gt;"",IF(AND(B2228&gt;=_TM1,B2228&lt;=_TM2,OR(TH!L2228="1111",TH!M2228="1111")),TH!D2228,""),"")</f>
        <v/>
      </c>
      <c r="B2228" s="36">
        <f t="shared" si="112"/>
        <v>2</v>
      </c>
      <c r="C2228" s="182">
        <f t="shared" si="111"/>
        <v>42427</v>
      </c>
      <c r="D2228" s="182" t="s">
        <v>1547</v>
      </c>
      <c r="E2228" s="37">
        <v>42427</v>
      </c>
      <c r="F2228" s="190" t="s">
        <v>404</v>
      </c>
      <c r="G2228" s="451" t="s">
        <v>443</v>
      </c>
      <c r="H2228" s="7" t="s">
        <v>1549</v>
      </c>
      <c r="I2228" s="251">
        <v>2900</v>
      </c>
      <c r="J2228" s="251">
        <v>8760.0900973491971</v>
      </c>
      <c r="K2228" s="38">
        <f t="shared" si="113"/>
        <v>25404261</v>
      </c>
      <c r="L2228" s="561" t="s">
        <v>166</v>
      </c>
      <c r="M2228" s="561" t="s">
        <v>164</v>
      </c>
      <c r="N2228" s="52" t="str">
        <f>IF(AND('331-CT'!$E$7=TH!H2228,OR(L2228="331",M2228="331")),"331",IF(AND(OR(L2228="131",M2228="131"),H2228='131-CT'!$E$7),"131",""))</f>
        <v/>
      </c>
      <c r="O2228" s="818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751"/>
    </row>
    <row r="2229" spans="1:27" s="209" customFormat="1" ht="15.75" customHeight="1">
      <c r="A2229" s="202" t="str">
        <f>IF(B2229&lt;&gt;"",IF(AND(B2229&gt;=_TM1,B2229&lt;=_TM2,OR(TH!L2229="1111",TH!M2229="1111")),TH!D2229,""),"")</f>
        <v/>
      </c>
      <c r="B2229" s="36">
        <f t="shared" si="112"/>
        <v>2</v>
      </c>
      <c r="C2229" s="182">
        <f t="shared" si="111"/>
        <v>42427</v>
      </c>
      <c r="D2229" s="182" t="s">
        <v>1547</v>
      </c>
      <c r="E2229" s="37">
        <v>42427</v>
      </c>
      <c r="F2229" s="190" t="s">
        <v>933</v>
      </c>
      <c r="G2229" s="451" t="s">
        <v>443</v>
      </c>
      <c r="H2229" s="7" t="s">
        <v>1549</v>
      </c>
      <c r="I2229" s="251">
        <v>240</v>
      </c>
      <c r="J2229" s="251">
        <v>11763.549559297493</v>
      </c>
      <c r="K2229" s="38">
        <f t="shared" si="113"/>
        <v>2823252</v>
      </c>
      <c r="L2229" s="561" t="s">
        <v>166</v>
      </c>
      <c r="M2229" s="561" t="s">
        <v>164</v>
      </c>
      <c r="N2229" s="52" t="str">
        <f>IF(AND('331-CT'!$E$7=TH!H2229,OR(L2229="331",M2229="331")),"331",IF(AND(OR(L2229="131",M2229="131"),H2229='131-CT'!$E$7),"131",""))</f>
        <v/>
      </c>
      <c r="O2229" s="818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751"/>
    </row>
    <row r="2230" spans="1:27" s="209" customFormat="1" ht="15.75" customHeight="1">
      <c r="A2230" s="202" t="str">
        <f>IF(B2230&lt;&gt;"",IF(AND(B2230&gt;=_TM1,B2230&lt;=_TM2,OR(TH!L2230="1111",TH!M2230="1111")),TH!D2230,""),"")</f>
        <v/>
      </c>
      <c r="B2230" s="36">
        <f t="shared" si="112"/>
        <v>2</v>
      </c>
      <c r="C2230" s="182">
        <f t="shared" si="111"/>
        <v>42427</v>
      </c>
      <c r="D2230" s="182" t="s">
        <v>1547</v>
      </c>
      <c r="E2230" s="37">
        <v>42427</v>
      </c>
      <c r="F2230" s="190" t="s">
        <v>934</v>
      </c>
      <c r="G2230" s="451" t="s">
        <v>443</v>
      </c>
      <c r="H2230" s="7" t="s">
        <v>1549</v>
      </c>
      <c r="I2230" s="251">
        <v>23</v>
      </c>
      <c r="J2230" s="251">
        <v>11513.261270801802</v>
      </c>
      <c r="K2230" s="38">
        <f t="shared" si="113"/>
        <v>264805</v>
      </c>
      <c r="L2230" s="561" t="s">
        <v>166</v>
      </c>
      <c r="M2230" s="561" t="s">
        <v>164</v>
      </c>
      <c r="N2230" s="52" t="str">
        <f>IF(AND('331-CT'!$E$7=TH!H2230,OR(L2230="331",M2230="331")),"331",IF(AND(OR(L2230="131",M2230="131"),H2230='131-CT'!$E$7),"131",""))</f>
        <v/>
      </c>
      <c r="O2230" s="818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751"/>
    </row>
    <row r="2231" spans="1:27" s="209" customFormat="1" ht="15.75" customHeight="1">
      <c r="A2231" s="202" t="str">
        <f>IF(B2231&lt;&gt;"",IF(AND(B2231&gt;=_TM1,B2231&lt;=_TM2,OR(TH!L2231="1111",TH!M2231="1111")),TH!D2231,""),"")</f>
        <v/>
      </c>
      <c r="B2231" s="36">
        <f t="shared" si="112"/>
        <v>2</v>
      </c>
      <c r="C2231" s="182">
        <f t="shared" si="111"/>
        <v>42427</v>
      </c>
      <c r="D2231" s="182" t="s">
        <v>1547</v>
      </c>
      <c r="E2231" s="37">
        <v>42427</v>
      </c>
      <c r="F2231" s="190" t="s">
        <v>480</v>
      </c>
      <c r="G2231" s="451" t="s">
        <v>443</v>
      </c>
      <c r="H2231" s="7" t="s">
        <v>1549</v>
      </c>
      <c r="I2231" s="251">
        <v>202</v>
      </c>
      <c r="J2231" s="251">
        <v>10595.537546317601</v>
      </c>
      <c r="K2231" s="38">
        <f t="shared" si="113"/>
        <v>2140299</v>
      </c>
      <c r="L2231" s="561" t="s">
        <v>166</v>
      </c>
      <c r="M2231" s="561" t="s">
        <v>164</v>
      </c>
      <c r="N2231" s="52" t="str">
        <f>IF(AND('331-CT'!$E$7=TH!H2231,OR(L2231="331",M2231="331")),"331",IF(AND(OR(L2231="131",M2231="131"),H2231='131-CT'!$E$7),"131",""))</f>
        <v/>
      </c>
      <c r="O2231" s="818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751"/>
    </row>
    <row r="2232" spans="1:27" s="209" customFormat="1" ht="15.75" customHeight="1">
      <c r="A2232" s="202" t="str">
        <f>IF(B2232&lt;&gt;"",IF(AND(B2232&gt;=_TM1,B2232&lt;=_TM2,OR(TH!L2232="1111",TH!M2232="1111")),TH!D2232,""),"")</f>
        <v/>
      </c>
      <c r="B2232" s="36">
        <f t="shared" si="112"/>
        <v>2</v>
      </c>
      <c r="C2232" s="182">
        <f t="shared" si="111"/>
        <v>42427</v>
      </c>
      <c r="D2232" s="182" t="s">
        <v>1547</v>
      </c>
      <c r="E2232" s="37">
        <v>42427</v>
      </c>
      <c r="F2232" s="190" t="s">
        <v>540</v>
      </c>
      <c r="G2232" s="451" t="s">
        <v>444</v>
      </c>
      <c r="H2232" s="7" t="s">
        <v>1549</v>
      </c>
      <c r="I2232" s="251">
        <v>507</v>
      </c>
      <c r="J2232" s="251">
        <v>8092.654661360687</v>
      </c>
      <c r="K2232" s="38">
        <f t="shared" si="113"/>
        <v>4102976</v>
      </c>
      <c r="L2232" s="561" t="s">
        <v>166</v>
      </c>
      <c r="M2232" s="561" t="s">
        <v>164</v>
      </c>
      <c r="N2232" s="52" t="str">
        <f>IF(AND('331-CT'!$E$7=TH!H2232,OR(L2232="331",M2232="331")),"331",IF(AND(OR(L2232="131",M2232="131"),H2232='131-CT'!$E$7),"131",""))</f>
        <v/>
      </c>
      <c r="O2232" s="818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751"/>
    </row>
    <row r="2233" spans="1:27" s="209" customFormat="1" ht="15.75" customHeight="1">
      <c r="A2233" s="202" t="str">
        <f>IF(B2233&lt;&gt;"",IF(AND(B2233&gt;=_TM1,B2233&lt;=_TM2,OR(TH!L2233="1111",TH!M2233="1111")),TH!D2233,""),"")</f>
        <v/>
      </c>
      <c r="B2233" s="36">
        <f t="shared" si="112"/>
        <v>2</v>
      </c>
      <c r="C2233" s="182">
        <f t="shared" si="111"/>
        <v>42429</v>
      </c>
      <c r="D2233" s="182" t="s">
        <v>1547</v>
      </c>
      <c r="E2233" s="37">
        <v>42429</v>
      </c>
      <c r="F2233" s="190" t="s">
        <v>436</v>
      </c>
      <c r="G2233" s="451" t="s">
        <v>446</v>
      </c>
      <c r="H2233" s="7" t="s">
        <v>1549</v>
      </c>
      <c r="I2233" s="251">
        <v>344</v>
      </c>
      <c r="J2233" s="251">
        <v>5673.2012059023382</v>
      </c>
      <c r="K2233" s="38">
        <f t="shared" si="113"/>
        <v>1951581</v>
      </c>
      <c r="L2233" s="561" t="s">
        <v>166</v>
      </c>
      <c r="M2233" s="561" t="s">
        <v>164</v>
      </c>
      <c r="N2233" s="52" t="str">
        <f>IF(AND('331-CT'!$E$7=TH!H2233,OR(L2233="331",M2233="331")),"331",IF(AND(OR(L2233="131",M2233="131"),H2233='131-CT'!$E$7),"131",""))</f>
        <v/>
      </c>
      <c r="O2233" s="818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751"/>
    </row>
    <row r="2234" spans="1:27" s="209" customFormat="1" ht="15.75" customHeight="1">
      <c r="A2234" s="202" t="str">
        <f>IF(B2234&lt;&gt;"",IF(AND(B2234&gt;=_TM1,B2234&lt;=_TM2,OR(TH!L2234="1111",TH!M2234="1111")),TH!D2234,""),"")</f>
        <v/>
      </c>
      <c r="B2234" s="36">
        <f t="shared" si="112"/>
        <v>2</v>
      </c>
      <c r="C2234" s="182">
        <f t="shared" ref="C2234:C2297" si="114">E2234</f>
        <v>42429</v>
      </c>
      <c r="D2234" s="182" t="s">
        <v>1547</v>
      </c>
      <c r="E2234" s="37">
        <v>42429</v>
      </c>
      <c r="F2234" s="190" t="s">
        <v>935</v>
      </c>
      <c r="G2234" s="451" t="s">
        <v>447</v>
      </c>
      <c r="H2234" s="7" t="s">
        <v>1549</v>
      </c>
      <c r="I2234" s="251">
        <v>204</v>
      </c>
      <c r="J2234" s="251">
        <v>7091.5015073779214</v>
      </c>
      <c r="K2234" s="38">
        <f t="shared" si="113"/>
        <v>1446666</v>
      </c>
      <c r="L2234" s="561" t="s">
        <v>166</v>
      </c>
      <c r="M2234" s="561" t="s">
        <v>164</v>
      </c>
      <c r="N2234" s="52" t="str">
        <f>IF(AND('331-CT'!$E$7=TH!H2234,OR(L2234="331",M2234="331")),"331",IF(AND(OR(L2234="131",M2234="131"),H2234='131-CT'!$E$7),"131",""))</f>
        <v/>
      </c>
      <c r="O2234" s="818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751"/>
    </row>
    <row r="2235" spans="1:27" s="209" customFormat="1" ht="15.75" customHeight="1">
      <c r="A2235" s="202" t="str">
        <f>IF(B2235&lt;&gt;"",IF(AND(B2235&gt;=_TM1,B2235&lt;=_TM2,OR(TH!L2235="1111",TH!M2235="1111")),TH!D2235,""),"")</f>
        <v/>
      </c>
      <c r="B2235" s="36">
        <f t="shared" si="112"/>
        <v>2</v>
      </c>
      <c r="C2235" s="182">
        <f t="shared" si="114"/>
        <v>42429</v>
      </c>
      <c r="D2235" s="182" t="s">
        <v>1547</v>
      </c>
      <c r="E2235" s="37">
        <v>42429</v>
      </c>
      <c r="F2235" s="190" t="s">
        <v>936</v>
      </c>
      <c r="G2235" s="451" t="s">
        <v>447</v>
      </c>
      <c r="H2235" s="7" t="s">
        <v>1549</v>
      </c>
      <c r="I2235" s="251">
        <v>310</v>
      </c>
      <c r="J2235" s="251">
        <v>6674.3543598851029</v>
      </c>
      <c r="K2235" s="38">
        <f t="shared" si="113"/>
        <v>2069050</v>
      </c>
      <c r="L2235" s="561" t="s">
        <v>166</v>
      </c>
      <c r="M2235" s="561" t="s">
        <v>164</v>
      </c>
      <c r="N2235" s="52" t="str">
        <f>IF(AND('331-CT'!$E$7=TH!H2235,OR(L2235="331",M2235="331")),"331",IF(AND(OR(L2235="131",M2235="131"),H2235='131-CT'!$E$7),"131",""))</f>
        <v/>
      </c>
      <c r="O2235" s="818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751"/>
    </row>
    <row r="2236" spans="1:27" s="209" customFormat="1" ht="15.75" customHeight="1">
      <c r="A2236" s="202" t="str">
        <f>IF(B2236&lt;&gt;"",IF(AND(B2236&gt;=_TM1,B2236&lt;=_TM2,OR(TH!L2236="1111",TH!M2236="1111")),TH!D2236,""),"")</f>
        <v/>
      </c>
      <c r="B2236" s="36">
        <f t="shared" si="112"/>
        <v>2</v>
      </c>
      <c r="C2236" s="182">
        <f t="shared" si="114"/>
        <v>42429</v>
      </c>
      <c r="D2236" s="182" t="s">
        <v>1547</v>
      </c>
      <c r="E2236" s="37">
        <v>42429</v>
      </c>
      <c r="F2236" s="190" t="s">
        <v>1437</v>
      </c>
      <c r="G2236" s="451" t="s">
        <v>937</v>
      </c>
      <c r="H2236" s="7" t="s">
        <v>1549</v>
      </c>
      <c r="I2236" s="251">
        <v>2000</v>
      </c>
      <c r="J2236" s="251">
        <v>3253.7477504439876</v>
      </c>
      <c r="K2236" s="38">
        <f t="shared" si="113"/>
        <v>6507496</v>
      </c>
      <c r="L2236" s="561" t="s">
        <v>166</v>
      </c>
      <c r="M2236" s="561" t="s">
        <v>164</v>
      </c>
      <c r="N2236" s="52" t="str">
        <f>IF(AND('331-CT'!$E$7=TH!H2236,OR(L2236="331",M2236="331")),"331",IF(AND(OR(L2236="131",M2236="131"),H2236='131-CT'!$E$7),"131",""))</f>
        <v/>
      </c>
      <c r="O2236" s="818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751"/>
    </row>
    <row r="2237" spans="1:27" s="209" customFormat="1" ht="15.75" customHeight="1">
      <c r="A2237" s="202" t="str">
        <f>IF(B2237&lt;&gt;"",IF(AND(B2237&gt;=_TM1,B2237&lt;=_TM2,OR(TH!L2237="1111",TH!M2237="1111")),TH!D2237,""),"")</f>
        <v/>
      </c>
      <c r="B2237" s="36">
        <f t="shared" si="112"/>
        <v>3</v>
      </c>
      <c r="C2237" s="182">
        <f t="shared" si="114"/>
        <v>42430</v>
      </c>
      <c r="D2237" s="182" t="s">
        <v>1547</v>
      </c>
      <c r="E2237" s="37">
        <v>42430</v>
      </c>
      <c r="F2237" s="190" t="s">
        <v>938</v>
      </c>
      <c r="G2237" s="451" t="s">
        <v>449</v>
      </c>
      <c r="H2237" s="7" t="s">
        <v>1549</v>
      </c>
      <c r="I2237" s="251">
        <v>1600</v>
      </c>
      <c r="J2237" s="251">
        <v>11596.690700300365</v>
      </c>
      <c r="K2237" s="38">
        <f t="shared" si="113"/>
        <v>18554705</v>
      </c>
      <c r="L2237" s="561" t="s">
        <v>166</v>
      </c>
      <c r="M2237" s="561" t="s">
        <v>164</v>
      </c>
      <c r="N2237" s="52" t="str">
        <f>IF(AND('331-CT'!$E$7=TH!H2237,OR(L2237="331",M2237="331")),"331",IF(AND(OR(L2237="131",M2237="131"),H2237='131-CT'!$E$7),"131",""))</f>
        <v/>
      </c>
      <c r="O2237" s="818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751"/>
    </row>
    <row r="2238" spans="1:27" s="209" customFormat="1" ht="15.75" customHeight="1">
      <c r="A2238" s="202" t="str">
        <f>IF(B2238&lt;&gt;"",IF(AND(B2238&gt;=_TM1,B2238&lt;=_TM2,OR(TH!L2238="1111",TH!M2238="1111")),TH!D2238,""),"")</f>
        <v/>
      </c>
      <c r="B2238" s="36">
        <f t="shared" si="112"/>
        <v>3</v>
      </c>
      <c r="C2238" s="182">
        <f t="shared" si="114"/>
        <v>42430</v>
      </c>
      <c r="D2238" s="182" t="s">
        <v>1547</v>
      </c>
      <c r="E2238" s="37">
        <v>42430</v>
      </c>
      <c r="F2238" s="190" t="s">
        <v>902</v>
      </c>
      <c r="G2238" s="451" t="s">
        <v>449</v>
      </c>
      <c r="H2238" s="7" t="s">
        <v>1549</v>
      </c>
      <c r="I2238" s="251">
        <v>55</v>
      </c>
      <c r="J2238" s="251">
        <v>8926.9489563463248</v>
      </c>
      <c r="K2238" s="38">
        <f t="shared" si="113"/>
        <v>490982</v>
      </c>
      <c r="L2238" s="561" t="s">
        <v>166</v>
      </c>
      <c r="M2238" s="561" t="s">
        <v>164</v>
      </c>
      <c r="N2238" s="52" t="str">
        <f>IF(AND('331-CT'!$E$7=TH!H2238,OR(L2238="331",M2238="331")),"331",IF(AND(OR(L2238="131",M2238="131"),H2238='131-CT'!$E$7),"131",""))</f>
        <v/>
      </c>
      <c r="O2238" s="818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751"/>
    </row>
    <row r="2239" spans="1:27" s="209" customFormat="1" ht="15.75" customHeight="1">
      <c r="A2239" s="202" t="str">
        <f>IF(B2239&lt;&gt;"",IF(AND(B2239&gt;=_TM1,B2239&lt;=_TM2,OR(TH!L2239="1111",TH!M2239="1111")),TH!D2239,""),"")</f>
        <v/>
      </c>
      <c r="B2239" s="36">
        <f t="shared" si="112"/>
        <v>3</v>
      </c>
      <c r="C2239" s="182">
        <f t="shared" si="114"/>
        <v>42430</v>
      </c>
      <c r="D2239" s="182" t="s">
        <v>1547</v>
      </c>
      <c r="E2239" s="37">
        <v>42430</v>
      </c>
      <c r="F2239" s="190" t="s">
        <v>939</v>
      </c>
      <c r="G2239" s="451" t="s">
        <v>449</v>
      </c>
      <c r="H2239" s="7" t="s">
        <v>1549</v>
      </c>
      <c r="I2239" s="251">
        <v>55</v>
      </c>
      <c r="J2239" s="251">
        <v>7925.7958023635592</v>
      </c>
      <c r="K2239" s="38">
        <f t="shared" si="113"/>
        <v>435919</v>
      </c>
      <c r="L2239" s="561" t="s">
        <v>166</v>
      </c>
      <c r="M2239" s="561" t="s">
        <v>164</v>
      </c>
      <c r="N2239" s="52" t="str">
        <f>IF(AND('331-CT'!$E$7=TH!H2239,OR(L2239="331",M2239="331")),"331",IF(AND(OR(L2239="131",M2239="131"),H2239='131-CT'!$E$7),"131",""))</f>
        <v/>
      </c>
      <c r="O2239" s="818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751"/>
    </row>
    <row r="2240" spans="1:27" s="209" customFormat="1" ht="15.75" customHeight="1">
      <c r="A2240" s="202" t="str">
        <f>IF(B2240&lt;&gt;"",IF(AND(B2240&gt;=_TM1,B2240&lt;=_TM2,OR(TH!L2240="1111",TH!M2240="1111")),TH!D2240,""),"")</f>
        <v/>
      </c>
      <c r="B2240" s="36">
        <f t="shared" si="112"/>
        <v>3</v>
      </c>
      <c r="C2240" s="182">
        <f t="shared" si="114"/>
        <v>42430</v>
      </c>
      <c r="D2240" s="182" t="s">
        <v>1547</v>
      </c>
      <c r="E2240" s="37">
        <v>42430</v>
      </c>
      <c r="F2240" s="190" t="s">
        <v>940</v>
      </c>
      <c r="G2240" s="451" t="s">
        <v>449</v>
      </c>
      <c r="H2240" s="7" t="s">
        <v>1549</v>
      </c>
      <c r="I2240" s="251">
        <v>1993</v>
      </c>
      <c r="J2240" s="251">
        <v>8843.5195268477619</v>
      </c>
      <c r="K2240" s="38">
        <f t="shared" si="113"/>
        <v>17625134</v>
      </c>
      <c r="L2240" s="561" t="s">
        <v>166</v>
      </c>
      <c r="M2240" s="561" t="s">
        <v>164</v>
      </c>
      <c r="N2240" s="52" t="str">
        <f>IF(AND('331-CT'!$E$7=TH!H2240,OR(L2240="331",M2240="331")),"331",IF(AND(OR(L2240="131",M2240="131"),H2240='131-CT'!$E$7),"131",""))</f>
        <v/>
      </c>
      <c r="O2240" s="818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751"/>
    </row>
    <row r="2241" spans="1:28" s="209" customFormat="1" ht="15.75" customHeight="1">
      <c r="A2241" s="202" t="str">
        <f>IF(B2241&lt;&gt;"",IF(AND(B2241&gt;=_TM1,B2241&lt;=_TM2,OR(TH!L2241="1111",TH!M2241="1111")),TH!D2241,""),"")</f>
        <v/>
      </c>
      <c r="B2241" s="36">
        <f t="shared" si="112"/>
        <v>3</v>
      </c>
      <c r="C2241" s="182">
        <f t="shared" si="114"/>
        <v>42430</v>
      </c>
      <c r="D2241" s="182" t="s">
        <v>1547</v>
      </c>
      <c r="E2241" s="37">
        <v>42430</v>
      </c>
      <c r="F2241" s="190" t="s">
        <v>436</v>
      </c>
      <c r="G2241" s="451" t="s">
        <v>450</v>
      </c>
      <c r="H2241" s="7" t="s">
        <v>1549</v>
      </c>
      <c r="I2241" s="251">
        <v>273</v>
      </c>
      <c r="J2241" s="251">
        <v>5673.2012059023382</v>
      </c>
      <c r="K2241" s="38">
        <f t="shared" si="113"/>
        <v>1548784</v>
      </c>
      <c r="L2241" s="561" t="s">
        <v>166</v>
      </c>
      <c r="M2241" s="561" t="s">
        <v>164</v>
      </c>
      <c r="N2241" s="52" t="str">
        <f>IF(AND('331-CT'!$E$7=TH!H2241,OR(L2241="331",M2241="331")),"331",IF(AND(OR(L2241="131",M2241="131"),H2241='131-CT'!$E$7),"131",""))</f>
        <v/>
      </c>
      <c r="O2241" s="818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751"/>
    </row>
    <row r="2242" spans="1:28" s="209" customFormat="1" ht="15.75" customHeight="1">
      <c r="A2242" s="202" t="str">
        <f>IF(B2242&lt;&gt;"",IF(AND(B2242&gt;=_TM1,B2242&lt;=_TM2,OR(TH!L2242="1111",TH!M2242="1111")),TH!D2242,""),"")</f>
        <v/>
      </c>
      <c r="B2242" s="36">
        <f t="shared" si="112"/>
        <v>3</v>
      </c>
      <c r="C2242" s="182">
        <f t="shared" si="114"/>
        <v>42430</v>
      </c>
      <c r="D2242" s="182" t="s">
        <v>1547</v>
      </c>
      <c r="E2242" s="37">
        <v>42430</v>
      </c>
      <c r="F2242" s="190" t="s">
        <v>941</v>
      </c>
      <c r="G2242" s="451" t="s">
        <v>451</v>
      </c>
      <c r="H2242" s="7" t="s">
        <v>1549</v>
      </c>
      <c r="I2242" s="251">
        <v>78</v>
      </c>
      <c r="J2242" s="251">
        <v>7508.6486548707408</v>
      </c>
      <c r="K2242" s="38">
        <f t="shared" si="113"/>
        <v>585675</v>
      </c>
      <c r="L2242" s="561" t="s">
        <v>166</v>
      </c>
      <c r="M2242" s="561" t="s">
        <v>164</v>
      </c>
      <c r="N2242" s="52" t="str">
        <f>IF(AND('331-CT'!$E$7=TH!H2242,OR(L2242="331",M2242="331")),"331",IF(AND(OR(L2242="131",M2242="131"),H2242='131-CT'!$E$7),"131",""))</f>
        <v/>
      </c>
      <c r="O2242" s="818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751"/>
    </row>
    <row r="2243" spans="1:28" s="209" customFormat="1" ht="15.75" customHeight="1">
      <c r="A2243" s="202" t="str">
        <f>IF(B2243&lt;&gt;"",IF(AND(B2243&gt;=_TM1,B2243&lt;=_TM2,OR(TH!L2243="1111",TH!M2243="1111")),TH!D2243,""),"")</f>
        <v/>
      </c>
      <c r="B2243" s="36">
        <f t="shared" si="112"/>
        <v>3</v>
      </c>
      <c r="C2243" s="182">
        <f t="shared" si="114"/>
        <v>42430</v>
      </c>
      <c r="D2243" s="182" t="s">
        <v>1547</v>
      </c>
      <c r="E2243" s="37">
        <v>42430</v>
      </c>
      <c r="F2243" s="190" t="s">
        <v>942</v>
      </c>
      <c r="G2243" s="451" t="s">
        <v>451</v>
      </c>
      <c r="H2243" s="7" t="s">
        <v>1549</v>
      </c>
      <c r="I2243" s="251">
        <v>85</v>
      </c>
      <c r="J2243" s="251">
        <v>10595.537546317601</v>
      </c>
      <c r="K2243" s="38">
        <f t="shared" si="113"/>
        <v>900621</v>
      </c>
      <c r="L2243" s="561" t="s">
        <v>166</v>
      </c>
      <c r="M2243" s="561" t="s">
        <v>164</v>
      </c>
      <c r="N2243" s="52" t="str">
        <f>IF(AND('331-CT'!$E$7=TH!H2243,OR(L2243="331",M2243="331")),"331",IF(AND(OR(L2243="131",M2243="131"),H2243='131-CT'!$E$7),"131",""))</f>
        <v/>
      </c>
      <c r="O2243" s="818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751"/>
    </row>
    <row r="2244" spans="1:28" s="209" customFormat="1" ht="15.75" customHeight="1">
      <c r="A2244" s="202" t="str">
        <f>IF(B2244&lt;&gt;"",IF(AND(B2244&gt;=_TM1,B2244&lt;=_TM2,OR(TH!L2244="1111",TH!M2244="1111")),TH!D2244,""),"")</f>
        <v/>
      </c>
      <c r="B2244" s="36">
        <f t="shared" si="112"/>
        <v>3</v>
      </c>
      <c r="C2244" s="182">
        <f t="shared" si="114"/>
        <v>42430</v>
      </c>
      <c r="D2244" s="182" t="s">
        <v>1547</v>
      </c>
      <c r="E2244" s="37">
        <v>42430</v>
      </c>
      <c r="F2244" s="190" t="s">
        <v>943</v>
      </c>
      <c r="G2244" s="451" t="s">
        <v>451</v>
      </c>
      <c r="H2244" s="7" t="s">
        <v>1549</v>
      </c>
      <c r="I2244" s="251">
        <v>76</v>
      </c>
      <c r="J2244" s="251">
        <v>15351.015027735737</v>
      </c>
      <c r="K2244" s="38">
        <f t="shared" si="113"/>
        <v>1166677</v>
      </c>
      <c r="L2244" s="561" t="s">
        <v>166</v>
      </c>
      <c r="M2244" s="561" t="s">
        <v>164</v>
      </c>
      <c r="N2244" s="52" t="str">
        <f>IF(AND('331-CT'!$E$7=TH!H2244,OR(L2244="331",M2244="331")),"331",IF(AND(OR(L2244="131",M2244="131"),H2244='131-CT'!$E$7),"131",""))</f>
        <v/>
      </c>
      <c r="O2244" s="818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751"/>
    </row>
    <row r="2245" spans="1:28" s="209" customFormat="1" ht="15.75" customHeight="1">
      <c r="A2245" s="202" t="str">
        <f>IF(B2245&lt;&gt;"",IF(AND(B2245&gt;=_TM1,B2245&lt;=_TM2,OR(TH!L2245="1111",TH!M2245="1111")),TH!D2245,""),"")</f>
        <v/>
      </c>
      <c r="B2245" s="36">
        <f t="shared" si="112"/>
        <v>3</v>
      </c>
      <c r="C2245" s="182">
        <f t="shared" si="114"/>
        <v>42430</v>
      </c>
      <c r="D2245" s="182" t="s">
        <v>1547</v>
      </c>
      <c r="E2245" s="37">
        <v>42430</v>
      </c>
      <c r="F2245" s="190" t="s">
        <v>944</v>
      </c>
      <c r="G2245" s="451" t="s">
        <v>451</v>
      </c>
      <c r="H2245" s="7" t="s">
        <v>1549</v>
      </c>
      <c r="I2245" s="251">
        <v>91</v>
      </c>
      <c r="J2245" s="251">
        <v>22859.663682606479</v>
      </c>
      <c r="K2245" s="38">
        <f t="shared" si="113"/>
        <v>2080229</v>
      </c>
      <c r="L2245" s="561" t="s">
        <v>166</v>
      </c>
      <c r="M2245" s="561" t="s">
        <v>164</v>
      </c>
      <c r="N2245" s="52" t="str">
        <f>IF(AND('331-CT'!$E$7=TH!H2245,OR(L2245="331",M2245="331")),"331",IF(AND(OR(L2245="131",M2245="131"),H2245='131-CT'!$E$7),"131",""))</f>
        <v/>
      </c>
      <c r="O2245" s="818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751"/>
    </row>
    <row r="2246" spans="1:28" s="209" customFormat="1" ht="15.75" customHeight="1">
      <c r="A2246" s="202" t="str">
        <f>IF(B2246&lt;&gt;"",IF(AND(B2246&gt;=_TM1,B2246&lt;=_TM2,OR(TH!L2246="1111",TH!M2246="1111")),TH!D2246,""),"")</f>
        <v/>
      </c>
      <c r="B2246" s="36">
        <f t="shared" ref="B2246:B2309" si="115">IF(C2246&lt;&gt;"",MONTH(C2246),"")</f>
        <v>3</v>
      </c>
      <c r="C2246" s="182">
        <f t="shared" si="114"/>
        <v>42430</v>
      </c>
      <c r="D2246" s="182" t="s">
        <v>1547</v>
      </c>
      <c r="E2246" s="37">
        <v>42430</v>
      </c>
      <c r="F2246" s="190" t="s">
        <v>945</v>
      </c>
      <c r="G2246" s="451" t="s">
        <v>451</v>
      </c>
      <c r="H2246" s="7" t="s">
        <v>1549</v>
      </c>
      <c r="I2246" s="251">
        <v>473</v>
      </c>
      <c r="J2246" s="251">
        <v>4088.0420454296254</v>
      </c>
      <c r="K2246" s="38">
        <f t="shared" si="113"/>
        <v>1933644</v>
      </c>
      <c r="L2246" s="561" t="s">
        <v>166</v>
      </c>
      <c r="M2246" s="561" t="s">
        <v>164</v>
      </c>
      <c r="N2246" s="52" t="str">
        <f>IF(AND('331-CT'!$E$7=TH!H2246,OR(L2246="331",M2246="331")),"331",IF(AND(OR(L2246="131",M2246="131"),H2246='131-CT'!$E$7),"131",""))</f>
        <v/>
      </c>
      <c r="O2246" s="818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751"/>
    </row>
    <row r="2247" spans="1:28" s="209" customFormat="1" ht="15.75" customHeight="1">
      <c r="A2247" s="202" t="str">
        <f>IF(B2247&lt;&gt;"",IF(AND(B2247&gt;=_TM1,B2247&lt;=_TM2,OR(TH!L2247="1111",TH!M2247="1111")),TH!D2247,""),"")</f>
        <v/>
      </c>
      <c r="B2247" s="36">
        <f t="shared" si="115"/>
        <v>3</v>
      </c>
      <c r="C2247" s="182">
        <f t="shared" si="114"/>
        <v>42430</v>
      </c>
      <c r="D2247" s="182" t="s">
        <v>1547</v>
      </c>
      <c r="E2247" s="37">
        <v>42430</v>
      </c>
      <c r="F2247" s="190" t="s">
        <v>946</v>
      </c>
      <c r="G2247" s="451" t="s">
        <v>451</v>
      </c>
      <c r="H2247" s="7" t="s">
        <v>1549</v>
      </c>
      <c r="I2247" s="251">
        <v>470</v>
      </c>
      <c r="J2247" s="251">
        <v>6340.6366418908474</v>
      </c>
      <c r="K2247" s="38">
        <f t="shared" si="113"/>
        <v>2980099</v>
      </c>
      <c r="L2247" s="561" t="s">
        <v>166</v>
      </c>
      <c r="M2247" s="561" t="s">
        <v>164</v>
      </c>
      <c r="N2247" s="52" t="str">
        <f>IF(AND('331-CT'!$E$7=TH!H2247,OR(L2247="331",M2247="331")),"331",IF(AND(OR(L2247="131",M2247="131"),H2247='131-CT'!$E$7),"131",""))</f>
        <v/>
      </c>
      <c r="O2247" s="818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751"/>
    </row>
    <row r="2248" spans="1:28" s="209" customFormat="1" ht="15.75" customHeight="1">
      <c r="A2248" s="202" t="str">
        <f>IF(B2248&lt;&gt;"",IF(AND(B2248&gt;=_TM1,B2248&lt;=_TM2,OR(TH!L2248="1111",TH!M2248="1111")),TH!D2248,""),"")</f>
        <v/>
      </c>
      <c r="B2248" s="36">
        <f t="shared" si="115"/>
        <v>3</v>
      </c>
      <c r="C2248" s="182">
        <f t="shared" si="114"/>
        <v>42430</v>
      </c>
      <c r="D2248" s="182" t="s">
        <v>1547</v>
      </c>
      <c r="E2248" s="37">
        <v>42430</v>
      </c>
      <c r="F2248" s="190" t="s">
        <v>947</v>
      </c>
      <c r="G2248" s="451" t="s">
        <v>451</v>
      </c>
      <c r="H2248" s="7" t="s">
        <v>1549</v>
      </c>
      <c r="I2248" s="251">
        <v>475</v>
      </c>
      <c r="J2248" s="251">
        <v>11429.831841303239</v>
      </c>
      <c r="K2248" s="38">
        <f t="shared" si="113"/>
        <v>5429170</v>
      </c>
      <c r="L2248" s="561" t="s">
        <v>166</v>
      </c>
      <c r="M2248" s="561" t="s">
        <v>164</v>
      </c>
      <c r="N2248" s="52" t="str">
        <f>IF(AND('331-CT'!$E$7=TH!H2248,OR(L2248="331",M2248="331")),"331",IF(AND(OR(L2248="131",M2248="131"),H2248='131-CT'!$E$7),"131",""))</f>
        <v/>
      </c>
      <c r="O2248" s="818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751"/>
    </row>
    <row r="2249" spans="1:28" s="209" customFormat="1" ht="15.75" customHeight="1">
      <c r="A2249" s="202" t="str">
        <f>IF(B2249&lt;&gt;"",IF(AND(B2249&gt;=_TM1,B2249&lt;=_TM2,OR(TH!L2249="1111",TH!M2249="1111")),TH!D2249,""),"")</f>
        <v/>
      </c>
      <c r="B2249" s="36">
        <f t="shared" si="115"/>
        <v>3</v>
      </c>
      <c r="C2249" s="182">
        <f t="shared" si="114"/>
        <v>42434</v>
      </c>
      <c r="D2249" s="182" t="s">
        <v>1547</v>
      </c>
      <c r="E2249" s="37">
        <v>42434</v>
      </c>
      <c r="F2249" s="190" t="s">
        <v>940</v>
      </c>
      <c r="G2249" s="451" t="s">
        <v>452</v>
      </c>
      <c r="H2249" s="7" t="s">
        <v>1549</v>
      </c>
      <c r="I2249" s="251">
        <v>3383</v>
      </c>
      <c r="J2249" s="251">
        <v>8843.5195268477619</v>
      </c>
      <c r="K2249" s="38">
        <f t="shared" si="113"/>
        <v>29917627</v>
      </c>
      <c r="L2249" s="561" t="s">
        <v>166</v>
      </c>
      <c r="M2249" s="561" t="s">
        <v>164</v>
      </c>
      <c r="N2249" s="52" t="str">
        <f>IF(AND('331-CT'!$E$7=TH!H2249,OR(L2249="331",M2249="331")),"331",IF(AND(OR(L2249="131",M2249="131"),H2249='131-CT'!$E$7),"131",""))</f>
        <v/>
      </c>
      <c r="O2249" s="818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751"/>
    </row>
    <row r="2250" spans="1:28" s="209" customFormat="1" ht="15.75" customHeight="1">
      <c r="A2250" s="202" t="str">
        <f>IF(B2250&lt;&gt;"",IF(AND(B2250&gt;=_TM1,B2250&lt;=_TM2,OR(TH!L2250="1111",TH!M2250="1111")),TH!D2250,""),"")</f>
        <v/>
      </c>
      <c r="B2250" s="36">
        <f t="shared" si="115"/>
        <v>3</v>
      </c>
      <c r="C2250" s="182">
        <f t="shared" si="114"/>
        <v>42434</v>
      </c>
      <c r="D2250" s="182" t="s">
        <v>1547</v>
      </c>
      <c r="E2250" s="37">
        <v>42434</v>
      </c>
      <c r="F2250" s="190" t="s">
        <v>1443</v>
      </c>
      <c r="G2250" s="451" t="s">
        <v>453</v>
      </c>
      <c r="H2250" s="7" t="s">
        <v>1549</v>
      </c>
      <c r="I2250" s="251">
        <v>527</v>
      </c>
      <c r="J2250" s="251">
        <v>7925.7958023635592</v>
      </c>
      <c r="K2250" s="38">
        <f t="shared" si="113"/>
        <v>4176894</v>
      </c>
      <c r="L2250" s="561" t="s">
        <v>166</v>
      </c>
      <c r="M2250" s="561" t="s">
        <v>164</v>
      </c>
      <c r="N2250" s="52" t="str">
        <f>IF(AND('331-CT'!$E$7=TH!H2250,OR(L2250="331",M2250="331")),"331",IF(AND(OR(L2250="131",M2250="131"),H2250='131-CT'!$E$7),"131",""))</f>
        <v/>
      </c>
      <c r="O2250" s="818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751"/>
    </row>
    <row r="2251" spans="1:28" s="209" customFormat="1" ht="15.75" customHeight="1">
      <c r="A2251" s="202" t="str">
        <f>IF(B2251&lt;&gt;"",IF(AND(B2251&gt;=_TM1,B2251&lt;=_TM2,OR(TH!L2251="1111",TH!M2251="1111")),TH!D2251,""),"")</f>
        <v/>
      </c>
      <c r="B2251" s="36">
        <f t="shared" si="115"/>
        <v>3</v>
      </c>
      <c r="C2251" s="182">
        <f t="shared" si="114"/>
        <v>42436</v>
      </c>
      <c r="D2251" s="182" t="s">
        <v>1547</v>
      </c>
      <c r="E2251" s="189">
        <v>42436</v>
      </c>
      <c r="F2251" s="187" t="s">
        <v>1439</v>
      </c>
      <c r="G2251" s="451" t="s">
        <v>455</v>
      </c>
      <c r="H2251" s="7" t="s">
        <v>1549</v>
      </c>
      <c r="I2251" s="251">
        <v>500</v>
      </c>
      <c r="J2251" s="251">
        <v>6924.6426483807936</v>
      </c>
      <c r="K2251" s="38">
        <f t="shared" si="113"/>
        <v>3462321</v>
      </c>
      <c r="L2251" s="561" t="s">
        <v>166</v>
      </c>
      <c r="M2251" s="561" t="s">
        <v>164</v>
      </c>
      <c r="N2251" s="52" t="str">
        <f>IF(AND('331-CT'!$E$7=TH!H2251,OR(L2251="331",M2251="331")),"331",IF(AND(OR(L2251="131",M2251="131"),H2251='131-CT'!$E$7),"131",""))</f>
        <v/>
      </c>
      <c r="O2251" s="818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751"/>
    </row>
    <row r="2252" spans="1:28" s="209" customFormat="1" ht="15.75" customHeight="1">
      <c r="A2252" s="202" t="str">
        <f>IF(B2252&lt;&gt;"",IF(AND(B2252&gt;=_TM1,B2252&lt;=_TM2,OR(TH!L2252="1111",TH!M2252="1111")),TH!D2252,""),"")</f>
        <v/>
      </c>
      <c r="B2252" s="36">
        <f t="shared" si="115"/>
        <v>3</v>
      </c>
      <c r="C2252" s="182">
        <f t="shared" si="114"/>
        <v>42436</v>
      </c>
      <c r="D2252" s="182" t="s">
        <v>1547</v>
      </c>
      <c r="E2252" s="189">
        <v>42436</v>
      </c>
      <c r="F2252" s="187" t="s">
        <v>1440</v>
      </c>
      <c r="G2252" s="451" t="s">
        <v>453</v>
      </c>
      <c r="H2252" s="7" t="s">
        <v>1549</v>
      </c>
      <c r="I2252" s="251">
        <v>500</v>
      </c>
      <c r="J2252" s="251">
        <v>6924.6426483807936</v>
      </c>
      <c r="K2252" s="38">
        <f t="shared" si="113"/>
        <v>3462321</v>
      </c>
      <c r="L2252" s="561" t="s">
        <v>166</v>
      </c>
      <c r="M2252" s="561" t="s">
        <v>164</v>
      </c>
      <c r="N2252" s="52" t="str">
        <f>IF(AND('331-CT'!$E$7=TH!H2252,OR(L2252="331",M2252="331")),"331",IF(AND(OR(L2252="131",M2252="131"),H2252='131-CT'!$E$7),"131",""))</f>
        <v/>
      </c>
      <c r="O2252" s="818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751"/>
      <c r="AB2252" s="552"/>
    </row>
    <row r="2253" spans="1:28" s="209" customFormat="1" ht="15.75" customHeight="1">
      <c r="A2253" s="202" t="str">
        <f>IF(B2253&lt;&gt;"",IF(AND(B2253&gt;=_TM1,B2253&lt;=_TM2,OR(TH!L2253="1111",TH!M2253="1111")),TH!D2253,""),"")</f>
        <v/>
      </c>
      <c r="B2253" s="36">
        <f t="shared" si="115"/>
        <v>3</v>
      </c>
      <c r="C2253" s="182">
        <f t="shared" si="114"/>
        <v>42437</v>
      </c>
      <c r="D2253" s="182" t="s">
        <v>1547</v>
      </c>
      <c r="E2253" s="189">
        <v>42437</v>
      </c>
      <c r="F2253" s="187" t="s">
        <v>640</v>
      </c>
      <c r="G2253" s="451" t="s">
        <v>457</v>
      </c>
      <c r="H2253" s="7" t="s">
        <v>1549</v>
      </c>
      <c r="I2253" s="251">
        <v>511</v>
      </c>
      <c r="J2253" s="251">
        <v>13932.714726260152</v>
      </c>
      <c r="K2253" s="38">
        <f t="shared" si="113"/>
        <v>7119617</v>
      </c>
      <c r="L2253" s="561" t="s">
        <v>166</v>
      </c>
      <c r="M2253" s="561" t="s">
        <v>164</v>
      </c>
      <c r="N2253" s="52" t="str">
        <f>IF(AND('331-CT'!$E$7=TH!H2253,OR(L2253="331",M2253="331")),"331",IF(AND(OR(L2253="131",M2253="131"),H2253='131-CT'!$E$7),"131",""))</f>
        <v/>
      </c>
      <c r="O2253" s="818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751"/>
    </row>
    <row r="2254" spans="1:28" s="209" customFormat="1" ht="15.75" customHeight="1">
      <c r="A2254" s="202" t="str">
        <f>IF(B2254&lt;&gt;"",IF(AND(B2254&gt;=_TM1,B2254&lt;=_TM2,OR(TH!L2254="1111",TH!M2254="1111")),TH!D2254,""),"")</f>
        <v/>
      </c>
      <c r="B2254" s="36">
        <f t="shared" si="115"/>
        <v>3</v>
      </c>
      <c r="C2254" s="182">
        <f t="shared" si="114"/>
        <v>42437</v>
      </c>
      <c r="D2254" s="182" t="s">
        <v>1547</v>
      </c>
      <c r="E2254" s="189">
        <v>42437</v>
      </c>
      <c r="F2254" s="187" t="s">
        <v>863</v>
      </c>
      <c r="G2254" s="451" t="s">
        <v>458</v>
      </c>
      <c r="H2254" s="7" t="s">
        <v>1549</v>
      </c>
      <c r="I2254" s="251">
        <v>500</v>
      </c>
      <c r="J2254" s="251">
        <v>7425.2192253721769</v>
      </c>
      <c r="K2254" s="38">
        <f t="shared" si="113"/>
        <v>3712610</v>
      </c>
      <c r="L2254" s="561" t="s">
        <v>166</v>
      </c>
      <c r="M2254" s="561" t="s">
        <v>164</v>
      </c>
      <c r="N2254" s="52" t="str">
        <f>IF(AND('331-CT'!$E$7=TH!H2254,OR(L2254="331",M2254="331")),"331",IF(AND(OR(L2254="131",M2254="131"),H2254='131-CT'!$E$7),"131",""))</f>
        <v/>
      </c>
      <c r="O2254" s="818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751"/>
    </row>
    <row r="2255" spans="1:28" s="209" customFormat="1" ht="15.75" customHeight="1">
      <c r="A2255" s="202" t="str">
        <f>IF(B2255&lt;&gt;"",IF(AND(B2255&gt;=_TM1,B2255&lt;=_TM2,OR(TH!L2255="1111",TH!M2255="1111")),TH!D2255,""),"")</f>
        <v/>
      </c>
      <c r="B2255" s="36">
        <f t="shared" si="115"/>
        <v>3</v>
      </c>
      <c r="C2255" s="182">
        <f t="shared" si="114"/>
        <v>42439</v>
      </c>
      <c r="D2255" s="182" t="s">
        <v>1547</v>
      </c>
      <c r="E2255" s="189">
        <v>42439</v>
      </c>
      <c r="F2255" s="187" t="s">
        <v>948</v>
      </c>
      <c r="G2255" s="451" t="s">
        <v>459</v>
      </c>
      <c r="H2255" s="7" t="s">
        <v>1549</v>
      </c>
      <c r="I2255" s="251">
        <v>214</v>
      </c>
      <c r="J2255" s="251">
        <v>5840.060064899465</v>
      </c>
      <c r="K2255" s="38">
        <f t="shared" si="113"/>
        <v>1249773</v>
      </c>
      <c r="L2255" s="561" t="s">
        <v>166</v>
      </c>
      <c r="M2255" s="561" t="s">
        <v>164</v>
      </c>
      <c r="N2255" s="52" t="str">
        <f>IF(AND('331-CT'!$E$7=TH!H2255,OR(L2255="331",M2255="331")),"331",IF(AND(OR(L2255="131",M2255="131"),H2255='131-CT'!$E$7),"131",""))</f>
        <v/>
      </c>
      <c r="O2255" s="818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751"/>
    </row>
    <row r="2256" spans="1:28" s="209" customFormat="1" ht="15.75" customHeight="1">
      <c r="A2256" s="202" t="str">
        <f>IF(B2256&lt;&gt;"",IF(AND(B2256&gt;=_TM1,B2256&lt;=_TM2,OR(TH!L2256="1111",TH!M2256="1111")),TH!D2256,""),"")</f>
        <v/>
      </c>
      <c r="B2256" s="36">
        <f t="shared" si="115"/>
        <v>3</v>
      </c>
      <c r="C2256" s="182">
        <f t="shared" si="114"/>
        <v>42439</v>
      </c>
      <c r="D2256" s="182" t="s">
        <v>1547</v>
      </c>
      <c r="E2256" s="189">
        <v>42439</v>
      </c>
      <c r="F2256" s="187" t="s">
        <v>410</v>
      </c>
      <c r="G2256" s="451" t="s">
        <v>459</v>
      </c>
      <c r="H2256" s="7" t="s">
        <v>1549</v>
      </c>
      <c r="I2256" s="251">
        <v>390</v>
      </c>
      <c r="J2256" s="251">
        <v>5339.4834879080827</v>
      </c>
      <c r="K2256" s="38">
        <f t="shared" si="113"/>
        <v>2082399</v>
      </c>
      <c r="L2256" s="561" t="s">
        <v>166</v>
      </c>
      <c r="M2256" s="561" t="s">
        <v>164</v>
      </c>
      <c r="N2256" s="52" t="str">
        <f>IF(AND('331-CT'!$E$7=TH!H2256,OR(L2256="331",M2256="331")),"331",IF(AND(OR(L2256="131",M2256="131"),H2256='131-CT'!$E$7),"131",""))</f>
        <v/>
      </c>
      <c r="O2256" s="818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751"/>
    </row>
    <row r="2257" spans="1:28" s="209" customFormat="1" ht="15.75" customHeight="1">
      <c r="A2257" s="202" t="str">
        <f>IF(B2257&lt;&gt;"",IF(AND(B2257&gt;=_TM1,B2257&lt;=_TM2,OR(TH!L2257="1111",TH!M2257="1111")),TH!D2257,""),"")</f>
        <v/>
      </c>
      <c r="B2257" s="36">
        <f t="shared" si="115"/>
        <v>3</v>
      </c>
      <c r="C2257" s="182">
        <f t="shared" si="114"/>
        <v>42440</v>
      </c>
      <c r="D2257" s="182" t="s">
        <v>1547</v>
      </c>
      <c r="E2257" s="189">
        <v>42440</v>
      </c>
      <c r="F2257" s="187" t="s">
        <v>949</v>
      </c>
      <c r="G2257" s="451" t="s">
        <v>460</v>
      </c>
      <c r="H2257" s="7" t="s">
        <v>1549</v>
      </c>
      <c r="I2257" s="251">
        <v>744</v>
      </c>
      <c r="J2257" s="251">
        <v>3504.0360389396787</v>
      </c>
      <c r="K2257" s="38">
        <f t="shared" si="113"/>
        <v>2607003</v>
      </c>
      <c r="L2257" s="561" t="s">
        <v>166</v>
      </c>
      <c r="M2257" s="561" t="s">
        <v>164</v>
      </c>
      <c r="N2257" s="52" t="str">
        <f>IF(AND('331-CT'!$E$7=TH!H2257,OR(L2257="331",M2257="331")),"331",IF(AND(OR(L2257="131",M2257="131"),H2257='131-CT'!$E$7),"131",""))</f>
        <v/>
      </c>
      <c r="O2257" s="818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751"/>
      <c r="AB2257" s="552"/>
    </row>
    <row r="2258" spans="1:28" s="209" customFormat="1" ht="15.75" customHeight="1">
      <c r="A2258" s="202" t="str">
        <f>IF(B2258&lt;&gt;"",IF(AND(B2258&gt;=_TM1,B2258&lt;=_TM2,OR(TH!L2258="1111",TH!M2258="1111")),TH!D2258,""),"")</f>
        <v/>
      </c>
      <c r="B2258" s="36">
        <f t="shared" si="115"/>
        <v>3</v>
      </c>
      <c r="C2258" s="182">
        <f t="shared" si="114"/>
        <v>42440</v>
      </c>
      <c r="D2258" s="182" t="s">
        <v>1547</v>
      </c>
      <c r="E2258" s="189">
        <v>42440</v>
      </c>
      <c r="F2258" s="187" t="s">
        <v>1201</v>
      </c>
      <c r="G2258" s="451" t="s">
        <v>461</v>
      </c>
      <c r="H2258" s="7" t="s">
        <v>1549</v>
      </c>
      <c r="I2258" s="251">
        <v>210</v>
      </c>
      <c r="J2258" s="251">
        <v>917.72372448420163</v>
      </c>
      <c r="K2258" s="38">
        <f t="shared" si="113"/>
        <v>192722</v>
      </c>
      <c r="L2258" s="561" t="s">
        <v>166</v>
      </c>
      <c r="M2258" s="561" t="s">
        <v>164</v>
      </c>
      <c r="N2258" s="52" t="str">
        <f>IF(AND('331-CT'!$E$7=TH!H2258,OR(L2258="331",M2258="331")),"331",IF(AND(OR(L2258="131",M2258="131"),H2258='131-CT'!$E$7),"131",""))</f>
        <v/>
      </c>
      <c r="O2258" s="818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751"/>
    </row>
    <row r="2259" spans="1:28" s="209" customFormat="1" ht="15.75" customHeight="1">
      <c r="A2259" s="202" t="str">
        <f>IF(B2259&lt;&gt;"",IF(AND(B2259&gt;=_TM1,B2259&lt;=_TM2,OR(TH!L2259="1111",TH!M2259="1111")),TH!D2259,""),"")</f>
        <v/>
      </c>
      <c r="B2259" s="36">
        <f t="shared" si="115"/>
        <v>3</v>
      </c>
      <c r="C2259" s="182">
        <f t="shared" si="114"/>
        <v>42441</v>
      </c>
      <c r="D2259" s="182" t="s">
        <v>1547</v>
      </c>
      <c r="E2259" s="189">
        <v>42441</v>
      </c>
      <c r="F2259" s="187" t="s">
        <v>658</v>
      </c>
      <c r="G2259" s="451" t="s">
        <v>462</v>
      </c>
      <c r="H2259" s="7" t="s">
        <v>1549</v>
      </c>
      <c r="I2259" s="251">
        <v>843</v>
      </c>
      <c r="J2259" s="251">
        <v>6424.0660713894113</v>
      </c>
      <c r="K2259" s="38">
        <f t="shared" si="113"/>
        <v>5415488</v>
      </c>
      <c r="L2259" s="561" t="s">
        <v>166</v>
      </c>
      <c r="M2259" s="561" t="s">
        <v>164</v>
      </c>
      <c r="N2259" s="52" t="str">
        <f>IF(AND('331-CT'!$E$7=TH!H2259,OR(L2259="331",M2259="331")),"331",IF(AND(OR(L2259="131",M2259="131"),H2259='131-CT'!$E$7),"131",""))</f>
        <v/>
      </c>
      <c r="O2259" s="818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751"/>
    </row>
    <row r="2260" spans="1:28" s="209" customFormat="1" ht="15.75" customHeight="1">
      <c r="A2260" s="202" t="str">
        <f>IF(B2260&lt;&gt;"",IF(AND(B2260&gt;=_TM1,B2260&lt;=_TM2,OR(TH!L2260="1111",TH!M2260="1111")),TH!D2260,""),"")</f>
        <v/>
      </c>
      <c r="B2260" s="36">
        <f t="shared" si="115"/>
        <v>3</v>
      </c>
      <c r="C2260" s="182">
        <f t="shared" si="114"/>
        <v>42441</v>
      </c>
      <c r="D2260" s="182" t="s">
        <v>1547</v>
      </c>
      <c r="E2260" s="189">
        <v>42441</v>
      </c>
      <c r="F2260" s="187" t="s">
        <v>659</v>
      </c>
      <c r="G2260" s="451" t="s">
        <v>462</v>
      </c>
      <c r="H2260" s="7" t="s">
        <v>1549</v>
      </c>
      <c r="I2260" s="251">
        <v>204</v>
      </c>
      <c r="J2260" s="251">
        <v>12013.837847793186</v>
      </c>
      <c r="K2260" s="38">
        <f t="shared" si="113"/>
        <v>2450823</v>
      </c>
      <c r="L2260" s="561" t="s">
        <v>166</v>
      </c>
      <c r="M2260" s="561" t="s">
        <v>164</v>
      </c>
      <c r="N2260" s="52" t="str">
        <f>IF(AND('331-CT'!$E$7=TH!H2260,OR(L2260="331",M2260="331")),"331",IF(AND(OR(L2260="131",M2260="131"),H2260='131-CT'!$E$7),"131",""))</f>
        <v/>
      </c>
      <c r="O2260" s="818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751"/>
      <c r="AB2260" s="552"/>
    </row>
    <row r="2261" spans="1:28" s="209" customFormat="1" ht="15.75" customHeight="1">
      <c r="A2261" s="202" t="str">
        <f>IF(B2261&lt;&gt;"",IF(AND(B2261&gt;=_TM1,B2261&lt;=_TM2,OR(TH!L2261="1111",TH!M2261="1111")),TH!D2261,""),"")</f>
        <v/>
      </c>
      <c r="B2261" s="36">
        <f t="shared" si="115"/>
        <v>3</v>
      </c>
      <c r="C2261" s="182">
        <f t="shared" si="114"/>
        <v>42441</v>
      </c>
      <c r="D2261" s="182" t="s">
        <v>1547</v>
      </c>
      <c r="E2261" s="189">
        <v>42441</v>
      </c>
      <c r="F2261" s="187" t="s">
        <v>414</v>
      </c>
      <c r="G2261" s="451" t="s">
        <v>463</v>
      </c>
      <c r="H2261" s="7" t="s">
        <v>1549</v>
      </c>
      <c r="I2261" s="251">
        <v>610</v>
      </c>
      <c r="J2261" s="251">
        <v>7592.0780843693046</v>
      </c>
      <c r="K2261" s="38">
        <f t="shared" si="113"/>
        <v>4631168</v>
      </c>
      <c r="L2261" s="561" t="s">
        <v>166</v>
      </c>
      <c r="M2261" s="561" t="s">
        <v>164</v>
      </c>
      <c r="N2261" s="52" t="str">
        <f>IF(AND('331-CT'!$E$7=TH!H2261,OR(L2261="331",M2261="331")),"331",IF(AND(OR(L2261="131",M2261="131"),H2261='131-CT'!$E$7),"131",""))</f>
        <v/>
      </c>
      <c r="O2261" s="818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751"/>
    </row>
    <row r="2262" spans="1:28" s="209" customFormat="1" ht="15.75" customHeight="1">
      <c r="A2262" s="202" t="str">
        <f>IF(B2262&lt;&gt;"",IF(AND(B2262&gt;=_TM1,B2262&lt;=_TM2,OR(TH!L2262="1111",TH!M2262="1111")),TH!D2262,""),"")</f>
        <v/>
      </c>
      <c r="B2262" s="36">
        <f t="shared" si="115"/>
        <v>3</v>
      </c>
      <c r="C2262" s="182">
        <f t="shared" si="114"/>
        <v>42441</v>
      </c>
      <c r="D2262" s="182" t="s">
        <v>1547</v>
      </c>
      <c r="E2262" s="189">
        <v>42441</v>
      </c>
      <c r="F2262" s="187" t="s">
        <v>485</v>
      </c>
      <c r="G2262" s="451" t="s">
        <v>463</v>
      </c>
      <c r="H2262" s="7" t="s">
        <v>1549</v>
      </c>
      <c r="I2262" s="251">
        <v>309</v>
      </c>
      <c r="J2262" s="251">
        <v>6173.7777828937205</v>
      </c>
      <c r="K2262" s="38">
        <f t="shared" si="113"/>
        <v>1907697</v>
      </c>
      <c r="L2262" s="561" t="s">
        <v>166</v>
      </c>
      <c r="M2262" s="561" t="s">
        <v>164</v>
      </c>
      <c r="N2262" s="52" t="str">
        <f>IF(AND('331-CT'!$E$7=TH!H2262,OR(L2262="331",M2262="331")),"331",IF(AND(OR(L2262="131",M2262="131"),H2262='131-CT'!$E$7),"131",""))</f>
        <v/>
      </c>
      <c r="O2262" s="818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751"/>
    </row>
    <row r="2263" spans="1:28" s="209" customFormat="1" ht="15.75" customHeight="1">
      <c r="A2263" s="202" t="str">
        <f>IF(B2263&lt;&gt;"",IF(AND(B2263&gt;=_TM1,B2263&lt;=_TM2,OR(TH!L2263="1111",TH!M2263="1111")),TH!D2263,""),"")</f>
        <v/>
      </c>
      <c r="B2263" s="36">
        <f t="shared" si="115"/>
        <v>3</v>
      </c>
      <c r="C2263" s="182">
        <f t="shared" si="114"/>
        <v>42441</v>
      </c>
      <c r="D2263" s="182" t="s">
        <v>1547</v>
      </c>
      <c r="E2263" s="189">
        <v>42441</v>
      </c>
      <c r="F2263" s="187" t="s">
        <v>951</v>
      </c>
      <c r="G2263" s="451" t="s">
        <v>464</v>
      </c>
      <c r="H2263" s="7" t="s">
        <v>1549</v>
      </c>
      <c r="I2263" s="251">
        <v>201</v>
      </c>
      <c r="J2263" s="251">
        <v>4922.3363404152633</v>
      </c>
      <c r="K2263" s="38">
        <f t="shared" si="113"/>
        <v>989390</v>
      </c>
      <c r="L2263" s="561" t="s">
        <v>166</v>
      </c>
      <c r="M2263" s="561" t="s">
        <v>164</v>
      </c>
      <c r="N2263" s="52" t="str">
        <f>IF(AND('331-CT'!$E$7=TH!H2263,OR(L2263="331",M2263="331")),"331",IF(AND(OR(L2263="131",M2263="131"),H2263='131-CT'!$E$7),"131",""))</f>
        <v/>
      </c>
      <c r="O2263" s="818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751"/>
    </row>
    <row r="2264" spans="1:28" s="209" customFormat="1" ht="15.75" customHeight="1">
      <c r="A2264" s="202" t="str">
        <f>IF(B2264&lt;&gt;"",IF(AND(B2264&gt;=_TM1,B2264&lt;=_TM2,OR(TH!L2264="1111",TH!M2264="1111")),TH!D2264,""),"")</f>
        <v/>
      </c>
      <c r="B2264" s="36">
        <f t="shared" si="115"/>
        <v>3</v>
      </c>
      <c r="C2264" s="182">
        <f t="shared" si="114"/>
        <v>42441</v>
      </c>
      <c r="D2264" s="182" t="s">
        <v>1547</v>
      </c>
      <c r="E2264" s="189">
        <v>42441</v>
      </c>
      <c r="F2264" s="187" t="s">
        <v>952</v>
      </c>
      <c r="G2264" s="451" t="s">
        <v>465</v>
      </c>
      <c r="H2264" s="7" t="s">
        <v>1549</v>
      </c>
      <c r="I2264" s="251">
        <v>50</v>
      </c>
      <c r="J2264" s="251">
        <v>14266.432444254408</v>
      </c>
      <c r="K2264" s="38">
        <f t="shared" si="113"/>
        <v>713322</v>
      </c>
      <c r="L2264" s="561" t="s">
        <v>166</v>
      </c>
      <c r="M2264" s="561" t="s">
        <v>164</v>
      </c>
      <c r="N2264" s="52" t="str">
        <f>IF(AND('331-CT'!$E$7=TH!H2264,OR(L2264="331",M2264="331")),"331",IF(AND(OR(L2264="131",M2264="131"),H2264='131-CT'!$E$7),"131",""))</f>
        <v/>
      </c>
      <c r="O2264" s="818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751"/>
      <c r="AB2264" s="552"/>
    </row>
    <row r="2265" spans="1:28" s="209" customFormat="1" ht="15.75" customHeight="1">
      <c r="A2265" s="202" t="str">
        <f>IF(B2265&lt;&gt;"",IF(AND(B2265&gt;=_TM1,B2265&lt;=_TM2,OR(TH!L2265="1111",TH!M2265="1111")),TH!D2265,""),"")</f>
        <v/>
      </c>
      <c r="B2265" s="36">
        <f t="shared" si="115"/>
        <v>3</v>
      </c>
      <c r="C2265" s="182">
        <f t="shared" si="114"/>
        <v>42441</v>
      </c>
      <c r="D2265" s="182" t="s">
        <v>1547</v>
      </c>
      <c r="E2265" s="189">
        <v>42441</v>
      </c>
      <c r="F2265" s="187" t="s">
        <v>953</v>
      </c>
      <c r="G2265" s="451" t="s">
        <v>465</v>
      </c>
      <c r="H2265" s="7" t="s">
        <v>1549</v>
      </c>
      <c r="I2265" s="251">
        <v>400</v>
      </c>
      <c r="J2265" s="251">
        <v>11429.831841303239</v>
      </c>
      <c r="K2265" s="38">
        <f t="shared" si="113"/>
        <v>4571933</v>
      </c>
      <c r="L2265" s="561" t="s">
        <v>166</v>
      </c>
      <c r="M2265" s="561" t="s">
        <v>164</v>
      </c>
      <c r="N2265" s="52" t="str">
        <f>IF(AND('331-CT'!$E$7=TH!H2265,OR(L2265="331",M2265="331")),"331",IF(AND(OR(L2265="131",M2265="131"),H2265='131-CT'!$E$7),"131",""))</f>
        <v/>
      </c>
      <c r="O2265" s="818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751"/>
    </row>
    <row r="2266" spans="1:28" s="209" customFormat="1" ht="15.75" customHeight="1">
      <c r="A2266" s="202" t="str">
        <f>IF(B2266&lt;&gt;"",IF(AND(B2266&gt;=_TM1,B2266&lt;=_TM2,OR(TH!L2266="1111",TH!M2266="1111")),TH!D2266,""),"")</f>
        <v/>
      </c>
      <c r="B2266" s="36">
        <f t="shared" si="115"/>
        <v>3</v>
      </c>
      <c r="C2266" s="182">
        <f t="shared" si="114"/>
        <v>42445</v>
      </c>
      <c r="D2266" s="182" t="s">
        <v>1547</v>
      </c>
      <c r="E2266" s="189">
        <v>42445</v>
      </c>
      <c r="F2266" s="187" t="s">
        <v>418</v>
      </c>
      <c r="G2266" s="451" t="s">
        <v>466</v>
      </c>
      <c r="H2266" s="7" t="s">
        <v>1549</v>
      </c>
      <c r="I2266" s="251">
        <v>93</v>
      </c>
      <c r="J2266" s="251">
        <v>60486.336386458745</v>
      </c>
      <c r="K2266" s="38">
        <f t="shared" si="113"/>
        <v>5625229</v>
      </c>
      <c r="L2266" s="561" t="s">
        <v>166</v>
      </c>
      <c r="M2266" s="561" t="s">
        <v>164</v>
      </c>
      <c r="N2266" s="52" t="str">
        <f>IF(AND('331-CT'!$E$7=TH!H2266,OR(L2266="331",M2266="331")),"331",IF(AND(OR(L2266="131",M2266="131"),H2266='131-CT'!$E$7),"131",""))</f>
        <v/>
      </c>
      <c r="O2266" s="818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751"/>
    </row>
    <row r="2267" spans="1:28" s="209" customFormat="1" ht="15.75" customHeight="1">
      <c r="A2267" s="202" t="str">
        <f>IF(B2267&lt;&gt;"",IF(AND(B2267&gt;=_TM1,B2267&lt;=_TM2,OR(TH!L2267="1111",TH!M2267="1111")),TH!D2267,""),"")</f>
        <v/>
      </c>
      <c r="B2267" s="36">
        <f t="shared" si="115"/>
        <v>3</v>
      </c>
      <c r="C2267" s="182">
        <f t="shared" si="114"/>
        <v>42448</v>
      </c>
      <c r="D2267" s="182" t="s">
        <v>1547</v>
      </c>
      <c r="E2267" s="189">
        <v>42448</v>
      </c>
      <c r="F2267" s="187" t="s">
        <v>441</v>
      </c>
      <c r="G2267" s="451" t="s">
        <v>467</v>
      </c>
      <c r="H2267" s="7" t="s">
        <v>1549</v>
      </c>
      <c r="I2267" s="251">
        <v>604</v>
      </c>
      <c r="J2267" s="251">
        <v>13181.849860773078</v>
      </c>
      <c r="K2267" s="38">
        <f t="shared" si="113"/>
        <v>7961837</v>
      </c>
      <c r="L2267" s="561" t="s">
        <v>166</v>
      </c>
      <c r="M2267" s="561" t="s">
        <v>164</v>
      </c>
      <c r="N2267" s="52" t="str">
        <f>IF(AND('331-CT'!$E$7=TH!H2267,OR(L2267="331",M2267="331")),"331",IF(AND(OR(L2267="131",M2267="131"),H2267='131-CT'!$E$7),"131",""))</f>
        <v/>
      </c>
      <c r="O2267" s="818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751"/>
    </row>
    <row r="2268" spans="1:28" s="209" customFormat="1" ht="15.75" customHeight="1">
      <c r="A2268" s="202" t="str">
        <f>IF(B2268&lt;&gt;"",IF(AND(B2268&gt;=_TM1,B2268&lt;=_TM2,OR(TH!L2268="1111",TH!M2268="1111")),TH!D2268,""),"")</f>
        <v/>
      </c>
      <c r="B2268" s="36">
        <f t="shared" si="115"/>
        <v>3</v>
      </c>
      <c r="C2268" s="182">
        <f t="shared" si="114"/>
        <v>42448</v>
      </c>
      <c r="D2268" s="182" t="s">
        <v>1547</v>
      </c>
      <c r="E2268" s="189">
        <v>42448</v>
      </c>
      <c r="F2268" s="187" t="s">
        <v>389</v>
      </c>
      <c r="G2268" s="451" t="s">
        <v>467</v>
      </c>
      <c r="H2268" s="7" t="s">
        <v>1549</v>
      </c>
      <c r="I2268" s="251">
        <v>1255</v>
      </c>
      <c r="J2268" s="251">
        <v>6841.2132188822297</v>
      </c>
      <c r="K2268" s="38">
        <f t="shared" si="113"/>
        <v>8585723</v>
      </c>
      <c r="L2268" s="561" t="s">
        <v>166</v>
      </c>
      <c r="M2268" s="561" t="s">
        <v>164</v>
      </c>
      <c r="N2268" s="52" t="str">
        <f>IF(AND('331-CT'!$E$7=TH!H2268,OR(L2268="331",M2268="331")),"331",IF(AND(OR(L2268="131",M2268="131"),H2268='131-CT'!$E$7),"131",""))</f>
        <v/>
      </c>
      <c r="O2268" s="818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751"/>
    </row>
    <row r="2269" spans="1:28" s="209" customFormat="1" ht="15.75" customHeight="1">
      <c r="A2269" s="202" t="str">
        <f>IF(B2269&lt;&gt;"",IF(AND(B2269&gt;=_TM1,B2269&lt;=_TM2,OR(TH!L2269="1111",TH!M2269="1111")),TH!D2269,""),"")</f>
        <v/>
      </c>
      <c r="B2269" s="36">
        <f t="shared" si="115"/>
        <v>3</v>
      </c>
      <c r="C2269" s="182">
        <f t="shared" si="114"/>
        <v>42448</v>
      </c>
      <c r="D2269" s="182" t="s">
        <v>1547</v>
      </c>
      <c r="E2269" s="189">
        <v>42448</v>
      </c>
      <c r="F2269" s="187" t="s">
        <v>954</v>
      </c>
      <c r="G2269" s="451" t="s">
        <v>468</v>
      </c>
      <c r="H2269" s="7" t="s">
        <v>1549</v>
      </c>
      <c r="I2269" s="251">
        <v>209</v>
      </c>
      <c r="J2269" s="251">
        <v>5840.060064899465</v>
      </c>
      <c r="K2269" s="38">
        <f t="shared" si="113"/>
        <v>1220573</v>
      </c>
      <c r="L2269" s="561" t="s">
        <v>166</v>
      </c>
      <c r="M2269" s="561" t="s">
        <v>164</v>
      </c>
      <c r="N2269" s="52" t="str">
        <f>IF(AND('331-CT'!$E$7=TH!H2269,OR(L2269="331",M2269="331")),"331",IF(AND(OR(L2269="131",M2269="131"),H2269='131-CT'!$E$7),"131",""))</f>
        <v/>
      </c>
      <c r="O2269" s="818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751"/>
    </row>
    <row r="2270" spans="1:28" s="209" customFormat="1" ht="15.75" customHeight="1">
      <c r="A2270" s="202" t="str">
        <f>IF(B2270&lt;&gt;"",IF(AND(B2270&gt;=_TM1,B2270&lt;=_TM2,OR(TH!L2270="1111",TH!M2270="1111")),TH!D2270,""),"")</f>
        <v/>
      </c>
      <c r="B2270" s="36">
        <f t="shared" si="115"/>
        <v>3</v>
      </c>
      <c r="C2270" s="182">
        <f t="shared" si="114"/>
        <v>42448</v>
      </c>
      <c r="D2270" s="182" t="s">
        <v>1547</v>
      </c>
      <c r="E2270" s="189">
        <v>42448</v>
      </c>
      <c r="F2270" s="187" t="s">
        <v>627</v>
      </c>
      <c r="G2270" s="451" t="s">
        <v>468</v>
      </c>
      <c r="H2270" s="7" t="s">
        <v>1549</v>
      </c>
      <c r="I2270" s="251">
        <v>500</v>
      </c>
      <c r="J2270" s="251">
        <v>6257.2072123922844</v>
      </c>
      <c r="K2270" s="38">
        <f t="shared" si="113"/>
        <v>3128604</v>
      </c>
      <c r="L2270" s="561" t="s">
        <v>166</v>
      </c>
      <c r="M2270" s="561" t="s">
        <v>164</v>
      </c>
      <c r="N2270" s="52" t="str">
        <f>IF(AND('331-CT'!$E$7=TH!H2270,OR(L2270="331",M2270="331")),"331",IF(AND(OR(L2270="131",M2270="131"),H2270='131-CT'!$E$7),"131",""))</f>
        <v/>
      </c>
      <c r="O2270" s="818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751"/>
      <c r="AB2270" s="552"/>
    </row>
    <row r="2271" spans="1:28" s="209" customFormat="1" ht="15.75" customHeight="1">
      <c r="A2271" s="202" t="str">
        <f>IF(B2271&lt;&gt;"",IF(AND(B2271&gt;=_TM1,B2271&lt;=_TM2,OR(TH!L2271="1111",TH!M2271="1111")),TH!D2271,""),"")</f>
        <v/>
      </c>
      <c r="B2271" s="36">
        <f t="shared" si="115"/>
        <v>3</v>
      </c>
      <c r="C2271" s="182">
        <f t="shared" si="114"/>
        <v>42450</v>
      </c>
      <c r="D2271" s="182" t="s">
        <v>1547</v>
      </c>
      <c r="E2271" s="189">
        <v>42450</v>
      </c>
      <c r="F2271" s="187" t="s">
        <v>955</v>
      </c>
      <c r="G2271" s="451" t="s">
        <v>469</v>
      </c>
      <c r="H2271" s="7" t="s">
        <v>1549</v>
      </c>
      <c r="I2271" s="251">
        <v>108</v>
      </c>
      <c r="J2271" s="251">
        <v>18688.19220767829</v>
      </c>
      <c r="K2271" s="38">
        <f t="shared" si="113"/>
        <v>2018325</v>
      </c>
      <c r="L2271" s="561" t="s">
        <v>166</v>
      </c>
      <c r="M2271" s="561" t="s">
        <v>164</v>
      </c>
      <c r="N2271" s="52" t="str">
        <f>IF(AND('331-CT'!$E$7=TH!H2271,OR(L2271="331",M2271="331")),"331",IF(AND(OR(L2271="131",M2271="131"),H2271='131-CT'!$E$7),"131",""))</f>
        <v/>
      </c>
      <c r="O2271" s="818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751"/>
    </row>
    <row r="2272" spans="1:28" s="209" customFormat="1" ht="15.75" customHeight="1">
      <c r="A2272" s="202" t="str">
        <f>IF(B2272&lt;&gt;"",IF(AND(B2272&gt;=_TM1,B2272&lt;=_TM2,OR(TH!L2272="1111",TH!M2272="1111")),TH!D2272,""),"")</f>
        <v/>
      </c>
      <c r="B2272" s="36">
        <f t="shared" si="115"/>
        <v>3</v>
      </c>
      <c r="C2272" s="182">
        <f t="shared" si="114"/>
        <v>42450</v>
      </c>
      <c r="D2272" s="182" t="s">
        <v>1547</v>
      </c>
      <c r="E2272" s="189">
        <v>42450</v>
      </c>
      <c r="F2272" s="187" t="s">
        <v>640</v>
      </c>
      <c r="G2272" s="451" t="s">
        <v>470</v>
      </c>
      <c r="H2272" s="7" t="s">
        <v>1549</v>
      </c>
      <c r="I2272" s="251">
        <v>500</v>
      </c>
      <c r="J2272" s="251">
        <v>13932.714726260152</v>
      </c>
      <c r="K2272" s="38">
        <f t="shared" si="113"/>
        <v>6966357</v>
      </c>
      <c r="L2272" s="561" t="s">
        <v>166</v>
      </c>
      <c r="M2272" s="561" t="s">
        <v>164</v>
      </c>
      <c r="N2272" s="52" t="str">
        <f>IF(AND('331-CT'!$E$7=TH!H2272,OR(L2272="331",M2272="331")),"331",IF(AND(OR(L2272="131",M2272="131"),H2272='131-CT'!$E$7),"131",""))</f>
        <v/>
      </c>
      <c r="O2272" s="818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751"/>
    </row>
    <row r="2273" spans="1:28" s="209" customFormat="1" ht="15.75" customHeight="1">
      <c r="A2273" s="202" t="str">
        <f>IF(B2273&lt;&gt;"",IF(AND(B2273&gt;=_TM1,B2273&lt;=_TM2,OR(TH!L2273="1111",TH!M2273="1111")),TH!D2273,""),"")</f>
        <v/>
      </c>
      <c r="B2273" s="36">
        <f t="shared" si="115"/>
        <v>3</v>
      </c>
      <c r="C2273" s="182">
        <f t="shared" si="114"/>
        <v>42450</v>
      </c>
      <c r="D2273" s="182" t="s">
        <v>1547</v>
      </c>
      <c r="E2273" s="189">
        <v>42450</v>
      </c>
      <c r="F2273" s="187" t="s">
        <v>415</v>
      </c>
      <c r="G2273" s="451" t="s">
        <v>471</v>
      </c>
      <c r="H2273" s="7" t="s">
        <v>1549</v>
      </c>
      <c r="I2273" s="251">
        <v>301</v>
      </c>
      <c r="J2273" s="251">
        <v>11179.543552807549</v>
      </c>
      <c r="K2273" s="38">
        <f t="shared" si="113"/>
        <v>3365043</v>
      </c>
      <c r="L2273" s="561" t="s">
        <v>166</v>
      </c>
      <c r="M2273" s="561" t="s">
        <v>164</v>
      </c>
      <c r="N2273" s="52" t="str">
        <f>IF(AND('331-CT'!$E$7=TH!H2273,OR(L2273="331",M2273="331")),"331",IF(AND(OR(L2273="131",M2273="131"),H2273='131-CT'!$E$7),"131",""))</f>
        <v/>
      </c>
      <c r="O2273" s="818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751"/>
    </row>
    <row r="2274" spans="1:28" s="209" customFormat="1" ht="15.75" customHeight="1">
      <c r="A2274" s="202" t="str">
        <f>IF(B2274&lt;&gt;"",IF(AND(B2274&gt;=_TM1,B2274&lt;=_TM2,OR(TH!L2274="1111",TH!M2274="1111")),TH!D2274,""),"")</f>
        <v/>
      </c>
      <c r="B2274" s="36">
        <f t="shared" si="115"/>
        <v>3</v>
      </c>
      <c r="C2274" s="182">
        <f t="shared" si="114"/>
        <v>42451</v>
      </c>
      <c r="D2274" s="182" t="s">
        <v>1547</v>
      </c>
      <c r="E2274" s="189">
        <v>42451</v>
      </c>
      <c r="F2274" s="187" t="s">
        <v>956</v>
      </c>
      <c r="G2274" s="451" t="s">
        <v>472</v>
      </c>
      <c r="H2274" s="7" t="s">
        <v>1549</v>
      </c>
      <c r="I2274" s="251">
        <v>544</v>
      </c>
      <c r="J2274" s="251">
        <v>7592.0780843693046</v>
      </c>
      <c r="K2274" s="38">
        <f t="shared" si="113"/>
        <v>4130090</v>
      </c>
      <c r="L2274" s="561" t="s">
        <v>166</v>
      </c>
      <c r="M2274" s="561" t="s">
        <v>164</v>
      </c>
      <c r="N2274" s="52" t="str">
        <f>IF(AND('331-CT'!$E$7=TH!H2274,OR(L2274="331",M2274="331")),"331",IF(AND(OR(L2274="131",M2274="131"),H2274='131-CT'!$E$7),"131",""))</f>
        <v/>
      </c>
      <c r="O2274" s="818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751"/>
    </row>
    <row r="2275" spans="1:28" s="209" customFormat="1" ht="15.75" customHeight="1">
      <c r="A2275" s="202" t="str">
        <f>IF(B2275&lt;&gt;"",IF(AND(B2275&gt;=_TM1,B2275&lt;=_TM2,OR(TH!L2275="1111",TH!M2275="1111")),TH!D2275,""),"")</f>
        <v/>
      </c>
      <c r="B2275" s="36">
        <f t="shared" si="115"/>
        <v>3</v>
      </c>
      <c r="C2275" s="182">
        <f t="shared" si="114"/>
        <v>42452</v>
      </c>
      <c r="D2275" s="182" t="s">
        <v>1547</v>
      </c>
      <c r="E2275" s="189">
        <v>42452</v>
      </c>
      <c r="F2275" s="187" t="s">
        <v>389</v>
      </c>
      <c r="G2275" s="451" t="s">
        <v>475</v>
      </c>
      <c r="H2275" s="7" t="s">
        <v>1549</v>
      </c>
      <c r="I2275" s="251">
        <v>1310</v>
      </c>
      <c r="J2275" s="251">
        <v>6841.2132188822297</v>
      </c>
      <c r="K2275" s="38">
        <f t="shared" si="113"/>
        <v>8961989</v>
      </c>
      <c r="L2275" s="561" t="s">
        <v>166</v>
      </c>
      <c r="M2275" s="561" t="s">
        <v>164</v>
      </c>
      <c r="N2275" s="52" t="str">
        <f>IF(AND('331-CT'!$E$7=TH!H2275,OR(L2275="331",M2275="331")),"331",IF(AND(OR(L2275="131",M2275="131"),H2275='131-CT'!$E$7),"131",""))</f>
        <v/>
      </c>
      <c r="O2275" s="818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751"/>
    </row>
    <row r="2276" spans="1:28" s="209" customFormat="1" ht="15.75" customHeight="1">
      <c r="A2276" s="202" t="str">
        <f>IF(B2276&lt;&gt;"",IF(AND(B2276&gt;=_TM1,B2276&lt;=_TM2,OR(TH!L2276="1111",TH!M2276="1111")),TH!D2276,""),"")</f>
        <v/>
      </c>
      <c r="B2276" s="36">
        <f t="shared" si="115"/>
        <v>3</v>
      </c>
      <c r="C2276" s="182">
        <f t="shared" si="114"/>
        <v>42452</v>
      </c>
      <c r="D2276" s="182" t="s">
        <v>1547</v>
      </c>
      <c r="E2276" s="189">
        <v>42452</v>
      </c>
      <c r="F2276" s="187" t="s">
        <v>957</v>
      </c>
      <c r="G2276" s="451" t="s">
        <v>476</v>
      </c>
      <c r="H2276" s="7" t="s">
        <v>1549</v>
      </c>
      <c r="I2276" s="251">
        <v>200</v>
      </c>
      <c r="J2276" s="251">
        <v>6424.0660713894113</v>
      </c>
      <c r="K2276" s="38">
        <f t="shared" si="113"/>
        <v>1284813</v>
      </c>
      <c r="L2276" s="561" t="s">
        <v>166</v>
      </c>
      <c r="M2276" s="561" t="s">
        <v>164</v>
      </c>
      <c r="N2276" s="52" t="str">
        <f>IF(AND('331-CT'!$E$7=TH!H2276,OR(L2276="331",M2276="331")),"331",IF(AND(OR(L2276="131",M2276="131"),H2276='131-CT'!$E$7),"131",""))</f>
        <v/>
      </c>
      <c r="O2276" s="818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751"/>
    </row>
    <row r="2277" spans="1:28" s="209" customFormat="1" ht="15.75" customHeight="1">
      <c r="A2277" s="202" t="str">
        <f>IF(B2277&lt;&gt;"",IF(AND(B2277&gt;=_TM1,B2277&lt;=_TM2,OR(TH!L2277="1111",TH!M2277="1111")),TH!D2277,""),"")</f>
        <v/>
      </c>
      <c r="B2277" s="36">
        <f t="shared" si="115"/>
        <v>3</v>
      </c>
      <c r="C2277" s="182">
        <f t="shared" si="114"/>
        <v>42452</v>
      </c>
      <c r="D2277" s="182" t="s">
        <v>1547</v>
      </c>
      <c r="E2277" s="189">
        <v>42452</v>
      </c>
      <c r="F2277" s="187" t="s">
        <v>958</v>
      </c>
      <c r="G2277" s="451" t="s">
        <v>478</v>
      </c>
      <c r="H2277" s="7" t="s">
        <v>1549</v>
      </c>
      <c r="I2277" s="251">
        <v>31</v>
      </c>
      <c r="J2277" s="251">
        <v>7258.3603663750491</v>
      </c>
      <c r="K2277" s="38">
        <f t="shared" si="113"/>
        <v>225009</v>
      </c>
      <c r="L2277" s="561" t="s">
        <v>166</v>
      </c>
      <c r="M2277" s="561" t="s">
        <v>164</v>
      </c>
      <c r="N2277" s="52" t="str">
        <f>IF(AND('331-CT'!$E$7=TH!H2277,OR(L2277="331",M2277="331")),"331",IF(AND(OR(L2277="131",M2277="131"),H2277='131-CT'!$E$7),"131",""))</f>
        <v/>
      </c>
      <c r="O2277" s="818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751"/>
      <c r="AB2277" s="552"/>
    </row>
    <row r="2278" spans="1:28" s="209" customFormat="1" ht="15.75" customHeight="1">
      <c r="A2278" s="202" t="str">
        <f>IF(B2278&lt;&gt;"",IF(AND(B2278&gt;=_TM1,B2278&lt;=_TM2,OR(TH!L2278="1111",TH!M2278="1111")),TH!D2278,""),"")</f>
        <v/>
      </c>
      <c r="B2278" s="36">
        <f t="shared" si="115"/>
        <v>3</v>
      </c>
      <c r="C2278" s="182">
        <f t="shared" si="114"/>
        <v>42452</v>
      </c>
      <c r="D2278" s="182" t="s">
        <v>1547</v>
      </c>
      <c r="E2278" s="189">
        <v>42452</v>
      </c>
      <c r="F2278" s="187" t="s">
        <v>959</v>
      </c>
      <c r="G2278" s="451" t="s">
        <v>478</v>
      </c>
      <c r="H2278" s="7" t="s">
        <v>1549</v>
      </c>
      <c r="I2278" s="251">
        <v>106</v>
      </c>
      <c r="J2278" s="251">
        <v>10762.396405314728</v>
      </c>
      <c r="K2278" s="38">
        <f t="shared" si="113"/>
        <v>1140814</v>
      </c>
      <c r="L2278" s="561" t="s">
        <v>166</v>
      </c>
      <c r="M2278" s="561" t="s">
        <v>164</v>
      </c>
      <c r="N2278" s="52" t="str">
        <f>IF(AND('331-CT'!$E$7=TH!H2278,OR(L2278="331",M2278="331")),"331",IF(AND(OR(L2278="131",M2278="131"),H2278='131-CT'!$E$7),"131",""))</f>
        <v/>
      </c>
      <c r="O2278" s="818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751"/>
      <c r="AB2278" s="552"/>
    </row>
    <row r="2279" spans="1:28" s="209" customFormat="1" ht="15.75" customHeight="1">
      <c r="A2279" s="202" t="str">
        <f>IF(B2279&lt;&gt;"",IF(AND(B2279&gt;=_TM1,B2279&lt;=_TM2,OR(TH!L2279="1111",TH!M2279="1111")),TH!D2279,""),"")</f>
        <v/>
      </c>
      <c r="B2279" s="36">
        <f t="shared" si="115"/>
        <v>3</v>
      </c>
      <c r="C2279" s="182">
        <f t="shared" si="114"/>
        <v>42452</v>
      </c>
      <c r="D2279" s="182" t="s">
        <v>1547</v>
      </c>
      <c r="E2279" s="189">
        <v>42452</v>
      </c>
      <c r="F2279" s="187" t="s">
        <v>480</v>
      </c>
      <c r="G2279" s="451" t="s">
        <v>478</v>
      </c>
      <c r="H2279" s="7" t="s">
        <v>1549</v>
      </c>
      <c r="I2279" s="251">
        <v>584</v>
      </c>
      <c r="J2279" s="251">
        <v>10595.537546317601</v>
      </c>
      <c r="K2279" s="38">
        <f t="shared" si="113"/>
        <v>6187794</v>
      </c>
      <c r="L2279" s="561" t="s">
        <v>166</v>
      </c>
      <c r="M2279" s="561" t="s">
        <v>164</v>
      </c>
      <c r="N2279" s="52" t="str">
        <f>IF(AND('331-CT'!$E$7=TH!H2279,OR(L2279="331",M2279="331")),"331",IF(AND(OR(L2279="131",M2279="131"),H2279='131-CT'!$E$7),"131",""))</f>
        <v/>
      </c>
      <c r="O2279" s="818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751"/>
    </row>
    <row r="2280" spans="1:28" s="209" customFormat="1" ht="15.75" customHeight="1">
      <c r="A2280" s="202" t="str">
        <f>IF(B2280&lt;&gt;"",IF(AND(B2280&gt;=_TM1,B2280&lt;=_TM2,OR(TH!L2280="1111",TH!M2280="1111")),TH!D2280,""),"")</f>
        <v/>
      </c>
      <c r="B2280" s="36">
        <f t="shared" si="115"/>
        <v>3</v>
      </c>
      <c r="C2280" s="182">
        <f t="shared" si="114"/>
        <v>42452</v>
      </c>
      <c r="D2280" s="182" t="s">
        <v>1547</v>
      </c>
      <c r="E2280" s="189">
        <v>42452</v>
      </c>
      <c r="F2280" s="187" t="s">
        <v>480</v>
      </c>
      <c r="G2280" s="451" t="s">
        <v>479</v>
      </c>
      <c r="H2280" s="7" t="s">
        <v>1549</v>
      </c>
      <c r="I2280" s="251">
        <v>644</v>
      </c>
      <c r="J2280" s="251">
        <v>10595.537546317601</v>
      </c>
      <c r="K2280" s="38">
        <f t="shared" si="113"/>
        <v>6823526</v>
      </c>
      <c r="L2280" s="561" t="s">
        <v>166</v>
      </c>
      <c r="M2280" s="561" t="s">
        <v>164</v>
      </c>
      <c r="N2280" s="52" t="str">
        <f>IF(AND('331-CT'!$E$7=TH!H2280,OR(L2280="331",M2280="331")),"331",IF(AND(OR(L2280="131",M2280="131"),H2280='131-CT'!$E$7),"131",""))</f>
        <v/>
      </c>
      <c r="O2280" s="818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751"/>
    </row>
    <row r="2281" spans="1:28" s="209" customFormat="1" ht="15.75" customHeight="1">
      <c r="A2281" s="202" t="str">
        <f>IF(B2281&lt;&gt;"",IF(AND(B2281&gt;=_TM1,B2281&lt;=_TM2,OR(TH!L2281="1111",TH!M2281="1111")),TH!D2281,""),"")</f>
        <v/>
      </c>
      <c r="B2281" s="36">
        <f t="shared" si="115"/>
        <v>3</v>
      </c>
      <c r="C2281" s="182">
        <f t="shared" si="114"/>
        <v>42452</v>
      </c>
      <c r="D2281" s="182" t="s">
        <v>1547</v>
      </c>
      <c r="E2281" s="189">
        <v>42452</v>
      </c>
      <c r="F2281" s="187" t="s">
        <v>960</v>
      </c>
      <c r="G2281" s="451" t="s">
        <v>479</v>
      </c>
      <c r="H2281" s="7" t="s">
        <v>1549</v>
      </c>
      <c r="I2281" s="251">
        <v>34</v>
      </c>
      <c r="J2281" s="251">
        <v>18604.762778179724</v>
      </c>
      <c r="K2281" s="38">
        <f t="shared" si="113"/>
        <v>632562</v>
      </c>
      <c r="L2281" s="561" t="s">
        <v>166</v>
      </c>
      <c r="M2281" s="561" t="s">
        <v>164</v>
      </c>
      <c r="N2281" s="52" t="str">
        <f>IF(AND('331-CT'!$E$7=TH!H2281,OR(L2281="331",M2281="331")),"331",IF(AND(OR(L2281="131",M2281="131"),H2281='131-CT'!$E$7),"131",""))</f>
        <v/>
      </c>
      <c r="O2281" s="818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751"/>
      <c r="AB2281" s="552"/>
    </row>
    <row r="2282" spans="1:28" s="209" customFormat="1" ht="15.75" customHeight="1">
      <c r="A2282" s="202" t="str">
        <f>IF(B2282&lt;&gt;"",IF(AND(B2282&gt;=_TM1,B2282&lt;=_TM2,OR(TH!L2282="1111",TH!M2282="1111")),TH!D2282,""),"")</f>
        <v/>
      </c>
      <c r="B2282" s="36">
        <f t="shared" si="115"/>
        <v>3</v>
      </c>
      <c r="C2282" s="182">
        <f t="shared" si="114"/>
        <v>42452</v>
      </c>
      <c r="D2282" s="182" t="s">
        <v>1547</v>
      </c>
      <c r="E2282" s="189">
        <v>42452</v>
      </c>
      <c r="F2282" s="187" t="s">
        <v>1435</v>
      </c>
      <c r="G2282" s="451" t="s">
        <v>483</v>
      </c>
      <c r="H2282" s="7" t="s">
        <v>1549</v>
      </c>
      <c r="I2282" s="251">
        <v>5000</v>
      </c>
      <c r="J2282" s="251">
        <v>9761.2432513319618</v>
      </c>
      <c r="K2282" s="38">
        <f t="shared" si="113"/>
        <v>48806216</v>
      </c>
      <c r="L2282" s="561" t="s">
        <v>166</v>
      </c>
      <c r="M2282" s="561" t="s">
        <v>164</v>
      </c>
      <c r="N2282" s="52" t="str">
        <f>IF(AND('331-CT'!$E$7=TH!H2282,OR(L2282="331",M2282="331")),"331",IF(AND(OR(L2282="131",M2282="131"),H2282='131-CT'!$E$7),"131",""))</f>
        <v/>
      </c>
      <c r="O2282" s="818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751"/>
    </row>
    <row r="2283" spans="1:28" s="209" customFormat="1" ht="15.75" customHeight="1">
      <c r="A2283" s="202" t="str">
        <f>IF(B2283&lt;&gt;"",IF(AND(B2283&gt;=_TM1,B2283&lt;=_TM2,OR(TH!L2283="1111",TH!M2283="1111")),TH!D2283,""),"")</f>
        <v/>
      </c>
      <c r="B2283" s="36">
        <f t="shared" si="115"/>
        <v>3</v>
      </c>
      <c r="C2283" s="182">
        <f t="shared" si="114"/>
        <v>42453</v>
      </c>
      <c r="D2283" s="182" t="s">
        <v>1547</v>
      </c>
      <c r="E2283" s="189">
        <v>42453</v>
      </c>
      <c r="F2283" s="190" t="s">
        <v>646</v>
      </c>
      <c r="G2283" s="451" t="s">
        <v>484</v>
      </c>
      <c r="H2283" s="7" t="s">
        <v>1549</v>
      </c>
      <c r="I2283" s="251">
        <v>1500</v>
      </c>
      <c r="J2283" s="251">
        <v>6590.924930386539</v>
      </c>
      <c r="K2283" s="38">
        <f t="shared" si="113"/>
        <v>9886387</v>
      </c>
      <c r="L2283" s="561" t="s">
        <v>166</v>
      </c>
      <c r="M2283" s="561" t="s">
        <v>164</v>
      </c>
      <c r="N2283" s="52" t="str">
        <f>IF(AND('331-CT'!$E$7=TH!H2283,OR(L2283="331",M2283="331")),"331",IF(AND(OR(L2283="131",M2283="131"),H2283='131-CT'!$E$7),"131",""))</f>
        <v/>
      </c>
      <c r="O2283" s="818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751"/>
    </row>
    <row r="2284" spans="1:28" s="209" customFormat="1" ht="15.75" customHeight="1">
      <c r="A2284" s="202" t="str">
        <f>IF(B2284&lt;&gt;"",IF(AND(B2284&gt;=_TM1,B2284&lt;=_TM2,OR(TH!L2284="1111",TH!M2284="1111")),TH!D2284,""),"")</f>
        <v/>
      </c>
      <c r="B2284" s="36">
        <f t="shared" si="115"/>
        <v>3</v>
      </c>
      <c r="C2284" s="182">
        <f t="shared" si="114"/>
        <v>42453</v>
      </c>
      <c r="D2284" s="182" t="s">
        <v>1547</v>
      </c>
      <c r="E2284" s="189">
        <v>42453</v>
      </c>
      <c r="F2284" s="190" t="s">
        <v>895</v>
      </c>
      <c r="G2284" s="451" t="s">
        <v>484</v>
      </c>
      <c r="H2284" s="7" t="s">
        <v>1549</v>
      </c>
      <c r="I2284" s="251">
        <v>250</v>
      </c>
      <c r="J2284" s="251">
        <v>5506.3423469052104</v>
      </c>
      <c r="K2284" s="38">
        <f t="shared" si="113"/>
        <v>1376586</v>
      </c>
      <c r="L2284" s="561" t="s">
        <v>166</v>
      </c>
      <c r="M2284" s="561" t="s">
        <v>164</v>
      </c>
      <c r="N2284" s="52" t="str">
        <f>IF(AND('331-CT'!$E$7=TH!H2284,OR(L2284="331",M2284="331")),"331",IF(AND(OR(L2284="131",M2284="131"),H2284='131-CT'!$E$7),"131",""))</f>
        <v/>
      </c>
      <c r="O2284" s="818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751"/>
    </row>
    <row r="2285" spans="1:28" s="209" customFormat="1" ht="15.75" customHeight="1">
      <c r="A2285" s="202" t="str">
        <f>IF(B2285&lt;&gt;"",IF(AND(B2285&gt;=_TM1,B2285&lt;=_TM2,OR(TH!L2285="1111",TH!M2285="1111")),TH!D2285,""),"")</f>
        <v/>
      </c>
      <c r="B2285" s="36">
        <f t="shared" si="115"/>
        <v>3</v>
      </c>
      <c r="C2285" s="182">
        <f t="shared" si="114"/>
        <v>42453</v>
      </c>
      <c r="D2285" s="182" t="s">
        <v>1547</v>
      </c>
      <c r="E2285" s="189">
        <v>42453</v>
      </c>
      <c r="F2285" s="190" t="s">
        <v>896</v>
      </c>
      <c r="G2285" s="451" t="s">
        <v>484</v>
      </c>
      <c r="H2285" s="7" t="s">
        <v>1549</v>
      </c>
      <c r="I2285" s="251">
        <v>250</v>
      </c>
      <c r="J2285" s="251">
        <v>5339.4834879080827</v>
      </c>
      <c r="K2285" s="38">
        <f t="shared" si="113"/>
        <v>1334871</v>
      </c>
      <c r="L2285" s="561" t="s">
        <v>166</v>
      </c>
      <c r="M2285" s="561" t="s">
        <v>164</v>
      </c>
      <c r="N2285" s="52" t="str">
        <f>IF(AND('331-CT'!$E$7=TH!H2285,OR(L2285="331",M2285="331")),"331",IF(AND(OR(L2285="131",M2285="131"),H2285='131-CT'!$E$7),"131",""))</f>
        <v/>
      </c>
      <c r="O2285" s="818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751"/>
    </row>
    <row r="2286" spans="1:28" s="209" customFormat="1" ht="15.75" customHeight="1">
      <c r="A2286" s="202" t="str">
        <f>IF(B2286&lt;&gt;"",IF(AND(B2286&gt;=_TM1,B2286&lt;=_TM2,OR(TH!L2286="1111",TH!M2286="1111")),TH!D2286,""),"")</f>
        <v/>
      </c>
      <c r="B2286" s="36">
        <f t="shared" si="115"/>
        <v>3</v>
      </c>
      <c r="C2286" s="182">
        <f t="shared" si="114"/>
        <v>42454</v>
      </c>
      <c r="D2286" s="182" t="s">
        <v>1547</v>
      </c>
      <c r="E2286" s="189">
        <v>42454</v>
      </c>
      <c r="F2286" s="190" t="s">
        <v>610</v>
      </c>
      <c r="G2286" s="451" t="s">
        <v>486</v>
      </c>
      <c r="H2286" s="7" t="s">
        <v>1549</v>
      </c>
      <c r="I2286" s="251">
        <v>150</v>
      </c>
      <c r="J2286" s="251">
        <v>26864.276298537541</v>
      </c>
      <c r="K2286" s="38">
        <f t="shared" si="113"/>
        <v>4029641</v>
      </c>
      <c r="L2286" s="561" t="s">
        <v>166</v>
      </c>
      <c r="M2286" s="561" t="s">
        <v>164</v>
      </c>
      <c r="N2286" s="52" t="str">
        <f>IF(AND('331-CT'!$E$7=TH!H2286,OR(L2286="331",M2286="331")),"331",IF(AND(OR(L2286="131",M2286="131"),H2286='131-CT'!$E$7),"131",""))</f>
        <v/>
      </c>
      <c r="O2286" s="818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751"/>
    </row>
    <row r="2287" spans="1:28" s="209" customFormat="1" ht="15.75" customHeight="1">
      <c r="A2287" s="202" t="str">
        <f>IF(B2287&lt;&gt;"",IF(AND(B2287&gt;=_TM1,B2287&lt;=_TM2,OR(TH!L2287="1111",TH!M2287="1111")),TH!D2287,""),"")</f>
        <v/>
      </c>
      <c r="B2287" s="36">
        <f t="shared" si="115"/>
        <v>3</v>
      </c>
      <c r="C2287" s="182">
        <f t="shared" si="114"/>
        <v>42454</v>
      </c>
      <c r="D2287" s="182" t="s">
        <v>1547</v>
      </c>
      <c r="E2287" s="189">
        <v>42454</v>
      </c>
      <c r="F2287" s="190" t="s">
        <v>436</v>
      </c>
      <c r="G2287" s="451" t="s">
        <v>487</v>
      </c>
      <c r="H2287" s="7" t="s">
        <v>1549</v>
      </c>
      <c r="I2287" s="251">
        <v>1807</v>
      </c>
      <c r="J2287" s="251">
        <v>5673.2012059023382</v>
      </c>
      <c r="K2287" s="38">
        <f t="shared" ref="K2287:K2350" si="116">ROUND(I2287*J2287,0)</f>
        <v>10251475</v>
      </c>
      <c r="L2287" s="561" t="s">
        <v>166</v>
      </c>
      <c r="M2287" s="561" t="s">
        <v>164</v>
      </c>
      <c r="N2287" s="52" t="str">
        <f>IF(AND('331-CT'!$E$7=TH!H2287,OR(L2287="331",M2287="331")),"331",IF(AND(OR(L2287="131",M2287="131"),H2287='131-CT'!$E$7),"131",""))</f>
        <v/>
      </c>
      <c r="O2287" s="818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751"/>
    </row>
    <row r="2288" spans="1:28" s="209" customFormat="1" ht="15.75" customHeight="1">
      <c r="A2288" s="202" t="str">
        <f>IF(B2288&lt;&gt;"",IF(AND(B2288&gt;=_TM1,B2288&lt;=_TM2,OR(TH!L2288="1111",TH!M2288="1111")),TH!D2288,""),"")</f>
        <v/>
      </c>
      <c r="B2288" s="36">
        <f t="shared" si="115"/>
        <v>3</v>
      </c>
      <c r="C2288" s="182">
        <f t="shared" si="114"/>
        <v>42454</v>
      </c>
      <c r="D2288" s="182" t="s">
        <v>1547</v>
      </c>
      <c r="E2288" s="189">
        <v>42454</v>
      </c>
      <c r="F2288" s="190" t="s">
        <v>961</v>
      </c>
      <c r="G2288" s="451" t="s">
        <v>488</v>
      </c>
      <c r="H2288" s="7" t="s">
        <v>1549</v>
      </c>
      <c r="I2288" s="251">
        <v>205</v>
      </c>
      <c r="J2288" s="251">
        <v>16101.879893222811</v>
      </c>
      <c r="K2288" s="38">
        <f t="shared" si="116"/>
        <v>3300885</v>
      </c>
      <c r="L2288" s="561" t="s">
        <v>166</v>
      </c>
      <c r="M2288" s="561" t="s">
        <v>164</v>
      </c>
      <c r="N2288" s="52" t="str">
        <f>IF(AND('331-CT'!$E$7=TH!H2288,OR(L2288="331",M2288="331")),"331",IF(AND(OR(L2288="131",M2288="131"),H2288='131-CT'!$E$7),"131",""))</f>
        <v/>
      </c>
      <c r="O2288" s="818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751"/>
    </row>
    <row r="2289" spans="1:27" s="209" customFormat="1" ht="15.75" customHeight="1">
      <c r="A2289" s="202" t="str">
        <f>IF(B2289&lt;&gt;"",IF(AND(B2289&gt;=_TM1,B2289&lt;=_TM2,OR(TH!L2289="1111",TH!M2289="1111")),TH!D2289,""),"")</f>
        <v/>
      </c>
      <c r="B2289" s="36">
        <f t="shared" si="115"/>
        <v>3</v>
      </c>
      <c r="C2289" s="182">
        <f t="shared" si="114"/>
        <v>42454</v>
      </c>
      <c r="D2289" s="182" t="s">
        <v>1547</v>
      </c>
      <c r="E2289" s="189">
        <v>42454</v>
      </c>
      <c r="F2289" s="190" t="s">
        <v>1201</v>
      </c>
      <c r="G2289" s="451" t="s">
        <v>488</v>
      </c>
      <c r="H2289" s="7" t="s">
        <v>1549</v>
      </c>
      <c r="I2289" s="251">
        <v>1030</v>
      </c>
      <c r="J2289" s="251">
        <v>917.72372448420163</v>
      </c>
      <c r="K2289" s="38">
        <f t="shared" si="116"/>
        <v>945255</v>
      </c>
      <c r="L2289" s="561" t="s">
        <v>166</v>
      </c>
      <c r="M2289" s="561" t="s">
        <v>164</v>
      </c>
      <c r="N2289" s="52" t="str">
        <f>IF(AND('331-CT'!$E$7=TH!H2289,OR(L2289="331",M2289="331")),"331",IF(AND(OR(L2289="131",M2289="131"),H2289='131-CT'!$E$7),"131",""))</f>
        <v/>
      </c>
      <c r="O2289" s="818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751"/>
    </row>
    <row r="2290" spans="1:27" s="209" customFormat="1" ht="15.75" customHeight="1">
      <c r="A2290" s="202" t="str">
        <f>IF(B2290&lt;&gt;"",IF(AND(B2290&gt;=_TM1,B2290&lt;=_TM2,OR(TH!L2290="1111",TH!M2290="1111")),TH!D2290,""),"")</f>
        <v/>
      </c>
      <c r="B2290" s="36">
        <f t="shared" si="115"/>
        <v>3</v>
      </c>
      <c r="C2290" s="182">
        <f t="shared" si="114"/>
        <v>42455</v>
      </c>
      <c r="D2290" s="182" t="s">
        <v>1547</v>
      </c>
      <c r="E2290" s="189">
        <v>42455</v>
      </c>
      <c r="F2290" s="190" t="s">
        <v>1443</v>
      </c>
      <c r="G2290" s="451" t="s">
        <v>489</v>
      </c>
      <c r="H2290" s="7" t="s">
        <v>1549</v>
      </c>
      <c r="I2290" s="251">
        <v>507</v>
      </c>
      <c r="J2290" s="251">
        <v>7925.7958023635592</v>
      </c>
      <c r="K2290" s="38">
        <f t="shared" si="116"/>
        <v>4018378</v>
      </c>
      <c r="L2290" s="561" t="s">
        <v>166</v>
      </c>
      <c r="M2290" s="561" t="s">
        <v>164</v>
      </c>
      <c r="N2290" s="52" t="str">
        <f>IF(AND('331-CT'!$E$7=TH!H2290,OR(L2290="331",M2290="331")),"331",IF(AND(OR(L2290="131",M2290="131"),H2290='131-CT'!$E$7),"131",""))</f>
        <v/>
      </c>
      <c r="O2290" s="818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751"/>
    </row>
    <row r="2291" spans="1:27" s="209" customFormat="1" ht="15.75" customHeight="1">
      <c r="A2291" s="202" t="str">
        <f>IF(B2291&lt;&gt;"",IF(AND(B2291&gt;=_TM1,B2291&lt;=_TM2,OR(TH!L2291="1111",TH!M2291="1111")),TH!D2291,""),"")</f>
        <v/>
      </c>
      <c r="B2291" s="36">
        <f t="shared" si="115"/>
        <v>3</v>
      </c>
      <c r="C2291" s="182">
        <f t="shared" si="114"/>
        <v>42455</v>
      </c>
      <c r="D2291" s="182" t="s">
        <v>1547</v>
      </c>
      <c r="E2291" s="189">
        <v>42455</v>
      </c>
      <c r="F2291" s="190" t="s">
        <v>962</v>
      </c>
      <c r="G2291" s="451" t="s">
        <v>490</v>
      </c>
      <c r="H2291" s="7" t="s">
        <v>1549</v>
      </c>
      <c r="I2291" s="251">
        <v>220</v>
      </c>
      <c r="J2291" s="251">
        <v>19856.204220658179</v>
      </c>
      <c r="K2291" s="38">
        <f t="shared" si="116"/>
        <v>4368365</v>
      </c>
      <c r="L2291" s="561" t="s">
        <v>166</v>
      </c>
      <c r="M2291" s="561" t="s">
        <v>164</v>
      </c>
      <c r="N2291" s="52" t="str">
        <f>IF(AND('331-CT'!$E$7=TH!H2291,OR(L2291="331",M2291="331")),"331",IF(AND(OR(L2291="131",M2291="131"),H2291='131-CT'!$E$7),"131",""))</f>
        <v/>
      </c>
      <c r="O2291" s="818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751"/>
    </row>
    <row r="2292" spans="1:27" s="209" customFormat="1" ht="15.75" customHeight="1">
      <c r="A2292" s="202" t="str">
        <f>IF(B2292&lt;&gt;"",IF(AND(B2292&gt;=_TM1,B2292&lt;=_TM2,OR(TH!L2292="1111",TH!M2292="1111")),TH!D2292,""),"")</f>
        <v/>
      </c>
      <c r="B2292" s="36">
        <f t="shared" si="115"/>
        <v>3</v>
      </c>
      <c r="C2292" s="182">
        <f t="shared" si="114"/>
        <v>42455</v>
      </c>
      <c r="D2292" s="182" t="s">
        <v>1547</v>
      </c>
      <c r="E2292" s="189">
        <v>42455</v>
      </c>
      <c r="F2292" s="190" t="s">
        <v>1437</v>
      </c>
      <c r="G2292" s="451" t="s">
        <v>492</v>
      </c>
      <c r="H2292" s="7" t="s">
        <v>1549</v>
      </c>
      <c r="I2292" s="251">
        <v>3000</v>
      </c>
      <c r="J2292" s="251">
        <v>3253.7477504439876</v>
      </c>
      <c r="K2292" s="38">
        <f t="shared" si="116"/>
        <v>9761243</v>
      </c>
      <c r="L2292" s="561" t="s">
        <v>166</v>
      </c>
      <c r="M2292" s="561" t="s">
        <v>164</v>
      </c>
      <c r="N2292" s="52" t="str">
        <f>IF(AND('331-CT'!$E$7=TH!H2292,OR(L2292="331",M2292="331")),"331",IF(AND(OR(L2292="131",M2292="131"),H2292='131-CT'!$E$7),"131",""))</f>
        <v/>
      </c>
      <c r="O2292" s="818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751"/>
    </row>
    <row r="2293" spans="1:27" s="209" customFormat="1" ht="15.75" customHeight="1">
      <c r="A2293" s="202" t="str">
        <f>IF(B2293&lt;&gt;"",IF(AND(B2293&gt;=_TM1,B2293&lt;=_TM2,OR(TH!L2293="1111",TH!M2293="1111")),TH!D2293,""),"")</f>
        <v/>
      </c>
      <c r="B2293" s="36">
        <f t="shared" si="115"/>
        <v>3</v>
      </c>
      <c r="C2293" s="182">
        <f t="shared" si="114"/>
        <v>42455</v>
      </c>
      <c r="D2293" s="182" t="s">
        <v>1547</v>
      </c>
      <c r="E2293" s="189">
        <v>42455</v>
      </c>
      <c r="F2293" s="190" t="s">
        <v>963</v>
      </c>
      <c r="G2293" s="451" t="s">
        <v>493</v>
      </c>
      <c r="H2293" s="7" t="s">
        <v>1549</v>
      </c>
      <c r="I2293" s="251">
        <v>3750</v>
      </c>
      <c r="J2293" s="251">
        <v>6757.7837893836668</v>
      </c>
      <c r="K2293" s="38">
        <f t="shared" si="116"/>
        <v>25341689</v>
      </c>
      <c r="L2293" s="561" t="s">
        <v>166</v>
      </c>
      <c r="M2293" s="561" t="s">
        <v>164</v>
      </c>
      <c r="N2293" s="52" t="str">
        <f>IF(AND('331-CT'!$E$7=TH!H2293,OR(L2293="331",M2293="331")),"331",IF(AND(OR(L2293="131",M2293="131"),H2293='131-CT'!$E$7),"131",""))</f>
        <v/>
      </c>
      <c r="O2293" s="818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751"/>
    </row>
    <row r="2294" spans="1:27" s="209" customFormat="1" ht="15.75" customHeight="1">
      <c r="A2294" s="202" t="str">
        <f>IF(B2294&lt;&gt;"",IF(AND(B2294&gt;=_TM1,B2294&lt;=_TM2,OR(TH!L2294="1111",TH!M2294="1111")),TH!D2294,""),"")</f>
        <v/>
      </c>
      <c r="B2294" s="36">
        <f t="shared" si="115"/>
        <v>3</v>
      </c>
      <c r="C2294" s="182">
        <f t="shared" si="114"/>
        <v>42456</v>
      </c>
      <c r="D2294" s="182" t="s">
        <v>1547</v>
      </c>
      <c r="E2294" s="189">
        <v>42456</v>
      </c>
      <c r="F2294" s="190" t="s">
        <v>694</v>
      </c>
      <c r="G2294" s="451" t="s">
        <v>494</v>
      </c>
      <c r="H2294" s="7" t="s">
        <v>1549</v>
      </c>
      <c r="I2294" s="251">
        <v>1100</v>
      </c>
      <c r="J2294" s="251">
        <v>1418.3003014755845</v>
      </c>
      <c r="K2294" s="38">
        <f t="shared" si="116"/>
        <v>1560130</v>
      </c>
      <c r="L2294" s="561" t="s">
        <v>166</v>
      </c>
      <c r="M2294" s="561" t="s">
        <v>164</v>
      </c>
      <c r="N2294" s="52" t="str">
        <f>IF(AND('331-CT'!$E$7=TH!H2294,OR(L2294="331",M2294="331")),"331",IF(AND(OR(L2294="131",M2294="131"),H2294='131-CT'!$E$7),"131",""))</f>
        <v/>
      </c>
      <c r="O2294" s="818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751"/>
    </row>
    <row r="2295" spans="1:27" s="788" customFormat="1" ht="15.75" customHeight="1">
      <c r="A2295" s="202" t="str">
        <f>IF(B2295&lt;&gt;"",IF(AND(B2295&gt;=_TM1,B2295&lt;=_TM2,OR(TH!L2295="1111",TH!M2295="1111")),TH!D2295,""),"")</f>
        <v/>
      </c>
      <c r="B2295" s="779">
        <f t="shared" si="115"/>
        <v>4</v>
      </c>
      <c r="C2295" s="780">
        <f t="shared" si="114"/>
        <v>42464</v>
      </c>
      <c r="D2295" s="780" t="s">
        <v>1547</v>
      </c>
      <c r="E2295" s="781">
        <v>42464</v>
      </c>
      <c r="F2295" s="782" t="s">
        <v>1310</v>
      </c>
      <c r="G2295" s="783" t="s">
        <v>497</v>
      </c>
      <c r="H2295" s="784" t="s">
        <v>1549</v>
      </c>
      <c r="I2295" s="785">
        <v>300</v>
      </c>
      <c r="J2295" s="785">
        <v>9291.2001617002134</v>
      </c>
      <c r="K2295" s="829">
        <f t="shared" si="116"/>
        <v>2787360</v>
      </c>
      <c r="L2295" s="891" t="s">
        <v>166</v>
      </c>
      <c r="M2295" s="891" t="s">
        <v>164</v>
      </c>
      <c r="N2295" s="52" t="str">
        <f>IF(AND('331-CT'!$E$7=TH!H2295,OR(L2295="331",M2295="331")),"331",IF(AND(OR(L2295="131",M2295="131"),H2295='131-CT'!$E$7),"131",""))</f>
        <v/>
      </c>
      <c r="O2295" s="818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88"/>
    </row>
    <row r="2296" spans="1:27" s="209" customFormat="1" ht="15.75" customHeight="1">
      <c r="A2296" s="202" t="str">
        <f>IF(B2296&lt;&gt;"",IF(AND(B2296&gt;=_TM1,B2296&lt;=_TM2,OR(TH!L2296="1111",TH!M2296="1111")),TH!D2296,""),"")</f>
        <v/>
      </c>
      <c r="B2296" s="36">
        <f t="shared" si="115"/>
        <v>4</v>
      </c>
      <c r="C2296" s="182">
        <f t="shared" si="114"/>
        <v>42467</v>
      </c>
      <c r="D2296" s="182" t="s">
        <v>1547</v>
      </c>
      <c r="E2296" s="189">
        <v>42467</v>
      </c>
      <c r="F2296" s="190" t="s">
        <v>1443</v>
      </c>
      <c r="G2296" s="451" t="s">
        <v>964</v>
      </c>
      <c r="H2296" s="7" t="s">
        <v>1549</v>
      </c>
      <c r="I2296" s="251">
        <v>292</v>
      </c>
      <c r="J2296" s="251">
        <v>8097.8350033166989</v>
      </c>
      <c r="K2296" s="38">
        <f t="shared" si="116"/>
        <v>2364568</v>
      </c>
      <c r="L2296" s="561" t="s">
        <v>166</v>
      </c>
      <c r="M2296" s="561" t="s">
        <v>164</v>
      </c>
      <c r="N2296" s="52" t="str">
        <f>IF(AND('331-CT'!$E$7=TH!H2296,OR(L2296="331",M2296="331")),"331",IF(AND(OR(L2296="131",M2296="131"),H2296='131-CT'!$E$7),"131",""))</f>
        <v/>
      </c>
      <c r="O2296" s="818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751"/>
    </row>
    <row r="2297" spans="1:27" s="209" customFormat="1" ht="15.75" customHeight="1">
      <c r="A2297" s="202" t="str">
        <f>IF(B2297&lt;&gt;"",IF(AND(B2297&gt;=_TM1,B2297&lt;=_TM2,OR(TH!L2297="1111",TH!M2297="1111")),TH!D2297,""),"")</f>
        <v/>
      </c>
      <c r="B2297" s="36">
        <f t="shared" si="115"/>
        <v>4</v>
      </c>
      <c r="C2297" s="182">
        <f t="shared" si="114"/>
        <v>42467</v>
      </c>
      <c r="D2297" s="182" t="s">
        <v>1547</v>
      </c>
      <c r="E2297" s="189">
        <v>42467</v>
      </c>
      <c r="F2297" s="190" t="s">
        <v>1443</v>
      </c>
      <c r="G2297" s="451" t="s">
        <v>964</v>
      </c>
      <c r="H2297" s="7" t="s">
        <v>1549</v>
      </c>
      <c r="I2297" s="251">
        <v>486</v>
      </c>
      <c r="J2297" s="251">
        <v>8097.8350033166989</v>
      </c>
      <c r="K2297" s="38">
        <f t="shared" si="116"/>
        <v>3935548</v>
      </c>
      <c r="L2297" s="561" t="s">
        <v>166</v>
      </c>
      <c r="M2297" s="561" t="s">
        <v>164</v>
      </c>
      <c r="N2297" s="52" t="str">
        <f>IF(AND('331-CT'!$E$7=TH!H2297,OR(L2297="331",M2297="331")),"331",IF(AND(OR(L2297="131",M2297="131"),H2297='131-CT'!$E$7),"131",""))</f>
        <v/>
      </c>
      <c r="O2297" s="818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751"/>
    </row>
    <row r="2298" spans="1:27" s="209" customFormat="1" ht="15.75" customHeight="1">
      <c r="A2298" s="202" t="str">
        <f>IF(B2298&lt;&gt;"",IF(AND(B2298&gt;=_TM1,B2298&lt;=_TM2,OR(TH!L2298="1111",TH!M2298="1111")),TH!D2298,""),"")</f>
        <v/>
      </c>
      <c r="B2298" s="36">
        <f t="shared" si="115"/>
        <v>4</v>
      </c>
      <c r="C2298" s="182">
        <f t="shared" ref="C2298:C2361" si="117">E2298</f>
        <v>42467</v>
      </c>
      <c r="D2298" s="182" t="s">
        <v>1547</v>
      </c>
      <c r="E2298" s="189">
        <v>42467</v>
      </c>
      <c r="F2298" s="190" t="s">
        <v>1443</v>
      </c>
      <c r="G2298" s="451" t="s">
        <v>964</v>
      </c>
      <c r="H2298" s="7" t="s">
        <v>1549</v>
      </c>
      <c r="I2298" s="251">
        <v>303</v>
      </c>
      <c r="J2298" s="251">
        <v>8097.8350033166989</v>
      </c>
      <c r="K2298" s="38">
        <f t="shared" si="116"/>
        <v>2453644</v>
      </c>
      <c r="L2298" s="561" t="s">
        <v>166</v>
      </c>
      <c r="M2298" s="561" t="s">
        <v>164</v>
      </c>
      <c r="N2298" s="52" t="str">
        <f>IF(AND('331-CT'!$E$7=TH!H2298,OR(L2298="331",M2298="331")),"331",IF(AND(OR(L2298="131",M2298="131"),H2298='131-CT'!$E$7),"131",""))</f>
        <v/>
      </c>
      <c r="O2298" s="818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751"/>
    </row>
    <row r="2299" spans="1:27" s="209" customFormat="1" ht="15.75" customHeight="1">
      <c r="A2299" s="202" t="str">
        <f>IF(B2299&lt;&gt;"",IF(AND(B2299&gt;=_TM1,B2299&lt;=_TM2,OR(TH!L2299="1111",TH!M2299="1111")),TH!D2299,""),"")</f>
        <v/>
      </c>
      <c r="B2299" s="36">
        <f t="shared" si="115"/>
        <v>4</v>
      </c>
      <c r="C2299" s="182">
        <f t="shared" si="117"/>
        <v>42467</v>
      </c>
      <c r="D2299" s="182" t="s">
        <v>1547</v>
      </c>
      <c r="E2299" s="189">
        <v>42467</v>
      </c>
      <c r="F2299" s="190" t="s">
        <v>965</v>
      </c>
      <c r="G2299" s="451" t="s">
        <v>498</v>
      </c>
      <c r="H2299" s="7" t="s">
        <v>1549</v>
      </c>
      <c r="I2299" s="251">
        <v>529</v>
      </c>
      <c r="J2299" s="251">
        <v>6733.9891080212556</v>
      </c>
      <c r="K2299" s="38">
        <f t="shared" si="116"/>
        <v>3562280</v>
      </c>
      <c r="L2299" s="561" t="s">
        <v>166</v>
      </c>
      <c r="M2299" s="561" t="s">
        <v>164</v>
      </c>
      <c r="N2299" s="52" t="str">
        <f>IF(AND('331-CT'!$E$7=TH!H2299,OR(L2299="331",M2299="331")),"331",IF(AND(OR(L2299="131",M2299="131"),H2299='131-CT'!$E$7),"131",""))</f>
        <v/>
      </c>
      <c r="O2299" s="818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751"/>
    </row>
    <row r="2300" spans="1:27" s="209" customFormat="1" ht="15.75" customHeight="1">
      <c r="A2300" s="202" t="str">
        <f>IF(B2300&lt;&gt;"",IF(AND(B2300&gt;=_TM1,B2300&lt;=_TM2,OR(TH!L2300="1111",TH!M2300="1111")),TH!D2300,""),"")</f>
        <v/>
      </c>
      <c r="B2300" s="36">
        <f t="shared" si="115"/>
        <v>4</v>
      </c>
      <c r="C2300" s="182">
        <f t="shared" si="117"/>
        <v>42467</v>
      </c>
      <c r="D2300" s="182" t="s">
        <v>1547</v>
      </c>
      <c r="E2300" s="189">
        <v>42467</v>
      </c>
      <c r="F2300" s="190" t="s">
        <v>966</v>
      </c>
      <c r="G2300" s="451" t="s">
        <v>498</v>
      </c>
      <c r="H2300" s="7" t="s">
        <v>1549</v>
      </c>
      <c r="I2300" s="251">
        <v>497</v>
      </c>
      <c r="J2300" s="251">
        <v>8353.5561086845955</v>
      </c>
      <c r="K2300" s="38">
        <f t="shared" si="116"/>
        <v>4151717</v>
      </c>
      <c r="L2300" s="561" t="s">
        <v>166</v>
      </c>
      <c r="M2300" s="561" t="s">
        <v>164</v>
      </c>
      <c r="N2300" s="52" t="str">
        <f>IF(AND('331-CT'!$E$7=TH!H2300,OR(L2300="331",M2300="331")),"331",IF(AND(OR(L2300="131",M2300="131"),H2300='131-CT'!$E$7),"131",""))</f>
        <v/>
      </c>
      <c r="O2300" s="818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751"/>
    </row>
    <row r="2301" spans="1:27" s="209" customFormat="1" ht="15.75" customHeight="1">
      <c r="A2301" s="202" t="str">
        <f>IF(B2301&lt;&gt;"",IF(AND(B2301&gt;=_TM1,B2301&lt;=_TM2,OR(TH!L2301="1111",TH!M2301="1111")),TH!D2301,""),"")</f>
        <v/>
      </c>
      <c r="B2301" s="36">
        <f t="shared" si="115"/>
        <v>4</v>
      </c>
      <c r="C2301" s="182">
        <f t="shared" si="117"/>
        <v>42467</v>
      </c>
      <c r="D2301" s="182" t="s">
        <v>1547</v>
      </c>
      <c r="E2301" s="189">
        <v>42467</v>
      </c>
      <c r="F2301" s="190" t="s">
        <v>956</v>
      </c>
      <c r="G2301" s="451" t="s">
        <v>498</v>
      </c>
      <c r="H2301" s="7" t="s">
        <v>1549</v>
      </c>
      <c r="I2301" s="251">
        <v>516</v>
      </c>
      <c r="J2301" s="251">
        <v>7756.8735294928383</v>
      </c>
      <c r="K2301" s="38">
        <f t="shared" si="116"/>
        <v>4002547</v>
      </c>
      <c r="L2301" s="561" t="s">
        <v>166</v>
      </c>
      <c r="M2301" s="561" t="s">
        <v>164</v>
      </c>
      <c r="N2301" s="52" t="str">
        <f>IF(AND('331-CT'!$E$7=TH!H2301,OR(L2301="331",M2301="331")),"331",IF(AND(OR(L2301="131",M2301="131"),H2301='131-CT'!$E$7),"131",""))</f>
        <v/>
      </c>
      <c r="O2301" s="818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751"/>
    </row>
    <row r="2302" spans="1:27" s="209" customFormat="1" ht="15.75" customHeight="1">
      <c r="A2302" s="202" t="str">
        <f>IF(B2302&lt;&gt;"",IF(AND(B2302&gt;=_TM1,B2302&lt;=_TM2,OR(TH!L2302="1111",TH!M2302="1111")),TH!D2302,""),"")</f>
        <v/>
      </c>
      <c r="B2302" s="36">
        <f t="shared" si="115"/>
        <v>4</v>
      </c>
      <c r="C2302" s="182">
        <f t="shared" si="117"/>
        <v>42468</v>
      </c>
      <c r="D2302" s="182" t="s">
        <v>1547</v>
      </c>
      <c r="E2302" s="189">
        <v>42468</v>
      </c>
      <c r="F2302" s="190" t="s">
        <v>436</v>
      </c>
      <c r="G2302" s="451" t="s">
        <v>500</v>
      </c>
      <c r="H2302" s="7" t="s">
        <v>1549</v>
      </c>
      <c r="I2302" s="251">
        <v>652</v>
      </c>
      <c r="J2302" s="251">
        <v>5796.3450550056377</v>
      </c>
      <c r="K2302" s="38">
        <f t="shared" si="116"/>
        <v>3779217</v>
      </c>
      <c r="L2302" s="561" t="s">
        <v>166</v>
      </c>
      <c r="M2302" s="561" t="s">
        <v>164</v>
      </c>
      <c r="N2302" s="52" t="str">
        <f>IF(AND('331-CT'!$E$7=TH!H2302,OR(L2302="331",M2302="331")),"331",IF(AND(OR(L2302="131",M2302="131"),H2302='131-CT'!$E$7),"131",""))</f>
        <v/>
      </c>
      <c r="O2302" s="818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751"/>
    </row>
    <row r="2303" spans="1:27" s="209" customFormat="1" ht="15.75" customHeight="1">
      <c r="A2303" s="202" t="str">
        <f>IF(B2303&lt;&gt;"",IF(AND(B2303&gt;=_TM1,B2303&lt;=_TM2,OR(TH!L2303="1111",TH!M2303="1111")),TH!D2303,""),"")</f>
        <v/>
      </c>
      <c r="B2303" s="36">
        <f t="shared" si="115"/>
        <v>4</v>
      </c>
      <c r="C2303" s="182">
        <f t="shared" si="117"/>
        <v>42468</v>
      </c>
      <c r="D2303" s="182" t="s">
        <v>1547</v>
      </c>
      <c r="E2303" s="189">
        <v>42468</v>
      </c>
      <c r="F2303" s="190" t="s">
        <v>436</v>
      </c>
      <c r="G2303" s="451" t="s">
        <v>500</v>
      </c>
      <c r="H2303" s="7" t="s">
        <v>1549</v>
      </c>
      <c r="I2303" s="251">
        <v>1495</v>
      </c>
      <c r="J2303" s="251">
        <v>5796.3450550056377</v>
      </c>
      <c r="K2303" s="38">
        <f t="shared" si="116"/>
        <v>8665536</v>
      </c>
      <c r="L2303" s="561" t="s">
        <v>166</v>
      </c>
      <c r="M2303" s="561" t="s">
        <v>164</v>
      </c>
      <c r="N2303" s="52" t="str">
        <f>IF(AND('331-CT'!$E$7=TH!H2303,OR(L2303="331",M2303="331")),"331",IF(AND(OR(L2303="131",M2303="131"),H2303='131-CT'!$E$7),"131",""))</f>
        <v/>
      </c>
      <c r="O2303" s="818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751"/>
    </row>
    <row r="2304" spans="1:27" s="209" customFormat="1" ht="15.75" customHeight="1">
      <c r="A2304" s="202" t="str">
        <f>IF(B2304&lt;&gt;"",IF(AND(B2304&gt;=_TM1,B2304&lt;=_TM2,OR(TH!L2304="1111",TH!M2304="1111")),TH!D2304,""),"")</f>
        <v/>
      </c>
      <c r="B2304" s="36">
        <f t="shared" si="115"/>
        <v>4</v>
      </c>
      <c r="C2304" s="182">
        <f t="shared" si="117"/>
        <v>42468</v>
      </c>
      <c r="D2304" s="182" t="s">
        <v>1547</v>
      </c>
      <c r="E2304" s="189">
        <v>42468</v>
      </c>
      <c r="F2304" s="190" t="s">
        <v>638</v>
      </c>
      <c r="G2304" s="451" t="s">
        <v>502</v>
      </c>
      <c r="H2304" s="7" t="s">
        <v>1549</v>
      </c>
      <c r="I2304" s="251">
        <v>210</v>
      </c>
      <c r="J2304" s="251">
        <v>6819.2294764772205</v>
      </c>
      <c r="K2304" s="38">
        <f t="shared" si="116"/>
        <v>1432038</v>
      </c>
      <c r="L2304" s="561" t="s">
        <v>166</v>
      </c>
      <c r="M2304" s="561" t="s">
        <v>164</v>
      </c>
      <c r="N2304" s="52" t="str">
        <f>IF(AND('331-CT'!$E$7=TH!H2304,OR(L2304="331",M2304="331")),"331",IF(AND(OR(L2304="131",M2304="131"),H2304='131-CT'!$E$7),"131",""))</f>
        <v/>
      </c>
      <c r="O2304" s="818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751"/>
    </row>
    <row r="2305" spans="1:27" s="209" customFormat="1" ht="15.75" customHeight="1">
      <c r="A2305" s="202" t="str">
        <f>IF(B2305&lt;&gt;"",IF(AND(B2305&gt;=_TM1,B2305&lt;=_TM2,OR(TH!L2305="1111",TH!M2305="1111")),TH!D2305,""),"")</f>
        <v/>
      </c>
      <c r="B2305" s="36">
        <f t="shared" si="115"/>
        <v>4</v>
      </c>
      <c r="C2305" s="182">
        <f t="shared" si="117"/>
        <v>42468</v>
      </c>
      <c r="D2305" s="182" t="s">
        <v>1547</v>
      </c>
      <c r="E2305" s="189">
        <v>42468</v>
      </c>
      <c r="F2305" s="190" t="s">
        <v>639</v>
      </c>
      <c r="G2305" s="451" t="s">
        <v>502</v>
      </c>
      <c r="H2305" s="7" t="s">
        <v>1549</v>
      </c>
      <c r="I2305" s="251">
        <v>320</v>
      </c>
      <c r="J2305" s="251">
        <v>7927.3542664047691</v>
      </c>
      <c r="K2305" s="38">
        <f t="shared" si="116"/>
        <v>2536753</v>
      </c>
      <c r="L2305" s="561" t="s">
        <v>166</v>
      </c>
      <c r="M2305" s="561" t="s">
        <v>164</v>
      </c>
      <c r="N2305" s="52" t="str">
        <f>IF(AND('331-CT'!$E$7=TH!H2305,OR(L2305="331",M2305="331")),"331",IF(AND(OR(L2305="131",M2305="131"),H2305='131-CT'!$E$7),"131",""))</f>
        <v/>
      </c>
      <c r="O2305" s="818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751"/>
    </row>
    <row r="2306" spans="1:27" s="209" customFormat="1" ht="15.75" customHeight="1">
      <c r="A2306" s="202" t="str">
        <f>IF(B2306&lt;&gt;"",IF(AND(B2306&gt;=_TM1,B2306&lt;=_TM2,OR(TH!L2306="1111",TH!M2306="1111")),TH!D2306,""),"")</f>
        <v/>
      </c>
      <c r="B2306" s="36">
        <f t="shared" si="115"/>
        <v>4</v>
      </c>
      <c r="C2306" s="182">
        <f t="shared" si="117"/>
        <v>42468</v>
      </c>
      <c r="D2306" s="182" t="s">
        <v>1547</v>
      </c>
      <c r="E2306" s="189">
        <v>42468</v>
      </c>
      <c r="F2306" s="190" t="s">
        <v>1434</v>
      </c>
      <c r="G2306" s="451" t="s">
        <v>503</v>
      </c>
      <c r="H2306" s="7" t="s">
        <v>1549</v>
      </c>
      <c r="I2306" s="251">
        <v>200</v>
      </c>
      <c r="J2306" s="251">
        <v>8694.5175825084552</v>
      </c>
      <c r="K2306" s="38">
        <f t="shared" si="116"/>
        <v>1738904</v>
      </c>
      <c r="L2306" s="561" t="s">
        <v>166</v>
      </c>
      <c r="M2306" s="561" t="s">
        <v>164</v>
      </c>
      <c r="N2306" s="52" t="str">
        <f>IF(AND('331-CT'!$E$7=TH!H2306,OR(L2306="331",M2306="331")),"331",IF(AND(OR(L2306="131",M2306="131"),H2306='131-CT'!$E$7),"131",""))</f>
        <v/>
      </c>
      <c r="O2306" s="818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751"/>
    </row>
    <row r="2307" spans="1:27" s="209" customFormat="1" ht="15.75" customHeight="1">
      <c r="A2307" s="202" t="str">
        <f>IF(B2307&lt;&gt;"",IF(AND(B2307&gt;=_TM1,B2307&lt;=_TM2,OR(TH!L2307="1111",TH!M2307="1111")),TH!D2307,""),"")</f>
        <v/>
      </c>
      <c r="B2307" s="36">
        <f t="shared" si="115"/>
        <v>4</v>
      </c>
      <c r="C2307" s="182">
        <f t="shared" si="117"/>
        <v>42468</v>
      </c>
      <c r="D2307" s="182" t="s">
        <v>1547</v>
      </c>
      <c r="E2307" s="189">
        <v>42468</v>
      </c>
      <c r="F2307" s="190" t="s">
        <v>1435</v>
      </c>
      <c r="G2307" s="451" t="s">
        <v>503</v>
      </c>
      <c r="H2307" s="7" t="s">
        <v>1549</v>
      </c>
      <c r="I2307" s="251">
        <v>200</v>
      </c>
      <c r="J2307" s="251">
        <v>9973.1231093479346</v>
      </c>
      <c r="K2307" s="38">
        <f t="shared" si="116"/>
        <v>1994625</v>
      </c>
      <c r="L2307" s="561" t="s">
        <v>166</v>
      </c>
      <c r="M2307" s="561" t="s">
        <v>164</v>
      </c>
      <c r="N2307" s="52" t="str">
        <f>IF(AND('331-CT'!$E$7=TH!H2307,OR(L2307="331",M2307="331")),"331",IF(AND(OR(L2307="131",M2307="131"),H2307='131-CT'!$E$7),"131",""))</f>
        <v/>
      </c>
      <c r="O2307" s="818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751"/>
    </row>
    <row r="2308" spans="1:27" s="209" customFormat="1" ht="15.75" customHeight="1">
      <c r="A2308" s="202" t="str">
        <f>IF(B2308&lt;&gt;"",IF(AND(B2308&gt;=_TM1,B2308&lt;=_TM2,OR(TH!L2308="1111",TH!M2308="1111")),TH!D2308,""),"")</f>
        <v/>
      </c>
      <c r="B2308" s="36">
        <f t="shared" si="115"/>
        <v>4</v>
      </c>
      <c r="C2308" s="182">
        <f t="shared" si="117"/>
        <v>42468</v>
      </c>
      <c r="D2308" s="182" t="s">
        <v>1547</v>
      </c>
      <c r="E2308" s="189">
        <v>42468</v>
      </c>
      <c r="F2308" s="190" t="s">
        <v>1306</v>
      </c>
      <c r="G2308" s="451" t="s">
        <v>503</v>
      </c>
      <c r="H2308" s="7" t="s">
        <v>1549</v>
      </c>
      <c r="I2308" s="251">
        <v>200</v>
      </c>
      <c r="J2308" s="251">
        <v>10569.805688539691</v>
      </c>
      <c r="K2308" s="38">
        <f t="shared" si="116"/>
        <v>2113961</v>
      </c>
      <c r="L2308" s="561" t="s">
        <v>166</v>
      </c>
      <c r="M2308" s="561" t="s">
        <v>164</v>
      </c>
      <c r="N2308" s="52" t="str">
        <f>IF(AND('331-CT'!$E$7=TH!H2308,OR(L2308="331",M2308="331")),"331",IF(AND(OR(L2308="131",M2308="131"),H2308='131-CT'!$E$7),"131",""))</f>
        <v/>
      </c>
      <c r="O2308" s="818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751"/>
    </row>
    <row r="2309" spans="1:27" s="209" customFormat="1" ht="15.75" customHeight="1">
      <c r="A2309" s="202" t="str">
        <f>IF(B2309&lt;&gt;"",IF(AND(B2309&gt;=_TM1,B2309&lt;=_TM2,OR(TH!L2309="1111",TH!M2309="1111")),TH!D2309,""),"")</f>
        <v/>
      </c>
      <c r="B2309" s="36">
        <f t="shared" si="115"/>
        <v>4</v>
      </c>
      <c r="C2309" s="182">
        <f t="shared" si="117"/>
        <v>42468</v>
      </c>
      <c r="D2309" s="182" t="s">
        <v>1547</v>
      </c>
      <c r="E2309" s="189">
        <v>42468</v>
      </c>
      <c r="F2309" s="190" t="s">
        <v>1307</v>
      </c>
      <c r="G2309" s="451" t="s">
        <v>503</v>
      </c>
      <c r="H2309" s="7" t="s">
        <v>1549</v>
      </c>
      <c r="I2309" s="251">
        <v>200</v>
      </c>
      <c r="J2309" s="251">
        <v>12956.536005306718</v>
      </c>
      <c r="K2309" s="38">
        <f t="shared" si="116"/>
        <v>2591307</v>
      </c>
      <c r="L2309" s="561" t="s">
        <v>166</v>
      </c>
      <c r="M2309" s="561" t="s">
        <v>164</v>
      </c>
      <c r="N2309" s="52" t="str">
        <f>IF(AND('331-CT'!$E$7=TH!H2309,OR(L2309="331",M2309="331")),"331",IF(AND(OR(L2309="131",M2309="131"),H2309='131-CT'!$E$7),"131",""))</f>
        <v/>
      </c>
      <c r="O2309" s="818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751"/>
    </row>
    <row r="2310" spans="1:27" s="209" customFormat="1" ht="15.75" customHeight="1">
      <c r="A2310" s="202" t="str">
        <f>IF(B2310&lt;&gt;"",IF(AND(B2310&gt;=_TM1,B2310&lt;=_TM2,OR(TH!L2310="1111",TH!M2310="1111")),TH!D2310,""),"")</f>
        <v/>
      </c>
      <c r="B2310" s="36">
        <f t="shared" ref="B2310:B2373" si="118">IF(C2310&lt;&gt;"",MONTH(C2310),"")</f>
        <v>4</v>
      </c>
      <c r="C2310" s="182">
        <f t="shared" si="117"/>
        <v>42468</v>
      </c>
      <c r="D2310" s="182" t="s">
        <v>1547</v>
      </c>
      <c r="E2310" s="189">
        <v>42468</v>
      </c>
      <c r="F2310" s="190" t="s">
        <v>911</v>
      </c>
      <c r="G2310" s="451" t="s">
        <v>504</v>
      </c>
      <c r="H2310" s="7" t="s">
        <v>1549</v>
      </c>
      <c r="I2310" s="251">
        <v>40</v>
      </c>
      <c r="J2310" s="251">
        <v>19605.284744872006</v>
      </c>
      <c r="K2310" s="38">
        <f t="shared" si="116"/>
        <v>784211</v>
      </c>
      <c r="L2310" s="561" t="s">
        <v>166</v>
      </c>
      <c r="M2310" s="561" t="s">
        <v>164</v>
      </c>
      <c r="N2310" s="52" t="str">
        <f>IF(AND('331-CT'!$E$7=TH!H2310,OR(L2310="331",M2310="331")),"331",IF(AND(OR(L2310="131",M2310="131"),H2310='131-CT'!$E$7),"131",""))</f>
        <v/>
      </c>
      <c r="O2310" s="818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751"/>
    </row>
    <row r="2311" spans="1:27" s="209" customFormat="1" ht="15.75" customHeight="1">
      <c r="A2311" s="202" t="str">
        <f>IF(B2311&lt;&gt;"",IF(AND(B2311&gt;=_TM1,B2311&lt;=_TM2,OR(TH!L2311="1111",TH!M2311="1111")),TH!D2311,""),"")</f>
        <v/>
      </c>
      <c r="B2311" s="36">
        <f t="shared" si="118"/>
        <v>4</v>
      </c>
      <c r="C2311" s="182">
        <f t="shared" si="117"/>
        <v>42468</v>
      </c>
      <c r="D2311" s="182" t="s">
        <v>1547</v>
      </c>
      <c r="E2311" s="189">
        <v>42468</v>
      </c>
      <c r="F2311" s="190" t="s">
        <v>967</v>
      </c>
      <c r="G2311" s="451" t="s">
        <v>505</v>
      </c>
      <c r="H2311" s="7" t="s">
        <v>1549</v>
      </c>
      <c r="I2311" s="251">
        <v>540</v>
      </c>
      <c r="J2311" s="251">
        <v>6222.5468972854633</v>
      </c>
      <c r="K2311" s="38">
        <f t="shared" si="116"/>
        <v>3360175</v>
      </c>
      <c r="L2311" s="561" t="s">
        <v>166</v>
      </c>
      <c r="M2311" s="561" t="s">
        <v>164</v>
      </c>
      <c r="N2311" s="52" t="str">
        <f>IF(AND('331-CT'!$E$7=TH!H2311,OR(L2311="331",M2311="331")),"331",IF(AND(OR(L2311="131",M2311="131"),H2311='131-CT'!$E$7),"131",""))</f>
        <v/>
      </c>
      <c r="O2311" s="818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751"/>
    </row>
    <row r="2312" spans="1:27" s="209" customFormat="1" ht="15.75" customHeight="1">
      <c r="A2312" s="202" t="str">
        <f>IF(B2312&lt;&gt;"",IF(AND(B2312&gt;=_TM1,B2312&lt;=_TM2,OR(TH!L2312="1111",TH!M2312="1111")),TH!D2312,""),"")</f>
        <v/>
      </c>
      <c r="B2312" s="36">
        <f t="shared" si="118"/>
        <v>4</v>
      </c>
      <c r="C2312" s="182">
        <f t="shared" si="117"/>
        <v>42468</v>
      </c>
      <c r="D2312" s="182" t="s">
        <v>1547</v>
      </c>
      <c r="E2312" s="189">
        <v>42468</v>
      </c>
      <c r="F2312" s="190" t="s">
        <v>1437</v>
      </c>
      <c r="G2312" s="451" t="s">
        <v>506</v>
      </c>
      <c r="H2312" s="7" t="s">
        <v>1549</v>
      </c>
      <c r="I2312" s="251">
        <v>3000</v>
      </c>
      <c r="J2312" s="251">
        <v>3324.3743697826449</v>
      </c>
      <c r="K2312" s="38">
        <f t="shared" si="116"/>
        <v>9973123</v>
      </c>
      <c r="L2312" s="561" t="s">
        <v>166</v>
      </c>
      <c r="M2312" s="561" t="s">
        <v>164</v>
      </c>
      <c r="N2312" s="52" t="str">
        <f>IF(AND('331-CT'!$E$7=TH!H2312,OR(L2312="331",M2312="331")),"331",IF(AND(OR(L2312="131",M2312="131"),H2312='131-CT'!$E$7),"131",""))</f>
        <v/>
      </c>
      <c r="O2312" s="818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751"/>
    </row>
    <row r="2313" spans="1:27" s="209" customFormat="1" ht="15.75" customHeight="1">
      <c r="A2313" s="202" t="str">
        <f>IF(B2313&lt;&gt;"",IF(AND(B2313&gt;=_TM1,B2313&lt;=_TM2,OR(TH!L2313="1111",TH!M2313="1111")),TH!D2313,""),"")</f>
        <v/>
      </c>
      <c r="B2313" s="36">
        <f t="shared" si="118"/>
        <v>4</v>
      </c>
      <c r="C2313" s="182">
        <f t="shared" si="117"/>
        <v>42471</v>
      </c>
      <c r="D2313" s="182" t="s">
        <v>1547</v>
      </c>
      <c r="E2313" s="189">
        <v>42471</v>
      </c>
      <c r="F2313" s="190" t="s">
        <v>968</v>
      </c>
      <c r="G2313" s="451" t="s">
        <v>508</v>
      </c>
      <c r="H2313" s="7" t="s">
        <v>1549</v>
      </c>
      <c r="I2313" s="251">
        <v>100</v>
      </c>
      <c r="J2313" s="251">
        <v>9291.2001617002134</v>
      </c>
      <c r="K2313" s="38">
        <f t="shared" si="116"/>
        <v>929120</v>
      </c>
      <c r="L2313" s="561" t="s">
        <v>166</v>
      </c>
      <c r="M2313" s="561" t="s">
        <v>164</v>
      </c>
      <c r="N2313" s="52" t="str">
        <f>IF(AND('331-CT'!$E$7=TH!H2313,OR(L2313="331",M2313="331")),"331",IF(AND(OR(L2313="131",M2313="131"),H2313='131-CT'!$E$7),"131",""))</f>
        <v/>
      </c>
      <c r="O2313" s="818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751"/>
    </row>
    <row r="2314" spans="1:27" s="209" customFormat="1" ht="15.75" customHeight="1">
      <c r="A2314" s="202" t="str">
        <f>IF(B2314&lt;&gt;"",IF(AND(B2314&gt;=_TM1,B2314&lt;=_TM2,OR(TH!L2314="1111",TH!M2314="1111")),TH!D2314,""),"")</f>
        <v/>
      </c>
      <c r="B2314" s="36">
        <f t="shared" si="118"/>
        <v>4</v>
      </c>
      <c r="C2314" s="182">
        <f t="shared" si="117"/>
        <v>42471</v>
      </c>
      <c r="D2314" s="182" t="s">
        <v>1547</v>
      </c>
      <c r="E2314" s="189">
        <v>42471</v>
      </c>
      <c r="F2314" s="190" t="s">
        <v>970</v>
      </c>
      <c r="G2314" s="451" t="s">
        <v>508</v>
      </c>
      <c r="H2314" s="7" t="s">
        <v>1549</v>
      </c>
      <c r="I2314" s="251">
        <v>100</v>
      </c>
      <c r="J2314" s="251">
        <v>11166.488267731449</v>
      </c>
      <c r="K2314" s="38">
        <f t="shared" si="116"/>
        <v>1116649</v>
      </c>
      <c r="L2314" s="561" t="s">
        <v>166</v>
      </c>
      <c r="M2314" s="561" t="s">
        <v>164</v>
      </c>
      <c r="N2314" s="52" t="str">
        <f>IF(AND('331-CT'!$E$7=TH!H2314,OR(L2314="331",M2314="331")),"331",IF(AND(OR(L2314="131",M2314="131"),H2314='131-CT'!$E$7),"131",""))</f>
        <v/>
      </c>
      <c r="O2314" s="818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751"/>
    </row>
    <row r="2315" spans="1:27" s="209" customFormat="1" ht="15.75" customHeight="1">
      <c r="A2315" s="202" t="str">
        <f>IF(B2315&lt;&gt;"",IF(AND(B2315&gt;=_TM1,B2315&lt;=_TM2,OR(TH!L2315="1111",TH!M2315="1111")),TH!D2315,""),"")</f>
        <v/>
      </c>
      <c r="B2315" s="36">
        <f t="shared" si="118"/>
        <v>4</v>
      </c>
      <c r="C2315" s="182">
        <f t="shared" si="117"/>
        <v>42471</v>
      </c>
      <c r="D2315" s="182" t="s">
        <v>1547</v>
      </c>
      <c r="E2315" s="189">
        <v>42471</v>
      </c>
      <c r="F2315" s="190" t="s">
        <v>971</v>
      </c>
      <c r="G2315" s="451" t="s">
        <v>508</v>
      </c>
      <c r="H2315" s="7" t="s">
        <v>1549</v>
      </c>
      <c r="I2315" s="251">
        <v>100</v>
      </c>
      <c r="J2315" s="251">
        <v>10484.565320083726</v>
      </c>
      <c r="K2315" s="38">
        <f t="shared" si="116"/>
        <v>1048457</v>
      </c>
      <c r="L2315" s="561" t="s">
        <v>166</v>
      </c>
      <c r="M2315" s="561" t="s">
        <v>164</v>
      </c>
      <c r="N2315" s="52" t="str">
        <f>IF(AND('331-CT'!$E$7=TH!H2315,OR(L2315="331",M2315="331")),"331",IF(AND(OR(L2315="131",M2315="131"),H2315='131-CT'!$E$7),"131",""))</f>
        <v/>
      </c>
      <c r="O2315" s="818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751"/>
    </row>
    <row r="2316" spans="1:27" s="209" customFormat="1" ht="15.75" customHeight="1">
      <c r="A2316" s="202" t="str">
        <f>IF(B2316&lt;&gt;"",IF(AND(B2316&gt;=_TM1,B2316&lt;=_TM2,OR(TH!L2316="1111",TH!M2316="1111")),TH!D2316,""),"")</f>
        <v/>
      </c>
      <c r="B2316" s="36">
        <f t="shared" si="118"/>
        <v>4</v>
      </c>
      <c r="C2316" s="182">
        <f t="shared" si="117"/>
        <v>42472</v>
      </c>
      <c r="D2316" s="182" t="s">
        <v>1547</v>
      </c>
      <c r="E2316" s="189">
        <v>42472</v>
      </c>
      <c r="F2316" s="190" t="s">
        <v>645</v>
      </c>
      <c r="G2316" s="451" t="s">
        <v>509</v>
      </c>
      <c r="H2316" s="7" t="s">
        <v>1549</v>
      </c>
      <c r="I2316" s="251">
        <v>1004</v>
      </c>
      <c r="J2316" s="251">
        <v>9717.402003980038</v>
      </c>
      <c r="K2316" s="38">
        <f t="shared" si="116"/>
        <v>9756272</v>
      </c>
      <c r="L2316" s="561" t="s">
        <v>166</v>
      </c>
      <c r="M2316" s="561" t="s">
        <v>164</v>
      </c>
      <c r="N2316" s="52" t="str">
        <f>IF(AND('331-CT'!$E$7=TH!H2316,OR(L2316="331",M2316="331")),"331",IF(AND(OR(L2316="131",M2316="131"),H2316='131-CT'!$E$7),"131",""))</f>
        <v/>
      </c>
      <c r="O2316" s="818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751"/>
    </row>
    <row r="2317" spans="1:27" s="209" customFormat="1" ht="15.75" customHeight="1">
      <c r="A2317" s="202" t="str">
        <f>IF(B2317&lt;&gt;"",IF(AND(B2317&gt;=_TM1,B2317&lt;=_TM2,OR(TH!L2317="1111",TH!M2317="1111")),TH!D2317,""),"")</f>
        <v/>
      </c>
      <c r="B2317" s="36">
        <f t="shared" si="118"/>
        <v>4</v>
      </c>
      <c r="C2317" s="182">
        <f t="shared" si="117"/>
        <v>42472</v>
      </c>
      <c r="D2317" s="182" t="s">
        <v>1547</v>
      </c>
      <c r="E2317" s="189">
        <v>42472</v>
      </c>
      <c r="F2317" s="190" t="s">
        <v>693</v>
      </c>
      <c r="G2317" s="451" t="s">
        <v>509</v>
      </c>
      <c r="H2317" s="7" t="s">
        <v>1549</v>
      </c>
      <c r="I2317" s="251">
        <v>2008</v>
      </c>
      <c r="J2317" s="251">
        <v>767.16331610368729</v>
      </c>
      <c r="K2317" s="38">
        <f t="shared" si="116"/>
        <v>1540464</v>
      </c>
      <c r="L2317" s="561" t="s">
        <v>166</v>
      </c>
      <c r="M2317" s="561" t="s">
        <v>164</v>
      </c>
      <c r="N2317" s="52" t="str">
        <f>IF(AND('331-CT'!$E$7=TH!H2317,OR(L2317="331",M2317="331")),"331",IF(AND(OR(L2317="131",M2317="131"),H2317='131-CT'!$E$7),"131",""))</f>
        <v/>
      </c>
      <c r="O2317" s="818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751"/>
    </row>
    <row r="2318" spans="1:27" s="209" customFormat="1" ht="15.75" customHeight="1">
      <c r="A2318" s="202" t="str">
        <f>IF(B2318&lt;&gt;"",IF(AND(B2318&gt;=_TM1,B2318&lt;=_TM2,OR(TH!L2318="1111",TH!M2318="1111")),TH!D2318,""),"")</f>
        <v/>
      </c>
      <c r="B2318" s="36">
        <f t="shared" si="118"/>
        <v>4</v>
      </c>
      <c r="C2318" s="182">
        <f t="shared" si="117"/>
        <v>42472</v>
      </c>
      <c r="D2318" s="182" t="s">
        <v>1547</v>
      </c>
      <c r="E2318" s="189">
        <v>42472</v>
      </c>
      <c r="F2318" s="190" t="s">
        <v>972</v>
      </c>
      <c r="G2318" s="451" t="s">
        <v>510</v>
      </c>
      <c r="H2318" s="7" t="s">
        <v>1549</v>
      </c>
      <c r="I2318" s="251">
        <v>207</v>
      </c>
      <c r="J2318" s="251">
        <v>7756.8735294928383</v>
      </c>
      <c r="K2318" s="38">
        <f t="shared" si="116"/>
        <v>1605673</v>
      </c>
      <c r="L2318" s="561" t="s">
        <v>166</v>
      </c>
      <c r="M2318" s="561" t="s">
        <v>164</v>
      </c>
      <c r="N2318" s="52" t="str">
        <f>IF(AND('331-CT'!$E$7=TH!H2318,OR(L2318="331",M2318="331")),"331",IF(AND(OR(L2318="131",M2318="131"),H2318='131-CT'!$E$7),"131",""))</f>
        <v/>
      </c>
      <c r="O2318" s="818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751"/>
    </row>
    <row r="2319" spans="1:27" s="209" customFormat="1" ht="15.75" customHeight="1">
      <c r="A2319" s="202" t="str">
        <f>IF(B2319&lt;&gt;"",IF(AND(B2319&gt;=_TM1,B2319&lt;=_TM2,OR(TH!L2319="1111",TH!M2319="1111")),TH!D2319,""),"")</f>
        <v/>
      </c>
      <c r="B2319" s="36">
        <f t="shared" si="118"/>
        <v>4</v>
      </c>
      <c r="C2319" s="182">
        <f t="shared" si="117"/>
        <v>42472</v>
      </c>
      <c r="D2319" s="182" t="s">
        <v>1547</v>
      </c>
      <c r="E2319" s="189">
        <v>42472</v>
      </c>
      <c r="F2319" s="190" t="s">
        <v>973</v>
      </c>
      <c r="G2319" s="451" t="s">
        <v>510</v>
      </c>
      <c r="H2319" s="7" t="s">
        <v>1549</v>
      </c>
      <c r="I2319" s="251">
        <v>173</v>
      </c>
      <c r="J2319" s="251">
        <v>7927.3542664047691</v>
      </c>
      <c r="K2319" s="38">
        <f t="shared" si="116"/>
        <v>1371432</v>
      </c>
      <c r="L2319" s="561" t="s">
        <v>166</v>
      </c>
      <c r="M2319" s="561" t="s">
        <v>164</v>
      </c>
      <c r="N2319" s="52" t="str">
        <f>IF(AND('331-CT'!$E$7=TH!H2319,OR(L2319="331",M2319="331")),"331",IF(AND(OR(L2319="131",M2319="131"),H2319='131-CT'!$E$7),"131",""))</f>
        <v/>
      </c>
      <c r="O2319" s="818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751"/>
    </row>
    <row r="2320" spans="1:27" s="209" customFormat="1" ht="15.75" customHeight="1">
      <c r="A2320" s="202" t="str">
        <f>IF(B2320&lt;&gt;"",IF(AND(B2320&gt;=_TM1,B2320&lt;=_TM2,OR(TH!L2320="1111",TH!M2320="1111")),TH!D2320,""),"")</f>
        <v/>
      </c>
      <c r="B2320" s="36">
        <f t="shared" si="118"/>
        <v>4</v>
      </c>
      <c r="C2320" s="182">
        <f t="shared" si="117"/>
        <v>42472</v>
      </c>
      <c r="D2320" s="182" t="s">
        <v>1547</v>
      </c>
      <c r="E2320" s="189">
        <v>42472</v>
      </c>
      <c r="F2320" s="190" t="s">
        <v>974</v>
      </c>
      <c r="G2320" s="451" t="s">
        <v>511</v>
      </c>
      <c r="H2320" s="7" t="s">
        <v>1549</v>
      </c>
      <c r="I2320" s="251">
        <v>505</v>
      </c>
      <c r="J2320" s="251">
        <v>5029.1817389019498</v>
      </c>
      <c r="K2320" s="38">
        <f t="shared" si="116"/>
        <v>2539737</v>
      </c>
      <c r="L2320" s="561" t="s">
        <v>166</v>
      </c>
      <c r="M2320" s="561" t="s">
        <v>164</v>
      </c>
      <c r="N2320" s="52" t="str">
        <f>IF(AND('331-CT'!$E$7=TH!H2320,OR(L2320="331",M2320="331")),"331",IF(AND(OR(L2320="131",M2320="131"),H2320='131-CT'!$E$7),"131",""))</f>
        <v/>
      </c>
      <c r="O2320" s="818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751"/>
    </row>
    <row r="2321" spans="1:28" s="209" customFormat="1" ht="15.75" customHeight="1">
      <c r="A2321" s="202" t="str">
        <f>IF(B2321&lt;&gt;"",IF(AND(B2321&gt;=_TM1,B2321&lt;=_TM2,OR(TH!L2321="1111",TH!M2321="1111")),TH!D2321,""),"")</f>
        <v/>
      </c>
      <c r="B2321" s="36">
        <f t="shared" si="118"/>
        <v>4</v>
      </c>
      <c r="C2321" s="182">
        <f t="shared" si="117"/>
        <v>42472</v>
      </c>
      <c r="D2321" s="182" t="s">
        <v>1547</v>
      </c>
      <c r="E2321" s="189">
        <v>42472</v>
      </c>
      <c r="F2321" s="190" t="s">
        <v>975</v>
      </c>
      <c r="G2321" s="451" t="s">
        <v>511</v>
      </c>
      <c r="H2321" s="7" t="s">
        <v>1549</v>
      </c>
      <c r="I2321" s="251">
        <v>988</v>
      </c>
      <c r="J2321" s="251">
        <v>5966.8257919175676</v>
      </c>
      <c r="K2321" s="38">
        <f t="shared" si="116"/>
        <v>5895224</v>
      </c>
      <c r="L2321" s="561" t="s">
        <v>166</v>
      </c>
      <c r="M2321" s="561" t="s">
        <v>164</v>
      </c>
      <c r="N2321" s="52" t="str">
        <f>IF(AND('331-CT'!$E$7=TH!H2321,OR(L2321="331",M2321="331")),"331",IF(AND(OR(L2321="131",M2321="131"),H2321='131-CT'!$E$7),"131",""))</f>
        <v/>
      </c>
      <c r="O2321" s="818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751"/>
    </row>
    <row r="2322" spans="1:28" s="209" customFormat="1" ht="15.75" customHeight="1">
      <c r="A2322" s="202" t="str">
        <f>IF(B2322&lt;&gt;"",IF(AND(B2322&gt;=_TM1,B2322&lt;=_TM2,OR(TH!L2322="1111",TH!M2322="1111")),TH!D2322,""),"")</f>
        <v/>
      </c>
      <c r="B2322" s="36">
        <f t="shared" si="118"/>
        <v>4</v>
      </c>
      <c r="C2322" s="182">
        <f t="shared" si="117"/>
        <v>42472</v>
      </c>
      <c r="D2322" s="182" t="s">
        <v>1547</v>
      </c>
      <c r="E2322" s="189">
        <v>42472</v>
      </c>
      <c r="F2322" s="190" t="s">
        <v>630</v>
      </c>
      <c r="G2322" s="451" t="s">
        <v>513</v>
      </c>
      <c r="H2322" s="7" t="s">
        <v>1549</v>
      </c>
      <c r="I2322" s="251">
        <v>735</v>
      </c>
      <c r="J2322" s="251">
        <v>6052.0661603735325</v>
      </c>
      <c r="K2322" s="38">
        <f t="shared" si="116"/>
        <v>4448269</v>
      </c>
      <c r="L2322" s="561" t="s">
        <v>166</v>
      </c>
      <c r="M2322" s="561" t="s">
        <v>164</v>
      </c>
      <c r="N2322" s="52" t="str">
        <f>IF(AND('331-CT'!$E$7=TH!H2322,OR(L2322="331",M2322="331")),"331",IF(AND(OR(L2322="131",M2322="131"),H2322='131-CT'!$E$7),"131",""))</f>
        <v/>
      </c>
      <c r="O2322" s="818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751"/>
    </row>
    <row r="2323" spans="1:28" s="209" customFormat="1" ht="15.75" customHeight="1">
      <c r="A2323" s="202" t="str">
        <f>IF(B2323&lt;&gt;"",IF(AND(B2323&gt;=_TM1,B2323&lt;=_TM2,OR(TH!L2323="1111",TH!M2323="1111")),TH!D2323,""),"")</f>
        <v/>
      </c>
      <c r="B2323" s="36">
        <f t="shared" si="118"/>
        <v>4</v>
      </c>
      <c r="C2323" s="182">
        <f t="shared" si="117"/>
        <v>42472</v>
      </c>
      <c r="D2323" s="182" t="s">
        <v>1547</v>
      </c>
      <c r="E2323" s="189">
        <v>42472</v>
      </c>
      <c r="F2323" s="187" t="s">
        <v>418</v>
      </c>
      <c r="G2323" s="451" t="s">
        <v>513</v>
      </c>
      <c r="H2323" s="7" t="s">
        <v>1549</v>
      </c>
      <c r="I2323" s="251">
        <v>194</v>
      </c>
      <c r="J2323" s="251">
        <v>61799.267130574808</v>
      </c>
      <c r="K2323" s="38">
        <f t="shared" si="116"/>
        <v>11989058</v>
      </c>
      <c r="L2323" s="561" t="s">
        <v>166</v>
      </c>
      <c r="M2323" s="561" t="s">
        <v>164</v>
      </c>
      <c r="N2323" s="52" t="str">
        <f>IF(AND('331-CT'!$E$7=TH!H2323,OR(L2323="331",M2323="331")),"331",IF(AND(OR(L2323="131",M2323="131"),H2323='131-CT'!$E$7),"131",""))</f>
        <v/>
      </c>
      <c r="O2323" s="818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751"/>
    </row>
    <row r="2324" spans="1:28" s="209" customFormat="1" ht="15.75" customHeight="1">
      <c r="A2324" s="202" t="str">
        <f>IF(B2324&lt;&gt;"",IF(AND(B2324&gt;=_TM1,B2324&lt;=_TM2,OR(TH!L2324="1111",TH!M2324="1111")),TH!D2324,""),"")</f>
        <v/>
      </c>
      <c r="B2324" s="36">
        <f t="shared" si="118"/>
        <v>4</v>
      </c>
      <c r="C2324" s="182">
        <f t="shared" si="117"/>
        <v>42472</v>
      </c>
      <c r="D2324" s="182" t="s">
        <v>1547</v>
      </c>
      <c r="E2324" s="189">
        <v>42472</v>
      </c>
      <c r="F2324" s="187" t="s">
        <v>976</v>
      </c>
      <c r="G2324" s="451" t="s">
        <v>513</v>
      </c>
      <c r="H2324" s="7" t="s">
        <v>1549</v>
      </c>
      <c r="I2324" s="251">
        <v>20</v>
      </c>
      <c r="J2324" s="251">
        <v>70919.986555363095</v>
      </c>
      <c r="K2324" s="38">
        <f t="shared" si="116"/>
        <v>1418400</v>
      </c>
      <c r="L2324" s="561" t="s">
        <v>166</v>
      </c>
      <c r="M2324" s="561" t="s">
        <v>164</v>
      </c>
      <c r="N2324" s="52" t="str">
        <f>IF(AND('331-CT'!$E$7=TH!H2324,OR(L2324="331",M2324="331")),"331",IF(AND(OR(L2324="131",M2324="131"),H2324='131-CT'!$E$7),"131",""))</f>
        <v/>
      </c>
      <c r="O2324" s="818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751"/>
      <c r="AB2324" s="552"/>
    </row>
    <row r="2325" spans="1:28" s="209" customFormat="1" ht="15.75" customHeight="1">
      <c r="A2325" s="202" t="str">
        <f>IF(B2325&lt;&gt;"",IF(AND(B2325&gt;=_TM1,B2325&lt;=_TM2,OR(TH!L2325="1111",TH!M2325="1111")),TH!D2325,""),"")</f>
        <v/>
      </c>
      <c r="B2325" s="36">
        <f t="shared" si="118"/>
        <v>4</v>
      </c>
      <c r="C2325" s="182">
        <f t="shared" si="117"/>
        <v>42473</v>
      </c>
      <c r="D2325" s="182" t="s">
        <v>1547</v>
      </c>
      <c r="E2325" s="189">
        <v>42473</v>
      </c>
      <c r="F2325" s="187" t="s">
        <v>389</v>
      </c>
      <c r="G2325" s="451" t="s">
        <v>514</v>
      </c>
      <c r="H2325" s="7" t="s">
        <v>1549</v>
      </c>
      <c r="I2325" s="251">
        <v>1222</v>
      </c>
      <c r="J2325" s="251">
        <v>6989.7102133891503</v>
      </c>
      <c r="K2325" s="38">
        <f t="shared" si="116"/>
        <v>8541426</v>
      </c>
      <c r="L2325" s="561" t="s">
        <v>166</v>
      </c>
      <c r="M2325" s="561" t="s">
        <v>164</v>
      </c>
      <c r="N2325" s="52" t="str">
        <f>IF(AND('331-CT'!$E$7=TH!H2325,OR(L2325="331",M2325="331")),"331",IF(AND(OR(L2325="131",M2325="131"),H2325='131-CT'!$E$7),"131",""))</f>
        <v/>
      </c>
      <c r="O2325" s="818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751"/>
    </row>
    <row r="2326" spans="1:28" s="209" customFormat="1" ht="15.75" customHeight="1">
      <c r="A2326" s="202" t="str">
        <f>IF(B2326&lt;&gt;"",IF(AND(B2326&gt;=_TM1,B2326&lt;=_TM2,OR(TH!L2326="1111",TH!M2326="1111")),TH!D2326,""),"")</f>
        <v/>
      </c>
      <c r="B2326" s="36">
        <f t="shared" si="118"/>
        <v>4</v>
      </c>
      <c r="C2326" s="182">
        <f t="shared" si="117"/>
        <v>42473</v>
      </c>
      <c r="D2326" s="182" t="s">
        <v>1547</v>
      </c>
      <c r="E2326" s="189">
        <v>42473</v>
      </c>
      <c r="F2326" s="187" t="s">
        <v>441</v>
      </c>
      <c r="G2326" s="451" t="s">
        <v>514</v>
      </c>
      <c r="H2326" s="7" t="s">
        <v>1549</v>
      </c>
      <c r="I2326" s="251">
        <v>602</v>
      </c>
      <c r="J2326" s="251">
        <v>13467.978216042511</v>
      </c>
      <c r="K2326" s="38">
        <f t="shared" si="116"/>
        <v>8107723</v>
      </c>
      <c r="L2326" s="561" t="s">
        <v>166</v>
      </c>
      <c r="M2326" s="561" t="s">
        <v>164</v>
      </c>
      <c r="N2326" s="52" t="str">
        <f>IF(AND('331-CT'!$E$7=TH!H2326,OR(L2326="331",M2326="331")),"331",IF(AND(OR(L2326="131",M2326="131"),H2326='131-CT'!$E$7),"131",""))</f>
        <v/>
      </c>
      <c r="O2326" s="818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751"/>
      <c r="AB2326" s="552"/>
    </row>
    <row r="2327" spans="1:28" s="209" customFormat="1" ht="15.75" customHeight="1">
      <c r="A2327" s="202" t="str">
        <f>IF(B2327&lt;&gt;"",IF(AND(B2327&gt;=_TM1,B2327&lt;=_TM2,OR(TH!L2327="1111",TH!M2327="1111")),TH!D2327,""),"")</f>
        <v/>
      </c>
      <c r="B2327" s="36">
        <f t="shared" si="118"/>
        <v>4</v>
      </c>
      <c r="C2327" s="182">
        <f t="shared" si="117"/>
        <v>42475</v>
      </c>
      <c r="D2327" s="182" t="s">
        <v>1547</v>
      </c>
      <c r="E2327" s="189">
        <v>42475</v>
      </c>
      <c r="F2327" s="187" t="s">
        <v>418</v>
      </c>
      <c r="G2327" s="451" t="s">
        <v>977</v>
      </c>
      <c r="H2327" s="7" t="s">
        <v>1549</v>
      </c>
      <c r="I2327" s="251">
        <v>295</v>
      </c>
      <c r="J2327" s="251">
        <v>61799.267130574808</v>
      </c>
      <c r="K2327" s="38">
        <f t="shared" si="116"/>
        <v>18230784</v>
      </c>
      <c r="L2327" s="561" t="s">
        <v>166</v>
      </c>
      <c r="M2327" s="561" t="s">
        <v>164</v>
      </c>
      <c r="N2327" s="52" t="str">
        <f>IF(AND('331-CT'!$E$7=TH!H2327,OR(L2327="331",M2327="331")),"331",IF(AND(OR(L2327="131",M2327="131"),H2327='131-CT'!$E$7),"131",""))</f>
        <v/>
      </c>
      <c r="O2327" s="818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751"/>
    </row>
    <row r="2328" spans="1:28" s="209" customFormat="1" ht="15.75" customHeight="1">
      <c r="A2328" s="202" t="str">
        <f>IF(B2328&lt;&gt;"",IF(AND(B2328&gt;=_TM1,B2328&lt;=_TM2,OR(TH!L2328="1111",TH!M2328="1111")),TH!D2328,""),"")</f>
        <v/>
      </c>
      <c r="B2328" s="36">
        <f t="shared" si="118"/>
        <v>4</v>
      </c>
      <c r="C2328" s="182">
        <f t="shared" si="117"/>
        <v>42475</v>
      </c>
      <c r="D2328" s="182" t="s">
        <v>1547</v>
      </c>
      <c r="E2328" s="189">
        <v>42475</v>
      </c>
      <c r="F2328" s="187" t="s">
        <v>978</v>
      </c>
      <c r="G2328" s="451" t="s">
        <v>977</v>
      </c>
      <c r="H2328" s="7" t="s">
        <v>1549</v>
      </c>
      <c r="I2328" s="251">
        <v>41</v>
      </c>
      <c r="J2328" s="251">
        <v>69044.69844933186</v>
      </c>
      <c r="K2328" s="38">
        <f t="shared" si="116"/>
        <v>2830833</v>
      </c>
      <c r="L2328" s="561" t="s">
        <v>166</v>
      </c>
      <c r="M2328" s="561" t="s">
        <v>164</v>
      </c>
      <c r="N2328" s="52" t="str">
        <f>IF(AND('331-CT'!$E$7=TH!H2328,OR(L2328="331",M2328="331")),"331",IF(AND(OR(L2328="131",M2328="131"),H2328='131-CT'!$E$7),"131",""))</f>
        <v/>
      </c>
      <c r="O2328" s="818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751"/>
    </row>
    <row r="2329" spans="1:28" s="209" customFormat="1" ht="15.75" customHeight="1">
      <c r="A2329" s="202" t="str">
        <f>IF(B2329&lt;&gt;"",IF(AND(B2329&gt;=_TM1,B2329&lt;=_TM2,OR(TH!L2329="1111",TH!M2329="1111")),TH!D2329,""),"")</f>
        <v/>
      </c>
      <c r="B2329" s="36">
        <f t="shared" si="118"/>
        <v>4</v>
      </c>
      <c r="C2329" s="182">
        <f t="shared" si="117"/>
        <v>42475</v>
      </c>
      <c r="D2329" s="182" t="s">
        <v>1547</v>
      </c>
      <c r="E2329" s="189">
        <v>42475</v>
      </c>
      <c r="F2329" s="187" t="s">
        <v>411</v>
      </c>
      <c r="G2329" s="451" t="s">
        <v>519</v>
      </c>
      <c r="H2329" s="7" t="s">
        <v>1549</v>
      </c>
      <c r="I2329" s="251">
        <v>991</v>
      </c>
      <c r="J2329" s="251">
        <v>4347.2587912542276</v>
      </c>
      <c r="K2329" s="38">
        <f t="shared" si="116"/>
        <v>4308133</v>
      </c>
      <c r="L2329" s="561" t="s">
        <v>166</v>
      </c>
      <c r="M2329" s="561" t="s">
        <v>164</v>
      </c>
      <c r="N2329" s="52" t="str">
        <f>IF(AND('331-CT'!$E$7=TH!H2329,OR(L2329="331",M2329="331")),"331",IF(AND(OR(L2329="131",M2329="131"),H2329='131-CT'!$E$7),"131",""))</f>
        <v/>
      </c>
      <c r="O2329" s="818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751"/>
    </row>
    <row r="2330" spans="1:28" s="209" customFormat="1" ht="15.75" customHeight="1">
      <c r="A2330" s="202" t="str">
        <f>IF(B2330&lt;&gt;"",IF(AND(B2330&gt;=_TM1,B2330&lt;=_TM2,OR(TH!L2330="1111",TH!M2330="1111")),TH!D2330,""),"")</f>
        <v/>
      </c>
      <c r="B2330" s="36">
        <f t="shared" si="118"/>
        <v>4</v>
      </c>
      <c r="C2330" s="182">
        <f t="shared" si="117"/>
        <v>42475</v>
      </c>
      <c r="D2330" s="182" t="s">
        <v>1547</v>
      </c>
      <c r="E2330" s="189">
        <v>42475</v>
      </c>
      <c r="F2330" s="187" t="s">
        <v>607</v>
      </c>
      <c r="G2330" s="451" t="s">
        <v>519</v>
      </c>
      <c r="H2330" s="7" t="s">
        <v>1549</v>
      </c>
      <c r="I2330" s="251">
        <v>105</v>
      </c>
      <c r="J2330" s="251">
        <v>20798.649903255522</v>
      </c>
      <c r="K2330" s="38">
        <f t="shared" si="116"/>
        <v>2183858</v>
      </c>
      <c r="L2330" s="561" t="s">
        <v>166</v>
      </c>
      <c r="M2330" s="561" t="s">
        <v>164</v>
      </c>
      <c r="N2330" s="52" t="str">
        <f>IF(AND('331-CT'!$E$7=TH!H2330,OR(L2330="331",M2330="331")),"331",IF(AND(OR(L2330="131",M2330="131"),H2330='131-CT'!$E$7),"131",""))</f>
        <v/>
      </c>
      <c r="O2330" s="818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751"/>
    </row>
    <row r="2331" spans="1:28" s="209" customFormat="1" ht="15.75" customHeight="1">
      <c r="A2331" s="202" t="str">
        <f>IF(B2331&lt;&gt;"",IF(AND(B2331&gt;=_TM1,B2331&lt;=_TM2,OR(TH!L2331="1111",TH!M2331="1111")),TH!D2331,""),"")</f>
        <v/>
      </c>
      <c r="B2331" s="36">
        <f t="shared" si="118"/>
        <v>4</v>
      </c>
      <c r="C2331" s="182">
        <f t="shared" si="117"/>
        <v>42475</v>
      </c>
      <c r="D2331" s="182" t="s">
        <v>1547</v>
      </c>
      <c r="E2331" s="189">
        <v>42475</v>
      </c>
      <c r="F2331" s="187" t="s">
        <v>979</v>
      </c>
      <c r="G2331" s="451" t="s">
        <v>519</v>
      </c>
      <c r="H2331" s="7" t="s">
        <v>1549</v>
      </c>
      <c r="I2331" s="251">
        <v>209</v>
      </c>
      <c r="J2331" s="251">
        <v>4262.0184227982627</v>
      </c>
      <c r="K2331" s="38">
        <f t="shared" si="116"/>
        <v>890762</v>
      </c>
      <c r="L2331" s="561" t="s">
        <v>166</v>
      </c>
      <c r="M2331" s="561" t="s">
        <v>164</v>
      </c>
      <c r="N2331" s="52" t="str">
        <f>IF(AND('331-CT'!$E$7=TH!H2331,OR(L2331="331",M2331="331")),"331",IF(AND(OR(L2331="131",M2331="131"),H2331='131-CT'!$E$7),"131",""))</f>
        <v/>
      </c>
      <c r="O2331" s="818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751"/>
    </row>
    <row r="2332" spans="1:28" s="209" customFormat="1" ht="15.75" customHeight="1">
      <c r="A2332" s="202" t="str">
        <f>IF(B2332&lt;&gt;"",IF(AND(B2332&gt;=_TM1,B2332&lt;=_TM2,OR(TH!L2332="1111",TH!M2332="1111")),TH!D2332,""),"")</f>
        <v/>
      </c>
      <c r="B2332" s="36">
        <f t="shared" si="118"/>
        <v>4</v>
      </c>
      <c r="C2332" s="182">
        <f t="shared" si="117"/>
        <v>42478</v>
      </c>
      <c r="D2332" s="182" t="s">
        <v>1547</v>
      </c>
      <c r="E2332" s="189">
        <v>42478</v>
      </c>
      <c r="F2332" s="187" t="s">
        <v>436</v>
      </c>
      <c r="G2332" s="451" t="s">
        <v>520</v>
      </c>
      <c r="H2332" s="7" t="s">
        <v>1549</v>
      </c>
      <c r="I2332" s="251">
        <v>566</v>
      </c>
      <c r="J2332" s="251">
        <v>5796.3450550056377</v>
      </c>
      <c r="K2332" s="38">
        <f t="shared" si="116"/>
        <v>3280731</v>
      </c>
      <c r="L2332" s="561" t="s">
        <v>166</v>
      </c>
      <c r="M2332" s="561" t="s">
        <v>164</v>
      </c>
      <c r="N2332" s="52" t="str">
        <f>IF(AND('331-CT'!$E$7=TH!H2332,OR(L2332="331",M2332="331")),"331",IF(AND(OR(L2332="131",M2332="131"),H2332='131-CT'!$E$7),"131",""))</f>
        <v/>
      </c>
      <c r="O2332" s="818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751"/>
    </row>
    <row r="2333" spans="1:28" s="209" customFormat="1" ht="15.75" customHeight="1">
      <c r="A2333" s="202" t="str">
        <f>IF(B2333&lt;&gt;"",IF(AND(B2333&gt;=_TM1,B2333&lt;=_TM2,OR(TH!L2333="1111",TH!M2333="1111")),TH!D2333,""),"")</f>
        <v/>
      </c>
      <c r="B2333" s="36">
        <f t="shared" si="118"/>
        <v>4</v>
      </c>
      <c r="C2333" s="182">
        <f t="shared" si="117"/>
        <v>42478</v>
      </c>
      <c r="D2333" s="182" t="s">
        <v>1547</v>
      </c>
      <c r="E2333" s="189">
        <v>42478</v>
      </c>
      <c r="F2333" s="187" t="s">
        <v>549</v>
      </c>
      <c r="G2333" s="451" t="s">
        <v>521</v>
      </c>
      <c r="H2333" s="7" t="s">
        <v>1549</v>
      </c>
      <c r="I2333" s="251">
        <v>151</v>
      </c>
      <c r="J2333" s="251">
        <v>11848.41121537917</v>
      </c>
      <c r="K2333" s="38">
        <f t="shared" si="116"/>
        <v>1789110</v>
      </c>
      <c r="L2333" s="561" t="s">
        <v>166</v>
      </c>
      <c r="M2333" s="561" t="s">
        <v>164</v>
      </c>
      <c r="N2333" s="52" t="str">
        <f>IF(AND('331-CT'!$E$7=TH!H2333,OR(L2333="331",M2333="331")),"331",IF(AND(OR(L2333="131",M2333="131"),H2333='131-CT'!$E$7),"131",""))</f>
        <v/>
      </c>
      <c r="O2333" s="818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751"/>
    </row>
    <row r="2334" spans="1:28" s="209" customFormat="1" ht="15.75" customHeight="1">
      <c r="A2334" s="202" t="str">
        <f>IF(B2334&lt;&gt;"",IF(AND(B2334&gt;=_TM1,B2334&lt;=_TM2,OR(TH!L2334="1111",TH!M2334="1111")),TH!D2334,""),"")</f>
        <v/>
      </c>
      <c r="B2334" s="36">
        <f t="shared" si="118"/>
        <v>4</v>
      </c>
      <c r="C2334" s="182">
        <f t="shared" si="117"/>
        <v>42479</v>
      </c>
      <c r="D2334" s="182" t="s">
        <v>1547</v>
      </c>
      <c r="E2334" s="189">
        <v>42479</v>
      </c>
      <c r="F2334" s="187" t="s">
        <v>651</v>
      </c>
      <c r="G2334" s="451" t="s">
        <v>522</v>
      </c>
      <c r="H2334" s="7" t="s">
        <v>1549</v>
      </c>
      <c r="I2334" s="251">
        <v>303</v>
      </c>
      <c r="J2334" s="251">
        <v>7160.1909503010811</v>
      </c>
      <c r="K2334" s="38">
        <f t="shared" si="116"/>
        <v>2169538</v>
      </c>
      <c r="L2334" s="561" t="s">
        <v>166</v>
      </c>
      <c r="M2334" s="561" t="s">
        <v>164</v>
      </c>
      <c r="N2334" s="52" t="str">
        <f>IF(AND('331-CT'!$E$7=TH!H2334,OR(L2334="331",M2334="331")),"331",IF(AND(OR(L2334="131",M2334="131"),H2334='131-CT'!$E$7),"131",""))</f>
        <v/>
      </c>
      <c r="O2334" s="818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751"/>
    </row>
    <row r="2335" spans="1:28" s="209" customFormat="1" ht="15.75" customHeight="1">
      <c r="A2335" s="202" t="str">
        <f>IF(B2335&lt;&gt;"",IF(AND(B2335&gt;=_TM1,B2335&lt;=_TM2,OR(TH!L2335="1111",TH!M2335="1111")),TH!D2335,""),"")</f>
        <v/>
      </c>
      <c r="B2335" s="36">
        <f t="shared" si="118"/>
        <v>4</v>
      </c>
      <c r="C2335" s="182">
        <f t="shared" si="117"/>
        <v>42479</v>
      </c>
      <c r="D2335" s="182" t="s">
        <v>1547</v>
      </c>
      <c r="E2335" s="189">
        <v>42479</v>
      </c>
      <c r="F2335" s="187" t="s">
        <v>540</v>
      </c>
      <c r="G2335" s="451" t="s">
        <v>522</v>
      </c>
      <c r="H2335" s="7" t="s">
        <v>1549</v>
      </c>
      <c r="I2335" s="251">
        <v>318</v>
      </c>
      <c r="J2335" s="251">
        <v>8268.3157402286288</v>
      </c>
      <c r="K2335" s="38">
        <f t="shared" si="116"/>
        <v>2629324</v>
      </c>
      <c r="L2335" s="561" t="s">
        <v>166</v>
      </c>
      <c r="M2335" s="561" t="s">
        <v>164</v>
      </c>
      <c r="N2335" s="52" t="str">
        <f>IF(AND('331-CT'!$E$7=TH!H2335,OR(L2335="331",M2335="331")),"331",IF(AND(OR(L2335="131",M2335="131"),H2335='131-CT'!$E$7),"131",""))</f>
        <v/>
      </c>
      <c r="O2335" s="818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751"/>
    </row>
    <row r="2336" spans="1:28" s="209" customFormat="1" ht="15.75" customHeight="1">
      <c r="A2336" s="202" t="str">
        <f>IF(B2336&lt;&gt;"",IF(AND(B2336&gt;=_TM1,B2336&lt;=_TM2,OR(TH!L2336="1111",TH!M2336="1111")),TH!D2336,""),"")</f>
        <v/>
      </c>
      <c r="B2336" s="36">
        <f t="shared" si="118"/>
        <v>4</v>
      </c>
      <c r="C2336" s="182">
        <f t="shared" si="117"/>
        <v>42479</v>
      </c>
      <c r="D2336" s="182" t="s">
        <v>1547</v>
      </c>
      <c r="E2336" s="189">
        <v>42479</v>
      </c>
      <c r="F2336" s="187" t="s">
        <v>627</v>
      </c>
      <c r="G2336" s="451" t="s">
        <v>981</v>
      </c>
      <c r="H2336" s="7" t="s">
        <v>1549</v>
      </c>
      <c r="I2336" s="251">
        <v>518</v>
      </c>
      <c r="J2336" s="251">
        <v>6393.027634197394</v>
      </c>
      <c r="K2336" s="38">
        <f t="shared" si="116"/>
        <v>3311588</v>
      </c>
      <c r="L2336" s="561" t="s">
        <v>166</v>
      </c>
      <c r="M2336" s="561" t="s">
        <v>164</v>
      </c>
      <c r="N2336" s="52" t="str">
        <f>IF(AND('331-CT'!$E$7=TH!H2336,OR(L2336="331",M2336="331")),"331",IF(AND(OR(L2336="131",M2336="131"),H2336='131-CT'!$E$7),"131",""))</f>
        <v/>
      </c>
      <c r="O2336" s="818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751"/>
    </row>
    <row r="2337" spans="1:28" s="209" customFormat="1" ht="15.75" customHeight="1">
      <c r="A2337" s="202" t="str">
        <f>IF(B2337&lt;&gt;"",IF(AND(B2337&gt;=_TM1,B2337&lt;=_TM2,OR(TH!L2337="1111",TH!M2337="1111")),TH!D2337,""),"")</f>
        <v/>
      </c>
      <c r="B2337" s="36">
        <f t="shared" si="118"/>
        <v>4</v>
      </c>
      <c r="C2337" s="182">
        <f t="shared" si="117"/>
        <v>42479</v>
      </c>
      <c r="D2337" s="182" t="s">
        <v>1547</v>
      </c>
      <c r="E2337" s="189">
        <v>42479</v>
      </c>
      <c r="F2337" s="187" t="s">
        <v>1443</v>
      </c>
      <c r="G2337" s="451" t="s">
        <v>981</v>
      </c>
      <c r="H2337" s="7" t="s">
        <v>1549</v>
      </c>
      <c r="I2337" s="251">
        <v>540</v>
      </c>
      <c r="J2337" s="251">
        <v>8097.8350033166989</v>
      </c>
      <c r="K2337" s="38">
        <f t="shared" si="116"/>
        <v>4372831</v>
      </c>
      <c r="L2337" s="561" t="s">
        <v>166</v>
      </c>
      <c r="M2337" s="561" t="s">
        <v>164</v>
      </c>
      <c r="N2337" s="52" t="str">
        <f>IF(AND('331-CT'!$E$7=TH!H2337,OR(L2337="331",M2337="331")),"331",IF(AND(OR(L2337="131",M2337="131"),H2337='131-CT'!$E$7),"131",""))</f>
        <v/>
      </c>
      <c r="O2337" s="818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751"/>
    </row>
    <row r="2338" spans="1:28" s="209" customFormat="1" ht="15.75" customHeight="1">
      <c r="A2338" s="202" t="str">
        <f>IF(B2338&lt;&gt;"",IF(AND(B2338&gt;=_TM1,B2338&lt;=_TM2,OR(TH!L2338="1111",TH!M2338="1111")),TH!D2338,""),"")</f>
        <v/>
      </c>
      <c r="B2338" s="36">
        <f t="shared" si="118"/>
        <v>4</v>
      </c>
      <c r="C2338" s="182">
        <f t="shared" si="117"/>
        <v>42479</v>
      </c>
      <c r="D2338" s="182" t="s">
        <v>1547</v>
      </c>
      <c r="E2338" s="189">
        <v>42479</v>
      </c>
      <c r="F2338" s="187" t="s">
        <v>400</v>
      </c>
      <c r="G2338" s="451" t="s">
        <v>981</v>
      </c>
      <c r="H2338" s="7" t="s">
        <v>1549</v>
      </c>
      <c r="I2338" s="251">
        <v>200</v>
      </c>
      <c r="J2338" s="251">
        <v>8097.8350033166989</v>
      </c>
      <c r="K2338" s="38">
        <f t="shared" si="116"/>
        <v>1619567</v>
      </c>
      <c r="L2338" s="561" t="s">
        <v>166</v>
      </c>
      <c r="M2338" s="561" t="s">
        <v>164</v>
      </c>
      <c r="N2338" s="52" t="str">
        <f>IF(AND('331-CT'!$E$7=TH!H2338,OR(L2338="331",M2338="331")),"331",IF(AND(OR(L2338="131",M2338="131"),H2338='131-CT'!$E$7),"131",""))</f>
        <v/>
      </c>
      <c r="O2338" s="818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751"/>
    </row>
    <row r="2339" spans="1:28" s="209" customFormat="1" ht="15.75" customHeight="1">
      <c r="A2339" s="202" t="str">
        <f>IF(B2339&lt;&gt;"",IF(AND(B2339&gt;=_TM1,B2339&lt;=_TM2,OR(TH!L2339="1111",TH!M2339="1111")),TH!D2339,""),"")</f>
        <v/>
      </c>
      <c r="B2339" s="36">
        <f t="shared" si="118"/>
        <v>4</v>
      </c>
      <c r="C2339" s="182">
        <f t="shared" si="117"/>
        <v>42481</v>
      </c>
      <c r="D2339" s="182" t="s">
        <v>1547</v>
      </c>
      <c r="E2339" s="189">
        <v>42481</v>
      </c>
      <c r="F2339" s="187" t="s">
        <v>982</v>
      </c>
      <c r="G2339" s="451" t="s">
        <v>692</v>
      </c>
      <c r="H2339" s="7" t="s">
        <v>1549</v>
      </c>
      <c r="I2339" s="251">
        <v>60</v>
      </c>
      <c r="J2339" s="251">
        <v>23100.139851566582</v>
      </c>
      <c r="K2339" s="38">
        <f t="shared" si="116"/>
        <v>1386008</v>
      </c>
      <c r="L2339" s="561" t="s">
        <v>166</v>
      </c>
      <c r="M2339" s="561" t="s">
        <v>164</v>
      </c>
      <c r="N2339" s="52" t="str">
        <f>IF(AND('331-CT'!$E$7=TH!H2339,OR(L2339="331",M2339="331")),"331",IF(AND(OR(L2339="131",M2339="131"),H2339='131-CT'!$E$7),"131",""))</f>
        <v/>
      </c>
      <c r="O2339" s="818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751"/>
    </row>
    <row r="2340" spans="1:28" s="209" customFormat="1" ht="15.75" customHeight="1">
      <c r="A2340" s="202" t="str">
        <f>IF(B2340&lt;&gt;"",IF(AND(B2340&gt;=_TM1,B2340&lt;=_TM2,OR(TH!L2340="1111",TH!M2340="1111")),TH!D2340,""),"")</f>
        <v/>
      </c>
      <c r="B2340" s="36">
        <f t="shared" si="118"/>
        <v>4</v>
      </c>
      <c r="C2340" s="182">
        <f t="shared" si="117"/>
        <v>42481</v>
      </c>
      <c r="D2340" s="182" t="s">
        <v>1547</v>
      </c>
      <c r="E2340" s="189">
        <v>42481</v>
      </c>
      <c r="F2340" s="187" t="s">
        <v>983</v>
      </c>
      <c r="G2340" s="451" t="s">
        <v>692</v>
      </c>
      <c r="H2340" s="7" t="s">
        <v>1549</v>
      </c>
      <c r="I2340" s="251">
        <v>60</v>
      </c>
      <c r="J2340" s="251">
        <v>26083.552747525369</v>
      </c>
      <c r="K2340" s="38">
        <f t="shared" si="116"/>
        <v>1565013</v>
      </c>
      <c r="L2340" s="561" t="s">
        <v>166</v>
      </c>
      <c r="M2340" s="561" t="s">
        <v>164</v>
      </c>
      <c r="N2340" s="52" t="str">
        <f>IF(AND('331-CT'!$E$7=TH!H2340,OR(L2340="331",M2340="331")),"331",IF(AND(OR(L2340="131",M2340="131"),H2340='131-CT'!$E$7),"131",""))</f>
        <v/>
      </c>
      <c r="O2340" s="818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751"/>
    </row>
    <row r="2341" spans="1:28" s="209" customFormat="1" ht="15.75" customHeight="1">
      <c r="A2341" s="202" t="str">
        <f>IF(B2341&lt;&gt;"",IF(AND(B2341&gt;=_TM1,B2341&lt;=_TM2,OR(TH!L2341="1111",TH!M2341="1111")),TH!D2341,""),"")</f>
        <v/>
      </c>
      <c r="B2341" s="36">
        <f t="shared" si="118"/>
        <v>4</v>
      </c>
      <c r="C2341" s="182">
        <f t="shared" si="117"/>
        <v>42482</v>
      </c>
      <c r="D2341" s="182" t="s">
        <v>1547</v>
      </c>
      <c r="E2341" s="189">
        <v>42482</v>
      </c>
      <c r="F2341" s="187" t="s">
        <v>477</v>
      </c>
      <c r="G2341" s="451" t="s">
        <v>523</v>
      </c>
      <c r="H2341" s="7" t="s">
        <v>1549</v>
      </c>
      <c r="I2341" s="251">
        <v>208</v>
      </c>
      <c r="J2341" s="251">
        <v>7927.3542664047691</v>
      </c>
      <c r="K2341" s="38">
        <f t="shared" si="116"/>
        <v>1648890</v>
      </c>
      <c r="L2341" s="561" t="s">
        <v>166</v>
      </c>
      <c r="M2341" s="561" t="s">
        <v>164</v>
      </c>
      <c r="N2341" s="52" t="str">
        <f>IF(AND('331-CT'!$E$7=TH!H2341,OR(L2341="331",M2341="331")),"331",IF(AND(OR(L2341="131",M2341="131"),H2341='131-CT'!$E$7),"131",""))</f>
        <v/>
      </c>
      <c r="O2341" s="818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751"/>
      <c r="AB2341" s="552"/>
    </row>
    <row r="2342" spans="1:28" s="209" customFormat="1" ht="15.75" customHeight="1">
      <c r="A2342" s="202" t="str">
        <f>IF(B2342&lt;&gt;"",IF(AND(B2342&gt;=_TM1,B2342&lt;=_TM2,OR(TH!L2342="1111",TH!M2342="1111")),TH!D2342,""),"")</f>
        <v/>
      </c>
      <c r="B2342" s="36">
        <f t="shared" si="118"/>
        <v>4</v>
      </c>
      <c r="C2342" s="182">
        <f t="shared" si="117"/>
        <v>42483</v>
      </c>
      <c r="D2342" s="182" t="s">
        <v>1547</v>
      </c>
      <c r="E2342" s="189">
        <v>42483</v>
      </c>
      <c r="F2342" s="187" t="s">
        <v>645</v>
      </c>
      <c r="G2342" s="451" t="s">
        <v>526</v>
      </c>
      <c r="H2342" s="7" t="s">
        <v>1549</v>
      </c>
      <c r="I2342" s="251">
        <v>100</v>
      </c>
      <c r="J2342" s="251">
        <v>9717.402003980038</v>
      </c>
      <c r="K2342" s="38">
        <f t="shared" si="116"/>
        <v>971740</v>
      </c>
      <c r="L2342" s="561" t="s">
        <v>166</v>
      </c>
      <c r="M2342" s="561" t="s">
        <v>164</v>
      </c>
      <c r="N2342" s="52" t="str">
        <f>IF(AND('331-CT'!$E$7=TH!H2342,OR(L2342="331",M2342="331")),"331",IF(AND(OR(L2342="131",M2342="131"),H2342='131-CT'!$E$7),"131",""))</f>
        <v/>
      </c>
      <c r="O2342" s="818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751"/>
    </row>
    <row r="2343" spans="1:28" s="209" customFormat="1" ht="15.75" customHeight="1">
      <c r="A2343" s="202" t="str">
        <f>IF(B2343&lt;&gt;"",IF(AND(B2343&gt;=_TM1,B2343&lt;=_TM2,OR(TH!L2343="1111",TH!M2343="1111")),TH!D2343,""),"")</f>
        <v/>
      </c>
      <c r="B2343" s="36">
        <f t="shared" si="118"/>
        <v>4</v>
      </c>
      <c r="C2343" s="182">
        <f t="shared" si="117"/>
        <v>42483</v>
      </c>
      <c r="D2343" s="182" t="s">
        <v>1547</v>
      </c>
      <c r="E2343" s="189">
        <v>42483</v>
      </c>
      <c r="F2343" s="187" t="s">
        <v>693</v>
      </c>
      <c r="G2343" s="451" t="s">
        <v>526</v>
      </c>
      <c r="H2343" s="7" t="s">
        <v>1549</v>
      </c>
      <c r="I2343" s="251">
        <v>200</v>
      </c>
      <c r="J2343" s="251">
        <v>767.16331610368729</v>
      </c>
      <c r="K2343" s="38">
        <f t="shared" si="116"/>
        <v>153433</v>
      </c>
      <c r="L2343" s="561" t="s">
        <v>166</v>
      </c>
      <c r="M2343" s="561" t="s">
        <v>164</v>
      </c>
      <c r="N2343" s="52" t="str">
        <f>IF(AND('331-CT'!$E$7=TH!H2343,OR(L2343="331",M2343="331")),"331",IF(AND(OR(L2343="131",M2343="131"),H2343='131-CT'!$E$7),"131",""))</f>
        <v/>
      </c>
      <c r="O2343" s="818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751"/>
    </row>
    <row r="2344" spans="1:28" s="209" customFormat="1" ht="15.75" customHeight="1">
      <c r="A2344" s="202" t="str">
        <f>IF(B2344&lt;&gt;"",IF(AND(B2344&gt;=_TM1,B2344&lt;=_TM2,OR(TH!L2344="1111",TH!M2344="1111")),TH!D2344,""),"")</f>
        <v/>
      </c>
      <c r="B2344" s="36">
        <f t="shared" si="118"/>
        <v>4</v>
      </c>
      <c r="C2344" s="182">
        <f t="shared" si="117"/>
        <v>42485</v>
      </c>
      <c r="D2344" s="182" t="s">
        <v>1547</v>
      </c>
      <c r="E2344" s="189">
        <v>42485</v>
      </c>
      <c r="F2344" s="187" t="s">
        <v>984</v>
      </c>
      <c r="G2344" s="451" t="s">
        <v>528</v>
      </c>
      <c r="H2344" s="7" t="s">
        <v>1549</v>
      </c>
      <c r="I2344" s="251">
        <v>420</v>
      </c>
      <c r="J2344" s="251">
        <v>11507.449741555311</v>
      </c>
      <c r="K2344" s="38">
        <f t="shared" si="116"/>
        <v>4833129</v>
      </c>
      <c r="L2344" s="561" t="s">
        <v>166</v>
      </c>
      <c r="M2344" s="561" t="s">
        <v>164</v>
      </c>
      <c r="N2344" s="52" t="str">
        <f>IF(AND('331-CT'!$E$7=TH!H2344,OR(L2344="331",M2344="331")),"331",IF(AND(OR(L2344="131",M2344="131"),H2344='131-CT'!$E$7),"131",""))</f>
        <v/>
      </c>
      <c r="O2344" s="818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751"/>
    </row>
    <row r="2345" spans="1:28" s="209" customFormat="1" ht="15.75" customHeight="1">
      <c r="A2345" s="202" t="str">
        <f>IF(B2345&lt;&gt;"",IF(AND(B2345&gt;=_TM1,B2345&lt;=_TM2,OR(TH!L2345="1111",TH!M2345="1111")),TH!D2345,""),"")</f>
        <v/>
      </c>
      <c r="B2345" s="36">
        <f t="shared" si="118"/>
        <v>4</v>
      </c>
      <c r="C2345" s="182">
        <f t="shared" si="117"/>
        <v>42485</v>
      </c>
      <c r="D2345" s="182" t="s">
        <v>1547</v>
      </c>
      <c r="E2345" s="189">
        <v>42485</v>
      </c>
      <c r="F2345" s="187" t="s">
        <v>480</v>
      </c>
      <c r="G2345" s="451" t="s">
        <v>528</v>
      </c>
      <c r="H2345" s="7" t="s">
        <v>1549</v>
      </c>
      <c r="I2345" s="251">
        <v>371</v>
      </c>
      <c r="J2345" s="251">
        <v>10825.526793907587</v>
      </c>
      <c r="K2345" s="38">
        <f t="shared" si="116"/>
        <v>4016270</v>
      </c>
      <c r="L2345" s="561" t="s">
        <v>166</v>
      </c>
      <c r="M2345" s="561" t="s">
        <v>164</v>
      </c>
      <c r="N2345" s="52" t="str">
        <f>IF(AND('331-CT'!$E$7=TH!H2345,OR(L2345="331",M2345="331")),"331",IF(AND(OR(L2345="131",M2345="131"),H2345='131-CT'!$E$7),"131",""))</f>
        <v/>
      </c>
      <c r="O2345" s="818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751"/>
    </row>
    <row r="2346" spans="1:28" s="209" customFormat="1" ht="15.75" customHeight="1">
      <c r="A2346" s="202" t="str">
        <f>IF(B2346&lt;&gt;"",IF(AND(B2346&gt;=_TM1,B2346&lt;=_TM2,OR(TH!L2346="1111",TH!M2346="1111")),TH!D2346,""),"")</f>
        <v/>
      </c>
      <c r="B2346" s="36">
        <f t="shared" si="118"/>
        <v>4</v>
      </c>
      <c r="C2346" s="182">
        <f t="shared" si="117"/>
        <v>42485</v>
      </c>
      <c r="D2346" s="182" t="s">
        <v>1547</v>
      </c>
      <c r="E2346" s="189">
        <v>42485</v>
      </c>
      <c r="F2346" s="187" t="s">
        <v>480</v>
      </c>
      <c r="G2346" s="451" t="s">
        <v>528</v>
      </c>
      <c r="H2346" s="7" t="s">
        <v>1549</v>
      </c>
      <c r="I2346" s="251">
        <v>205</v>
      </c>
      <c r="J2346" s="251">
        <v>10825.526793907587</v>
      </c>
      <c r="K2346" s="38">
        <f t="shared" si="116"/>
        <v>2219233</v>
      </c>
      <c r="L2346" s="561" t="s">
        <v>166</v>
      </c>
      <c r="M2346" s="561" t="s">
        <v>164</v>
      </c>
      <c r="N2346" s="52" t="str">
        <f>IF(AND('331-CT'!$E$7=TH!H2346,OR(L2346="331",M2346="331")),"331",IF(AND(OR(L2346="131",M2346="131"),H2346='131-CT'!$E$7),"131",""))</f>
        <v/>
      </c>
      <c r="O2346" s="818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751"/>
    </row>
    <row r="2347" spans="1:28" s="209" customFormat="1" ht="15.75" customHeight="1">
      <c r="A2347" s="202" t="str">
        <f>IF(B2347&lt;&gt;"",IF(AND(B2347&gt;=_TM1,B2347&lt;=_TM2,OR(TH!L2347="1111",TH!M2347="1111")),TH!D2347,""),"")</f>
        <v/>
      </c>
      <c r="B2347" s="36">
        <f t="shared" si="118"/>
        <v>4</v>
      </c>
      <c r="C2347" s="182">
        <f t="shared" si="117"/>
        <v>42485</v>
      </c>
      <c r="D2347" s="182" t="s">
        <v>1547</v>
      </c>
      <c r="E2347" s="189">
        <v>42485</v>
      </c>
      <c r="F2347" s="187" t="s">
        <v>985</v>
      </c>
      <c r="G2347" s="451" t="s">
        <v>529</v>
      </c>
      <c r="H2347" s="7" t="s">
        <v>1549</v>
      </c>
      <c r="I2347" s="251">
        <v>220</v>
      </c>
      <c r="J2347" s="251">
        <v>11507.449741555311</v>
      </c>
      <c r="K2347" s="38">
        <f t="shared" si="116"/>
        <v>2531639</v>
      </c>
      <c r="L2347" s="561" t="s">
        <v>166</v>
      </c>
      <c r="M2347" s="561" t="s">
        <v>164</v>
      </c>
      <c r="N2347" s="52" t="str">
        <f>IF(AND('331-CT'!$E$7=TH!H2347,OR(L2347="331",M2347="331")),"331",IF(AND(OR(L2347="131",M2347="131"),H2347='131-CT'!$E$7),"131",""))</f>
        <v/>
      </c>
      <c r="O2347" s="818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751"/>
    </row>
    <row r="2348" spans="1:28" s="209" customFormat="1" ht="15.75" customHeight="1">
      <c r="A2348" s="202" t="str">
        <f>IF(B2348&lt;&gt;"",IF(AND(B2348&gt;=_TM1,B2348&lt;=_TM2,OR(TH!L2348="1111",TH!M2348="1111")),TH!D2348,""),"")</f>
        <v/>
      </c>
      <c r="B2348" s="36">
        <f t="shared" si="118"/>
        <v>4</v>
      </c>
      <c r="C2348" s="182">
        <f t="shared" si="117"/>
        <v>42485</v>
      </c>
      <c r="D2348" s="182" t="s">
        <v>1547</v>
      </c>
      <c r="E2348" s="189">
        <v>42485</v>
      </c>
      <c r="F2348" s="187" t="s">
        <v>934</v>
      </c>
      <c r="G2348" s="451" t="s">
        <v>529</v>
      </c>
      <c r="H2348" s="7" t="s">
        <v>1549</v>
      </c>
      <c r="I2348" s="251">
        <v>210</v>
      </c>
      <c r="J2348" s="251">
        <v>11763.170846923203</v>
      </c>
      <c r="K2348" s="38">
        <f t="shared" si="116"/>
        <v>2470266</v>
      </c>
      <c r="L2348" s="561" t="s">
        <v>166</v>
      </c>
      <c r="M2348" s="561" t="s">
        <v>164</v>
      </c>
      <c r="N2348" s="52" t="str">
        <f>IF(AND('331-CT'!$E$7=TH!H2348,OR(L2348="331",M2348="331")),"331",IF(AND(OR(L2348="131",M2348="131"),H2348='131-CT'!$E$7),"131",""))</f>
        <v/>
      </c>
      <c r="O2348" s="818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751"/>
    </row>
    <row r="2349" spans="1:28" s="209" customFormat="1" ht="15.75" customHeight="1">
      <c r="A2349" s="202" t="str">
        <f>IF(B2349&lt;&gt;"",IF(AND(B2349&gt;=_TM1,B2349&lt;=_TM2,OR(TH!L2349="1111",TH!M2349="1111")),TH!D2349,""),"")</f>
        <v/>
      </c>
      <c r="B2349" s="36">
        <f t="shared" si="118"/>
        <v>4</v>
      </c>
      <c r="C2349" s="182">
        <f t="shared" si="117"/>
        <v>42485</v>
      </c>
      <c r="D2349" s="182" t="s">
        <v>1547</v>
      </c>
      <c r="E2349" s="189">
        <v>42485</v>
      </c>
      <c r="F2349" s="187" t="s">
        <v>480</v>
      </c>
      <c r="G2349" s="451" t="s">
        <v>529</v>
      </c>
      <c r="H2349" s="7" t="s">
        <v>1549</v>
      </c>
      <c r="I2349" s="251">
        <v>645</v>
      </c>
      <c r="J2349" s="251">
        <v>10825.526793907587</v>
      </c>
      <c r="K2349" s="38">
        <f t="shared" si="116"/>
        <v>6982465</v>
      </c>
      <c r="L2349" s="561" t="s">
        <v>166</v>
      </c>
      <c r="M2349" s="561" t="s">
        <v>164</v>
      </c>
      <c r="N2349" s="52" t="str">
        <f>IF(AND('331-CT'!$E$7=TH!H2349,OR(L2349="331",M2349="331")),"331",IF(AND(OR(L2349="131",M2349="131"),H2349='131-CT'!$E$7),"131",""))</f>
        <v/>
      </c>
      <c r="O2349" s="818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751"/>
      <c r="AB2349" s="552"/>
    </row>
    <row r="2350" spans="1:28" s="209" customFormat="1" ht="15.75" customHeight="1">
      <c r="A2350" s="202" t="str">
        <f>IF(B2350&lt;&gt;"",IF(AND(B2350&gt;=_TM1,B2350&lt;=_TM2,OR(TH!L2350="1111",TH!M2350="1111")),TH!D2350,""),"")</f>
        <v/>
      </c>
      <c r="B2350" s="36">
        <f t="shared" si="118"/>
        <v>4</v>
      </c>
      <c r="C2350" s="182">
        <f t="shared" si="117"/>
        <v>42485</v>
      </c>
      <c r="D2350" s="182" t="s">
        <v>1547</v>
      </c>
      <c r="E2350" s="189">
        <v>42485</v>
      </c>
      <c r="F2350" s="187" t="s">
        <v>986</v>
      </c>
      <c r="G2350" s="451" t="s">
        <v>529</v>
      </c>
      <c r="H2350" s="7" t="s">
        <v>1549</v>
      </c>
      <c r="I2350" s="251">
        <v>210</v>
      </c>
      <c r="J2350" s="251">
        <v>11848.41121537917</v>
      </c>
      <c r="K2350" s="38">
        <f t="shared" si="116"/>
        <v>2488166</v>
      </c>
      <c r="L2350" s="561" t="s">
        <v>166</v>
      </c>
      <c r="M2350" s="561" t="s">
        <v>164</v>
      </c>
      <c r="N2350" s="52" t="str">
        <f>IF(AND('331-CT'!$E$7=TH!H2350,OR(L2350="331",M2350="331")),"331",IF(AND(OR(L2350="131",M2350="131"),H2350='131-CT'!$E$7),"131",""))</f>
        <v/>
      </c>
      <c r="O2350" s="818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751"/>
    </row>
    <row r="2351" spans="1:28" s="209" customFormat="1" ht="15.75" customHeight="1">
      <c r="A2351" s="202" t="str">
        <f>IF(B2351&lt;&gt;"",IF(AND(B2351&gt;=_TM1,B2351&lt;=_TM2,OR(TH!L2351="1111",TH!M2351="1111")),TH!D2351,""),"")</f>
        <v/>
      </c>
      <c r="B2351" s="36">
        <f t="shared" si="118"/>
        <v>4</v>
      </c>
      <c r="C2351" s="182">
        <f t="shared" si="117"/>
        <v>42486</v>
      </c>
      <c r="D2351" s="182" t="s">
        <v>1547</v>
      </c>
      <c r="E2351" s="189">
        <v>42486</v>
      </c>
      <c r="F2351" s="187" t="s">
        <v>987</v>
      </c>
      <c r="G2351" s="451" t="s">
        <v>534</v>
      </c>
      <c r="H2351" s="7" t="s">
        <v>1549</v>
      </c>
      <c r="I2351" s="251">
        <v>105</v>
      </c>
      <c r="J2351" s="251">
        <v>10228.844214715829</v>
      </c>
      <c r="K2351" s="38">
        <f t="shared" ref="K2351:K2414" si="119">ROUND(I2351*J2351,0)</f>
        <v>1074029</v>
      </c>
      <c r="L2351" s="561" t="s">
        <v>166</v>
      </c>
      <c r="M2351" s="561" t="s">
        <v>164</v>
      </c>
      <c r="N2351" s="52" t="str">
        <f>IF(AND('331-CT'!$E$7=TH!H2351,OR(L2351="331",M2351="331")),"331",IF(AND(OR(L2351="131",M2351="131"),H2351='131-CT'!$E$7),"131",""))</f>
        <v/>
      </c>
      <c r="O2351" s="818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751"/>
    </row>
    <row r="2352" spans="1:28" s="209" customFormat="1" ht="15.75" customHeight="1">
      <c r="A2352" s="202" t="str">
        <f>IF(B2352&lt;&gt;"",IF(AND(B2352&gt;=_TM1,B2352&lt;=_TM2,OR(TH!L2352="1111",TH!M2352="1111")),TH!D2352,""),"")</f>
        <v/>
      </c>
      <c r="B2352" s="36">
        <f t="shared" si="118"/>
        <v>4</v>
      </c>
      <c r="C2352" s="182">
        <f t="shared" si="117"/>
        <v>42486</v>
      </c>
      <c r="D2352" s="182" t="s">
        <v>1547</v>
      </c>
      <c r="E2352" s="189">
        <v>42486</v>
      </c>
      <c r="F2352" s="187" t="s">
        <v>408</v>
      </c>
      <c r="G2352" s="451" t="s">
        <v>534</v>
      </c>
      <c r="H2352" s="7" t="s">
        <v>1549</v>
      </c>
      <c r="I2352" s="251">
        <v>125</v>
      </c>
      <c r="J2352" s="251">
        <v>10825.526793907587</v>
      </c>
      <c r="K2352" s="38">
        <f t="shared" si="119"/>
        <v>1353191</v>
      </c>
      <c r="L2352" s="561" t="s">
        <v>166</v>
      </c>
      <c r="M2352" s="561" t="s">
        <v>164</v>
      </c>
      <c r="N2352" s="52" t="str">
        <f>IF(AND('331-CT'!$E$7=TH!H2352,OR(L2352="331",M2352="331")),"331",IF(AND(OR(L2352="131",M2352="131"),H2352='131-CT'!$E$7),"131",""))</f>
        <v/>
      </c>
      <c r="O2352" s="818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751"/>
      <c r="AB2352" s="552"/>
    </row>
    <row r="2353" spans="1:28" s="209" customFormat="1" ht="15.75" customHeight="1">
      <c r="A2353" s="202" t="str">
        <f>IF(B2353&lt;&gt;"",IF(AND(B2353&gt;=_TM1,B2353&lt;=_TM2,OR(TH!L2353="1111",TH!M2353="1111")),TH!D2353,""),"")</f>
        <v/>
      </c>
      <c r="B2353" s="36">
        <f t="shared" si="118"/>
        <v>4</v>
      </c>
      <c r="C2353" s="182">
        <f t="shared" si="117"/>
        <v>42486</v>
      </c>
      <c r="D2353" s="182" t="s">
        <v>1547</v>
      </c>
      <c r="E2353" s="189">
        <v>42486</v>
      </c>
      <c r="F2353" s="187" t="s">
        <v>480</v>
      </c>
      <c r="G2353" s="451" t="s">
        <v>534</v>
      </c>
      <c r="H2353" s="7" t="s">
        <v>1549</v>
      </c>
      <c r="I2353" s="251">
        <v>644</v>
      </c>
      <c r="J2353" s="251">
        <v>10825.526793907587</v>
      </c>
      <c r="K2353" s="38">
        <f t="shared" si="119"/>
        <v>6971639</v>
      </c>
      <c r="L2353" s="561" t="s">
        <v>166</v>
      </c>
      <c r="M2353" s="561" t="s">
        <v>164</v>
      </c>
      <c r="N2353" s="52" t="str">
        <f>IF(AND('331-CT'!$E$7=TH!H2353,OR(L2353="331",M2353="331")),"331",IF(AND(OR(L2353="131",M2353="131"),H2353='131-CT'!$E$7),"131",""))</f>
        <v/>
      </c>
      <c r="O2353" s="818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751"/>
    </row>
    <row r="2354" spans="1:28" s="209" customFormat="1" ht="15.75" customHeight="1">
      <c r="A2354" s="202" t="str">
        <f>IF(B2354&lt;&gt;"",IF(AND(B2354&gt;=_TM1,B2354&lt;=_TM2,OR(TH!L2354="1111",TH!M2354="1111")),TH!D2354,""),"")</f>
        <v/>
      </c>
      <c r="B2354" s="36">
        <f t="shared" si="118"/>
        <v>4</v>
      </c>
      <c r="C2354" s="182">
        <f t="shared" si="117"/>
        <v>42486</v>
      </c>
      <c r="D2354" s="182" t="s">
        <v>1547</v>
      </c>
      <c r="E2354" s="189">
        <v>42486</v>
      </c>
      <c r="F2354" s="187" t="s">
        <v>988</v>
      </c>
      <c r="G2354" s="451" t="s">
        <v>535</v>
      </c>
      <c r="H2354" s="7" t="s">
        <v>1549</v>
      </c>
      <c r="I2354" s="251">
        <v>514</v>
      </c>
      <c r="J2354" s="251">
        <v>7330.6716872130119</v>
      </c>
      <c r="K2354" s="38">
        <f t="shared" si="119"/>
        <v>3767965</v>
      </c>
      <c r="L2354" s="561" t="s">
        <v>166</v>
      </c>
      <c r="M2354" s="561" t="s">
        <v>164</v>
      </c>
      <c r="N2354" s="52" t="str">
        <f>IF(AND('331-CT'!$E$7=TH!H2354,OR(L2354="331",M2354="331")),"331",IF(AND(OR(L2354="131",M2354="131"),H2354='131-CT'!$E$7),"131",""))</f>
        <v/>
      </c>
      <c r="O2354" s="818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751"/>
    </row>
    <row r="2355" spans="1:28" s="209" customFormat="1" ht="15.75" customHeight="1">
      <c r="A2355" s="202" t="str">
        <f>IF(B2355&lt;&gt;"",IF(AND(B2355&gt;=_TM1,B2355&lt;=_TM2,OR(TH!L2355="1111",TH!M2355="1111")),TH!D2355,""),"")</f>
        <v/>
      </c>
      <c r="B2355" s="36">
        <f t="shared" si="118"/>
        <v>4</v>
      </c>
      <c r="C2355" s="182">
        <f t="shared" si="117"/>
        <v>42489</v>
      </c>
      <c r="D2355" s="182" t="s">
        <v>1547</v>
      </c>
      <c r="E2355" s="189">
        <v>42489</v>
      </c>
      <c r="F2355" s="187" t="s">
        <v>418</v>
      </c>
      <c r="G2355" s="451" t="s">
        <v>536</v>
      </c>
      <c r="H2355" s="7" t="s">
        <v>1549</v>
      </c>
      <c r="I2355" s="251">
        <v>208</v>
      </c>
      <c r="J2355" s="251">
        <v>61799.267130574808</v>
      </c>
      <c r="K2355" s="38">
        <f t="shared" si="119"/>
        <v>12854248</v>
      </c>
      <c r="L2355" s="561" t="s">
        <v>166</v>
      </c>
      <c r="M2355" s="561" t="s">
        <v>164</v>
      </c>
      <c r="N2355" s="52" t="str">
        <f>IF(AND('331-CT'!$E$7=TH!H2355,OR(L2355="331",M2355="331")),"331",IF(AND(OR(L2355="131",M2355="131"),H2355='131-CT'!$E$7),"131",""))</f>
        <v/>
      </c>
      <c r="O2355" s="818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751"/>
      <c r="AB2355" s="552"/>
    </row>
    <row r="2356" spans="1:28" s="209" customFormat="1" ht="15.75" customHeight="1">
      <c r="A2356" s="202" t="str">
        <f>IF(B2356&lt;&gt;"",IF(AND(B2356&gt;=_TM1,B2356&lt;=_TM2,OR(TH!L2356="1111",TH!M2356="1111")),TH!D2356,""),"")</f>
        <v/>
      </c>
      <c r="B2356" s="36">
        <f t="shared" si="118"/>
        <v>5</v>
      </c>
      <c r="C2356" s="182">
        <f t="shared" si="117"/>
        <v>42494</v>
      </c>
      <c r="D2356" s="182" t="s">
        <v>1547</v>
      </c>
      <c r="E2356" s="189">
        <v>42494</v>
      </c>
      <c r="F2356" s="187" t="s">
        <v>418</v>
      </c>
      <c r="G2356" s="451" t="s">
        <v>537</v>
      </c>
      <c r="H2356" s="7" t="s">
        <v>1549</v>
      </c>
      <c r="I2356" s="251">
        <v>101</v>
      </c>
      <c r="J2356" s="251">
        <v>61799.267130574808</v>
      </c>
      <c r="K2356" s="38">
        <f t="shared" si="119"/>
        <v>6241726</v>
      </c>
      <c r="L2356" s="561" t="s">
        <v>166</v>
      </c>
      <c r="M2356" s="561" t="s">
        <v>164</v>
      </c>
      <c r="N2356" s="52" t="str">
        <f>IF(AND('331-CT'!$E$7=TH!H2356,OR(L2356="331",M2356="331")),"331",IF(AND(OR(L2356="131",M2356="131"),H2356='131-CT'!$E$7),"131",""))</f>
        <v/>
      </c>
      <c r="O2356" s="818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751"/>
    </row>
    <row r="2357" spans="1:28" s="209" customFormat="1" ht="15.75" customHeight="1">
      <c r="A2357" s="202" t="str">
        <f>IF(B2357&lt;&gt;"",IF(AND(B2357&gt;=_TM1,B2357&lt;=_TM2,OR(TH!L2357="1111",TH!M2357="1111")),TH!D2357,""),"")</f>
        <v/>
      </c>
      <c r="B2357" s="36">
        <f t="shared" si="118"/>
        <v>5</v>
      </c>
      <c r="C2357" s="182">
        <f t="shared" si="117"/>
        <v>42494</v>
      </c>
      <c r="D2357" s="182" t="s">
        <v>1547</v>
      </c>
      <c r="E2357" s="189">
        <v>42494</v>
      </c>
      <c r="F2357" s="187" t="s">
        <v>1438</v>
      </c>
      <c r="G2357" s="451" t="s">
        <v>538</v>
      </c>
      <c r="H2357" s="7" t="s">
        <v>1549</v>
      </c>
      <c r="I2357" s="251">
        <v>500</v>
      </c>
      <c r="J2357" s="251">
        <v>6819.2294764772205</v>
      </c>
      <c r="K2357" s="38">
        <f t="shared" si="119"/>
        <v>3409615</v>
      </c>
      <c r="L2357" s="561" t="s">
        <v>166</v>
      </c>
      <c r="M2357" s="561" t="s">
        <v>164</v>
      </c>
      <c r="N2357" s="52" t="str">
        <f>IF(AND('331-CT'!$E$7=TH!H2357,OR(L2357="331",M2357="331")),"331",IF(AND(OR(L2357="131",M2357="131"),H2357='131-CT'!$E$7),"131",""))</f>
        <v/>
      </c>
      <c r="O2357" s="818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751"/>
    </row>
    <row r="2358" spans="1:28" s="209" customFormat="1" ht="15.75" customHeight="1">
      <c r="A2358" s="202" t="str">
        <f>IF(B2358&lt;&gt;"",IF(AND(B2358&gt;=_TM1,B2358&lt;=_TM2,OR(TH!L2358="1111",TH!M2358="1111")),TH!D2358,""),"")</f>
        <v/>
      </c>
      <c r="B2358" s="36">
        <f t="shared" si="118"/>
        <v>5</v>
      </c>
      <c r="C2358" s="182">
        <f t="shared" si="117"/>
        <v>42494</v>
      </c>
      <c r="D2358" s="182" t="s">
        <v>1547</v>
      </c>
      <c r="E2358" s="189">
        <v>42494</v>
      </c>
      <c r="F2358" s="187" t="s">
        <v>1432</v>
      </c>
      <c r="G2358" s="451" t="s">
        <v>538</v>
      </c>
      <c r="H2358" s="7" t="s">
        <v>1549</v>
      </c>
      <c r="I2358" s="251">
        <v>750</v>
      </c>
      <c r="J2358" s="251">
        <v>1875.2881060312357</v>
      </c>
      <c r="K2358" s="38">
        <f t="shared" si="119"/>
        <v>1406466</v>
      </c>
      <c r="L2358" s="561" t="s">
        <v>166</v>
      </c>
      <c r="M2358" s="561" t="s">
        <v>164</v>
      </c>
      <c r="N2358" s="52" t="str">
        <f>IF(AND('331-CT'!$E$7=TH!H2358,OR(L2358="331",M2358="331")),"331",IF(AND(OR(L2358="131",M2358="131"),H2358='131-CT'!$E$7),"131",""))</f>
        <v/>
      </c>
      <c r="O2358" s="818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751"/>
    </row>
    <row r="2359" spans="1:28" s="209" customFormat="1" ht="15.75" customHeight="1">
      <c r="A2359" s="202" t="str">
        <f>IF(B2359&lt;&gt;"",IF(AND(B2359&gt;=_TM1,B2359&lt;=_TM2,OR(TH!L2359="1111",TH!M2359="1111")),TH!D2359,""),"")</f>
        <v/>
      </c>
      <c r="B2359" s="36">
        <f t="shared" si="118"/>
        <v>5</v>
      </c>
      <c r="C2359" s="182">
        <f t="shared" si="117"/>
        <v>42494</v>
      </c>
      <c r="D2359" s="182" t="s">
        <v>1547</v>
      </c>
      <c r="E2359" s="189">
        <v>42494</v>
      </c>
      <c r="F2359" s="187" t="s">
        <v>1433</v>
      </c>
      <c r="G2359" s="451" t="s">
        <v>538</v>
      </c>
      <c r="H2359" s="7" t="s">
        <v>1549</v>
      </c>
      <c r="I2359" s="251">
        <v>300</v>
      </c>
      <c r="J2359" s="251">
        <v>2301.4899483110621</v>
      </c>
      <c r="K2359" s="38">
        <f t="shared" si="119"/>
        <v>690447</v>
      </c>
      <c r="L2359" s="561" t="s">
        <v>166</v>
      </c>
      <c r="M2359" s="561" t="s">
        <v>164</v>
      </c>
      <c r="N2359" s="52" t="str">
        <f>IF(AND('331-CT'!$E$7=TH!H2359,OR(L2359="331",M2359="331")),"331",IF(AND(OR(L2359="131",M2359="131"),H2359='131-CT'!$E$7),"131",""))</f>
        <v/>
      </c>
      <c r="O2359" s="818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751"/>
    </row>
    <row r="2360" spans="1:28" s="209" customFormat="1" ht="15.75" customHeight="1">
      <c r="A2360" s="202" t="str">
        <f>IF(B2360&lt;&gt;"",IF(AND(B2360&gt;=_TM1,B2360&lt;=_TM2,OR(TH!L2360="1111",TH!M2360="1111")),TH!D2360,""),"")</f>
        <v/>
      </c>
      <c r="B2360" s="36">
        <f t="shared" si="118"/>
        <v>5</v>
      </c>
      <c r="C2360" s="182">
        <f t="shared" si="117"/>
        <v>42495</v>
      </c>
      <c r="D2360" s="182" t="s">
        <v>1547</v>
      </c>
      <c r="E2360" s="189">
        <v>42495</v>
      </c>
      <c r="F2360" s="187" t="s">
        <v>1306</v>
      </c>
      <c r="G2360" s="451" t="s">
        <v>539</v>
      </c>
      <c r="H2360" s="7" t="s">
        <v>1549</v>
      </c>
      <c r="I2360" s="251">
        <v>500</v>
      </c>
      <c r="J2360" s="251">
        <v>10569.805688539691</v>
      </c>
      <c r="K2360" s="38">
        <f t="shared" si="119"/>
        <v>5284903</v>
      </c>
      <c r="L2360" s="561" t="s">
        <v>166</v>
      </c>
      <c r="M2360" s="561" t="s">
        <v>164</v>
      </c>
      <c r="N2360" s="52" t="str">
        <f>IF(AND('331-CT'!$E$7=TH!H2360,OR(L2360="331",M2360="331")),"331",IF(AND(OR(L2360="131",M2360="131"),H2360='131-CT'!$E$7),"131",""))</f>
        <v/>
      </c>
      <c r="O2360" s="818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751"/>
    </row>
    <row r="2361" spans="1:28" s="209" customFormat="1" ht="15.75" customHeight="1">
      <c r="A2361" s="202" t="str">
        <f>IF(B2361&lt;&gt;"",IF(AND(B2361&gt;=_TM1,B2361&lt;=_TM2,OR(TH!L2361="1111",TH!M2361="1111")),TH!D2361,""),"")</f>
        <v/>
      </c>
      <c r="B2361" s="36">
        <f t="shared" si="118"/>
        <v>5</v>
      </c>
      <c r="C2361" s="182">
        <f t="shared" si="117"/>
        <v>42495</v>
      </c>
      <c r="D2361" s="182" t="s">
        <v>1547</v>
      </c>
      <c r="E2361" s="189">
        <v>42495</v>
      </c>
      <c r="F2361" s="187" t="s">
        <v>989</v>
      </c>
      <c r="G2361" s="451" t="s">
        <v>541</v>
      </c>
      <c r="H2361" s="7" t="s">
        <v>1549</v>
      </c>
      <c r="I2361" s="251">
        <v>22</v>
      </c>
      <c r="J2361" s="251">
        <v>34351.868487754</v>
      </c>
      <c r="K2361" s="38">
        <f t="shared" si="119"/>
        <v>755741</v>
      </c>
      <c r="L2361" s="561" t="s">
        <v>166</v>
      </c>
      <c r="M2361" s="561" t="s">
        <v>164</v>
      </c>
      <c r="N2361" s="52" t="str">
        <f>IF(AND('331-CT'!$E$7=TH!H2361,OR(L2361="331",M2361="331")),"331",IF(AND(OR(L2361="131",M2361="131"),H2361='131-CT'!$E$7),"131",""))</f>
        <v/>
      </c>
      <c r="O2361" s="818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751"/>
    </row>
    <row r="2362" spans="1:28" s="209" customFormat="1" ht="15.75" customHeight="1">
      <c r="A2362" s="202" t="str">
        <f>IF(B2362&lt;&gt;"",IF(AND(B2362&gt;=_TM1,B2362&lt;=_TM2,OR(TH!L2362="1111",TH!M2362="1111")),TH!D2362,""),"")</f>
        <v/>
      </c>
      <c r="B2362" s="36">
        <f t="shared" si="118"/>
        <v>5</v>
      </c>
      <c r="C2362" s="182">
        <f t="shared" ref="C2362:C2425" si="120">E2362</f>
        <v>42495</v>
      </c>
      <c r="D2362" s="182" t="s">
        <v>1547</v>
      </c>
      <c r="E2362" s="189">
        <v>42495</v>
      </c>
      <c r="F2362" s="187" t="s">
        <v>418</v>
      </c>
      <c r="G2362" s="451" t="s">
        <v>541</v>
      </c>
      <c r="H2362" s="7" t="s">
        <v>1549</v>
      </c>
      <c r="I2362" s="251">
        <v>120</v>
      </c>
      <c r="J2362" s="251">
        <v>61799.267130574808</v>
      </c>
      <c r="K2362" s="38">
        <f t="shared" si="119"/>
        <v>7415912</v>
      </c>
      <c r="L2362" s="561" t="s">
        <v>166</v>
      </c>
      <c r="M2362" s="561" t="s">
        <v>164</v>
      </c>
      <c r="N2362" s="52" t="str">
        <f>IF(AND('331-CT'!$E$7=TH!H2362,OR(L2362="331",M2362="331")),"331",IF(AND(OR(L2362="131",M2362="131"),H2362='131-CT'!$E$7),"131",""))</f>
        <v/>
      </c>
      <c r="O2362" s="818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751"/>
    </row>
    <row r="2363" spans="1:28" s="209" customFormat="1" ht="15.75" customHeight="1">
      <c r="A2363" s="202" t="str">
        <f>IF(B2363&lt;&gt;"",IF(AND(B2363&gt;=_TM1,B2363&lt;=_TM2,OR(TH!L2363="1111",TH!M2363="1111")),TH!D2363,""),"")</f>
        <v/>
      </c>
      <c r="B2363" s="36">
        <f t="shared" si="118"/>
        <v>5</v>
      </c>
      <c r="C2363" s="182">
        <f t="shared" si="120"/>
        <v>42496</v>
      </c>
      <c r="D2363" s="182" t="s">
        <v>1547</v>
      </c>
      <c r="E2363" s="189">
        <v>42496</v>
      </c>
      <c r="F2363" s="187" t="s">
        <v>480</v>
      </c>
      <c r="G2363" s="451" t="s">
        <v>679</v>
      </c>
      <c r="H2363" s="7" t="s">
        <v>1549</v>
      </c>
      <c r="I2363" s="251">
        <v>469</v>
      </c>
      <c r="J2363" s="251">
        <v>10825.526793907587</v>
      </c>
      <c r="K2363" s="38">
        <f t="shared" si="119"/>
        <v>5077172</v>
      </c>
      <c r="L2363" s="561" t="s">
        <v>166</v>
      </c>
      <c r="M2363" s="561" t="s">
        <v>164</v>
      </c>
      <c r="N2363" s="52" t="str">
        <f>IF(AND('331-CT'!$E$7=TH!H2363,OR(L2363="331",M2363="331")),"331",IF(AND(OR(L2363="131",M2363="131"),H2363='131-CT'!$E$7),"131",""))</f>
        <v/>
      </c>
      <c r="O2363" s="818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751"/>
    </row>
    <row r="2364" spans="1:28" s="209" customFormat="1" ht="15.75" customHeight="1">
      <c r="A2364" s="202" t="str">
        <f>IF(B2364&lt;&gt;"",IF(AND(B2364&gt;=_TM1,B2364&lt;=_TM2,OR(TH!L2364="1111",TH!M2364="1111")),TH!D2364,""),"")</f>
        <v/>
      </c>
      <c r="B2364" s="36">
        <f t="shared" si="118"/>
        <v>5</v>
      </c>
      <c r="C2364" s="182">
        <f t="shared" si="120"/>
        <v>42496</v>
      </c>
      <c r="D2364" s="182" t="s">
        <v>1547</v>
      </c>
      <c r="E2364" s="189">
        <v>42496</v>
      </c>
      <c r="F2364" s="187" t="s">
        <v>990</v>
      </c>
      <c r="G2364" s="451" t="s">
        <v>542</v>
      </c>
      <c r="H2364" s="7" t="s">
        <v>1549</v>
      </c>
      <c r="I2364" s="251">
        <v>46</v>
      </c>
      <c r="J2364" s="251">
        <v>4773.460633534055</v>
      </c>
      <c r="K2364" s="38">
        <f t="shared" si="119"/>
        <v>219579</v>
      </c>
      <c r="L2364" s="561" t="s">
        <v>166</v>
      </c>
      <c r="M2364" s="561" t="s">
        <v>164</v>
      </c>
      <c r="N2364" s="52" t="str">
        <f>IF(AND('331-CT'!$E$7=TH!H2364,OR(L2364="331",M2364="331")),"331",IF(AND(OR(L2364="131",M2364="131"),H2364='131-CT'!$E$7),"131",""))</f>
        <v/>
      </c>
      <c r="O2364" s="818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751"/>
    </row>
    <row r="2365" spans="1:28" s="209" customFormat="1" ht="15.75" customHeight="1">
      <c r="A2365" s="202" t="str">
        <f>IF(B2365&lt;&gt;"",IF(AND(B2365&gt;=_TM1,B2365&lt;=_TM2,OR(TH!L2365="1111",TH!M2365="1111")),TH!D2365,""),"")</f>
        <v/>
      </c>
      <c r="B2365" s="36">
        <f t="shared" si="118"/>
        <v>5</v>
      </c>
      <c r="C2365" s="182">
        <f t="shared" si="120"/>
        <v>42496</v>
      </c>
      <c r="D2365" s="182" t="s">
        <v>1547</v>
      </c>
      <c r="E2365" s="189">
        <v>42496</v>
      </c>
      <c r="F2365" s="187" t="s">
        <v>991</v>
      </c>
      <c r="G2365" s="451" t="s">
        <v>542</v>
      </c>
      <c r="H2365" s="7" t="s">
        <v>1549</v>
      </c>
      <c r="I2365" s="251">
        <v>53</v>
      </c>
      <c r="J2365" s="251">
        <v>39722.011700479808</v>
      </c>
      <c r="K2365" s="38">
        <f t="shared" si="119"/>
        <v>2105267</v>
      </c>
      <c r="L2365" s="561" t="s">
        <v>166</v>
      </c>
      <c r="M2365" s="561" t="s">
        <v>164</v>
      </c>
      <c r="N2365" s="52" t="str">
        <f>IF(AND('331-CT'!$E$7=TH!H2365,OR(L2365="331",M2365="331")),"331",IF(AND(OR(L2365="131",M2365="131"),H2365='131-CT'!$E$7),"131",""))</f>
        <v/>
      </c>
      <c r="O2365" s="818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751"/>
    </row>
    <row r="2366" spans="1:28" s="209" customFormat="1" ht="15.75" customHeight="1">
      <c r="A2366" s="202" t="str">
        <f>IF(B2366&lt;&gt;"",IF(AND(B2366&gt;=_TM1,B2366&lt;=_TM2,OR(TH!L2366="1111",TH!M2366="1111")),TH!D2366,""),"")</f>
        <v/>
      </c>
      <c r="B2366" s="36">
        <f t="shared" si="118"/>
        <v>5</v>
      </c>
      <c r="C2366" s="182">
        <f t="shared" si="120"/>
        <v>42496</v>
      </c>
      <c r="D2366" s="182" t="s">
        <v>1547</v>
      </c>
      <c r="E2366" s="189">
        <v>42496</v>
      </c>
      <c r="F2366" s="187" t="s">
        <v>992</v>
      </c>
      <c r="G2366" s="451" t="s">
        <v>542</v>
      </c>
      <c r="H2366" s="7" t="s">
        <v>1549</v>
      </c>
      <c r="I2366" s="251">
        <v>53</v>
      </c>
      <c r="J2366" s="251">
        <v>34096.147382386102</v>
      </c>
      <c r="K2366" s="38">
        <f t="shared" si="119"/>
        <v>1807096</v>
      </c>
      <c r="L2366" s="561" t="s">
        <v>166</v>
      </c>
      <c r="M2366" s="561" t="s">
        <v>164</v>
      </c>
      <c r="N2366" s="52" t="str">
        <f>IF(AND('331-CT'!$E$7=TH!H2366,OR(L2366="331",M2366="331")),"331",IF(AND(OR(L2366="131",M2366="131"),H2366='131-CT'!$E$7),"131",""))</f>
        <v/>
      </c>
      <c r="O2366" s="818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751"/>
    </row>
    <row r="2367" spans="1:28" s="209" customFormat="1" ht="15.75" customHeight="1">
      <c r="A2367" s="202" t="str">
        <f>IF(B2367&lt;&gt;"",IF(AND(B2367&gt;=_TM1,B2367&lt;=_TM2,OR(TH!L2367="1111",TH!M2367="1111")),TH!D2367,""),"")</f>
        <v/>
      </c>
      <c r="B2367" s="36">
        <f t="shared" si="118"/>
        <v>5</v>
      </c>
      <c r="C2367" s="182">
        <f t="shared" si="120"/>
        <v>42496</v>
      </c>
      <c r="D2367" s="182" t="s">
        <v>1547</v>
      </c>
      <c r="E2367" s="189">
        <v>42496</v>
      </c>
      <c r="F2367" s="187" t="s">
        <v>992</v>
      </c>
      <c r="G2367" s="451" t="s">
        <v>542</v>
      </c>
      <c r="H2367" s="7" t="s">
        <v>1549</v>
      </c>
      <c r="I2367" s="251">
        <v>54</v>
      </c>
      <c r="J2367" s="251">
        <v>34096.147382386102</v>
      </c>
      <c r="K2367" s="38">
        <f t="shared" si="119"/>
        <v>1841192</v>
      </c>
      <c r="L2367" s="561" t="s">
        <v>166</v>
      </c>
      <c r="M2367" s="561" t="s">
        <v>164</v>
      </c>
      <c r="N2367" s="52" t="str">
        <f>IF(AND('331-CT'!$E$7=TH!H2367,OR(L2367="331",M2367="331")),"331",IF(AND(OR(L2367="131",M2367="131"),H2367='131-CT'!$E$7),"131",""))</f>
        <v/>
      </c>
      <c r="O2367" s="818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751"/>
    </row>
    <row r="2368" spans="1:28" s="209" customFormat="1" ht="15.75" customHeight="1">
      <c r="A2368" s="202" t="str">
        <f>IF(B2368&lt;&gt;"",IF(AND(B2368&gt;=_TM1,B2368&lt;=_TM2,OR(TH!L2368="1111",TH!M2368="1111")),TH!D2368,""),"")</f>
        <v/>
      </c>
      <c r="B2368" s="36">
        <f t="shared" si="118"/>
        <v>5</v>
      </c>
      <c r="C2368" s="182">
        <f t="shared" si="120"/>
        <v>42496</v>
      </c>
      <c r="D2368" s="182" t="s">
        <v>1547</v>
      </c>
      <c r="E2368" s="189">
        <v>42496</v>
      </c>
      <c r="F2368" s="187" t="s">
        <v>993</v>
      </c>
      <c r="G2368" s="451" t="s">
        <v>542</v>
      </c>
      <c r="H2368" s="7" t="s">
        <v>1549</v>
      </c>
      <c r="I2368" s="251">
        <v>51</v>
      </c>
      <c r="J2368" s="251">
        <v>48075.5678091644</v>
      </c>
      <c r="K2368" s="38">
        <f t="shared" si="119"/>
        <v>2451854</v>
      </c>
      <c r="L2368" s="561" t="s">
        <v>166</v>
      </c>
      <c r="M2368" s="561" t="s">
        <v>164</v>
      </c>
      <c r="N2368" s="52" t="str">
        <f>IF(AND('331-CT'!$E$7=TH!H2368,OR(L2368="331",M2368="331")),"331",IF(AND(OR(L2368="131",M2368="131"),H2368='131-CT'!$E$7),"131",""))</f>
        <v/>
      </c>
      <c r="O2368" s="818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751"/>
    </row>
    <row r="2369" spans="1:27" s="209" customFormat="1" ht="15.75" customHeight="1">
      <c r="A2369" s="202" t="str">
        <f>IF(B2369&lt;&gt;"",IF(AND(B2369&gt;=_TM1,B2369&lt;=_TM2,OR(TH!L2369="1111",TH!M2369="1111")),TH!D2369,""),"")</f>
        <v/>
      </c>
      <c r="B2369" s="36">
        <f t="shared" si="118"/>
        <v>5</v>
      </c>
      <c r="C2369" s="182">
        <f t="shared" si="120"/>
        <v>42496</v>
      </c>
      <c r="D2369" s="182" t="s">
        <v>1547</v>
      </c>
      <c r="E2369" s="189">
        <v>42496</v>
      </c>
      <c r="F2369" s="187" t="s">
        <v>994</v>
      </c>
      <c r="G2369" s="451" t="s">
        <v>542</v>
      </c>
      <c r="H2369" s="7" t="s">
        <v>1549</v>
      </c>
      <c r="I2369" s="251">
        <v>108</v>
      </c>
      <c r="J2369" s="251">
        <v>14320.381900602162</v>
      </c>
      <c r="K2369" s="38">
        <f t="shared" si="119"/>
        <v>1546601</v>
      </c>
      <c r="L2369" s="561" t="s">
        <v>166</v>
      </c>
      <c r="M2369" s="561" t="s">
        <v>164</v>
      </c>
      <c r="N2369" s="52" t="str">
        <f>IF(AND('331-CT'!$E$7=TH!H2369,OR(L2369="331",M2369="331")),"331",IF(AND(OR(L2369="131",M2369="131"),H2369='131-CT'!$E$7),"131",""))</f>
        <v/>
      </c>
      <c r="O2369" s="818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751"/>
    </row>
    <row r="2370" spans="1:27" s="209" customFormat="1" ht="15.75" customHeight="1">
      <c r="A2370" s="202" t="str">
        <f>IF(B2370&lt;&gt;"",IF(AND(B2370&gt;=_TM1,B2370&lt;=_TM2,OR(TH!L2370="1111",TH!M2370="1111")),TH!D2370,""),"")</f>
        <v/>
      </c>
      <c r="B2370" s="36">
        <f t="shared" si="118"/>
        <v>5</v>
      </c>
      <c r="C2370" s="182">
        <f t="shared" si="120"/>
        <v>42496</v>
      </c>
      <c r="D2370" s="182" t="s">
        <v>1547</v>
      </c>
      <c r="E2370" s="189">
        <v>42496</v>
      </c>
      <c r="F2370" s="187" t="s">
        <v>995</v>
      </c>
      <c r="G2370" s="451" t="s">
        <v>542</v>
      </c>
      <c r="H2370" s="7" t="s">
        <v>1549</v>
      </c>
      <c r="I2370" s="251">
        <v>37</v>
      </c>
      <c r="J2370" s="251">
        <v>8353.5561086845955</v>
      </c>
      <c r="K2370" s="38">
        <f t="shared" si="119"/>
        <v>309082</v>
      </c>
      <c r="L2370" s="561" t="s">
        <v>166</v>
      </c>
      <c r="M2370" s="561" t="s">
        <v>164</v>
      </c>
      <c r="N2370" s="52" t="str">
        <f>IF(AND('331-CT'!$E$7=TH!H2370,OR(L2370="331",M2370="331")),"331",IF(AND(OR(L2370="131",M2370="131"),H2370='131-CT'!$E$7),"131",""))</f>
        <v/>
      </c>
      <c r="O2370" s="818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751"/>
    </row>
    <row r="2371" spans="1:27" s="209" customFormat="1" ht="15.75" customHeight="1">
      <c r="A2371" s="202" t="str">
        <f>IF(B2371&lt;&gt;"",IF(AND(B2371&gt;=_TM1,B2371&lt;=_TM2,OR(TH!L2371="1111",TH!M2371="1111")),TH!D2371,""),"")</f>
        <v/>
      </c>
      <c r="B2371" s="36">
        <f t="shared" si="118"/>
        <v>5</v>
      </c>
      <c r="C2371" s="182">
        <f t="shared" si="120"/>
        <v>42496</v>
      </c>
      <c r="D2371" s="182" t="s">
        <v>1547</v>
      </c>
      <c r="E2371" s="189">
        <v>42496</v>
      </c>
      <c r="F2371" s="187" t="s">
        <v>996</v>
      </c>
      <c r="G2371" s="451" t="s">
        <v>542</v>
      </c>
      <c r="H2371" s="7" t="s">
        <v>1549</v>
      </c>
      <c r="I2371" s="251">
        <v>50</v>
      </c>
      <c r="J2371" s="251">
        <v>26424.514221349229</v>
      </c>
      <c r="K2371" s="38">
        <f t="shared" si="119"/>
        <v>1321226</v>
      </c>
      <c r="L2371" s="561" t="s">
        <v>166</v>
      </c>
      <c r="M2371" s="561" t="s">
        <v>164</v>
      </c>
      <c r="N2371" s="52" t="str">
        <f>IF(AND('331-CT'!$E$7=TH!H2371,OR(L2371="331",M2371="331")),"331",IF(AND(OR(L2371="131",M2371="131"),H2371='131-CT'!$E$7),"131",""))</f>
        <v/>
      </c>
      <c r="O2371" s="818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751"/>
    </row>
    <row r="2372" spans="1:27" s="209" customFormat="1" ht="15.75" customHeight="1">
      <c r="A2372" s="202" t="str">
        <f>IF(B2372&lt;&gt;"",IF(AND(B2372&gt;=_TM1,B2372&lt;=_TM2,OR(TH!L2372="1111",TH!M2372="1111")),TH!D2372,""),"")</f>
        <v/>
      </c>
      <c r="B2372" s="36">
        <f t="shared" si="118"/>
        <v>5</v>
      </c>
      <c r="C2372" s="182">
        <f t="shared" si="120"/>
        <v>42496</v>
      </c>
      <c r="D2372" s="182" t="s">
        <v>1547</v>
      </c>
      <c r="E2372" s="189">
        <v>42496</v>
      </c>
      <c r="F2372" s="187" t="s">
        <v>997</v>
      </c>
      <c r="G2372" s="451" t="s">
        <v>543</v>
      </c>
      <c r="H2372" s="7" t="s">
        <v>1549</v>
      </c>
      <c r="I2372" s="251">
        <v>30</v>
      </c>
      <c r="J2372" s="251">
        <v>10228.844214715829</v>
      </c>
      <c r="K2372" s="38">
        <f t="shared" si="119"/>
        <v>306865</v>
      </c>
      <c r="L2372" s="561" t="s">
        <v>166</v>
      </c>
      <c r="M2372" s="561" t="s">
        <v>164</v>
      </c>
      <c r="N2372" s="52" t="str">
        <f>IF(AND('331-CT'!$E$7=TH!H2372,OR(L2372="331",M2372="331")),"331",IF(AND(OR(L2372="131",M2372="131"),H2372='131-CT'!$E$7),"131",""))</f>
        <v/>
      </c>
      <c r="O2372" s="818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751"/>
    </row>
    <row r="2373" spans="1:27" s="209" customFormat="1" ht="15.75" customHeight="1">
      <c r="A2373" s="202" t="str">
        <f>IF(B2373&lt;&gt;"",IF(AND(B2373&gt;=_TM1,B2373&lt;=_TM2,OR(TH!L2373="1111",TH!M2373="1111")),TH!D2373,""),"")</f>
        <v/>
      </c>
      <c r="B2373" s="36">
        <f t="shared" si="118"/>
        <v>5</v>
      </c>
      <c r="C2373" s="182">
        <f t="shared" si="120"/>
        <v>42496</v>
      </c>
      <c r="D2373" s="182" t="s">
        <v>1547</v>
      </c>
      <c r="E2373" s="189">
        <v>42496</v>
      </c>
      <c r="F2373" s="187" t="s">
        <v>998</v>
      </c>
      <c r="G2373" s="451" t="s">
        <v>543</v>
      </c>
      <c r="H2373" s="7" t="s">
        <v>1549</v>
      </c>
      <c r="I2373" s="251">
        <v>60</v>
      </c>
      <c r="J2373" s="251">
        <v>4602.9798966221242</v>
      </c>
      <c r="K2373" s="38">
        <f t="shared" si="119"/>
        <v>276179</v>
      </c>
      <c r="L2373" s="561" t="s">
        <v>166</v>
      </c>
      <c r="M2373" s="561" t="s">
        <v>164</v>
      </c>
      <c r="N2373" s="52" t="str">
        <f>IF(AND('331-CT'!$E$7=TH!H2373,OR(L2373="331",M2373="331")),"331",IF(AND(OR(L2373="131",M2373="131"),H2373='131-CT'!$E$7),"131",""))</f>
        <v/>
      </c>
      <c r="O2373" s="818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751"/>
    </row>
    <row r="2374" spans="1:27" s="209" customFormat="1" ht="15.75" customHeight="1">
      <c r="A2374" s="202" t="str">
        <f>IF(B2374&lt;&gt;"",IF(AND(B2374&gt;=_TM1,B2374&lt;=_TM2,OR(TH!L2374="1111",TH!M2374="1111")),TH!D2374,""),"")</f>
        <v/>
      </c>
      <c r="B2374" s="36">
        <f t="shared" ref="B2374:B2437" si="121">IF(C2374&lt;&gt;"",MONTH(C2374),"")</f>
        <v>5</v>
      </c>
      <c r="C2374" s="182">
        <f t="shared" si="120"/>
        <v>42496</v>
      </c>
      <c r="D2374" s="182" t="s">
        <v>1547</v>
      </c>
      <c r="E2374" s="189">
        <v>42496</v>
      </c>
      <c r="F2374" s="187" t="s">
        <v>999</v>
      </c>
      <c r="G2374" s="451" t="s">
        <v>543</v>
      </c>
      <c r="H2374" s="7" t="s">
        <v>1549</v>
      </c>
      <c r="I2374" s="251">
        <v>60</v>
      </c>
      <c r="J2374" s="251">
        <v>10740.286425451623</v>
      </c>
      <c r="K2374" s="38">
        <f t="shared" si="119"/>
        <v>644417</v>
      </c>
      <c r="L2374" s="561" t="s">
        <v>166</v>
      </c>
      <c r="M2374" s="561" t="s">
        <v>164</v>
      </c>
      <c r="N2374" s="52" t="str">
        <f>IF(AND('331-CT'!$E$7=TH!H2374,OR(L2374="331",M2374="331")),"331",IF(AND(OR(L2374="131",M2374="131"),H2374='131-CT'!$E$7),"131",""))</f>
        <v/>
      </c>
      <c r="O2374" s="818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751"/>
    </row>
    <row r="2375" spans="1:27" s="209" customFormat="1" ht="15.75" customHeight="1">
      <c r="A2375" s="202" t="str">
        <f>IF(B2375&lt;&gt;"",IF(AND(B2375&gt;=_TM1,B2375&lt;=_TM2,OR(TH!L2375="1111",TH!M2375="1111")),TH!D2375,""),"")</f>
        <v/>
      </c>
      <c r="B2375" s="36">
        <f t="shared" si="121"/>
        <v>5</v>
      </c>
      <c r="C2375" s="182">
        <f t="shared" si="120"/>
        <v>42496</v>
      </c>
      <c r="D2375" s="182" t="s">
        <v>1547</v>
      </c>
      <c r="E2375" s="189">
        <v>42496</v>
      </c>
      <c r="F2375" s="187" t="s">
        <v>1000</v>
      </c>
      <c r="G2375" s="451" t="s">
        <v>543</v>
      </c>
      <c r="H2375" s="7" t="s">
        <v>1549</v>
      </c>
      <c r="I2375" s="251">
        <v>36</v>
      </c>
      <c r="J2375" s="251">
        <v>6393.027634197394</v>
      </c>
      <c r="K2375" s="38">
        <f t="shared" si="119"/>
        <v>230149</v>
      </c>
      <c r="L2375" s="561" t="s">
        <v>166</v>
      </c>
      <c r="M2375" s="561" t="s">
        <v>164</v>
      </c>
      <c r="N2375" s="52" t="str">
        <f>IF(AND('331-CT'!$E$7=TH!H2375,OR(L2375="331",M2375="331")),"331",IF(AND(OR(L2375="131",M2375="131"),H2375='131-CT'!$E$7),"131",""))</f>
        <v/>
      </c>
      <c r="O2375" s="818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751"/>
    </row>
    <row r="2376" spans="1:27" s="209" customFormat="1" ht="15.75" customHeight="1">
      <c r="A2376" s="202" t="str">
        <f>IF(B2376&lt;&gt;"",IF(AND(B2376&gt;=_TM1,B2376&lt;=_TM2,OR(TH!L2376="1111",TH!M2376="1111")),TH!D2376,""),"")</f>
        <v/>
      </c>
      <c r="B2376" s="36">
        <f t="shared" si="121"/>
        <v>5</v>
      </c>
      <c r="C2376" s="182">
        <f t="shared" si="120"/>
        <v>42496</v>
      </c>
      <c r="D2376" s="182" t="s">
        <v>1547</v>
      </c>
      <c r="E2376" s="189">
        <v>42496</v>
      </c>
      <c r="F2376" s="187" t="s">
        <v>1001</v>
      </c>
      <c r="G2376" s="451" t="s">
        <v>543</v>
      </c>
      <c r="H2376" s="7" t="s">
        <v>1549</v>
      </c>
      <c r="I2376" s="251">
        <v>24</v>
      </c>
      <c r="J2376" s="251">
        <v>22759.178377742723</v>
      </c>
      <c r="K2376" s="38">
        <f t="shared" si="119"/>
        <v>546220</v>
      </c>
      <c r="L2376" s="561" t="s">
        <v>166</v>
      </c>
      <c r="M2376" s="561" t="s">
        <v>164</v>
      </c>
      <c r="N2376" s="52" t="str">
        <f>IF(AND('331-CT'!$E$7=TH!H2376,OR(L2376="331",M2376="331")),"331",IF(AND(OR(L2376="131",M2376="131"),H2376='131-CT'!$E$7),"131",""))</f>
        <v/>
      </c>
      <c r="O2376" s="818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751"/>
    </row>
    <row r="2377" spans="1:27" s="209" customFormat="1" ht="15.75" customHeight="1">
      <c r="A2377" s="202" t="str">
        <f>IF(B2377&lt;&gt;"",IF(AND(B2377&gt;=_TM1,B2377&lt;=_TM2,OR(TH!L2377="1111",TH!M2377="1111")),TH!D2377,""),"")</f>
        <v/>
      </c>
      <c r="B2377" s="36">
        <f t="shared" si="121"/>
        <v>5</v>
      </c>
      <c r="C2377" s="182">
        <f t="shared" si="120"/>
        <v>42496</v>
      </c>
      <c r="D2377" s="182" t="s">
        <v>1547</v>
      </c>
      <c r="E2377" s="189">
        <v>42496</v>
      </c>
      <c r="F2377" s="187" t="s">
        <v>1002</v>
      </c>
      <c r="G2377" s="451" t="s">
        <v>543</v>
      </c>
      <c r="H2377" s="7" t="s">
        <v>1549</v>
      </c>
      <c r="I2377" s="251">
        <v>20</v>
      </c>
      <c r="J2377" s="251">
        <v>21906.77469318307</v>
      </c>
      <c r="K2377" s="38">
        <f t="shared" si="119"/>
        <v>438135</v>
      </c>
      <c r="L2377" s="561" t="s">
        <v>166</v>
      </c>
      <c r="M2377" s="561" t="s">
        <v>164</v>
      </c>
      <c r="N2377" s="52" t="str">
        <f>IF(AND('331-CT'!$E$7=TH!H2377,OR(L2377="331",M2377="331")),"331",IF(AND(OR(L2377="131",M2377="131"),H2377='131-CT'!$E$7),"131",""))</f>
        <v/>
      </c>
      <c r="O2377" s="818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751"/>
    </row>
    <row r="2378" spans="1:27" s="209" customFormat="1" ht="15.75" customHeight="1">
      <c r="A2378" s="202" t="str">
        <f>IF(B2378&lt;&gt;"",IF(AND(B2378&gt;=_TM1,B2378&lt;=_TM2,OR(TH!L2378="1111",TH!M2378="1111")),TH!D2378,""),"")</f>
        <v/>
      </c>
      <c r="B2378" s="36">
        <f t="shared" si="121"/>
        <v>5</v>
      </c>
      <c r="C2378" s="182">
        <f t="shared" si="120"/>
        <v>42496</v>
      </c>
      <c r="D2378" s="182" t="s">
        <v>1547</v>
      </c>
      <c r="E2378" s="189">
        <v>42496</v>
      </c>
      <c r="F2378" s="187" t="s">
        <v>1003</v>
      </c>
      <c r="G2378" s="451" t="s">
        <v>543</v>
      </c>
      <c r="H2378" s="7" t="s">
        <v>1549</v>
      </c>
      <c r="I2378" s="251">
        <v>22</v>
      </c>
      <c r="J2378" s="251">
        <v>23270.620588478516</v>
      </c>
      <c r="K2378" s="38">
        <f t="shared" si="119"/>
        <v>511954</v>
      </c>
      <c r="L2378" s="561" t="s">
        <v>166</v>
      </c>
      <c r="M2378" s="561" t="s">
        <v>164</v>
      </c>
      <c r="N2378" s="52" t="str">
        <f>IF(AND('331-CT'!$E$7=TH!H2378,OR(L2378="331",M2378="331")),"331",IF(AND(OR(L2378="131",M2378="131"),H2378='131-CT'!$E$7),"131",""))</f>
        <v/>
      </c>
      <c r="O2378" s="818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751"/>
    </row>
    <row r="2379" spans="1:27" s="209" customFormat="1" ht="15.75" customHeight="1">
      <c r="A2379" s="202" t="str">
        <f>IF(B2379&lt;&gt;"",IF(AND(B2379&gt;=_TM1,B2379&lt;=_TM2,OR(TH!L2379="1111",TH!M2379="1111")),TH!D2379,""),"")</f>
        <v/>
      </c>
      <c r="B2379" s="36">
        <f t="shared" si="121"/>
        <v>5</v>
      </c>
      <c r="C2379" s="182">
        <f t="shared" si="120"/>
        <v>42496</v>
      </c>
      <c r="D2379" s="182" t="s">
        <v>1547</v>
      </c>
      <c r="E2379" s="189">
        <v>42496</v>
      </c>
      <c r="F2379" s="187" t="s">
        <v>1004</v>
      </c>
      <c r="G2379" s="451" t="s">
        <v>543</v>
      </c>
      <c r="H2379" s="7" t="s">
        <v>1549</v>
      </c>
      <c r="I2379" s="251">
        <v>20</v>
      </c>
      <c r="J2379" s="251">
        <v>29663.648222675907</v>
      </c>
      <c r="K2379" s="38">
        <f t="shared" si="119"/>
        <v>593273</v>
      </c>
      <c r="L2379" s="561" t="s">
        <v>166</v>
      </c>
      <c r="M2379" s="561" t="s">
        <v>164</v>
      </c>
      <c r="N2379" s="52" t="str">
        <f>IF(AND('331-CT'!$E$7=TH!H2379,OR(L2379="331",M2379="331")),"331",IF(AND(OR(L2379="131",M2379="131"),H2379='131-CT'!$E$7),"131",""))</f>
        <v/>
      </c>
      <c r="O2379" s="818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751"/>
    </row>
    <row r="2380" spans="1:27" s="209" customFormat="1" ht="15.75" customHeight="1">
      <c r="A2380" s="202" t="str">
        <f>IF(B2380&lt;&gt;"",IF(AND(B2380&gt;=_TM1,B2380&lt;=_TM2,OR(TH!L2380="1111",TH!M2380="1111")),TH!D2380,""),"")</f>
        <v/>
      </c>
      <c r="B2380" s="36">
        <f t="shared" si="121"/>
        <v>5</v>
      </c>
      <c r="C2380" s="182">
        <f t="shared" si="120"/>
        <v>42496</v>
      </c>
      <c r="D2380" s="182" t="s">
        <v>1547</v>
      </c>
      <c r="E2380" s="189">
        <v>42496</v>
      </c>
      <c r="F2380" s="187" t="s">
        <v>1005</v>
      </c>
      <c r="G2380" s="451" t="s">
        <v>543</v>
      </c>
      <c r="H2380" s="7" t="s">
        <v>1549</v>
      </c>
      <c r="I2380" s="251">
        <v>20</v>
      </c>
      <c r="J2380" s="251">
        <v>25913.072010613436</v>
      </c>
      <c r="K2380" s="38">
        <f t="shared" si="119"/>
        <v>518261</v>
      </c>
      <c r="L2380" s="561" t="s">
        <v>166</v>
      </c>
      <c r="M2380" s="561" t="s">
        <v>164</v>
      </c>
      <c r="N2380" s="52" t="str">
        <f>IF(AND('331-CT'!$E$7=TH!H2380,OR(L2380="331",M2380="331")),"331",IF(AND(OR(L2380="131",M2380="131"),H2380='131-CT'!$E$7),"131",""))</f>
        <v/>
      </c>
      <c r="O2380" s="818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751"/>
    </row>
    <row r="2381" spans="1:27" s="209" customFormat="1" ht="15.75" customHeight="1">
      <c r="A2381" s="202" t="str">
        <f>IF(B2381&lt;&gt;"",IF(AND(B2381&gt;=_TM1,B2381&lt;=_TM2,OR(TH!L2381="1111",TH!M2381="1111")),TH!D2381,""),"")</f>
        <v/>
      </c>
      <c r="B2381" s="36">
        <f t="shared" si="121"/>
        <v>5</v>
      </c>
      <c r="C2381" s="182">
        <f t="shared" si="120"/>
        <v>42497</v>
      </c>
      <c r="D2381" s="182" t="s">
        <v>1547</v>
      </c>
      <c r="E2381" s="189">
        <v>42497</v>
      </c>
      <c r="F2381" s="187" t="s">
        <v>1006</v>
      </c>
      <c r="G2381" s="451" t="s">
        <v>545</v>
      </c>
      <c r="H2381" s="7" t="s">
        <v>1549</v>
      </c>
      <c r="I2381" s="251">
        <v>20</v>
      </c>
      <c r="J2381" s="251">
        <v>13808.939689866373</v>
      </c>
      <c r="K2381" s="38">
        <f t="shared" si="119"/>
        <v>276179</v>
      </c>
      <c r="L2381" s="561" t="s">
        <v>166</v>
      </c>
      <c r="M2381" s="561" t="s">
        <v>164</v>
      </c>
      <c r="N2381" s="52" t="str">
        <f>IF(AND('331-CT'!$E$7=TH!H2381,OR(L2381="331",M2381="331")),"331",IF(AND(OR(L2381="131",M2381="131"),H2381='131-CT'!$E$7),"131",""))</f>
        <v/>
      </c>
      <c r="O2381" s="818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751"/>
    </row>
    <row r="2382" spans="1:27" s="209" customFormat="1" ht="15.75" customHeight="1">
      <c r="A2382" s="202" t="str">
        <f>IF(B2382&lt;&gt;"",IF(AND(B2382&gt;=_TM1,B2382&lt;=_TM2,OR(TH!L2382="1111",TH!M2382="1111")),TH!D2382,""),"")</f>
        <v/>
      </c>
      <c r="B2382" s="36">
        <f t="shared" si="121"/>
        <v>5</v>
      </c>
      <c r="C2382" s="182">
        <f t="shared" si="120"/>
        <v>42497</v>
      </c>
      <c r="D2382" s="182" t="s">
        <v>1547</v>
      </c>
      <c r="E2382" s="189">
        <v>42497</v>
      </c>
      <c r="F2382" s="187" t="s">
        <v>1007</v>
      </c>
      <c r="G2382" s="451" t="s">
        <v>545</v>
      </c>
      <c r="H2382" s="7" t="s">
        <v>1549</v>
      </c>
      <c r="I2382" s="251">
        <v>20</v>
      </c>
      <c r="J2382" s="251">
        <v>15939.948901265503</v>
      </c>
      <c r="K2382" s="38">
        <f t="shared" si="119"/>
        <v>318799</v>
      </c>
      <c r="L2382" s="561" t="s">
        <v>166</v>
      </c>
      <c r="M2382" s="561" t="s">
        <v>164</v>
      </c>
      <c r="N2382" s="52" t="str">
        <f>IF(AND('331-CT'!$E$7=TH!H2382,OR(L2382="331",M2382="331")),"331",IF(AND(OR(L2382="131",M2382="131"),H2382='131-CT'!$E$7),"131",""))</f>
        <v/>
      </c>
      <c r="O2382" s="818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751"/>
    </row>
    <row r="2383" spans="1:27" s="209" customFormat="1" ht="15.75" customHeight="1">
      <c r="A2383" s="202" t="str">
        <f>IF(B2383&lt;&gt;"",IF(AND(B2383&gt;=_TM1,B2383&lt;=_TM2,OR(TH!L2383="1111",TH!M2383="1111")),TH!D2383,""),"")</f>
        <v/>
      </c>
      <c r="B2383" s="36">
        <f t="shared" si="121"/>
        <v>5</v>
      </c>
      <c r="C2383" s="182">
        <f t="shared" si="120"/>
        <v>42497</v>
      </c>
      <c r="D2383" s="182" t="s">
        <v>1547</v>
      </c>
      <c r="E2383" s="189">
        <v>42497</v>
      </c>
      <c r="F2383" s="187" t="s">
        <v>955</v>
      </c>
      <c r="G2383" s="451" t="s">
        <v>545</v>
      </c>
      <c r="H2383" s="7" t="s">
        <v>1549</v>
      </c>
      <c r="I2383" s="251">
        <v>107</v>
      </c>
      <c r="J2383" s="251">
        <v>19093.84253413622</v>
      </c>
      <c r="K2383" s="38">
        <f t="shared" si="119"/>
        <v>2043041</v>
      </c>
      <c r="L2383" s="561" t="s">
        <v>166</v>
      </c>
      <c r="M2383" s="561" t="s">
        <v>164</v>
      </c>
      <c r="N2383" s="52" t="str">
        <f>IF(AND('331-CT'!$E$7=TH!H2383,OR(L2383="331",M2383="331")),"331",IF(AND(OR(L2383="131",M2383="131"),H2383='131-CT'!$E$7),"131",""))</f>
        <v/>
      </c>
      <c r="O2383" s="818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751"/>
    </row>
    <row r="2384" spans="1:27" s="209" customFormat="1" ht="15.75" customHeight="1">
      <c r="A2384" s="202" t="str">
        <f>IF(B2384&lt;&gt;"",IF(AND(B2384&gt;=_TM1,B2384&lt;=_TM2,OR(TH!L2384="1111",TH!M2384="1111")),TH!D2384,""),"")</f>
        <v/>
      </c>
      <c r="B2384" s="36">
        <f t="shared" si="121"/>
        <v>5</v>
      </c>
      <c r="C2384" s="182">
        <f t="shared" si="120"/>
        <v>42497</v>
      </c>
      <c r="D2384" s="182" t="s">
        <v>1547</v>
      </c>
      <c r="E2384" s="189">
        <v>42497</v>
      </c>
      <c r="F2384" s="187" t="s">
        <v>1008</v>
      </c>
      <c r="G2384" s="451" t="s">
        <v>545</v>
      </c>
      <c r="H2384" s="7" t="s">
        <v>1549</v>
      </c>
      <c r="I2384" s="251">
        <v>26</v>
      </c>
      <c r="J2384" s="251">
        <v>14490.862637514092</v>
      </c>
      <c r="K2384" s="38">
        <f t="shared" si="119"/>
        <v>376762</v>
      </c>
      <c r="L2384" s="561" t="s">
        <v>166</v>
      </c>
      <c r="M2384" s="561" t="s">
        <v>164</v>
      </c>
      <c r="N2384" s="52" t="str">
        <f>IF(AND('331-CT'!$E$7=TH!H2384,OR(L2384="331",M2384="331")),"331",IF(AND(OR(L2384="131",M2384="131"),H2384='131-CT'!$E$7),"131",""))</f>
        <v/>
      </c>
      <c r="O2384" s="818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751"/>
    </row>
    <row r="2385" spans="1:28" s="209" customFormat="1" ht="15.75" customHeight="1">
      <c r="A2385" s="202" t="str">
        <f>IF(B2385&lt;&gt;"",IF(AND(B2385&gt;=_TM1,B2385&lt;=_TM2,OR(TH!L2385="1111",TH!M2385="1111")),TH!D2385,""),"")</f>
        <v/>
      </c>
      <c r="B2385" s="36">
        <f t="shared" si="121"/>
        <v>5</v>
      </c>
      <c r="C2385" s="182">
        <f t="shared" si="120"/>
        <v>42497</v>
      </c>
      <c r="D2385" s="182" t="s">
        <v>1547</v>
      </c>
      <c r="E2385" s="189">
        <v>42497</v>
      </c>
      <c r="F2385" s="187" t="s">
        <v>1009</v>
      </c>
      <c r="G2385" s="451" t="s">
        <v>545</v>
      </c>
      <c r="H2385" s="7" t="s">
        <v>1549</v>
      </c>
      <c r="I2385" s="251">
        <v>52</v>
      </c>
      <c r="J2385" s="251">
        <v>20798.649903255522</v>
      </c>
      <c r="K2385" s="38">
        <f t="shared" si="119"/>
        <v>1081530</v>
      </c>
      <c r="L2385" s="561" t="s">
        <v>166</v>
      </c>
      <c r="M2385" s="561" t="s">
        <v>164</v>
      </c>
      <c r="N2385" s="52" t="str">
        <f>IF(AND('331-CT'!$E$7=TH!H2385,OR(L2385="331",M2385="331")),"331",IF(AND(OR(L2385="131",M2385="131"),H2385='131-CT'!$E$7),"131",""))</f>
        <v/>
      </c>
      <c r="O2385" s="818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751"/>
    </row>
    <row r="2386" spans="1:28" s="209" customFormat="1" ht="15.75" customHeight="1">
      <c r="A2386" s="202" t="str">
        <f>IF(B2386&lt;&gt;"",IF(AND(B2386&gt;=_TM1,B2386&lt;=_TM2,OR(TH!L2386="1111",TH!M2386="1111")),TH!D2386,""),"")</f>
        <v/>
      </c>
      <c r="B2386" s="36">
        <f t="shared" si="121"/>
        <v>5</v>
      </c>
      <c r="C2386" s="182">
        <f t="shared" si="120"/>
        <v>42497</v>
      </c>
      <c r="D2386" s="182" t="s">
        <v>1547</v>
      </c>
      <c r="E2386" s="189">
        <v>42497</v>
      </c>
      <c r="F2386" s="187" t="s">
        <v>1010</v>
      </c>
      <c r="G2386" s="451" t="s">
        <v>545</v>
      </c>
      <c r="H2386" s="7" t="s">
        <v>1549</v>
      </c>
      <c r="I2386" s="251">
        <v>52</v>
      </c>
      <c r="J2386" s="251">
        <v>70834.746186907127</v>
      </c>
      <c r="K2386" s="38">
        <f t="shared" si="119"/>
        <v>3683407</v>
      </c>
      <c r="L2386" s="561" t="s">
        <v>166</v>
      </c>
      <c r="M2386" s="561" t="s">
        <v>164</v>
      </c>
      <c r="N2386" s="52" t="str">
        <f>IF(AND('331-CT'!$E$7=TH!H2386,OR(L2386="331",M2386="331")),"331",IF(AND(OR(L2386="131",M2386="131"),H2386='131-CT'!$E$7),"131",""))</f>
        <v/>
      </c>
      <c r="O2386" s="818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751"/>
    </row>
    <row r="2387" spans="1:28" s="209" customFormat="1" ht="15.75" customHeight="1">
      <c r="A2387" s="202" t="str">
        <f>IF(B2387&lt;&gt;"",IF(AND(B2387&gt;=_TM1,B2387&lt;=_TM2,OR(TH!L2387="1111",TH!M2387="1111")),TH!D2387,""),"")</f>
        <v/>
      </c>
      <c r="B2387" s="36">
        <f t="shared" si="121"/>
        <v>5</v>
      </c>
      <c r="C2387" s="182">
        <f t="shared" si="120"/>
        <v>42497</v>
      </c>
      <c r="D2387" s="182" t="s">
        <v>1547</v>
      </c>
      <c r="E2387" s="189">
        <v>42497</v>
      </c>
      <c r="F2387" s="187" t="s">
        <v>1011</v>
      </c>
      <c r="G2387" s="451" t="s">
        <v>545</v>
      </c>
      <c r="H2387" s="7" t="s">
        <v>1549</v>
      </c>
      <c r="I2387" s="251">
        <v>51</v>
      </c>
      <c r="J2387" s="251">
        <v>58560.133129248134</v>
      </c>
      <c r="K2387" s="38">
        <f t="shared" si="119"/>
        <v>2986567</v>
      </c>
      <c r="L2387" s="561" t="s">
        <v>166</v>
      </c>
      <c r="M2387" s="561" t="s">
        <v>164</v>
      </c>
      <c r="N2387" s="52" t="str">
        <f>IF(AND('331-CT'!$E$7=TH!H2387,OR(L2387="331",M2387="331")),"331",IF(AND(OR(L2387="131",M2387="131"),H2387='131-CT'!$E$7),"131",""))</f>
        <v/>
      </c>
      <c r="O2387" s="818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751"/>
      <c r="AB2387" s="552"/>
    </row>
    <row r="2388" spans="1:28" s="209" customFormat="1" ht="15.75" customHeight="1">
      <c r="A2388" s="202" t="str">
        <f>IF(B2388&lt;&gt;"",IF(AND(B2388&gt;=_TM1,B2388&lt;=_TM2,OR(TH!L2388="1111",TH!M2388="1111")),TH!D2388,""),"")</f>
        <v/>
      </c>
      <c r="B2388" s="36">
        <f t="shared" si="121"/>
        <v>5</v>
      </c>
      <c r="C2388" s="182">
        <f t="shared" si="120"/>
        <v>42497</v>
      </c>
      <c r="D2388" s="182" t="s">
        <v>1547</v>
      </c>
      <c r="E2388" s="189">
        <v>42497</v>
      </c>
      <c r="F2388" s="187" t="s">
        <v>1012</v>
      </c>
      <c r="G2388" s="451" t="s">
        <v>545</v>
      </c>
      <c r="H2388" s="7" t="s">
        <v>1549</v>
      </c>
      <c r="I2388" s="251">
        <v>56</v>
      </c>
      <c r="J2388" s="251">
        <v>34181.387750842063</v>
      </c>
      <c r="K2388" s="38">
        <f t="shared" si="119"/>
        <v>1914158</v>
      </c>
      <c r="L2388" s="561" t="s">
        <v>166</v>
      </c>
      <c r="M2388" s="561" t="s">
        <v>164</v>
      </c>
      <c r="N2388" s="52" t="str">
        <f>IF(AND('331-CT'!$E$7=TH!H2388,OR(L2388="331",M2388="331")),"331",IF(AND(OR(L2388="131",M2388="131"),H2388='131-CT'!$E$7),"131",""))</f>
        <v/>
      </c>
      <c r="O2388" s="818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751"/>
      <c r="AB2388" s="552"/>
    </row>
    <row r="2389" spans="1:28" s="209" customFormat="1" ht="15.75" customHeight="1">
      <c r="A2389" s="202" t="str">
        <f>IF(B2389&lt;&gt;"",IF(AND(B2389&gt;=_TM1,B2389&lt;=_TM2,OR(TH!L2389="1111",TH!M2389="1111")),TH!D2389,""),"")</f>
        <v/>
      </c>
      <c r="B2389" s="36">
        <f t="shared" si="121"/>
        <v>5</v>
      </c>
      <c r="C2389" s="182">
        <f t="shared" si="120"/>
        <v>42497</v>
      </c>
      <c r="D2389" s="182" t="s">
        <v>1547</v>
      </c>
      <c r="E2389" s="189">
        <v>42497</v>
      </c>
      <c r="F2389" s="187" t="s">
        <v>1013</v>
      </c>
      <c r="G2389" s="451" t="s">
        <v>545</v>
      </c>
      <c r="H2389" s="7" t="s">
        <v>1549</v>
      </c>
      <c r="I2389" s="251">
        <v>50</v>
      </c>
      <c r="J2389" s="251">
        <v>41767.780543422974</v>
      </c>
      <c r="K2389" s="38">
        <f t="shared" si="119"/>
        <v>2088389</v>
      </c>
      <c r="L2389" s="561" t="s">
        <v>166</v>
      </c>
      <c r="M2389" s="561" t="s">
        <v>164</v>
      </c>
      <c r="N2389" s="52" t="str">
        <f>IF(AND('331-CT'!$E$7=TH!H2389,OR(L2389="331",M2389="331")),"331",IF(AND(OR(L2389="131",M2389="131"),H2389='131-CT'!$E$7),"131",""))</f>
        <v/>
      </c>
      <c r="O2389" s="818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751"/>
    </row>
    <row r="2390" spans="1:28" s="209" customFormat="1" ht="15.75" customHeight="1">
      <c r="A2390" s="202" t="str">
        <f>IF(B2390&lt;&gt;"",IF(AND(B2390&gt;=_TM1,B2390&lt;=_TM2,OR(TH!L2390="1111",TH!M2390="1111")),TH!D2390,""),"")</f>
        <v/>
      </c>
      <c r="B2390" s="36">
        <f t="shared" si="121"/>
        <v>5</v>
      </c>
      <c r="C2390" s="182">
        <f t="shared" si="120"/>
        <v>42499</v>
      </c>
      <c r="D2390" s="182" t="s">
        <v>1547</v>
      </c>
      <c r="E2390" s="189">
        <v>42499</v>
      </c>
      <c r="F2390" s="187" t="s">
        <v>436</v>
      </c>
      <c r="G2390" s="451" t="s">
        <v>546</v>
      </c>
      <c r="H2390" s="7" t="s">
        <v>1549</v>
      </c>
      <c r="I2390" s="251">
        <v>281</v>
      </c>
      <c r="J2390" s="251">
        <v>5796.3450550056377</v>
      </c>
      <c r="K2390" s="38">
        <f t="shared" si="119"/>
        <v>1628773</v>
      </c>
      <c r="L2390" s="561" t="s">
        <v>166</v>
      </c>
      <c r="M2390" s="561" t="s">
        <v>164</v>
      </c>
      <c r="N2390" s="52" t="str">
        <f>IF(AND('331-CT'!$E$7=TH!H2390,OR(L2390="331",M2390="331")),"331",IF(AND(OR(L2390="131",M2390="131"),H2390='131-CT'!$E$7),"131",""))</f>
        <v/>
      </c>
      <c r="O2390" s="818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751"/>
      <c r="AB2390" s="552"/>
    </row>
    <row r="2391" spans="1:28" s="209" customFormat="1" ht="15.75" customHeight="1">
      <c r="A2391" s="202" t="str">
        <f>IF(B2391&lt;&gt;"",IF(AND(B2391&gt;=_TM1,B2391&lt;=_TM2,OR(TH!L2391="1111",TH!M2391="1111")),TH!D2391,""),"")</f>
        <v/>
      </c>
      <c r="B2391" s="36">
        <f t="shared" si="121"/>
        <v>5</v>
      </c>
      <c r="C2391" s="182">
        <f t="shared" si="120"/>
        <v>42499</v>
      </c>
      <c r="D2391" s="182" t="s">
        <v>1547</v>
      </c>
      <c r="E2391" s="189">
        <v>42499</v>
      </c>
      <c r="F2391" s="187" t="s">
        <v>436</v>
      </c>
      <c r="G2391" s="451" t="s">
        <v>546</v>
      </c>
      <c r="H2391" s="7" t="s">
        <v>1549</v>
      </c>
      <c r="I2391" s="251">
        <v>495</v>
      </c>
      <c r="J2391" s="251">
        <v>5796.3450550056377</v>
      </c>
      <c r="K2391" s="38">
        <f t="shared" si="119"/>
        <v>2869191</v>
      </c>
      <c r="L2391" s="561" t="s">
        <v>166</v>
      </c>
      <c r="M2391" s="561" t="s">
        <v>164</v>
      </c>
      <c r="N2391" s="52" t="str">
        <f>IF(AND('331-CT'!$E$7=TH!H2391,OR(L2391="331",M2391="331")),"331",IF(AND(OR(L2391="131",M2391="131"),H2391='131-CT'!$E$7),"131",""))</f>
        <v/>
      </c>
      <c r="O2391" s="818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751"/>
    </row>
    <row r="2392" spans="1:28" s="209" customFormat="1" ht="15.75" customHeight="1">
      <c r="A2392" s="202" t="str">
        <f>IF(B2392&lt;&gt;"",IF(AND(B2392&gt;=_TM1,B2392&lt;=_TM2,OR(TH!L2392="1111",TH!M2392="1111")),TH!D2392,""),"")</f>
        <v/>
      </c>
      <c r="B2392" s="36">
        <f t="shared" si="121"/>
        <v>5</v>
      </c>
      <c r="C2392" s="182">
        <f t="shared" si="120"/>
        <v>42499</v>
      </c>
      <c r="D2392" s="182" t="s">
        <v>1547</v>
      </c>
      <c r="E2392" s="189">
        <v>42499</v>
      </c>
      <c r="F2392" s="187" t="s">
        <v>474</v>
      </c>
      <c r="G2392" s="451" t="s">
        <v>547</v>
      </c>
      <c r="H2392" s="7" t="s">
        <v>1549</v>
      </c>
      <c r="I2392" s="251">
        <v>65</v>
      </c>
      <c r="J2392" s="251">
        <v>10910.767162363552</v>
      </c>
      <c r="K2392" s="38">
        <f t="shared" si="119"/>
        <v>709200</v>
      </c>
      <c r="L2392" s="561" t="s">
        <v>166</v>
      </c>
      <c r="M2392" s="561" t="s">
        <v>164</v>
      </c>
      <c r="N2392" s="52" t="str">
        <f>IF(AND('331-CT'!$E$7=TH!H2392,OR(L2392="331",M2392="331")),"331",IF(AND(OR(L2392="131",M2392="131"),H2392='131-CT'!$E$7),"131",""))</f>
        <v/>
      </c>
      <c r="O2392" s="818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751"/>
    </row>
    <row r="2393" spans="1:28" s="209" customFormat="1" ht="15.75" customHeight="1">
      <c r="A2393" s="202" t="str">
        <f>IF(B2393&lt;&gt;"",IF(AND(B2393&gt;=_TM1,B2393&lt;=_TM2,OR(TH!L2393="1111",TH!M2393="1111")),TH!D2393,""),"")</f>
        <v/>
      </c>
      <c r="B2393" s="36">
        <f t="shared" si="121"/>
        <v>5</v>
      </c>
      <c r="C2393" s="182">
        <f t="shared" si="120"/>
        <v>42499</v>
      </c>
      <c r="D2393" s="182" t="s">
        <v>1547</v>
      </c>
      <c r="E2393" s="189">
        <v>42499</v>
      </c>
      <c r="F2393" s="187" t="s">
        <v>1014</v>
      </c>
      <c r="G2393" s="451" t="s">
        <v>547</v>
      </c>
      <c r="H2393" s="7" t="s">
        <v>1549</v>
      </c>
      <c r="I2393" s="251">
        <v>105</v>
      </c>
      <c r="J2393" s="251">
        <v>9802.6423724360029</v>
      </c>
      <c r="K2393" s="38">
        <f t="shared" si="119"/>
        <v>1029277</v>
      </c>
      <c r="L2393" s="561" t="s">
        <v>166</v>
      </c>
      <c r="M2393" s="561" t="s">
        <v>164</v>
      </c>
      <c r="N2393" s="52" t="str">
        <f>IF(AND('331-CT'!$E$7=TH!H2393,OR(L2393="331",M2393="331")),"331",IF(AND(OR(L2393="131",M2393="131"),H2393='131-CT'!$E$7),"131",""))</f>
        <v/>
      </c>
      <c r="O2393" s="818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751"/>
    </row>
    <row r="2394" spans="1:28" s="209" customFormat="1" ht="15.75" customHeight="1">
      <c r="A2394" s="202" t="str">
        <f>IF(B2394&lt;&gt;"",IF(AND(B2394&gt;=_TM1,B2394&lt;=_TM2,OR(TH!L2394="1111",TH!M2394="1111")),TH!D2394,""),"")</f>
        <v/>
      </c>
      <c r="B2394" s="36">
        <f t="shared" si="121"/>
        <v>5</v>
      </c>
      <c r="C2394" s="182">
        <f t="shared" si="120"/>
        <v>42499</v>
      </c>
      <c r="D2394" s="182" t="s">
        <v>1547</v>
      </c>
      <c r="E2394" s="189">
        <v>42499</v>
      </c>
      <c r="F2394" s="187" t="s">
        <v>1015</v>
      </c>
      <c r="G2394" s="451" t="s">
        <v>547</v>
      </c>
      <c r="H2394" s="7" t="s">
        <v>1549</v>
      </c>
      <c r="I2394" s="251">
        <v>130</v>
      </c>
      <c r="J2394" s="251">
        <v>6478.268002653359</v>
      </c>
      <c r="K2394" s="38">
        <f t="shared" si="119"/>
        <v>842175</v>
      </c>
      <c r="L2394" s="561" t="s">
        <v>166</v>
      </c>
      <c r="M2394" s="561" t="s">
        <v>164</v>
      </c>
      <c r="N2394" s="52" t="str">
        <f>IF(AND('331-CT'!$E$7=TH!H2394,OR(L2394="331",M2394="331")),"331",IF(AND(OR(L2394="131",M2394="131"),H2394='131-CT'!$E$7),"131",""))</f>
        <v/>
      </c>
      <c r="O2394" s="818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751"/>
    </row>
    <row r="2395" spans="1:28" s="209" customFormat="1" ht="15.75" customHeight="1">
      <c r="A2395" s="202" t="str">
        <f>IF(B2395&lt;&gt;"",IF(AND(B2395&gt;=_TM1,B2395&lt;=_TM2,OR(TH!L2395="1111",TH!M2395="1111")),TH!D2395,""),"")</f>
        <v/>
      </c>
      <c r="B2395" s="36">
        <f t="shared" si="121"/>
        <v>5</v>
      </c>
      <c r="C2395" s="182">
        <f t="shared" si="120"/>
        <v>42499</v>
      </c>
      <c r="D2395" s="182" t="s">
        <v>1547</v>
      </c>
      <c r="E2395" s="189">
        <v>42499</v>
      </c>
      <c r="F2395" s="187" t="s">
        <v>480</v>
      </c>
      <c r="G2395" s="451" t="s">
        <v>547</v>
      </c>
      <c r="H2395" s="7" t="s">
        <v>1549</v>
      </c>
      <c r="I2395" s="251">
        <v>356</v>
      </c>
      <c r="J2395" s="251">
        <v>10825.526793907587</v>
      </c>
      <c r="K2395" s="38">
        <f t="shared" si="119"/>
        <v>3853888</v>
      </c>
      <c r="L2395" s="561" t="s">
        <v>166</v>
      </c>
      <c r="M2395" s="561" t="s">
        <v>164</v>
      </c>
      <c r="N2395" s="52" t="str">
        <f>IF(AND('331-CT'!$E$7=TH!H2395,OR(L2395="331",M2395="331")),"331",IF(AND(OR(L2395="131",M2395="131"),H2395='131-CT'!$E$7),"131",""))</f>
        <v/>
      </c>
      <c r="O2395" s="818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751"/>
    </row>
    <row r="2396" spans="1:28" s="209" customFormat="1" ht="15.75" customHeight="1">
      <c r="A2396" s="202" t="str">
        <f>IF(B2396&lt;&gt;"",IF(AND(B2396&gt;=_TM1,B2396&lt;=_TM2,OR(TH!L2396="1111",TH!M2396="1111")),TH!D2396,""),"")</f>
        <v/>
      </c>
      <c r="B2396" s="36">
        <f t="shared" si="121"/>
        <v>5</v>
      </c>
      <c r="C2396" s="182">
        <f t="shared" si="120"/>
        <v>42500</v>
      </c>
      <c r="D2396" s="182" t="s">
        <v>1547</v>
      </c>
      <c r="E2396" s="189">
        <v>42500</v>
      </c>
      <c r="F2396" s="187" t="s">
        <v>480</v>
      </c>
      <c r="G2396" s="451" t="s">
        <v>548</v>
      </c>
      <c r="H2396" s="7" t="s">
        <v>1549</v>
      </c>
      <c r="I2396" s="251">
        <v>102</v>
      </c>
      <c r="J2396" s="251">
        <v>10825.526793907587</v>
      </c>
      <c r="K2396" s="38">
        <f t="shared" si="119"/>
        <v>1104204</v>
      </c>
      <c r="L2396" s="561" t="s">
        <v>166</v>
      </c>
      <c r="M2396" s="561" t="s">
        <v>164</v>
      </c>
      <c r="N2396" s="52" t="str">
        <f>IF(AND('331-CT'!$E$7=TH!H2396,OR(L2396="331",M2396="331")),"331",IF(AND(OR(L2396="131",M2396="131"),H2396='131-CT'!$E$7),"131",""))</f>
        <v/>
      </c>
      <c r="O2396" s="818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751"/>
    </row>
    <row r="2397" spans="1:28" s="209" customFormat="1" ht="15.75" customHeight="1">
      <c r="A2397" s="202" t="str">
        <f>IF(B2397&lt;&gt;"",IF(AND(B2397&gt;=_TM1,B2397&lt;=_TM2,OR(TH!L2397="1111",TH!M2397="1111")),TH!D2397,""),"")</f>
        <v/>
      </c>
      <c r="B2397" s="36">
        <f t="shared" si="121"/>
        <v>5</v>
      </c>
      <c r="C2397" s="182">
        <f t="shared" si="120"/>
        <v>42500</v>
      </c>
      <c r="D2397" s="182" t="s">
        <v>1547</v>
      </c>
      <c r="E2397" s="189">
        <v>42500</v>
      </c>
      <c r="F2397" s="187" t="s">
        <v>1016</v>
      </c>
      <c r="G2397" s="451" t="s">
        <v>548</v>
      </c>
      <c r="H2397" s="7" t="s">
        <v>1549</v>
      </c>
      <c r="I2397" s="251">
        <v>198</v>
      </c>
      <c r="J2397" s="251">
        <v>10825.526793907587</v>
      </c>
      <c r="K2397" s="38">
        <f t="shared" si="119"/>
        <v>2143454</v>
      </c>
      <c r="L2397" s="561" t="s">
        <v>166</v>
      </c>
      <c r="M2397" s="561" t="s">
        <v>164</v>
      </c>
      <c r="N2397" s="52" t="str">
        <f>IF(AND('331-CT'!$E$7=TH!H2397,OR(L2397="331",M2397="331")),"331",IF(AND(OR(L2397="131",M2397="131"),H2397='131-CT'!$E$7),"131",""))</f>
        <v/>
      </c>
      <c r="O2397" s="818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751"/>
    </row>
    <row r="2398" spans="1:28" s="209" customFormat="1" ht="15.75" customHeight="1">
      <c r="A2398" s="202" t="str">
        <f>IF(B2398&lt;&gt;"",IF(AND(B2398&gt;=_TM1,B2398&lt;=_TM2,OR(TH!L2398="1111",TH!M2398="1111")),TH!D2398,""),"")</f>
        <v/>
      </c>
      <c r="B2398" s="36">
        <f t="shared" si="121"/>
        <v>5</v>
      </c>
      <c r="C2398" s="182">
        <f t="shared" si="120"/>
        <v>42500</v>
      </c>
      <c r="D2398" s="182" t="s">
        <v>1547</v>
      </c>
      <c r="E2398" s="189">
        <v>42500</v>
      </c>
      <c r="F2398" s="187" t="s">
        <v>1015</v>
      </c>
      <c r="G2398" s="451" t="s">
        <v>548</v>
      </c>
      <c r="H2398" s="7" t="s">
        <v>1549</v>
      </c>
      <c r="I2398" s="251">
        <v>260</v>
      </c>
      <c r="J2398" s="251">
        <v>6478.268002653359</v>
      </c>
      <c r="K2398" s="38">
        <f t="shared" si="119"/>
        <v>1684350</v>
      </c>
      <c r="L2398" s="561" t="s">
        <v>166</v>
      </c>
      <c r="M2398" s="561" t="s">
        <v>164</v>
      </c>
      <c r="N2398" s="52" t="str">
        <f>IF(AND('331-CT'!$E$7=TH!H2398,OR(L2398="331",M2398="331")),"331",IF(AND(OR(L2398="131",M2398="131"),H2398='131-CT'!$E$7),"131",""))</f>
        <v/>
      </c>
      <c r="O2398" s="818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751"/>
    </row>
    <row r="2399" spans="1:28" s="209" customFormat="1" ht="15.75" customHeight="1">
      <c r="A2399" s="202" t="str">
        <f>IF(B2399&lt;&gt;"",IF(AND(B2399&gt;=_TM1,B2399&lt;=_TM2,OR(TH!L2399="1111",TH!M2399="1111")),TH!D2399,""),"")</f>
        <v/>
      </c>
      <c r="B2399" s="36">
        <f t="shared" si="121"/>
        <v>5</v>
      </c>
      <c r="C2399" s="182">
        <f t="shared" si="120"/>
        <v>42500</v>
      </c>
      <c r="D2399" s="182" t="s">
        <v>1547</v>
      </c>
      <c r="E2399" s="189">
        <v>42500</v>
      </c>
      <c r="F2399" s="187" t="s">
        <v>1202</v>
      </c>
      <c r="G2399" s="451" t="s">
        <v>548</v>
      </c>
      <c r="H2399" s="7" t="s">
        <v>1549</v>
      </c>
      <c r="I2399" s="251">
        <v>400</v>
      </c>
      <c r="J2399" s="251">
        <v>340.96147382386101</v>
      </c>
      <c r="K2399" s="38">
        <f t="shared" si="119"/>
        <v>136385</v>
      </c>
      <c r="L2399" s="561" t="s">
        <v>166</v>
      </c>
      <c r="M2399" s="561" t="s">
        <v>164</v>
      </c>
      <c r="N2399" s="52" t="str">
        <f>IF(AND('331-CT'!$E$7=TH!H2399,OR(L2399="331",M2399="331")),"331",IF(AND(OR(L2399="131",M2399="131"),H2399='131-CT'!$E$7),"131",""))</f>
        <v/>
      </c>
      <c r="O2399" s="818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751"/>
    </row>
    <row r="2400" spans="1:28" s="209" customFormat="1" ht="15.75" customHeight="1">
      <c r="A2400" s="202" t="str">
        <f>IF(B2400&lt;&gt;"",IF(AND(B2400&gt;=_TM1,B2400&lt;=_TM2,OR(TH!L2400="1111",TH!M2400="1111")),TH!D2400,""),"")</f>
        <v/>
      </c>
      <c r="B2400" s="36">
        <f t="shared" si="121"/>
        <v>5</v>
      </c>
      <c r="C2400" s="182">
        <f t="shared" si="120"/>
        <v>42500</v>
      </c>
      <c r="D2400" s="182" t="s">
        <v>1547</v>
      </c>
      <c r="E2400" s="189">
        <v>42500</v>
      </c>
      <c r="F2400" s="187" t="s">
        <v>1203</v>
      </c>
      <c r="G2400" s="451" t="s">
        <v>548</v>
      </c>
      <c r="H2400" s="7" t="s">
        <v>1549</v>
      </c>
      <c r="I2400" s="251">
        <v>780</v>
      </c>
      <c r="J2400" s="251">
        <v>255.72110536789575</v>
      </c>
      <c r="K2400" s="38">
        <f t="shared" si="119"/>
        <v>199462</v>
      </c>
      <c r="L2400" s="561" t="s">
        <v>166</v>
      </c>
      <c r="M2400" s="561" t="s">
        <v>164</v>
      </c>
      <c r="N2400" s="52" t="str">
        <f>IF(AND('331-CT'!$E$7=TH!H2400,OR(L2400="331",M2400="331")),"331",IF(AND(OR(L2400="131",M2400="131"),H2400='131-CT'!$E$7),"131",""))</f>
        <v/>
      </c>
      <c r="O2400" s="818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751"/>
    </row>
    <row r="2401" spans="1:28" s="209" customFormat="1" ht="15.75" customHeight="1">
      <c r="A2401" s="202" t="str">
        <f>IF(B2401&lt;&gt;"",IF(AND(B2401&gt;=_TM1,B2401&lt;=_TM2,OR(TH!L2401="1111",TH!M2401="1111")),TH!D2401,""),"")</f>
        <v/>
      </c>
      <c r="B2401" s="36">
        <f t="shared" si="121"/>
        <v>5</v>
      </c>
      <c r="C2401" s="182">
        <f t="shared" si="120"/>
        <v>42500</v>
      </c>
      <c r="D2401" s="182" t="s">
        <v>1547</v>
      </c>
      <c r="E2401" s="189">
        <v>42500</v>
      </c>
      <c r="F2401" s="187" t="s">
        <v>1017</v>
      </c>
      <c r="G2401" s="451" t="s">
        <v>550</v>
      </c>
      <c r="H2401" s="7" t="s">
        <v>1549</v>
      </c>
      <c r="I2401" s="251">
        <v>48</v>
      </c>
      <c r="J2401" s="251">
        <v>48587.010019900197</v>
      </c>
      <c r="K2401" s="38">
        <f t="shared" si="119"/>
        <v>2332176</v>
      </c>
      <c r="L2401" s="561" t="s">
        <v>166</v>
      </c>
      <c r="M2401" s="561" t="s">
        <v>164</v>
      </c>
      <c r="N2401" s="52" t="str">
        <f>IF(AND('331-CT'!$E$7=TH!H2401,OR(L2401="331",M2401="331")),"331",IF(AND(OR(L2401="131",M2401="131"),H2401='131-CT'!$E$7),"131",""))</f>
        <v/>
      </c>
      <c r="O2401" s="818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751"/>
    </row>
    <row r="2402" spans="1:28" s="209" customFormat="1" ht="15.75" customHeight="1">
      <c r="A2402" s="202" t="str">
        <f>IF(B2402&lt;&gt;"",IF(AND(B2402&gt;=_TM1,B2402&lt;=_TM2,OR(TH!L2402="1111",TH!M2402="1111")),TH!D2402,""),"")</f>
        <v/>
      </c>
      <c r="B2402" s="36">
        <f t="shared" si="121"/>
        <v>5</v>
      </c>
      <c r="C2402" s="182">
        <f t="shared" si="120"/>
        <v>42500</v>
      </c>
      <c r="D2402" s="182" t="s">
        <v>1547</v>
      </c>
      <c r="E2402" s="189">
        <v>42500</v>
      </c>
      <c r="F2402" s="187" t="s">
        <v>994</v>
      </c>
      <c r="G2402" s="451" t="s">
        <v>550</v>
      </c>
      <c r="H2402" s="7" t="s">
        <v>1549</v>
      </c>
      <c r="I2402" s="251">
        <v>500</v>
      </c>
      <c r="J2402" s="251">
        <v>14320.381900602162</v>
      </c>
      <c r="K2402" s="38">
        <f t="shared" si="119"/>
        <v>7160191</v>
      </c>
      <c r="L2402" s="561" t="s">
        <v>166</v>
      </c>
      <c r="M2402" s="561" t="s">
        <v>164</v>
      </c>
      <c r="N2402" s="52" t="str">
        <f>IF(AND('331-CT'!$E$7=TH!H2402,OR(L2402="331",M2402="331")),"331",IF(AND(OR(L2402="131",M2402="131"),H2402='131-CT'!$E$7),"131",""))</f>
        <v/>
      </c>
      <c r="O2402" s="818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751"/>
    </row>
    <row r="2403" spans="1:28" s="209" customFormat="1" ht="15.75" customHeight="1">
      <c r="A2403" s="202" t="str">
        <f>IF(B2403&lt;&gt;"",IF(AND(B2403&gt;=_TM1,B2403&lt;=_TM2,OR(TH!L2403="1111",TH!M2403="1111")),TH!D2403,""),"")</f>
        <v/>
      </c>
      <c r="B2403" s="36">
        <f t="shared" si="121"/>
        <v>5</v>
      </c>
      <c r="C2403" s="182">
        <f t="shared" si="120"/>
        <v>42500</v>
      </c>
      <c r="D2403" s="182" t="s">
        <v>1547</v>
      </c>
      <c r="E2403" s="189">
        <v>42500</v>
      </c>
      <c r="F2403" s="187" t="s">
        <v>1018</v>
      </c>
      <c r="G2403" s="451" t="s">
        <v>550</v>
      </c>
      <c r="H2403" s="7" t="s">
        <v>1549</v>
      </c>
      <c r="I2403" s="251">
        <v>50</v>
      </c>
      <c r="J2403" s="251">
        <v>41512.059438055083</v>
      </c>
      <c r="K2403" s="38">
        <f t="shared" si="119"/>
        <v>2075603</v>
      </c>
      <c r="L2403" s="561" t="s">
        <v>166</v>
      </c>
      <c r="M2403" s="561" t="s">
        <v>164</v>
      </c>
      <c r="N2403" s="52" t="str">
        <f>IF(AND('331-CT'!$E$7=TH!H2403,OR(L2403="331",M2403="331")),"331",IF(AND(OR(L2403="131",M2403="131"),H2403='131-CT'!$E$7),"131",""))</f>
        <v/>
      </c>
      <c r="O2403" s="818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751"/>
    </row>
    <row r="2404" spans="1:28" s="209" customFormat="1" ht="15.75" customHeight="1">
      <c r="A2404" s="202" t="str">
        <f>IF(B2404&lt;&gt;"",IF(AND(B2404&gt;=_TM1,B2404&lt;=_TM2,OR(TH!L2404="1111",TH!M2404="1111")),TH!D2404,""),"")</f>
        <v/>
      </c>
      <c r="B2404" s="36">
        <f t="shared" si="121"/>
        <v>5</v>
      </c>
      <c r="C2404" s="182">
        <f t="shared" si="120"/>
        <v>42500</v>
      </c>
      <c r="D2404" s="182" t="s">
        <v>1547</v>
      </c>
      <c r="E2404" s="189">
        <v>42500</v>
      </c>
      <c r="F2404" s="187" t="s">
        <v>1019</v>
      </c>
      <c r="G2404" s="451" t="s">
        <v>550</v>
      </c>
      <c r="H2404" s="7" t="s">
        <v>1549</v>
      </c>
      <c r="I2404" s="251">
        <v>23</v>
      </c>
      <c r="J2404" s="251">
        <v>65720.324079549217</v>
      </c>
      <c r="K2404" s="38">
        <f t="shared" si="119"/>
        <v>1511567</v>
      </c>
      <c r="L2404" s="561" t="s">
        <v>166</v>
      </c>
      <c r="M2404" s="561" t="s">
        <v>164</v>
      </c>
      <c r="N2404" s="52" t="str">
        <f>IF(AND('331-CT'!$E$7=TH!H2404,OR(L2404="331",M2404="331")),"331",IF(AND(OR(L2404="131",M2404="131"),H2404='131-CT'!$E$7),"131",""))</f>
        <v/>
      </c>
      <c r="O2404" s="818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751"/>
    </row>
    <row r="2405" spans="1:28" s="209" customFormat="1" ht="15.75" customHeight="1">
      <c r="A2405" s="202" t="str">
        <f>IF(B2405&lt;&gt;"",IF(AND(B2405&gt;=_TM1,B2405&lt;=_TM2,OR(TH!L2405="1111",TH!M2405="1111")),TH!D2405,""),"")</f>
        <v/>
      </c>
      <c r="B2405" s="36">
        <f t="shared" si="121"/>
        <v>5</v>
      </c>
      <c r="C2405" s="182">
        <f t="shared" si="120"/>
        <v>42500</v>
      </c>
      <c r="D2405" s="182" t="s">
        <v>1547</v>
      </c>
      <c r="E2405" s="189">
        <v>42500</v>
      </c>
      <c r="F2405" s="187" t="s">
        <v>1020</v>
      </c>
      <c r="G2405" s="451" t="s">
        <v>550</v>
      </c>
      <c r="H2405" s="7" t="s">
        <v>1549</v>
      </c>
      <c r="I2405" s="251">
        <v>5</v>
      </c>
      <c r="J2405" s="251">
        <v>56514.364286304961</v>
      </c>
      <c r="K2405" s="38">
        <f t="shared" si="119"/>
        <v>282572</v>
      </c>
      <c r="L2405" s="561" t="s">
        <v>166</v>
      </c>
      <c r="M2405" s="561" t="s">
        <v>164</v>
      </c>
      <c r="N2405" s="52" t="str">
        <f>IF(AND('331-CT'!$E$7=TH!H2405,OR(L2405="331",M2405="331")),"331",IF(AND(OR(L2405="131",M2405="131"),H2405='131-CT'!$E$7),"131",""))</f>
        <v/>
      </c>
      <c r="O2405" s="818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751"/>
    </row>
    <row r="2406" spans="1:28" s="209" customFormat="1" ht="15.75" customHeight="1">
      <c r="A2406" s="202" t="str">
        <f>IF(B2406&lt;&gt;"",IF(AND(B2406&gt;=_TM1,B2406&lt;=_TM2,OR(TH!L2406="1111",TH!M2406="1111")),TH!D2406,""),"")</f>
        <v/>
      </c>
      <c r="B2406" s="36">
        <f t="shared" si="121"/>
        <v>5</v>
      </c>
      <c r="C2406" s="182">
        <f t="shared" si="120"/>
        <v>42500</v>
      </c>
      <c r="D2406" s="182" t="s">
        <v>1547</v>
      </c>
      <c r="E2406" s="189">
        <v>42500</v>
      </c>
      <c r="F2406" s="187" t="s">
        <v>1021</v>
      </c>
      <c r="G2406" s="451" t="s">
        <v>550</v>
      </c>
      <c r="H2406" s="7" t="s">
        <v>1549</v>
      </c>
      <c r="I2406" s="251">
        <v>50</v>
      </c>
      <c r="J2406" s="251">
        <v>50462.298125931433</v>
      </c>
      <c r="K2406" s="38">
        <f t="shared" si="119"/>
        <v>2523115</v>
      </c>
      <c r="L2406" s="561" t="s">
        <v>166</v>
      </c>
      <c r="M2406" s="561" t="s">
        <v>164</v>
      </c>
      <c r="N2406" s="52" t="str">
        <f>IF(AND('331-CT'!$E$7=TH!H2406,OR(L2406="331",M2406="331")),"331",IF(AND(OR(L2406="131",M2406="131"),H2406='131-CT'!$E$7),"131",""))</f>
        <v/>
      </c>
      <c r="O2406" s="818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751"/>
    </row>
    <row r="2407" spans="1:28" s="209" customFormat="1" ht="15.75" customHeight="1">
      <c r="A2407" s="202" t="str">
        <f>IF(B2407&lt;&gt;"",IF(AND(B2407&gt;=_TM1,B2407&lt;=_TM2,OR(TH!L2407="1111",TH!M2407="1111")),TH!D2407,""),"")</f>
        <v/>
      </c>
      <c r="B2407" s="36">
        <f t="shared" si="121"/>
        <v>5</v>
      </c>
      <c r="C2407" s="182">
        <f t="shared" si="120"/>
        <v>42500</v>
      </c>
      <c r="D2407" s="182" t="s">
        <v>1547</v>
      </c>
      <c r="E2407" s="189">
        <v>42500</v>
      </c>
      <c r="F2407" s="187" t="s">
        <v>1022</v>
      </c>
      <c r="G2407" s="451" t="s">
        <v>550</v>
      </c>
      <c r="H2407" s="7" t="s">
        <v>1549</v>
      </c>
      <c r="I2407" s="251">
        <v>50</v>
      </c>
      <c r="J2407" s="251">
        <v>79444.023400959617</v>
      </c>
      <c r="K2407" s="38">
        <f t="shared" si="119"/>
        <v>3972201</v>
      </c>
      <c r="L2407" s="561" t="s">
        <v>166</v>
      </c>
      <c r="M2407" s="561" t="s">
        <v>164</v>
      </c>
      <c r="N2407" s="52" t="str">
        <f>IF(AND('331-CT'!$E$7=TH!H2407,OR(L2407="331",M2407="331")),"331",IF(AND(OR(L2407="131",M2407="131"),H2407='131-CT'!$E$7),"131",""))</f>
        <v/>
      </c>
      <c r="O2407" s="818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751"/>
    </row>
    <row r="2408" spans="1:28" s="209" customFormat="1" ht="15.75" customHeight="1">
      <c r="A2408" s="202" t="str">
        <f>IF(B2408&lt;&gt;"",IF(AND(B2408&gt;=_TM1,B2408&lt;=_TM2,OR(TH!L2408="1111",TH!M2408="1111")),TH!D2408,""),"")</f>
        <v/>
      </c>
      <c r="B2408" s="36">
        <f t="shared" si="121"/>
        <v>5</v>
      </c>
      <c r="C2408" s="182">
        <f t="shared" si="120"/>
        <v>42500</v>
      </c>
      <c r="D2408" s="182" t="s">
        <v>1547</v>
      </c>
      <c r="E2408" s="189">
        <v>42500</v>
      </c>
      <c r="F2408" s="187" t="s">
        <v>1023</v>
      </c>
      <c r="G2408" s="451" t="s">
        <v>550</v>
      </c>
      <c r="H2408" s="7" t="s">
        <v>1549</v>
      </c>
      <c r="I2408" s="251">
        <v>49</v>
      </c>
      <c r="J2408" s="251">
        <v>58730.613866160056</v>
      </c>
      <c r="K2408" s="38">
        <f t="shared" si="119"/>
        <v>2877800</v>
      </c>
      <c r="L2408" s="561" t="s">
        <v>166</v>
      </c>
      <c r="M2408" s="561" t="s">
        <v>164</v>
      </c>
      <c r="N2408" s="52" t="str">
        <f>IF(AND('331-CT'!$E$7=TH!H2408,OR(L2408="331",M2408="331")),"331",IF(AND(OR(L2408="131",M2408="131"),H2408='131-CT'!$E$7),"131",""))</f>
        <v/>
      </c>
      <c r="O2408" s="818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751"/>
      <c r="AB2408" s="552"/>
    </row>
    <row r="2409" spans="1:28" s="209" customFormat="1" ht="15.75" customHeight="1">
      <c r="A2409" s="202" t="str">
        <f>IF(B2409&lt;&gt;"",IF(AND(B2409&gt;=_TM1,B2409&lt;=_TM2,OR(TH!L2409="1111",TH!M2409="1111")),TH!D2409,""),"")</f>
        <v/>
      </c>
      <c r="B2409" s="36">
        <f t="shared" si="121"/>
        <v>5</v>
      </c>
      <c r="C2409" s="182">
        <f t="shared" si="120"/>
        <v>42502</v>
      </c>
      <c r="D2409" s="182" t="s">
        <v>1547</v>
      </c>
      <c r="E2409" s="189">
        <v>42502</v>
      </c>
      <c r="F2409" s="187" t="s">
        <v>645</v>
      </c>
      <c r="G2409" s="451" t="s">
        <v>552</v>
      </c>
      <c r="H2409" s="7" t="s">
        <v>1549</v>
      </c>
      <c r="I2409" s="251">
        <v>50</v>
      </c>
      <c r="J2409" s="251">
        <v>9717.402003980038</v>
      </c>
      <c r="K2409" s="38">
        <f t="shared" si="119"/>
        <v>485870</v>
      </c>
      <c r="L2409" s="561" t="s">
        <v>166</v>
      </c>
      <c r="M2409" s="561" t="s">
        <v>164</v>
      </c>
      <c r="N2409" s="52" t="str">
        <f>IF(AND('331-CT'!$E$7=TH!H2409,OR(L2409="331",M2409="331")),"331",IF(AND(OR(L2409="131",M2409="131"),H2409='131-CT'!$E$7),"131",""))</f>
        <v/>
      </c>
      <c r="O2409" s="818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751"/>
      <c r="AB2409" s="552"/>
    </row>
    <row r="2410" spans="1:28" s="209" customFormat="1" ht="15.75" customHeight="1">
      <c r="A2410" s="202" t="str">
        <f>IF(B2410&lt;&gt;"",IF(AND(B2410&gt;=_TM1,B2410&lt;=_TM2,OR(TH!L2410="1111",TH!M2410="1111")),TH!D2410,""),"")</f>
        <v/>
      </c>
      <c r="B2410" s="36">
        <f t="shared" si="121"/>
        <v>5</v>
      </c>
      <c r="C2410" s="182">
        <f t="shared" si="120"/>
        <v>42502</v>
      </c>
      <c r="D2410" s="182" t="s">
        <v>1547</v>
      </c>
      <c r="E2410" s="189">
        <v>42502</v>
      </c>
      <c r="F2410" s="187" t="s">
        <v>645</v>
      </c>
      <c r="G2410" s="451" t="s">
        <v>552</v>
      </c>
      <c r="H2410" s="7" t="s">
        <v>1549</v>
      </c>
      <c r="I2410" s="251">
        <v>1019</v>
      </c>
      <c r="J2410" s="251">
        <v>9717.402003980038</v>
      </c>
      <c r="K2410" s="38">
        <f t="shared" si="119"/>
        <v>9902033</v>
      </c>
      <c r="L2410" s="561" t="s">
        <v>166</v>
      </c>
      <c r="M2410" s="561" t="s">
        <v>164</v>
      </c>
      <c r="N2410" s="52" t="str">
        <f>IF(AND('331-CT'!$E$7=TH!H2410,OR(L2410="331",M2410="331")),"331",IF(AND(OR(L2410="131",M2410="131"),H2410='131-CT'!$E$7),"131",""))</f>
        <v/>
      </c>
      <c r="O2410" s="818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751"/>
    </row>
    <row r="2411" spans="1:28" s="209" customFormat="1" ht="15.75" customHeight="1">
      <c r="A2411" s="202" t="str">
        <f>IF(B2411&lt;&gt;"",IF(AND(B2411&gt;=_TM1,B2411&lt;=_TM2,OR(TH!L2411="1111",TH!M2411="1111")),TH!D2411,""),"")</f>
        <v/>
      </c>
      <c r="B2411" s="36">
        <f t="shared" si="121"/>
        <v>5</v>
      </c>
      <c r="C2411" s="182">
        <f t="shared" si="120"/>
        <v>42502</v>
      </c>
      <c r="D2411" s="182" t="s">
        <v>1547</v>
      </c>
      <c r="E2411" s="189">
        <v>42502</v>
      </c>
      <c r="F2411" s="187" t="s">
        <v>693</v>
      </c>
      <c r="G2411" s="451" t="s">
        <v>552</v>
      </c>
      <c r="H2411" s="7" t="s">
        <v>1549</v>
      </c>
      <c r="I2411" s="251">
        <v>2138</v>
      </c>
      <c r="J2411" s="251">
        <v>767.16331610368729</v>
      </c>
      <c r="K2411" s="38">
        <f t="shared" si="119"/>
        <v>1640195</v>
      </c>
      <c r="L2411" s="561" t="s">
        <v>166</v>
      </c>
      <c r="M2411" s="561" t="s">
        <v>164</v>
      </c>
      <c r="N2411" s="52" t="str">
        <f>IF(AND('331-CT'!$E$7=TH!H2411,OR(L2411="331",M2411="331")),"331",IF(AND(OR(L2411="131",M2411="131"),H2411='131-CT'!$E$7),"131",""))</f>
        <v/>
      </c>
      <c r="O2411" s="818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751"/>
    </row>
    <row r="2412" spans="1:28" s="209" customFormat="1" ht="15.75" customHeight="1">
      <c r="A2412" s="202" t="str">
        <f>IF(B2412&lt;&gt;"",IF(AND(B2412&gt;=_TM1,B2412&lt;=_TM2,OR(TH!L2412="1111",TH!M2412="1111")),TH!D2412,""),"")</f>
        <v/>
      </c>
      <c r="B2412" s="36">
        <f t="shared" si="121"/>
        <v>5</v>
      </c>
      <c r="C2412" s="182">
        <f t="shared" si="120"/>
        <v>42502</v>
      </c>
      <c r="D2412" s="182" t="s">
        <v>1547</v>
      </c>
      <c r="E2412" s="189">
        <v>42502</v>
      </c>
      <c r="F2412" s="187" t="s">
        <v>389</v>
      </c>
      <c r="G2412" s="451" t="s">
        <v>553</v>
      </c>
      <c r="H2412" s="7" t="s">
        <v>1549</v>
      </c>
      <c r="I2412" s="251">
        <v>1236</v>
      </c>
      <c r="J2412" s="251">
        <v>6989.7102133891503</v>
      </c>
      <c r="K2412" s="38">
        <f t="shared" si="119"/>
        <v>8639282</v>
      </c>
      <c r="L2412" s="561" t="s">
        <v>166</v>
      </c>
      <c r="M2412" s="561" t="s">
        <v>164</v>
      </c>
      <c r="N2412" s="52" t="str">
        <f>IF(AND('331-CT'!$E$7=TH!H2412,OR(L2412="331",M2412="331")),"331",IF(AND(OR(L2412="131",M2412="131"),H2412='131-CT'!$E$7),"131",""))</f>
        <v/>
      </c>
      <c r="O2412" s="818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751"/>
    </row>
    <row r="2413" spans="1:28" s="209" customFormat="1" ht="15.75" customHeight="1">
      <c r="A2413" s="202" t="str">
        <f>IF(B2413&lt;&gt;"",IF(AND(B2413&gt;=_TM1,B2413&lt;=_TM2,OR(TH!L2413="1111",TH!M2413="1111")),TH!D2413,""),"")</f>
        <v/>
      </c>
      <c r="B2413" s="36">
        <f t="shared" si="121"/>
        <v>5</v>
      </c>
      <c r="C2413" s="182">
        <f t="shared" si="120"/>
        <v>42502</v>
      </c>
      <c r="D2413" s="182" t="s">
        <v>1547</v>
      </c>
      <c r="E2413" s="189">
        <v>42502</v>
      </c>
      <c r="F2413" s="187" t="s">
        <v>414</v>
      </c>
      <c r="G2413" s="451" t="s">
        <v>553</v>
      </c>
      <c r="H2413" s="7" t="s">
        <v>1549</v>
      </c>
      <c r="I2413" s="251">
        <v>300</v>
      </c>
      <c r="J2413" s="251">
        <v>7756.8735294928383</v>
      </c>
      <c r="K2413" s="38">
        <f t="shared" si="119"/>
        <v>2327062</v>
      </c>
      <c r="L2413" s="561" t="s">
        <v>166</v>
      </c>
      <c r="M2413" s="561" t="s">
        <v>164</v>
      </c>
      <c r="N2413" s="52" t="str">
        <f>IF(AND('331-CT'!$E$7=TH!H2413,OR(L2413="331",M2413="331")),"331",IF(AND(OR(L2413="131",M2413="131"),H2413='131-CT'!$E$7),"131",""))</f>
        <v/>
      </c>
      <c r="O2413" s="818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751"/>
    </row>
    <row r="2414" spans="1:28" s="209" customFormat="1" ht="15.75" customHeight="1">
      <c r="A2414" s="202" t="str">
        <f>IF(B2414&lt;&gt;"",IF(AND(B2414&gt;=_TM1,B2414&lt;=_TM2,OR(TH!L2414="1111",TH!M2414="1111")),TH!D2414,""),"")</f>
        <v/>
      </c>
      <c r="B2414" s="36">
        <f t="shared" si="121"/>
        <v>5</v>
      </c>
      <c r="C2414" s="182">
        <f t="shared" si="120"/>
        <v>42502</v>
      </c>
      <c r="D2414" s="182" t="s">
        <v>1547</v>
      </c>
      <c r="E2414" s="189">
        <v>42502</v>
      </c>
      <c r="F2414" s="187" t="s">
        <v>454</v>
      </c>
      <c r="G2414" s="451" t="s">
        <v>553</v>
      </c>
      <c r="H2414" s="7" t="s">
        <v>1549</v>
      </c>
      <c r="I2414" s="251">
        <v>310</v>
      </c>
      <c r="J2414" s="251">
        <v>16366.150743545328</v>
      </c>
      <c r="K2414" s="38">
        <f t="shared" si="119"/>
        <v>5073507</v>
      </c>
      <c r="L2414" s="561" t="s">
        <v>166</v>
      </c>
      <c r="M2414" s="561" t="s">
        <v>164</v>
      </c>
      <c r="N2414" s="52" t="str">
        <f>IF(AND('331-CT'!$E$7=TH!H2414,OR(L2414="331",M2414="331")),"331",IF(AND(OR(L2414="131",M2414="131"),H2414='131-CT'!$E$7),"131",""))</f>
        <v/>
      </c>
      <c r="O2414" s="818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751"/>
    </row>
    <row r="2415" spans="1:28" s="209" customFormat="1" ht="15.75" customHeight="1">
      <c r="A2415" s="202" t="str">
        <f>IF(B2415&lt;&gt;"",IF(AND(B2415&gt;=_TM1,B2415&lt;=_TM2,OR(TH!L2415="1111",TH!M2415="1111")),TH!D2415,""),"")</f>
        <v/>
      </c>
      <c r="B2415" s="36">
        <f t="shared" si="121"/>
        <v>5</v>
      </c>
      <c r="C2415" s="182">
        <f t="shared" si="120"/>
        <v>42503</v>
      </c>
      <c r="D2415" s="182" t="s">
        <v>1547</v>
      </c>
      <c r="E2415" s="189">
        <v>42503</v>
      </c>
      <c r="F2415" s="187" t="s">
        <v>638</v>
      </c>
      <c r="G2415" s="451" t="s">
        <v>554</v>
      </c>
      <c r="H2415" s="7" t="s">
        <v>1549</v>
      </c>
      <c r="I2415" s="251">
        <v>307</v>
      </c>
      <c r="J2415" s="251">
        <v>6819.2294764772205</v>
      </c>
      <c r="K2415" s="38">
        <f t="shared" ref="K2415:K2478" si="122">ROUND(I2415*J2415,0)</f>
        <v>2093503</v>
      </c>
      <c r="L2415" s="561" t="s">
        <v>166</v>
      </c>
      <c r="M2415" s="561" t="s">
        <v>164</v>
      </c>
      <c r="N2415" s="52" t="str">
        <f>IF(AND('331-CT'!$E$7=TH!H2415,OR(L2415="331",M2415="331")),"331",IF(AND(OR(L2415="131",M2415="131"),H2415='131-CT'!$E$7),"131",""))</f>
        <v/>
      </c>
      <c r="O2415" s="818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751"/>
    </row>
    <row r="2416" spans="1:28" s="209" customFormat="1" ht="15.75" customHeight="1">
      <c r="A2416" s="202" t="str">
        <f>IF(B2416&lt;&gt;"",IF(AND(B2416&gt;=_TM1,B2416&lt;=_TM2,OR(TH!L2416="1111",TH!M2416="1111")),TH!D2416,""),"")</f>
        <v/>
      </c>
      <c r="B2416" s="36">
        <f t="shared" si="121"/>
        <v>5</v>
      </c>
      <c r="C2416" s="182">
        <f t="shared" si="120"/>
        <v>42503</v>
      </c>
      <c r="D2416" s="182" t="s">
        <v>1547</v>
      </c>
      <c r="E2416" s="189">
        <v>42503</v>
      </c>
      <c r="F2416" s="187" t="s">
        <v>639</v>
      </c>
      <c r="G2416" s="451" t="s">
        <v>554</v>
      </c>
      <c r="H2416" s="7" t="s">
        <v>1549</v>
      </c>
      <c r="I2416" s="251">
        <v>302</v>
      </c>
      <c r="J2416" s="251">
        <v>7927.3542664047691</v>
      </c>
      <c r="K2416" s="38">
        <f t="shared" si="122"/>
        <v>2394061</v>
      </c>
      <c r="L2416" s="561" t="s">
        <v>166</v>
      </c>
      <c r="M2416" s="561" t="s">
        <v>164</v>
      </c>
      <c r="N2416" s="52" t="str">
        <f>IF(AND('331-CT'!$E$7=TH!H2416,OR(L2416="331",M2416="331")),"331",IF(AND(OR(L2416="131",M2416="131"),H2416='131-CT'!$E$7),"131",""))</f>
        <v/>
      </c>
      <c r="O2416" s="818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751"/>
      <c r="AB2416" s="552"/>
    </row>
    <row r="2417" spans="1:28" s="209" customFormat="1" ht="15.75" customHeight="1">
      <c r="A2417" s="202" t="str">
        <f>IF(B2417&lt;&gt;"",IF(AND(B2417&gt;=_TM1,B2417&lt;=_TM2,OR(TH!L2417="1111",TH!M2417="1111")),TH!D2417,""),"")</f>
        <v/>
      </c>
      <c r="B2417" s="36">
        <f t="shared" si="121"/>
        <v>5</v>
      </c>
      <c r="C2417" s="182">
        <f t="shared" si="120"/>
        <v>42503</v>
      </c>
      <c r="D2417" s="182" t="s">
        <v>1547</v>
      </c>
      <c r="E2417" s="189">
        <v>42503</v>
      </c>
      <c r="F2417" s="187" t="s">
        <v>640</v>
      </c>
      <c r="G2417" s="451" t="s">
        <v>554</v>
      </c>
      <c r="H2417" s="7" t="s">
        <v>1549</v>
      </c>
      <c r="I2417" s="251">
        <v>396</v>
      </c>
      <c r="J2417" s="251">
        <v>14235.141532146197</v>
      </c>
      <c r="K2417" s="38">
        <f t="shared" si="122"/>
        <v>5637116</v>
      </c>
      <c r="L2417" s="561" t="s">
        <v>166</v>
      </c>
      <c r="M2417" s="561" t="s">
        <v>164</v>
      </c>
      <c r="N2417" s="52" t="str">
        <f>IF(AND('331-CT'!$E$7=TH!H2417,OR(L2417="331",M2417="331")),"331",IF(AND(OR(L2417="131",M2417="131"),H2417='131-CT'!$E$7),"131",""))</f>
        <v/>
      </c>
      <c r="O2417" s="818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751"/>
    </row>
    <row r="2418" spans="1:28" s="209" customFormat="1" ht="15.75" customHeight="1">
      <c r="A2418" s="202" t="str">
        <f>IF(B2418&lt;&gt;"",IF(AND(B2418&gt;=_TM1,B2418&lt;=_TM2,OR(TH!L2418="1111",TH!M2418="1111")),TH!D2418,""),"")</f>
        <v/>
      </c>
      <c r="B2418" s="36">
        <f t="shared" si="121"/>
        <v>5</v>
      </c>
      <c r="C2418" s="182">
        <f t="shared" si="120"/>
        <v>42503</v>
      </c>
      <c r="D2418" s="182" t="s">
        <v>1547</v>
      </c>
      <c r="E2418" s="189">
        <v>42503</v>
      </c>
      <c r="F2418" s="187" t="s">
        <v>1024</v>
      </c>
      <c r="G2418" s="451" t="s">
        <v>555</v>
      </c>
      <c r="H2418" s="7" t="s">
        <v>1549</v>
      </c>
      <c r="I2418" s="251">
        <v>592</v>
      </c>
      <c r="J2418" s="251">
        <v>7842.1138979488032</v>
      </c>
      <c r="K2418" s="38">
        <f t="shared" si="122"/>
        <v>4642531</v>
      </c>
      <c r="L2418" s="561" t="s">
        <v>166</v>
      </c>
      <c r="M2418" s="561" t="s">
        <v>164</v>
      </c>
      <c r="N2418" s="52" t="str">
        <f>IF(AND('331-CT'!$E$7=TH!H2418,OR(L2418="331",M2418="331")),"331",IF(AND(OR(L2418="131",M2418="131"),H2418='131-CT'!$E$7),"131",""))</f>
        <v/>
      </c>
      <c r="O2418" s="818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751"/>
      <c r="AB2418" s="552"/>
    </row>
    <row r="2419" spans="1:28" s="209" customFormat="1" ht="15.75" customHeight="1">
      <c r="A2419" s="202" t="str">
        <f>IF(B2419&lt;&gt;"",IF(AND(B2419&gt;=_TM1,B2419&lt;=_TM2,OR(TH!L2419="1111",TH!M2419="1111")),TH!D2419,""),"")</f>
        <v/>
      </c>
      <c r="B2419" s="36">
        <f t="shared" si="121"/>
        <v>5</v>
      </c>
      <c r="C2419" s="182">
        <f t="shared" si="120"/>
        <v>42507</v>
      </c>
      <c r="D2419" s="182" t="s">
        <v>1547</v>
      </c>
      <c r="E2419" s="189">
        <v>42507</v>
      </c>
      <c r="F2419" s="187" t="s">
        <v>480</v>
      </c>
      <c r="G2419" s="451" t="s">
        <v>559</v>
      </c>
      <c r="H2419" s="7" t="s">
        <v>1549</v>
      </c>
      <c r="I2419" s="251">
        <v>360</v>
      </c>
      <c r="J2419" s="251">
        <v>10825.526793907587</v>
      </c>
      <c r="K2419" s="38">
        <f t="shared" si="122"/>
        <v>3897190</v>
      </c>
      <c r="L2419" s="561" t="s">
        <v>166</v>
      </c>
      <c r="M2419" s="561" t="s">
        <v>164</v>
      </c>
      <c r="N2419" s="52" t="str">
        <f>IF(AND('331-CT'!$E$7=TH!H2419,OR(L2419="331",M2419="331")),"331",IF(AND(OR(L2419="131",M2419="131"),H2419='131-CT'!$E$7),"131",""))</f>
        <v/>
      </c>
      <c r="O2419" s="818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751"/>
      <c r="AB2419" s="552"/>
    </row>
    <row r="2420" spans="1:28" s="209" customFormat="1" ht="15.75" customHeight="1">
      <c r="A2420" s="202" t="str">
        <f>IF(B2420&lt;&gt;"",IF(AND(B2420&gt;=_TM1,B2420&lt;=_TM2,OR(TH!L2420="1111",TH!M2420="1111")),TH!D2420,""),"")</f>
        <v/>
      </c>
      <c r="B2420" s="36">
        <f t="shared" si="121"/>
        <v>5</v>
      </c>
      <c r="C2420" s="182">
        <f t="shared" si="120"/>
        <v>42507</v>
      </c>
      <c r="D2420" s="182" t="s">
        <v>1547</v>
      </c>
      <c r="E2420" s="189">
        <v>42507</v>
      </c>
      <c r="F2420" s="187" t="s">
        <v>662</v>
      </c>
      <c r="G2420" s="451" t="s">
        <v>559</v>
      </c>
      <c r="H2420" s="7" t="s">
        <v>1549</v>
      </c>
      <c r="I2420" s="251">
        <v>1000</v>
      </c>
      <c r="J2420" s="251">
        <v>6222.5468972854633</v>
      </c>
      <c r="K2420" s="38">
        <f t="shared" si="122"/>
        <v>6222547</v>
      </c>
      <c r="L2420" s="561" t="s">
        <v>166</v>
      </c>
      <c r="M2420" s="561" t="s">
        <v>164</v>
      </c>
      <c r="N2420" s="52" t="str">
        <f>IF(AND('331-CT'!$E$7=TH!H2420,OR(L2420="331",M2420="331")),"331",IF(AND(OR(L2420="131",M2420="131"),H2420='131-CT'!$E$7),"131",""))</f>
        <v/>
      </c>
      <c r="O2420" s="818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751"/>
      <c r="AB2420" s="552"/>
    </row>
    <row r="2421" spans="1:28" s="209" customFormat="1" ht="15.75" customHeight="1">
      <c r="A2421" s="202" t="str">
        <f>IF(B2421&lt;&gt;"",IF(AND(B2421&gt;=_TM1,B2421&lt;=_TM2,OR(TH!L2421="1111",TH!M2421="1111")),TH!D2421,""),"")</f>
        <v/>
      </c>
      <c r="B2421" s="36">
        <f t="shared" si="121"/>
        <v>5</v>
      </c>
      <c r="C2421" s="182">
        <f t="shared" si="120"/>
        <v>42507</v>
      </c>
      <c r="D2421" s="182" t="s">
        <v>1547</v>
      </c>
      <c r="E2421" s="189">
        <v>42507</v>
      </c>
      <c r="F2421" s="187" t="s">
        <v>1048</v>
      </c>
      <c r="G2421" s="451" t="s">
        <v>559</v>
      </c>
      <c r="H2421" s="7" t="s">
        <v>1549</v>
      </c>
      <c r="I2421" s="251">
        <v>55</v>
      </c>
      <c r="J2421" s="251">
        <v>9973.1231093479346</v>
      </c>
      <c r="K2421" s="38">
        <f t="shared" si="122"/>
        <v>548522</v>
      </c>
      <c r="L2421" s="561" t="s">
        <v>166</v>
      </c>
      <c r="M2421" s="561" t="s">
        <v>164</v>
      </c>
      <c r="N2421" s="52" t="str">
        <f>IF(AND('331-CT'!$E$7=TH!H2421,OR(L2421="331",M2421="331")),"331",IF(AND(OR(L2421="131",M2421="131"),H2421='131-CT'!$E$7),"131",""))</f>
        <v/>
      </c>
      <c r="O2421" s="818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751"/>
    </row>
    <row r="2422" spans="1:28" s="209" customFormat="1" ht="15.75" customHeight="1">
      <c r="A2422" s="202" t="str">
        <f>IF(B2422&lt;&gt;"",IF(AND(B2422&gt;=_TM1,B2422&lt;=_TM2,OR(TH!L2422="1111",TH!M2422="1111")),TH!D2422,""),"")</f>
        <v/>
      </c>
      <c r="B2422" s="36">
        <f t="shared" si="121"/>
        <v>5</v>
      </c>
      <c r="C2422" s="182">
        <f t="shared" si="120"/>
        <v>42507</v>
      </c>
      <c r="D2422" s="182" t="s">
        <v>1547</v>
      </c>
      <c r="E2422" s="189">
        <v>42507</v>
      </c>
      <c r="F2422" s="187" t="s">
        <v>916</v>
      </c>
      <c r="G2422" s="451" t="s">
        <v>559</v>
      </c>
      <c r="H2422" s="7" t="s">
        <v>1549</v>
      </c>
      <c r="I2422" s="251">
        <v>110</v>
      </c>
      <c r="J2422" s="251">
        <v>11251.728636187414</v>
      </c>
      <c r="K2422" s="38">
        <f t="shared" si="122"/>
        <v>1237690</v>
      </c>
      <c r="L2422" s="561" t="s">
        <v>166</v>
      </c>
      <c r="M2422" s="561" t="s">
        <v>164</v>
      </c>
      <c r="N2422" s="52" t="str">
        <f>IF(AND('331-CT'!$E$7=TH!H2422,OR(L2422="331",M2422="331")),"331",IF(AND(OR(L2422="131",M2422="131"),H2422='131-CT'!$E$7),"131",""))</f>
        <v/>
      </c>
      <c r="O2422" s="818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751"/>
    </row>
    <row r="2423" spans="1:28" s="209" customFormat="1" ht="15.75" customHeight="1">
      <c r="A2423" s="202" t="str">
        <f>IF(B2423&lt;&gt;"",IF(AND(B2423&gt;=_TM1,B2423&lt;=_TM2,OR(TH!L2423="1111",TH!M2423="1111")),TH!D2423,""),"")</f>
        <v/>
      </c>
      <c r="B2423" s="36">
        <f t="shared" si="121"/>
        <v>5</v>
      </c>
      <c r="C2423" s="182">
        <f t="shared" si="120"/>
        <v>42507</v>
      </c>
      <c r="D2423" s="182" t="s">
        <v>1547</v>
      </c>
      <c r="E2423" s="189">
        <v>42507</v>
      </c>
      <c r="F2423" s="187" t="s">
        <v>480</v>
      </c>
      <c r="G2423" s="451" t="s">
        <v>560</v>
      </c>
      <c r="H2423" s="7" t="s">
        <v>1549</v>
      </c>
      <c r="I2423" s="251">
        <v>237</v>
      </c>
      <c r="J2423" s="251">
        <v>10825.526793907587</v>
      </c>
      <c r="K2423" s="38">
        <f t="shared" si="122"/>
        <v>2565650</v>
      </c>
      <c r="L2423" s="561" t="s">
        <v>166</v>
      </c>
      <c r="M2423" s="561" t="s">
        <v>164</v>
      </c>
      <c r="N2423" s="52" t="str">
        <f>IF(AND('331-CT'!$E$7=TH!H2423,OR(L2423="331",M2423="331")),"331",IF(AND(OR(L2423="131",M2423="131"),H2423='131-CT'!$E$7),"131",""))</f>
        <v/>
      </c>
      <c r="O2423" s="818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751"/>
    </row>
    <row r="2424" spans="1:28" s="209" customFormat="1" ht="15.75" customHeight="1">
      <c r="A2424" s="202" t="str">
        <f>IF(B2424&lt;&gt;"",IF(AND(B2424&gt;=_TM1,B2424&lt;=_TM2,OR(TH!L2424="1111",TH!M2424="1111")),TH!D2424,""),"")</f>
        <v/>
      </c>
      <c r="B2424" s="36">
        <f t="shared" si="121"/>
        <v>5</v>
      </c>
      <c r="C2424" s="182">
        <f t="shared" si="120"/>
        <v>42507</v>
      </c>
      <c r="D2424" s="182" t="s">
        <v>1547</v>
      </c>
      <c r="E2424" s="189">
        <v>42507</v>
      </c>
      <c r="F2424" s="187" t="s">
        <v>645</v>
      </c>
      <c r="G2424" s="451" t="s">
        <v>560</v>
      </c>
      <c r="H2424" s="7" t="s">
        <v>1549</v>
      </c>
      <c r="I2424" s="251">
        <v>55</v>
      </c>
      <c r="J2424" s="251">
        <v>9717.402003980038</v>
      </c>
      <c r="K2424" s="38">
        <f t="shared" si="122"/>
        <v>534457</v>
      </c>
      <c r="L2424" s="561" t="s">
        <v>166</v>
      </c>
      <c r="M2424" s="561" t="s">
        <v>164</v>
      </c>
      <c r="N2424" s="52" t="str">
        <f>IF(AND('331-CT'!$E$7=TH!H2424,OR(L2424="331",M2424="331")),"331",IF(AND(OR(L2424="131",M2424="131"),H2424='131-CT'!$E$7),"131",""))</f>
        <v/>
      </c>
      <c r="O2424" s="818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751"/>
    </row>
    <row r="2425" spans="1:28" s="209" customFormat="1" ht="15.75" customHeight="1">
      <c r="A2425" s="202" t="str">
        <f>IF(B2425&lt;&gt;"",IF(AND(B2425&gt;=_TM1,B2425&lt;=_TM2,OR(TH!L2425="1111",TH!M2425="1111")),TH!D2425,""),"")</f>
        <v/>
      </c>
      <c r="B2425" s="36">
        <f t="shared" si="121"/>
        <v>5</v>
      </c>
      <c r="C2425" s="182">
        <f t="shared" si="120"/>
        <v>42507</v>
      </c>
      <c r="D2425" s="182" t="s">
        <v>1547</v>
      </c>
      <c r="E2425" s="189">
        <v>42507</v>
      </c>
      <c r="F2425" s="187" t="s">
        <v>474</v>
      </c>
      <c r="G2425" s="451" t="s">
        <v>560</v>
      </c>
      <c r="H2425" s="7" t="s">
        <v>1549</v>
      </c>
      <c r="I2425" s="251">
        <v>44</v>
      </c>
      <c r="J2425" s="251">
        <v>10910.767162363552</v>
      </c>
      <c r="K2425" s="38">
        <f t="shared" si="122"/>
        <v>480074</v>
      </c>
      <c r="L2425" s="561" t="s">
        <v>166</v>
      </c>
      <c r="M2425" s="561" t="s">
        <v>164</v>
      </c>
      <c r="N2425" s="52" t="str">
        <f>IF(AND('331-CT'!$E$7=TH!H2425,OR(L2425="331",M2425="331")),"331",IF(AND(OR(L2425="131",M2425="131"),H2425='131-CT'!$E$7),"131",""))</f>
        <v/>
      </c>
      <c r="O2425" s="818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751"/>
    </row>
    <row r="2426" spans="1:28" s="209" customFormat="1" ht="15.75" customHeight="1">
      <c r="A2426" s="202" t="str">
        <f>IF(B2426&lt;&gt;"",IF(AND(B2426&gt;=_TM1,B2426&lt;=_TM2,OR(TH!L2426="1111",TH!M2426="1111")),TH!D2426,""),"")</f>
        <v/>
      </c>
      <c r="B2426" s="36">
        <f t="shared" si="121"/>
        <v>5</v>
      </c>
      <c r="C2426" s="182">
        <f t="shared" ref="C2426:C2489" si="123">E2426</f>
        <v>42507</v>
      </c>
      <c r="D2426" s="182" t="s">
        <v>1547</v>
      </c>
      <c r="E2426" s="189">
        <v>42507</v>
      </c>
      <c r="F2426" s="187" t="s">
        <v>897</v>
      </c>
      <c r="G2426" s="451" t="s">
        <v>560</v>
      </c>
      <c r="H2426" s="7" t="s">
        <v>1549</v>
      </c>
      <c r="I2426" s="251">
        <v>135</v>
      </c>
      <c r="J2426" s="251">
        <v>12359.853426114962</v>
      </c>
      <c r="K2426" s="38">
        <f t="shared" si="122"/>
        <v>1668580</v>
      </c>
      <c r="L2426" s="561" t="s">
        <v>166</v>
      </c>
      <c r="M2426" s="561" t="s">
        <v>164</v>
      </c>
      <c r="N2426" s="52" t="str">
        <f>IF(AND('331-CT'!$E$7=TH!H2426,OR(L2426="331",M2426="331")),"331",IF(AND(OR(L2426="131",M2426="131"),H2426='131-CT'!$E$7),"131",""))</f>
        <v/>
      </c>
      <c r="O2426" s="818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51"/>
    </row>
    <row r="2427" spans="1:28" s="209" customFormat="1" ht="15.75" customHeight="1">
      <c r="A2427" s="202" t="str">
        <f>IF(B2427&lt;&gt;"",IF(AND(B2427&gt;=_TM1,B2427&lt;=_TM2,OR(TH!L2427="1111",TH!M2427="1111")),TH!D2427,""),"")</f>
        <v/>
      </c>
      <c r="B2427" s="36">
        <f t="shared" si="121"/>
        <v>5</v>
      </c>
      <c r="C2427" s="182">
        <f t="shared" si="123"/>
        <v>42507</v>
      </c>
      <c r="D2427" s="182" t="s">
        <v>1547</v>
      </c>
      <c r="E2427" s="189">
        <v>42507</v>
      </c>
      <c r="F2427" s="187" t="s">
        <v>418</v>
      </c>
      <c r="G2427" s="451" t="s">
        <v>561</v>
      </c>
      <c r="H2427" s="7" t="s">
        <v>1549</v>
      </c>
      <c r="I2427" s="251">
        <v>103</v>
      </c>
      <c r="J2427" s="251">
        <v>61799.267130574808</v>
      </c>
      <c r="K2427" s="38">
        <f t="shared" si="122"/>
        <v>6365325</v>
      </c>
      <c r="L2427" s="561" t="s">
        <v>166</v>
      </c>
      <c r="M2427" s="561" t="s">
        <v>164</v>
      </c>
      <c r="N2427" s="52" t="str">
        <f>IF(AND('331-CT'!$E$7=TH!H2427,OR(L2427="331",M2427="331")),"331",IF(AND(OR(L2427="131",M2427="131"),H2427='131-CT'!$E$7),"131",""))</f>
        <v/>
      </c>
      <c r="O2427" s="818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51"/>
    </row>
    <row r="2428" spans="1:28" s="209" customFormat="1" ht="15.75" customHeight="1">
      <c r="A2428" s="202" t="str">
        <f>IF(B2428&lt;&gt;"",IF(AND(B2428&gt;=_TM1,B2428&lt;=_TM2,OR(TH!L2428="1111",TH!M2428="1111")),TH!D2428,""),"")</f>
        <v/>
      </c>
      <c r="B2428" s="36">
        <f t="shared" si="121"/>
        <v>5</v>
      </c>
      <c r="C2428" s="182">
        <f t="shared" si="123"/>
        <v>42507</v>
      </c>
      <c r="D2428" s="182" t="s">
        <v>1547</v>
      </c>
      <c r="E2428" s="189">
        <v>42507</v>
      </c>
      <c r="F2428" s="187" t="s">
        <v>912</v>
      </c>
      <c r="G2428" s="451" t="s">
        <v>561</v>
      </c>
      <c r="H2428" s="7" t="s">
        <v>1549</v>
      </c>
      <c r="I2428" s="251">
        <v>60</v>
      </c>
      <c r="J2428" s="251">
        <v>64441.718552709732</v>
      </c>
      <c r="K2428" s="38">
        <f t="shared" si="122"/>
        <v>3866503</v>
      </c>
      <c r="L2428" s="561" t="s">
        <v>166</v>
      </c>
      <c r="M2428" s="561" t="s">
        <v>164</v>
      </c>
      <c r="N2428" s="52" t="str">
        <f>IF(AND('331-CT'!$E$7=TH!H2428,OR(L2428="331",M2428="331")),"331",IF(AND(OR(L2428="131",M2428="131"),H2428='131-CT'!$E$7),"131",""))</f>
        <v/>
      </c>
      <c r="O2428" s="818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51"/>
      <c r="AB2428" s="552"/>
    </row>
    <row r="2429" spans="1:28" s="209" customFormat="1" ht="15.75" customHeight="1">
      <c r="A2429" s="202" t="str">
        <f>IF(B2429&lt;&gt;"",IF(AND(B2429&gt;=_TM1,B2429&lt;=_TM2,OR(TH!L2429="1111",TH!M2429="1111")),TH!D2429,""),"")</f>
        <v/>
      </c>
      <c r="B2429" s="36">
        <f t="shared" si="121"/>
        <v>5</v>
      </c>
      <c r="C2429" s="182">
        <f t="shared" si="123"/>
        <v>42507</v>
      </c>
      <c r="D2429" s="182" t="s">
        <v>1547</v>
      </c>
      <c r="E2429" s="189">
        <v>42507</v>
      </c>
      <c r="F2429" s="187" t="s">
        <v>661</v>
      </c>
      <c r="G2429" s="451" t="s">
        <v>556</v>
      </c>
      <c r="H2429" s="7" t="s">
        <v>1549</v>
      </c>
      <c r="I2429" s="251">
        <v>511</v>
      </c>
      <c r="J2429" s="251">
        <v>5284.9028442698454</v>
      </c>
      <c r="K2429" s="38">
        <f t="shared" si="122"/>
        <v>2700585</v>
      </c>
      <c r="L2429" s="561" t="s">
        <v>166</v>
      </c>
      <c r="M2429" s="561" t="s">
        <v>164</v>
      </c>
      <c r="N2429" s="52" t="str">
        <f>IF(AND('331-CT'!$E$7=TH!H2429,OR(L2429="331",M2429="331")),"331",IF(AND(OR(L2429="131",M2429="131"),H2429='131-CT'!$E$7),"131",""))</f>
        <v/>
      </c>
      <c r="O2429" s="818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751"/>
      <c r="AB2429" s="552"/>
    </row>
    <row r="2430" spans="1:28" s="209" customFormat="1" ht="15.75" customHeight="1">
      <c r="A2430" s="202" t="str">
        <f>IF(B2430&lt;&gt;"",IF(AND(B2430&gt;=_TM1,B2430&lt;=_TM2,OR(TH!L2430="1111",TH!M2430="1111")),TH!D2430,""),"")</f>
        <v/>
      </c>
      <c r="B2430" s="36">
        <f t="shared" si="121"/>
        <v>5</v>
      </c>
      <c r="C2430" s="182">
        <f t="shared" si="123"/>
        <v>42507</v>
      </c>
      <c r="D2430" s="182" t="s">
        <v>1547</v>
      </c>
      <c r="E2430" s="189">
        <v>42507</v>
      </c>
      <c r="F2430" s="187" t="s">
        <v>662</v>
      </c>
      <c r="G2430" s="451" t="s">
        <v>556</v>
      </c>
      <c r="H2430" s="7" t="s">
        <v>1549</v>
      </c>
      <c r="I2430" s="251">
        <v>503</v>
      </c>
      <c r="J2430" s="251">
        <v>6222.5468972854633</v>
      </c>
      <c r="K2430" s="38">
        <f t="shared" si="122"/>
        <v>3129941</v>
      </c>
      <c r="L2430" s="561" t="s">
        <v>166</v>
      </c>
      <c r="M2430" s="561" t="s">
        <v>164</v>
      </c>
      <c r="N2430" s="52" t="str">
        <f>IF(AND('331-CT'!$E$7=TH!H2430,OR(L2430="331",M2430="331")),"331",IF(AND(OR(L2430="131",M2430="131"),H2430='131-CT'!$E$7),"131",""))</f>
        <v/>
      </c>
      <c r="O2430" s="818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751"/>
    </row>
    <row r="2431" spans="1:28" s="209" customFormat="1" ht="15.75" customHeight="1">
      <c r="A2431" s="202" t="str">
        <f>IF(B2431&lt;&gt;"",IF(AND(B2431&gt;=_TM1,B2431&lt;=_TM2,OR(TH!L2431="1111",TH!M2431="1111")),TH!D2431,""),"")</f>
        <v/>
      </c>
      <c r="B2431" s="36">
        <f t="shared" si="121"/>
        <v>5</v>
      </c>
      <c r="C2431" s="182">
        <f t="shared" si="123"/>
        <v>42507</v>
      </c>
      <c r="D2431" s="182" t="s">
        <v>1547</v>
      </c>
      <c r="E2431" s="189">
        <v>42507</v>
      </c>
      <c r="F2431" s="187" t="s">
        <v>1029</v>
      </c>
      <c r="G2431" s="451" t="s">
        <v>556</v>
      </c>
      <c r="H2431" s="7" t="s">
        <v>1549</v>
      </c>
      <c r="I2431" s="251">
        <v>960</v>
      </c>
      <c r="J2431" s="251">
        <v>4773.460633534055</v>
      </c>
      <c r="K2431" s="38">
        <f t="shared" si="122"/>
        <v>4582522</v>
      </c>
      <c r="L2431" s="561" t="s">
        <v>166</v>
      </c>
      <c r="M2431" s="561" t="s">
        <v>164</v>
      </c>
      <c r="N2431" s="52" t="str">
        <f>IF(AND('331-CT'!$E$7=TH!H2431,OR(L2431="331",M2431="331")),"331",IF(AND(OR(L2431="131",M2431="131"),H2431='131-CT'!$E$7),"131",""))</f>
        <v/>
      </c>
      <c r="O2431" s="818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751"/>
    </row>
    <row r="2432" spans="1:28" s="209" customFormat="1" ht="15.75" customHeight="1">
      <c r="A2432" s="202" t="str">
        <f>IF(B2432&lt;&gt;"",IF(AND(B2432&gt;=_TM1,B2432&lt;=_TM2,OR(TH!L2432="1111",TH!M2432="1111")),TH!D2432,""),"")</f>
        <v/>
      </c>
      <c r="B2432" s="36">
        <f t="shared" si="121"/>
        <v>5</v>
      </c>
      <c r="C2432" s="182">
        <f t="shared" si="123"/>
        <v>42507</v>
      </c>
      <c r="D2432" s="182" t="s">
        <v>1547</v>
      </c>
      <c r="E2432" s="189">
        <v>42507</v>
      </c>
      <c r="F2432" s="187" t="s">
        <v>967</v>
      </c>
      <c r="G2432" s="451" t="s">
        <v>558</v>
      </c>
      <c r="H2432" s="7" t="s">
        <v>1549</v>
      </c>
      <c r="I2432" s="251">
        <v>530</v>
      </c>
      <c r="J2432" s="251">
        <v>6222.5468972854633</v>
      </c>
      <c r="K2432" s="38">
        <f t="shared" si="122"/>
        <v>3297950</v>
      </c>
      <c r="L2432" s="561" t="s">
        <v>166</v>
      </c>
      <c r="M2432" s="561" t="s">
        <v>164</v>
      </c>
      <c r="N2432" s="52" t="str">
        <f>IF(AND('331-CT'!$E$7=TH!H2432,OR(L2432="331",M2432="331")),"331",IF(AND(OR(L2432="131",M2432="131"),H2432='131-CT'!$E$7),"131",""))</f>
        <v/>
      </c>
      <c r="O2432" s="818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751"/>
    </row>
    <row r="2433" spans="1:27" s="209" customFormat="1" ht="15.75" customHeight="1">
      <c r="A2433" s="202" t="str">
        <f>IF(B2433&lt;&gt;"",IF(AND(B2433&gt;=_TM1,B2433&lt;=_TM2,OR(TH!L2433="1111",TH!M2433="1111")),TH!D2433,""),"")</f>
        <v/>
      </c>
      <c r="B2433" s="36">
        <f t="shared" si="121"/>
        <v>5</v>
      </c>
      <c r="C2433" s="182">
        <f t="shared" si="123"/>
        <v>42508</v>
      </c>
      <c r="D2433" s="182" t="s">
        <v>1547</v>
      </c>
      <c r="E2433" s="189">
        <v>42508</v>
      </c>
      <c r="F2433" s="187" t="s">
        <v>436</v>
      </c>
      <c r="G2433" s="451" t="s">
        <v>562</v>
      </c>
      <c r="H2433" s="7" t="s">
        <v>1549</v>
      </c>
      <c r="I2433" s="251">
        <v>517</v>
      </c>
      <c r="J2433" s="251">
        <v>5796.3450550056377</v>
      </c>
      <c r="K2433" s="38">
        <f t="shared" si="122"/>
        <v>2996710</v>
      </c>
      <c r="L2433" s="561" t="s">
        <v>166</v>
      </c>
      <c r="M2433" s="561" t="s">
        <v>164</v>
      </c>
      <c r="N2433" s="52" t="str">
        <f>IF(AND('331-CT'!$E$7=TH!H2433,OR(L2433="331",M2433="331")),"331",IF(AND(OR(L2433="131",M2433="131"),H2433='131-CT'!$E$7),"131",""))</f>
        <v/>
      </c>
      <c r="O2433" s="818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751"/>
    </row>
    <row r="2434" spans="1:27" s="209" customFormat="1" ht="15.75" customHeight="1">
      <c r="A2434" s="202" t="str">
        <f>IF(B2434&lt;&gt;"",IF(AND(B2434&gt;=_TM1,B2434&lt;=_TM2,OR(TH!L2434="1111",TH!M2434="1111")),TH!D2434,""),"")</f>
        <v/>
      </c>
      <c r="B2434" s="36">
        <f t="shared" si="121"/>
        <v>5</v>
      </c>
      <c r="C2434" s="182">
        <f t="shared" si="123"/>
        <v>42508</v>
      </c>
      <c r="D2434" s="182" t="s">
        <v>1547</v>
      </c>
      <c r="E2434" s="189">
        <v>42508</v>
      </c>
      <c r="F2434" s="187" t="s">
        <v>408</v>
      </c>
      <c r="G2434" s="451" t="s">
        <v>563</v>
      </c>
      <c r="H2434" s="7" t="s">
        <v>1549</v>
      </c>
      <c r="I2434" s="251">
        <v>65</v>
      </c>
      <c r="J2434" s="251">
        <v>11251.728636187414</v>
      </c>
      <c r="K2434" s="38">
        <f t="shared" si="122"/>
        <v>731362</v>
      </c>
      <c r="L2434" s="561" t="s">
        <v>166</v>
      </c>
      <c r="M2434" s="561" t="s">
        <v>164</v>
      </c>
      <c r="N2434" s="52" t="str">
        <f>IF(AND('331-CT'!$E$7=TH!H2434,OR(L2434="331",M2434="331")),"331",IF(AND(OR(L2434="131",M2434="131"),H2434='131-CT'!$E$7),"131",""))</f>
        <v/>
      </c>
      <c r="O2434" s="818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751"/>
    </row>
    <row r="2435" spans="1:27" s="209" customFormat="1" ht="15.75" customHeight="1">
      <c r="A2435" s="202" t="str">
        <f>IF(B2435&lt;&gt;"",IF(AND(B2435&gt;=_TM1,B2435&lt;=_TM2,OR(TH!L2435="1111",TH!M2435="1111")),TH!D2435,""),"")</f>
        <v/>
      </c>
      <c r="B2435" s="36">
        <f t="shared" si="121"/>
        <v>5</v>
      </c>
      <c r="C2435" s="182">
        <f t="shared" si="123"/>
        <v>42508</v>
      </c>
      <c r="D2435" s="182" t="s">
        <v>1547</v>
      </c>
      <c r="E2435" s="189">
        <v>42508</v>
      </c>
      <c r="F2435" s="187" t="s">
        <v>473</v>
      </c>
      <c r="G2435" s="451" t="s">
        <v>563</v>
      </c>
      <c r="H2435" s="7" t="s">
        <v>1549</v>
      </c>
      <c r="I2435" s="251">
        <v>88</v>
      </c>
      <c r="J2435" s="251">
        <v>8438.7964771405605</v>
      </c>
      <c r="K2435" s="38">
        <f t="shared" si="122"/>
        <v>742614</v>
      </c>
      <c r="L2435" s="561" t="s">
        <v>166</v>
      </c>
      <c r="M2435" s="561" t="s">
        <v>164</v>
      </c>
      <c r="N2435" s="52" t="str">
        <f>IF(AND('331-CT'!$E$7=TH!H2435,OR(L2435="331",M2435="331")),"331",IF(AND(OR(L2435="131",M2435="131"),H2435='131-CT'!$E$7),"131",""))</f>
        <v/>
      </c>
      <c r="O2435" s="818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751"/>
    </row>
    <row r="2436" spans="1:27" s="209" customFormat="1" ht="15.75" customHeight="1">
      <c r="A2436" s="202" t="str">
        <f>IF(B2436&lt;&gt;"",IF(AND(B2436&gt;=_TM1,B2436&lt;=_TM2,OR(TH!L2436="1111",TH!M2436="1111")),TH!D2436,""),"")</f>
        <v/>
      </c>
      <c r="B2436" s="36">
        <f t="shared" si="121"/>
        <v>5</v>
      </c>
      <c r="C2436" s="182">
        <f t="shared" si="123"/>
        <v>42508</v>
      </c>
      <c r="D2436" s="182" t="s">
        <v>1547</v>
      </c>
      <c r="E2436" s="189">
        <v>42508</v>
      </c>
      <c r="F2436" s="187" t="s">
        <v>480</v>
      </c>
      <c r="G2436" s="451" t="s">
        <v>563</v>
      </c>
      <c r="H2436" s="7" t="s">
        <v>1549</v>
      </c>
      <c r="I2436" s="251">
        <v>340</v>
      </c>
      <c r="J2436" s="251">
        <v>10825.526793907587</v>
      </c>
      <c r="K2436" s="38">
        <f t="shared" si="122"/>
        <v>3680679</v>
      </c>
      <c r="L2436" s="561" t="s">
        <v>166</v>
      </c>
      <c r="M2436" s="561" t="s">
        <v>164</v>
      </c>
      <c r="N2436" s="52" t="str">
        <f>IF(AND('331-CT'!$E$7=TH!H2436,OR(L2436="331",M2436="331")),"331",IF(AND(OR(L2436="131",M2436="131"),H2436='131-CT'!$E$7),"131",""))</f>
        <v/>
      </c>
      <c r="O2436" s="818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751"/>
    </row>
    <row r="2437" spans="1:27" s="209" customFormat="1" ht="15.75" customHeight="1">
      <c r="A2437" s="202" t="str">
        <f>IF(B2437&lt;&gt;"",IF(AND(B2437&gt;=_TM1,B2437&lt;=_TM2,OR(TH!L2437="1111",TH!M2437="1111")),TH!D2437,""),"")</f>
        <v/>
      </c>
      <c r="B2437" s="36">
        <f t="shared" si="121"/>
        <v>5</v>
      </c>
      <c r="C2437" s="182">
        <f t="shared" si="123"/>
        <v>42508</v>
      </c>
      <c r="D2437" s="182" t="s">
        <v>1547</v>
      </c>
      <c r="E2437" s="189">
        <v>42508</v>
      </c>
      <c r="F2437" s="187" t="s">
        <v>940</v>
      </c>
      <c r="G2437" s="451" t="s">
        <v>563</v>
      </c>
      <c r="H2437" s="7" t="s">
        <v>1549</v>
      </c>
      <c r="I2437" s="251">
        <v>220</v>
      </c>
      <c r="J2437" s="251">
        <v>9035.4790563323168</v>
      </c>
      <c r="K2437" s="38">
        <f t="shared" si="122"/>
        <v>1987805</v>
      </c>
      <c r="L2437" s="561" t="s">
        <v>166</v>
      </c>
      <c r="M2437" s="561" t="s">
        <v>164</v>
      </c>
      <c r="N2437" s="52" t="str">
        <f>IF(AND('331-CT'!$E$7=TH!H2437,OR(L2437="331",M2437="331")),"331",IF(AND(OR(L2437="131",M2437="131"),H2437='131-CT'!$E$7),"131",""))</f>
        <v/>
      </c>
      <c r="O2437" s="818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751"/>
    </row>
    <row r="2438" spans="1:27" s="209" customFormat="1" ht="15.75" customHeight="1">
      <c r="A2438" s="202" t="str">
        <f>IF(B2438&lt;&gt;"",IF(AND(B2438&gt;=_TM1,B2438&lt;=_TM2,OR(TH!L2438="1111",TH!M2438="1111")),TH!D2438,""),"")</f>
        <v/>
      </c>
      <c r="B2438" s="36">
        <f t="shared" ref="B2438:B2501" si="124">IF(C2438&lt;&gt;"",MONTH(C2438),"")</f>
        <v>5</v>
      </c>
      <c r="C2438" s="182">
        <f t="shared" si="123"/>
        <v>42508</v>
      </c>
      <c r="D2438" s="182" t="s">
        <v>1547</v>
      </c>
      <c r="E2438" s="189">
        <v>42508</v>
      </c>
      <c r="F2438" s="187" t="s">
        <v>480</v>
      </c>
      <c r="G2438" s="451" t="s">
        <v>563</v>
      </c>
      <c r="H2438" s="7" t="s">
        <v>1549</v>
      </c>
      <c r="I2438" s="251">
        <v>212</v>
      </c>
      <c r="J2438" s="251">
        <v>10825.526793907587</v>
      </c>
      <c r="K2438" s="38">
        <f t="shared" si="122"/>
        <v>2295012</v>
      </c>
      <c r="L2438" s="561" t="s">
        <v>166</v>
      </c>
      <c r="M2438" s="561" t="s">
        <v>164</v>
      </c>
      <c r="N2438" s="52" t="str">
        <f>IF(AND('331-CT'!$E$7=TH!H2438,OR(L2438="331",M2438="331")),"331",IF(AND(OR(L2438="131",M2438="131"),H2438='131-CT'!$E$7),"131",""))</f>
        <v/>
      </c>
      <c r="O2438" s="818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751"/>
    </row>
    <row r="2439" spans="1:27" s="209" customFormat="1" ht="15.75" customHeight="1">
      <c r="A2439" s="202" t="str">
        <f>IF(B2439&lt;&gt;"",IF(AND(B2439&gt;=_TM1,B2439&lt;=_TM2,OR(TH!L2439="1111",TH!M2439="1111")),TH!D2439,""),"")</f>
        <v/>
      </c>
      <c r="B2439" s="36">
        <f t="shared" si="124"/>
        <v>5</v>
      </c>
      <c r="C2439" s="182">
        <f t="shared" si="123"/>
        <v>42513</v>
      </c>
      <c r="D2439" s="182" t="s">
        <v>1547</v>
      </c>
      <c r="E2439" s="189">
        <v>42513</v>
      </c>
      <c r="F2439" s="187" t="s">
        <v>1030</v>
      </c>
      <c r="G2439" s="451" t="s">
        <v>564</v>
      </c>
      <c r="H2439" s="7" t="s">
        <v>1549</v>
      </c>
      <c r="I2439" s="251">
        <v>20</v>
      </c>
      <c r="J2439" s="251">
        <v>22673.938009286758</v>
      </c>
      <c r="K2439" s="38">
        <f t="shared" si="122"/>
        <v>453479</v>
      </c>
      <c r="L2439" s="561" t="s">
        <v>166</v>
      </c>
      <c r="M2439" s="561" t="s">
        <v>164</v>
      </c>
      <c r="N2439" s="52" t="str">
        <f>IF(AND('331-CT'!$E$7=TH!H2439,OR(L2439="331",M2439="331")),"331",IF(AND(OR(L2439="131",M2439="131"),H2439='131-CT'!$E$7),"131",""))</f>
        <v/>
      </c>
      <c r="O2439" s="818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751"/>
    </row>
    <row r="2440" spans="1:27" s="209" customFormat="1" ht="15.75" customHeight="1">
      <c r="A2440" s="202" t="str">
        <f>IF(B2440&lt;&gt;"",IF(AND(B2440&gt;=_TM1,B2440&lt;=_TM2,OR(TH!L2440="1111",TH!M2440="1111")),TH!D2440,""),"")</f>
        <v/>
      </c>
      <c r="B2440" s="36">
        <f t="shared" si="124"/>
        <v>5</v>
      </c>
      <c r="C2440" s="182">
        <f t="shared" si="123"/>
        <v>42513</v>
      </c>
      <c r="D2440" s="182" t="s">
        <v>1547</v>
      </c>
      <c r="E2440" s="189">
        <v>42513</v>
      </c>
      <c r="F2440" s="187" t="s">
        <v>1031</v>
      </c>
      <c r="G2440" s="451" t="s">
        <v>564</v>
      </c>
      <c r="H2440" s="7" t="s">
        <v>1549</v>
      </c>
      <c r="I2440" s="251">
        <v>20</v>
      </c>
      <c r="J2440" s="251">
        <v>20287.207692519729</v>
      </c>
      <c r="K2440" s="38">
        <f t="shared" si="122"/>
        <v>405744</v>
      </c>
      <c r="L2440" s="561" t="s">
        <v>166</v>
      </c>
      <c r="M2440" s="561" t="s">
        <v>164</v>
      </c>
      <c r="N2440" s="52" t="str">
        <f>IF(AND('331-CT'!$E$7=TH!H2440,OR(L2440="331",M2440="331")),"331",IF(AND(OR(L2440="131",M2440="131"),H2440='131-CT'!$E$7),"131",""))</f>
        <v/>
      </c>
      <c r="O2440" s="818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751"/>
    </row>
    <row r="2441" spans="1:27" s="209" customFormat="1" ht="15.75" customHeight="1">
      <c r="A2441" s="202" t="str">
        <f>IF(B2441&lt;&gt;"",IF(AND(B2441&gt;=_TM1,B2441&lt;=_TM2,OR(TH!L2441="1111",TH!M2441="1111")),TH!D2441,""),"")</f>
        <v/>
      </c>
      <c r="B2441" s="36">
        <f t="shared" si="124"/>
        <v>5</v>
      </c>
      <c r="C2441" s="182">
        <f t="shared" si="123"/>
        <v>42513</v>
      </c>
      <c r="D2441" s="182" t="s">
        <v>1547</v>
      </c>
      <c r="E2441" s="189">
        <v>42513</v>
      </c>
      <c r="F2441" s="187" t="s">
        <v>1032</v>
      </c>
      <c r="G2441" s="451" t="s">
        <v>564</v>
      </c>
      <c r="H2441" s="7" t="s">
        <v>1549</v>
      </c>
      <c r="I2441" s="251">
        <v>60</v>
      </c>
      <c r="J2441" s="251">
        <v>26594.994958261159</v>
      </c>
      <c r="K2441" s="38">
        <f t="shared" si="122"/>
        <v>1595700</v>
      </c>
      <c r="L2441" s="561" t="s">
        <v>166</v>
      </c>
      <c r="M2441" s="561" t="s">
        <v>164</v>
      </c>
      <c r="N2441" s="52" t="str">
        <f>IF(AND('331-CT'!$E$7=TH!H2441,OR(L2441="331",M2441="331")),"331",IF(AND(OR(L2441="131",M2441="131"),H2441='131-CT'!$E$7),"131",""))</f>
        <v/>
      </c>
      <c r="O2441" s="818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751"/>
    </row>
    <row r="2442" spans="1:27" s="209" customFormat="1" ht="15.75" customHeight="1">
      <c r="A2442" s="202" t="str">
        <f>IF(B2442&lt;&gt;"",IF(AND(B2442&gt;=_TM1,B2442&lt;=_TM2,OR(TH!L2442="1111",TH!M2442="1111")),TH!D2442,""),"")</f>
        <v/>
      </c>
      <c r="B2442" s="36">
        <f t="shared" si="124"/>
        <v>5</v>
      </c>
      <c r="C2442" s="182">
        <f t="shared" si="123"/>
        <v>42513</v>
      </c>
      <c r="D2442" s="182" t="s">
        <v>1547</v>
      </c>
      <c r="E2442" s="189">
        <v>42513</v>
      </c>
      <c r="F2442" s="187" t="s">
        <v>1033</v>
      </c>
      <c r="G2442" s="451" t="s">
        <v>564</v>
      </c>
      <c r="H2442" s="7" t="s">
        <v>1549</v>
      </c>
      <c r="I2442" s="251">
        <v>20</v>
      </c>
      <c r="J2442" s="251">
        <v>17985.717744208669</v>
      </c>
      <c r="K2442" s="38">
        <f t="shared" si="122"/>
        <v>359714</v>
      </c>
      <c r="L2442" s="561" t="s">
        <v>166</v>
      </c>
      <c r="M2442" s="561" t="s">
        <v>164</v>
      </c>
      <c r="N2442" s="52" t="str">
        <f>IF(AND('331-CT'!$E$7=TH!H2442,OR(L2442="331",M2442="331")),"331",IF(AND(OR(L2442="131",M2442="131"),H2442='131-CT'!$E$7),"131",""))</f>
        <v/>
      </c>
      <c r="O2442" s="818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751"/>
    </row>
    <row r="2443" spans="1:27" s="209" customFormat="1" ht="15.75" customHeight="1">
      <c r="A2443" s="202" t="str">
        <f>IF(B2443&lt;&gt;"",IF(AND(B2443&gt;=_TM1,B2443&lt;=_TM2,OR(TH!L2443="1111",TH!M2443="1111")),TH!D2443,""),"")</f>
        <v/>
      </c>
      <c r="B2443" s="36">
        <f t="shared" si="124"/>
        <v>5</v>
      </c>
      <c r="C2443" s="182">
        <f t="shared" si="123"/>
        <v>42513</v>
      </c>
      <c r="D2443" s="182" t="s">
        <v>1547</v>
      </c>
      <c r="E2443" s="189">
        <v>42513</v>
      </c>
      <c r="F2443" s="187" t="s">
        <v>1034</v>
      </c>
      <c r="G2443" s="451" t="s">
        <v>564</v>
      </c>
      <c r="H2443" s="7" t="s">
        <v>1549</v>
      </c>
      <c r="I2443" s="251">
        <v>20</v>
      </c>
      <c r="J2443" s="251">
        <v>19434.804007960076</v>
      </c>
      <c r="K2443" s="38">
        <f t="shared" si="122"/>
        <v>388696</v>
      </c>
      <c r="L2443" s="561" t="s">
        <v>166</v>
      </c>
      <c r="M2443" s="561" t="s">
        <v>164</v>
      </c>
      <c r="N2443" s="52" t="str">
        <f>IF(AND('331-CT'!$E$7=TH!H2443,OR(L2443="331",M2443="331")),"331",IF(AND(OR(L2443="131",M2443="131"),H2443='131-CT'!$E$7),"131",""))</f>
        <v/>
      </c>
      <c r="O2443" s="818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751"/>
    </row>
    <row r="2444" spans="1:27" s="209" customFormat="1" ht="15.75" customHeight="1">
      <c r="A2444" s="202" t="str">
        <f>IF(B2444&lt;&gt;"",IF(AND(B2444&gt;=_TM1,B2444&lt;=_TM2,OR(TH!L2444="1111",TH!M2444="1111")),TH!D2444,""),"")</f>
        <v/>
      </c>
      <c r="B2444" s="36">
        <f t="shared" si="124"/>
        <v>5</v>
      </c>
      <c r="C2444" s="182">
        <f t="shared" si="123"/>
        <v>42513</v>
      </c>
      <c r="D2444" s="182" t="s">
        <v>1547</v>
      </c>
      <c r="E2444" s="189">
        <v>42513</v>
      </c>
      <c r="F2444" s="187" t="s">
        <v>1035</v>
      </c>
      <c r="G2444" s="451" t="s">
        <v>564</v>
      </c>
      <c r="H2444" s="7" t="s">
        <v>1549</v>
      </c>
      <c r="I2444" s="251">
        <v>22</v>
      </c>
      <c r="J2444" s="251">
        <v>21480.572850903245</v>
      </c>
      <c r="K2444" s="38">
        <f t="shared" si="122"/>
        <v>472573</v>
      </c>
      <c r="L2444" s="561" t="s">
        <v>166</v>
      </c>
      <c r="M2444" s="561" t="s">
        <v>164</v>
      </c>
      <c r="N2444" s="52" t="str">
        <f>IF(AND('331-CT'!$E$7=TH!H2444,OR(L2444="331",M2444="331")),"331",IF(AND(OR(L2444="131",M2444="131"),H2444='131-CT'!$E$7),"131",""))</f>
        <v/>
      </c>
      <c r="O2444" s="818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751"/>
    </row>
    <row r="2445" spans="1:27" s="209" customFormat="1" ht="15.75" customHeight="1">
      <c r="A2445" s="202" t="str">
        <f>IF(B2445&lt;&gt;"",IF(AND(B2445&gt;=_TM1,B2445&lt;=_TM2,OR(TH!L2445="1111",TH!M2445="1111")),TH!D2445,""),"")</f>
        <v/>
      </c>
      <c r="B2445" s="36">
        <f t="shared" si="124"/>
        <v>5</v>
      </c>
      <c r="C2445" s="182">
        <f t="shared" si="123"/>
        <v>42513</v>
      </c>
      <c r="D2445" s="182" t="s">
        <v>1547</v>
      </c>
      <c r="E2445" s="189">
        <v>42513</v>
      </c>
      <c r="F2445" s="187" t="s">
        <v>1036</v>
      </c>
      <c r="G2445" s="451" t="s">
        <v>564</v>
      </c>
      <c r="H2445" s="7" t="s">
        <v>1549</v>
      </c>
      <c r="I2445" s="251">
        <v>24</v>
      </c>
      <c r="J2445" s="251">
        <v>13212.257110674615</v>
      </c>
      <c r="K2445" s="38">
        <f t="shared" si="122"/>
        <v>317094</v>
      </c>
      <c r="L2445" s="561" t="s">
        <v>166</v>
      </c>
      <c r="M2445" s="561" t="s">
        <v>164</v>
      </c>
      <c r="N2445" s="52" t="str">
        <f>IF(AND('331-CT'!$E$7=TH!H2445,OR(L2445="331",M2445="331")),"331",IF(AND(OR(L2445="131",M2445="131"),H2445='131-CT'!$E$7),"131",""))</f>
        <v/>
      </c>
      <c r="O2445" s="818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751"/>
    </row>
    <row r="2446" spans="1:27" s="209" customFormat="1" ht="15.75" customHeight="1">
      <c r="A2446" s="202" t="str">
        <f>IF(B2446&lt;&gt;"",IF(AND(B2446&gt;=_TM1,B2446&lt;=_TM2,OR(TH!L2446="1111",TH!M2446="1111")),TH!D2446,""),"")</f>
        <v/>
      </c>
      <c r="B2446" s="36">
        <f t="shared" si="124"/>
        <v>5</v>
      </c>
      <c r="C2446" s="182">
        <f t="shared" si="123"/>
        <v>42513</v>
      </c>
      <c r="D2446" s="182" t="s">
        <v>1547</v>
      </c>
      <c r="E2446" s="189">
        <v>42513</v>
      </c>
      <c r="F2446" s="187" t="s">
        <v>1037</v>
      </c>
      <c r="G2446" s="451" t="s">
        <v>564</v>
      </c>
      <c r="H2446" s="7" t="s">
        <v>1549</v>
      </c>
      <c r="I2446" s="251">
        <v>24</v>
      </c>
      <c r="J2446" s="251">
        <v>12359.853426114962</v>
      </c>
      <c r="K2446" s="38">
        <f t="shared" si="122"/>
        <v>296636</v>
      </c>
      <c r="L2446" s="561" t="s">
        <v>166</v>
      </c>
      <c r="M2446" s="561" t="s">
        <v>164</v>
      </c>
      <c r="N2446" s="52" t="str">
        <f>IF(AND('331-CT'!$E$7=TH!H2446,OR(L2446="331",M2446="331")),"331",IF(AND(OR(L2446="131",M2446="131"),H2446='131-CT'!$E$7),"131",""))</f>
        <v/>
      </c>
      <c r="O2446" s="818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751"/>
    </row>
    <row r="2447" spans="1:27" s="209" customFormat="1" ht="15.75" customHeight="1">
      <c r="A2447" s="202" t="str">
        <f>IF(B2447&lt;&gt;"",IF(AND(B2447&gt;=_TM1,B2447&lt;=_TM2,OR(TH!L2447="1111",TH!M2447="1111")),TH!D2447,""),"")</f>
        <v/>
      </c>
      <c r="B2447" s="36">
        <f t="shared" si="124"/>
        <v>5</v>
      </c>
      <c r="C2447" s="182">
        <f t="shared" si="123"/>
        <v>42513</v>
      </c>
      <c r="D2447" s="182" t="s">
        <v>1547</v>
      </c>
      <c r="E2447" s="189">
        <v>42513</v>
      </c>
      <c r="F2447" s="187" t="s">
        <v>1038</v>
      </c>
      <c r="G2447" s="451" t="s">
        <v>564</v>
      </c>
      <c r="H2447" s="7" t="s">
        <v>1549</v>
      </c>
      <c r="I2447" s="251">
        <v>26</v>
      </c>
      <c r="J2447" s="251">
        <v>14917.06447979392</v>
      </c>
      <c r="K2447" s="38">
        <f t="shared" si="122"/>
        <v>387844</v>
      </c>
      <c r="L2447" s="561" t="s">
        <v>166</v>
      </c>
      <c r="M2447" s="561" t="s">
        <v>164</v>
      </c>
      <c r="N2447" s="52" t="str">
        <f>IF(AND('331-CT'!$E$7=TH!H2447,OR(L2447="331",M2447="331")),"331",IF(AND(OR(L2447="131",M2447="131"),H2447='131-CT'!$E$7),"131",""))</f>
        <v/>
      </c>
      <c r="O2447" s="818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751"/>
    </row>
    <row r="2448" spans="1:27" s="209" customFormat="1" ht="15.75" customHeight="1">
      <c r="A2448" s="202" t="str">
        <f>IF(B2448&lt;&gt;"",IF(AND(B2448&gt;=_TM1,B2448&lt;=_TM2,OR(TH!L2448="1111",TH!M2448="1111")),TH!D2448,""),"")</f>
        <v/>
      </c>
      <c r="B2448" s="36">
        <f t="shared" si="124"/>
        <v>5</v>
      </c>
      <c r="C2448" s="182">
        <f t="shared" si="123"/>
        <v>42513</v>
      </c>
      <c r="D2448" s="182" t="s">
        <v>1547</v>
      </c>
      <c r="E2448" s="189">
        <v>42513</v>
      </c>
      <c r="F2448" s="187" t="s">
        <v>610</v>
      </c>
      <c r="G2448" s="451" t="s">
        <v>566</v>
      </c>
      <c r="H2448" s="7" t="s">
        <v>1549</v>
      </c>
      <c r="I2448" s="251">
        <v>158</v>
      </c>
      <c r="J2448" s="251">
        <v>27447.398642820812</v>
      </c>
      <c r="K2448" s="38">
        <f t="shared" si="122"/>
        <v>4336689</v>
      </c>
      <c r="L2448" s="561" t="s">
        <v>166</v>
      </c>
      <c r="M2448" s="561" t="s">
        <v>164</v>
      </c>
      <c r="N2448" s="52" t="str">
        <f>IF(AND('331-CT'!$E$7=TH!H2448,OR(L2448="331",M2448="331")),"331",IF(AND(OR(L2448="131",M2448="131"),H2448='131-CT'!$E$7),"131",""))</f>
        <v/>
      </c>
      <c r="O2448" s="818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751"/>
    </row>
    <row r="2449" spans="1:28" s="209" customFormat="1" ht="15.75" customHeight="1">
      <c r="A2449" s="202" t="str">
        <f>IF(B2449&lt;&gt;"",IF(AND(B2449&gt;=_TM1,B2449&lt;=_TM2,OR(TH!L2449="1111",TH!M2449="1111")),TH!D2449,""),"")</f>
        <v/>
      </c>
      <c r="B2449" s="36">
        <f t="shared" si="124"/>
        <v>5</v>
      </c>
      <c r="C2449" s="182">
        <f t="shared" si="123"/>
        <v>42515</v>
      </c>
      <c r="D2449" s="182" t="s">
        <v>1547</v>
      </c>
      <c r="E2449" s="189">
        <v>42515</v>
      </c>
      <c r="F2449" s="187" t="s">
        <v>1443</v>
      </c>
      <c r="G2449" s="451" t="s">
        <v>1039</v>
      </c>
      <c r="H2449" s="7" t="s">
        <v>1549</v>
      </c>
      <c r="I2449" s="251">
        <v>505</v>
      </c>
      <c r="J2449" s="251">
        <v>8097.8350033166989</v>
      </c>
      <c r="K2449" s="38">
        <f t="shared" si="122"/>
        <v>4089407</v>
      </c>
      <c r="L2449" s="561" t="s">
        <v>166</v>
      </c>
      <c r="M2449" s="561" t="s">
        <v>164</v>
      </c>
      <c r="N2449" s="52" t="str">
        <f>IF(AND('331-CT'!$E$7=TH!H2449,OR(L2449="331",M2449="331")),"331",IF(AND(OR(L2449="131",M2449="131"),H2449='131-CT'!$E$7),"131",""))</f>
        <v/>
      </c>
      <c r="O2449" s="818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751"/>
    </row>
    <row r="2450" spans="1:28" s="209" customFormat="1" ht="15.75" customHeight="1">
      <c r="A2450" s="202" t="str">
        <f>IF(B2450&lt;&gt;"",IF(AND(B2450&gt;=_TM1,B2450&lt;=_TM2,OR(TH!L2450="1111",TH!M2450="1111")),TH!D2450,""),"")</f>
        <v/>
      </c>
      <c r="B2450" s="36">
        <f t="shared" si="124"/>
        <v>5</v>
      </c>
      <c r="C2450" s="182">
        <f t="shared" si="123"/>
        <v>42517</v>
      </c>
      <c r="D2450" s="182" t="s">
        <v>1547</v>
      </c>
      <c r="E2450" s="189">
        <v>42517</v>
      </c>
      <c r="F2450" s="187" t="s">
        <v>436</v>
      </c>
      <c r="G2450" s="451" t="s">
        <v>567</v>
      </c>
      <c r="H2450" s="7" t="s">
        <v>1549</v>
      </c>
      <c r="I2450" s="251">
        <v>1021</v>
      </c>
      <c r="J2450" s="251">
        <v>5796.3450550056377</v>
      </c>
      <c r="K2450" s="38">
        <f t="shared" si="122"/>
        <v>5918068</v>
      </c>
      <c r="L2450" s="561" t="s">
        <v>166</v>
      </c>
      <c r="M2450" s="561" t="s">
        <v>164</v>
      </c>
      <c r="N2450" s="52" t="str">
        <f>IF(AND('331-CT'!$E$7=TH!H2450,OR(L2450="331",M2450="331")),"331",IF(AND(OR(L2450="131",M2450="131"),H2450='131-CT'!$E$7),"131",""))</f>
        <v/>
      </c>
      <c r="O2450" s="818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751"/>
    </row>
    <row r="2451" spans="1:28" s="209" customFormat="1" ht="15.75" customHeight="1">
      <c r="A2451" s="202" t="str">
        <f>IF(B2451&lt;&gt;"",IF(AND(B2451&gt;=_TM1,B2451&lt;=_TM2,OR(TH!L2451="1111",TH!M2451="1111")),TH!D2451,""),"")</f>
        <v/>
      </c>
      <c r="B2451" s="36">
        <f t="shared" si="124"/>
        <v>5</v>
      </c>
      <c r="C2451" s="182">
        <f t="shared" si="123"/>
        <v>42517</v>
      </c>
      <c r="D2451" s="182" t="s">
        <v>1547</v>
      </c>
      <c r="E2451" s="189">
        <v>42517</v>
      </c>
      <c r="F2451" s="187" t="s">
        <v>418</v>
      </c>
      <c r="G2451" s="451" t="s">
        <v>568</v>
      </c>
      <c r="H2451" s="7" t="s">
        <v>1549</v>
      </c>
      <c r="I2451" s="251">
        <v>246</v>
      </c>
      <c r="J2451" s="251">
        <v>61799.267130574808</v>
      </c>
      <c r="K2451" s="38">
        <f t="shared" si="122"/>
        <v>15202620</v>
      </c>
      <c r="L2451" s="561" t="s">
        <v>166</v>
      </c>
      <c r="M2451" s="561" t="s">
        <v>164</v>
      </c>
      <c r="N2451" s="52" t="str">
        <f>IF(AND('331-CT'!$E$7=TH!H2451,OR(L2451="331",M2451="331")),"331",IF(AND(OR(L2451="131",M2451="131"),H2451='131-CT'!$E$7),"131",""))</f>
        <v/>
      </c>
      <c r="O2451" s="818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751"/>
    </row>
    <row r="2452" spans="1:28" s="209" customFormat="1" ht="15.75" customHeight="1">
      <c r="A2452" s="202" t="str">
        <f>IF(B2452&lt;&gt;"",IF(AND(B2452&gt;=_TM1,B2452&lt;=_TM2,OR(TH!L2452="1111",TH!M2452="1111")),TH!D2452,""),"")</f>
        <v/>
      </c>
      <c r="B2452" s="36">
        <f t="shared" si="124"/>
        <v>5</v>
      </c>
      <c r="C2452" s="182">
        <f t="shared" si="123"/>
        <v>42517</v>
      </c>
      <c r="D2452" s="182" t="s">
        <v>1547</v>
      </c>
      <c r="E2452" s="189">
        <v>42517</v>
      </c>
      <c r="F2452" s="187" t="s">
        <v>912</v>
      </c>
      <c r="G2452" s="451" t="s">
        <v>568</v>
      </c>
      <c r="H2452" s="7" t="s">
        <v>1549</v>
      </c>
      <c r="I2452" s="251">
        <v>60</v>
      </c>
      <c r="J2452" s="251">
        <v>64441.718552709732</v>
      </c>
      <c r="K2452" s="38">
        <f t="shared" si="122"/>
        <v>3866503</v>
      </c>
      <c r="L2452" s="561" t="s">
        <v>166</v>
      </c>
      <c r="M2452" s="561" t="s">
        <v>164</v>
      </c>
      <c r="N2452" s="52" t="str">
        <f>IF(AND('331-CT'!$E$7=TH!H2452,OR(L2452="331",M2452="331")),"331",IF(AND(OR(L2452="131",M2452="131"),H2452='131-CT'!$E$7),"131",""))</f>
        <v/>
      </c>
      <c r="O2452" s="818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751"/>
    </row>
    <row r="2453" spans="1:28" s="209" customFormat="1" ht="15.75" customHeight="1">
      <c r="A2453" s="202" t="str">
        <f>IF(B2453&lt;&gt;"",IF(AND(B2453&gt;=_TM1,B2453&lt;=_TM2,OR(TH!L2453="1111",TH!M2453="1111")),TH!D2453,""),"")</f>
        <v/>
      </c>
      <c r="B2453" s="36">
        <f t="shared" si="124"/>
        <v>5</v>
      </c>
      <c r="C2453" s="182">
        <f t="shared" si="123"/>
        <v>42518</v>
      </c>
      <c r="D2453" s="182" t="s">
        <v>1547</v>
      </c>
      <c r="E2453" s="189">
        <v>42518</v>
      </c>
      <c r="F2453" s="187" t="s">
        <v>477</v>
      </c>
      <c r="G2453" s="451" t="s">
        <v>570</v>
      </c>
      <c r="H2453" s="7" t="s">
        <v>1549</v>
      </c>
      <c r="I2453" s="251">
        <v>106</v>
      </c>
      <c r="J2453" s="251">
        <v>7927.3542664047691</v>
      </c>
      <c r="K2453" s="38">
        <f t="shared" si="122"/>
        <v>840300</v>
      </c>
      <c r="L2453" s="561" t="s">
        <v>166</v>
      </c>
      <c r="M2453" s="561" t="s">
        <v>164</v>
      </c>
      <c r="N2453" s="52" t="str">
        <f>IF(AND('331-CT'!$E$7=TH!H2453,OR(L2453="331",M2453="331")),"331",IF(AND(OR(L2453="131",M2453="131"),H2453='131-CT'!$E$7),"131",""))</f>
        <v/>
      </c>
      <c r="O2453" s="818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751"/>
    </row>
    <row r="2454" spans="1:28" s="209" customFormat="1" ht="15.75" customHeight="1">
      <c r="A2454" s="202" t="str">
        <f>IF(B2454&lt;&gt;"",IF(AND(B2454&gt;=_TM1,B2454&lt;=_TM2,OR(TH!L2454="1111",TH!M2454="1111")),TH!D2454,""),"")</f>
        <v/>
      </c>
      <c r="B2454" s="36">
        <f t="shared" si="124"/>
        <v>5</v>
      </c>
      <c r="C2454" s="182">
        <f t="shared" si="123"/>
        <v>42518</v>
      </c>
      <c r="D2454" s="182" t="s">
        <v>1547</v>
      </c>
      <c r="E2454" s="189">
        <v>42518</v>
      </c>
      <c r="F2454" s="187" t="s">
        <v>415</v>
      </c>
      <c r="G2454" s="451" t="s">
        <v>570</v>
      </c>
      <c r="H2454" s="7" t="s">
        <v>1549</v>
      </c>
      <c r="I2454" s="251">
        <v>207</v>
      </c>
      <c r="J2454" s="251">
        <v>11422.209373099344</v>
      </c>
      <c r="K2454" s="38">
        <f t="shared" si="122"/>
        <v>2364397</v>
      </c>
      <c r="L2454" s="561" t="s">
        <v>166</v>
      </c>
      <c r="M2454" s="561" t="s">
        <v>164</v>
      </c>
      <c r="N2454" s="52" t="str">
        <f>IF(AND('331-CT'!$E$7=TH!H2454,OR(L2454="331",M2454="331")),"331",IF(AND(OR(L2454="131",M2454="131"),H2454='131-CT'!$E$7),"131",""))</f>
        <v/>
      </c>
      <c r="O2454" s="818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751"/>
    </row>
    <row r="2455" spans="1:28" s="209" customFormat="1" ht="15.75" customHeight="1">
      <c r="A2455" s="202" t="str">
        <f>IF(B2455&lt;&gt;"",IF(AND(B2455&gt;=_TM1,B2455&lt;=_TM2,OR(TH!L2455="1111",TH!M2455="1111")),TH!D2455,""),"")</f>
        <v/>
      </c>
      <c r="B2455" s="36">
        <f t="shared" si="124"/>
        <v>5</v>
      </c>
      <c r="C2455" s="182">
        <f t="shared" si="123"/>
        <v>42519</v>
      </c>
      <c r="D2455" s="182" t="s">
        <v>1547</v>
      </c>
      <c r="E2455" s="189">
        <v>42519</v>
      </c>
      <c r="F2455" s="187" t="s">
        <v>418</v>
      </c>
      <c r="G2455" s="451" t="s">
        <v>569</v>
      </c>
      <c r="H2455" s="7" t="s">
        <v>1549</v>
      </c>
      <c r="I2455" s="251">
        <v>150</v>
      </c>
      <c r="J2455" s="251">
        <v>61799.267130574808</v>
      </c>
      <c r="K2455" s="38">
        <f t="shared" si="122"/>
        <v>9269890</v>
      </c>
      <c r="L2455" s="561" t="s">
        <v>166</v>
      </c>
      <c r="M2455" s="561" t="s">
        <v>164</v>
      </c>
      <c r="N2455" s="52" t="str">
        <f>IF(AND('331-CT'!$E$7=TH!H2455,OR(L2455="331",M2455="331")),"331",IF(AND(OR(L2455="131",M2455="131"),H2455='131-CT'!$E$7),"131",""))</f>
        <v/>
      </c>
      <c r="O2455" s="818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751"/>
    </row>
    <row r="2456" spans="1:28" s="209" customFormat="1" ht="15.75" customHeight="1">
      <c r="A2456" s="202" t="str">
        <f>IF(B2456&lt;&gt;"",IF(AND(B2456&gt;=_TM1,B2456&lt;=_TM2,OR(TH!L2456="1111",TH!M2456="1111")),TH!D2456,""),"")</f>
        <v/>
      </c>
      <c r="B2456" s="36">
        <f t="shared" si="124"/>
        <v>5</v>
      </c>
      <c r="C2456" s="182">
        <f t="shared" si="123"/>
        <v>42520</v>
      </c>
      <c r="D2456" s="182" t="s">
        <v>1547</v>
      </c>
      <c r="E2456" s="189">
        <v>42520</v>
      </c>
      <c r="F2456" s="187" t="s">
        <v>1040</v>
      </c>
      <c r="G2456" s="451" t="s">
        <v>572</v>
      </c>
      <c r="H2456" s="7" t="s">
        <v>1549</v>
      </c>
      <c r="I2456" s="251">
        <v>306</v>
      </c>
      <c r="J2456" s="251">
        <v>7160.1909503010811</v>
      </c>
      <c r="K2456" s="38">
        <f t="shared" si="122"/>
        <v>2191018</v>
      </c>
      <c r="L2456" s="561" t="s">
        <v>166</v>
      </c>
      <c r="M2456" s="561" t="s">
        <v>164</v>
      </c>
      <c r="N2456" s="52" t="str">
        <f>IF(AND('331-CT'!$E$7=TH!H2456,OR(L2456="331",M2456="331")),"331",IF(AND(OR(L2456="131",M2456="131"),H2456='131-CT'!$E$7),"131",""))</f>
        <v/>
      </c>
      <c r="O2456" s="818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751"/>
    </row>
    <row r="2457" spans="1:28" s="209" customFormat="1" ht="15.75" customHeight="1">
      <c r="A2457" s="202" t="str">
        <f>IF(B2457&lt;&gt;"",IF(AND(B2457&gt;=_TM1,B2457&lt;=_TM2,OR(TH!L2457="1111",TH!M2457="1111")),TH!D2457,""),"")</f>
        <v/>
      </c>
      <c r="B2457" s="36">
        <f t="shared" si="124"/>
        <v>5</v>
      </c>
      <c r="C2457" s="182">
        <f t="shared" si="123"/>
        <v>42520</v>
      </c>
      <c r="D2457" s="182" t="s">
        <v>1547</v>
      </c>
      <c r="E2457" s="189">
        <v>42520</v>
      </c>
      <c r="F2457" s="187" t="s">
        <v>1041</v>
      </c>
      <c r="G2457" s="451" t="s">
        <v>572</v>
      </c>
      <c r="H2457" s="7" t="s">
        <v>1549</v>
      </c>
      <c r="I2457" s="251">
        <v>403</v>
      </c>
      <c r="J2457" s="251">
        <v>6137.3065288294983</v>
      </c>
      <c r="K2457" s="38">
        <f t="shared" si="122"/>
        <v>2473335</v>
      </c>
      <c r="L2457" s="561" t="s">
        <v>166</v>
      </c>
      <c r="M2457" s="561" t="s">
        <v>164</v>
      </c>
      <c r="N2457" s="52" t="str">
        <f>IF(AND('331-CT'!$E$7=TH!H2457,OR(L2457="331",M2457="331")),"331",IF(AND(OR(L2457="131",M2457="131"),H2457='131-CT'!$E$7),"131",""))</f>
        <v/>
      </c>
      <c r="O2457" s="818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751"/>
    </row>
    <row r="2458" spans="1:28" s="209" customFormat="1" ht="15.75" customHeight="1">
      <c r="A2458" s="202" t="str">
        <f>IF(B2458&lt;&gt;"",IF(AND(B2458&gt;=_TM1,B2458&lt;=_TM2,OR(TH!L2458="1111",TH!M2458="1111")),TH!D2458,""),"")</f>
        <v/>
      </c>
      <c r="B2458" s="36">
        <f t="shared" si="124"/>
        <v>5</v>
      </c>
      <c r="C2458" s="182">
        <f t="shared" si="123"/>
        <v>42520</v>
      </c>
      <c r="D2458" s="182" t="s">
        <v>1547</v>
      </c>
      <c r="E2458" s="189">
        <v>42520</v>
      </c>
      <c r="F2458" s="187" t="s">
        <v>1042</v>
      </c>
      <c r="G2458" s="451" t="s">
        <v>572</v>
      </c>
      <c r="H2458" s="7" t="s">
        <v>1549</v>
      </c>
      <c r="I2458" s="251">
        <v>307</v>
      </c>
      <c r="J2458" s="251">
        <v>11677.93047846724</v>
      </c>
      <c r="K2458" s="38">
        <f t="shared" si="122"/>
        <v>3585125</v>
      </c>
      <c r="L2458" s="561" t="s">
        <v>166</v>
      </c>
      <c r="M2458" s="561" t="s">
        <v>164</v>
      </c>
      <c r="N2458" s="52" t="str">
        <f>IF(AND('331-CT'!$E$7=TH!H2458,OR(L2458="331",M2458="331")),"331",IF(AND(OR(L2458="131",M2458="131"),H2458='131-CT'!$E$7),"131",""))</f>
        <v/>
      </c>
      <c r="O2458" s="818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751"/>
    </row>
    <row r="2459" spans="1:28" s="209" customFormat="1" ht="15.75" customHeight="1">
      <c r="A2459" s="202" t="str">
        <f>IF(B2459&lt;&gt;"",IF(AND(B2459&gt;=_TM1,B2459&lt;=_TM2,OR(TH!L2459="1111",TH!M2459="1111")),TH!D2459,""),"")</f>
        <v/>
      </c>
      <c r="B2459" s="36">
        <f t="shared" si="124"/>
        <v>6</v>
      </c>
      <c r="C2459" s="182">
        <f t="shared" si="123"/>
        <v>42522</v>
      </c>
      <c r="D2459" s="182" t="s">
        <v>1547</v>
      </c>
      <c r="E2459" s="189">
        <v>42522</v>
      </c>
      <c r="F2459" s="187" t="s">
        <v>389</v>
      </c>
      <c r="G2459" s="451" t="s">
        <v>573</v>
      </c>
      <c r="H2459" s="7" t="s">
        <v>1549</v>
      </c>
      <c r="I2459" s="251">
        <v>1600</v>
      </c>
      <c r="J2459" s="251">
        <v>6989.7102133891503</v>
      </c>
      <c r="K2459" s="38">
        <f t="shared" si="122"/>
        <v>11183536</v>
      </c>
      <c r="L2459" s="561" t="s">
        <v>166</v>
      </c>
      <c r="M2459" s="561" t="s">
        <v>164</v>
      </c>
      <c r="N2459" s="52" t="str">
        <f>IF(AND('331-CT'!$E$7=TH!H2459,OR(L2459="331",M2459="331")),"331",IF(AND(OR(L2459="131",M2459="131"),H2459='131-CT'!$E$7),"131",""))</f>
        <v/>
      </c>
      <c r="O2459" s="818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751"/>
      <c r="AB2459" s="552"/>
    </row>
    <row r="2460" spans="1:28" s="209" customFormat="1" ht="15.75" customHeight="1">
      <c r="A2460" s="202" t="str">
        <f>IF(B2460&lt;&gt;"",IF(AND(B2460&gt;=_TM1,B2460&lt;=_TM2,OR(TH!L2460="1111",TH!M2460="1111")),TH!D2460,""),"")</f>
        <v/>
      </c>
      <c r="B2460" s="36">
        <f t="shared" si="124"/>
        <v>6</v>
      </c>
      <c r="C2460" s="182">
        <f t="shared" si="123"/>
        <v>42522</v>
      </c>
      <c r="D2460" s="182" t="s">
        <v>1547</v>
      </c>
      <c r="E2460" s="189">
        <v>42522</v>
      </c>
      <c r="F2460" s="187" t="s">
        <v>441</v>
      </c>
      <c r="G2460" s="451" t="s">
        <v>573</v>
      </c>
      <c r="H2460" s="7" t="s">
        <v>1549</v>
      </c>
      <c r="I2460" s="251">
        <v>750</v>
      </c>
      <c r="J2460" s="251">
        <v>13467.978216042511</v>
      </c>
      <c r="K2460" s="38">
        <f t="shared" si="122"/>
        <v>10100984</v>
      </c>
      <c r="L2460" s="561" t="s">
        <v>166</v>
      </c>
      <c r="M2460" s="561" t="s">
        <v>164</v>
      </c>
      <c r="N2460" s="52" t="str">
        <f>IF(AND('331-CT'!$E$7=TH!H2460,OR(L2460="331",M2460="331")),"331",IF(AND(OR(L2460="131",M2460="131"),H2460='131-CT'!$E$7),"131",""))</f>
        <v/>
      </c>
      <c r="O2460" s="818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751"/>
      <c r="AB2460" s="552"/>
    </row>
    <row r="2461" spans="1:28" s="209" customFormat="1" ht="15.75" customHeight="1">
      <c r="A2461" s="202" t="str">
        <f>IF(B2461&lt;&gt;"",IF(AND(B2461&gt;=_TM1,B2461&lt;=_TM2,OR(TH!L2461="1111",TH!M2461="1111")),TH!D2461,""),"")</f>
        <v/>
      </c>
      <c r="B2461" s="36">
        <f t="shared" si="124"/>
        <v>6</v>
      </c>
      <c r="C2461" s="182">
        <f t="shared" si="123"/>
        <v>42522</v>
      </c>
      <c r="D2461" s="182" t="s">
        <v>1547</v>
      </c>
      <c r="E2461" s="189">
        <v>42522</v>
      </c>
      <c r="F2461" s="187" t="s">
        <v>418</v>
      </c>
      <c r="G2461" s="451" t="s">
        <v>574</v>
      </c>
      <c r="H2461" s="7" t="s">
        <v>1549</v>
      </c>
      <c r="I2461" s="251">
        <v>170</v>
      </c>
      <c r="J2461" s="251">
        <v>61799.267130574808</v>
      </c>
      <c r="K2461" s="38">
        <f t="shared" si="122"/>
        <v>10505875</v>
      </c>
      <c r="L2461" s="561" t="s">
        <v>166</v>
      </c>
      <c r="M2461" s="561" t="s">
        <v>164</v>
      </c>
      <c r="N2461" s="52" t="str">
        <f>IF(AND('331-CT'!$E$7=TH!H2461,OR(L2461="331",M2461="331")),"331",IF(AND(OR(L2461="131",M2461="131"),H2461='131-CT'!$E$7),"131",""))</f>
        <v/>
      </c>
      <c r="O2461" s="818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751"/>
      <c r="AB2461" s="552"/>
    </row>
    <row r="2462" spans="1:28" s="209" customFormat="1" ht="15.75" customHeight="1">
      <c r="A2462" s="202" t="str">
        <f>IF(B2462&lt;&gt;"",IF(AND(B2462&gt;=_TM1,B2462&lt;=_TM2,OR(TH!L2462="1111",TH!M2462="1111")),TH!D2462,""),"")</f>
        <v/>
      </c>
      <c r="B2462" s="36">
        <f t="shared" si="124"/>
        <v>6</v>
      </c>
      <c r="C2462" s="182">
        <f t="shared" si="123"/>
        <v>42522</v>
      </c>
      <c r="D2462" s="182" t="s">
        <v>1547</v>
      </c>
      <c r="E2462" s="189">
        <v>42522</v>
      </c>
      <c r="F2462" s="187" t="s">
        <v>933</v>
      </c>
      <c r="G2462" s="451" t="s">
        <v>575</v>
      </c>
      <c r="H2462" s="7" t="s">
        <v>1549</v>
      </c>
      <c r="I2462" s="251">
        <v>245</v>
      </c>
      <c r="J2462" s="251">
        <v>12018.8919522911</v>
      </c>
      <c r="K2462" s="38">
        <f t="shared" si="122"/>
        <v>2944629</v>
      </c>
      <c r="L2462" s="561" t="s">
        <v>166</v>
      </c>
      <c r="M2462" s="561" t="s">
        <v>164</v>
      </c>
      <c r="N2462" s="52" t="str">
        <f>IF(AND('331-CT'!$E$7=TH!H2462,OR(L2462="331",M2462="331")),"331",IF(AND(OR(L2462="131",M2462="131"),H2462='131-CT'!$E$7),"131",""))</f>
        <v/>
      </c>
      <c r="O2462" s="818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751"/>
      <c r="AB2462" s="552"/>
    </row>
    <row r="2463" spans="1:28" s="209" customFormat="1" ht="15.75" customHeight="1">
      <c r="A2463" s="202" t="str">
        <f>IF(B2463&lt;&gt;"",IF(AND(B2463&gt;=_TM1,B2463&lt;=_TM2,OR(TH!L2463="1111",TH!M2463="1111")),TH!D2463,""),"")</f>
        <v/>
      </c>
      <c r="B2463" s="36">
        <f t="shared" si="124"/>
        <v>6</v>
      </c>
      <c r="C2463" s="182">
        <f t="shared" si="123"/>
        <v>42522</v>
      </c>
      <c r="D2463" s="182" t="s">
        <v>1547</v>
      </c>
      <c r="E2463" s="189">
        <v>42522</v>
      </c>
      <c r="F2463" s="187" t="s">
        <v>407</v>
      </c>
      <c r="G2463" s="451" t="s">
        <v>575</v>
      </c>
      <c r="H2463" s="7" t="s">
        <v>1549</v>
      </c>
      <c r="I2463" s="251">
        <v>35</v>
      </c>
      <c r="J2463" s="251">
        <v>9035.4790563323168</v>
      </c>
      <c r="K2463" s="38">
        <f t="shared" si="122"/>
        <v>316242</v>
      </c>
      <c r="L2463" s="561" t="s">
        <v>166</v>
      </c>
      <c r="M2463" s="561" t="s">
        <v>164</v>
      </c>
      <c r="N2463" s="52" t="str">
        <f>IF(AND('331-CT'!$E$7=TH!H2463,OR(L2463="331",M2463="331")),"331",IF(AND(OR(L2463="131",M2463="131"),H2463='131-CT'!$E$7),"131",""))</f>
        <v/>
      </c>
      <c r="O2463" s="818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751"/>
      <c r="AB2463" s="552"/>
    </row>
    <row r="2464" spans="1:28" s="209" customFormat="1" ht="15.75" customHeight="1">
      <c r="A2464" s="202" t="str">
        <f>IF(B2464&lt;&gt;"",IF(AND(B2464&gt;=_TM1,B2464&lt;=_TM2,OR(TH!L2464="1111",TH!M2464="1111")),TH!D2464,""),"")</f>
        <v/>
      </c>
      <c r="B2464" s="36">
        <f t="shared" si="124"/>
        <v>6</v>
      </c>
      <c r="C2464" s="182">
        <f t="shared" si="123"/>
        <v>42522</v>
      </c>
      <c r="D2464" s="182" t="s">
        <v>1547</v>
      </c>
      <c r="E2464" s="189">
        <v>42522</v>
      </c>
      <c r="F2464" s="187" t="s">
        <v>1044</v>
      </c>
      <c r="G2464" s="451" t="s">
        <v>575</v>
      </c>
      <c r="H2464" s="7" t="s">
        <v>1549</v>
      </c>
      <c r="I2464" s="251">
        <v>24</v>
      </c>
      <c r="J2464" s="251">
        <v>10484.565320083726</v>
      </c>
      <c r="K2464" s="38">
        <f t="shared" si="122"/>
        <v>251630</v>
      </c>
      <c r="L2464" s="561" t="s">
        <v>166</v>
      </c>
      <c r="M2464" s="561" t="s">
        <v>164</v>
      </c>
      <c r="N2464" s="52" t="str">
        <f>IF(AND('331-CT'!$E$7=TH!H2464,OR(L2464="331",M2464="331")),"331",IF(AND(OR(L2464="131",M2464="131"),H2464='131-CT'!$E$7),"131",""))</f>
        <v/>
      </c>
      <c r="O2464" s="818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751"/>
    </row>
    <row r="2465" spans="1:28" s="209" customFormat="1" ht="15.75" customHeight="1">
      <c r="A2465" s="202" t="str">
        <f>IF(B2465&lt;&gt;"",IF(AND(B2465&gt;=_TM1,B2465&lt;=_TM2,OR(TH!L2465="1111",TH!M2465="1111")),TH!D2465,""),"")</f>
        <v/>
      </c>
      <c r="B2465" s="36">
        <f t="shared" si="124"/>
        <v>6</v>
      </c>
      <c r="C2465" s="182">
        <f t="shared" si="123"/>
        <v>42522</v>
      </c>
      <c r="D2465" s="182" t="s">
        <v>1547</v>
      </c>
      <c r="E2465" s="189">
        <v>42522</v>
      </c>
      <c r="F2465" s="187" t="s">
        <v>933</v>
      </c>
      <c r="G2465" s="451" t="s">
        <v>575</v>
      </c>
      <c r="H2465" s="7" t="s">
        <v>1549</v>
      </c>
      <c r="I2465" s="251">
        <v>13</v>
      </c>
      <c r="J2465" s="251">
        <v>12018.8919522911</v>
      </c>
      <c r="K2465" s="38">
        <f t="shared" si="122"/>
        <v>156246</v>
      </c>
      <c r="L2465" s="561" t="s">
        <v>166</v>
      </c>
      <c r="M2465" s="561" t="s">
        <v>164</v>
      </c>
      <c r="N2465" s="52" t="str">
        <f>IF(AND('331-CT'!$E$7=TH!H2465,OR(L2465="331",M2465="331")),"331",IF(AND(OR(L2465="131",M2465="131"),H2465='131-CT'!$E$7),"131",""))</f>
        <v/>
      </c>
      <c r="O2465" s="818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751"/>
    </row>
    <row r="2466" spans="1:28" s="209" customFormat="1" ht="15.75" customHeight="1">
      <c r="A2466" s="202" t="str">
        <f>IF(B2466&lt;&gt;"",IF(AND(B2466&gt;=_TM1,B2466&lt;=_TM2,OR(TH!L2466="1111",TH!M2466="1111")),TH!D2466,""),"")</f>
        <v/>
      </c>
      <c r="B2466" s="36">
        <f t="shared" si="124"/>
        <v>6</v>
      </c>
      <c r="C2466" s="182">
        <f t="shared" si="123"/>
        <v>42522</v>
      </c>
      <c r="D2466" s="182" t="s">
        <v>1547</v>
      </c>
      <c r="E2466" s="189">
        <v>42522</v>
      </c>
      <c r="F2466" s="187" t="s">
        <v>1045</v>
      </c>
      <c r="G2466" s="451" t="s">
        <v>575</v>
      </c>
      <c r="H2466" s="7" t="s">
        <v>1549</v>
      </c>
      <c r="I2466" s="251">
        <v>90</v>
      </c>
      <c r="J2466" s="251">
        <v>10569.805688539691</v>
      </c>
      <c r="K2466" s="38">
        <f t="shared" si="122"/>
        <v>951283</v>
      </c>
      <c r="L2466" s="561" t="s">
        <v>166</v>
      </c>
      <c r="M2466" s="561" t="s">
        <v>164</v>
      </c>
      <c r="N2466" s="52" t="str">
        <f>IF(AND('331-CT'!$E$7=TH!H2466,OR(L2466="331",M2466="331")),"331",IF(AND(OR(L2466="131",M2466="131"),H2466='131-CT'!$E$7),"131",""))</f>
        <v/>
      </c>
      <c r="O2466" s="818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51"/>
    </row>
    <row r="2467" spans="1:28" s="209" customFormat="1" ht="15.75" customHeight="1">
      <c r="A2467" s="202" t="str">
        <f>IF(B2467&lt;&gt;"",IF(AND(B2467&gt;=_TM1,B2467&lt;=_TM2,OR(TH!L2467="1111",TH!M2467="1111")),TH!D2467,""),"")</f>
        <v/>
      </c>
      <c r="B2467" s="36">
        <f t="shared" si="124"/>
        <v>6</v>
      </c>
      <c r="C2467" s="182">
        <f t="shared" si="123"/>
        <v>42522</v>
      </c>
      <c r="D2467" s="182" t="s">
        <v>1547</v>
      </c>
      <c r="E2467" s="189">
        <v>42522</v>
      </c>
      <c r="F2467" s="187" t="s">
        <v>1046</v>
      </c>
      <c r="G2467" s="451" t="s">
        <v>575</v>
      </c>
      <c r="H2467" s="7" t="s">
        <v>1549</v>
      </c>
      <c r="I2467" s="251">
        <v>24</v>
      </c>
      <c r="J2467" s="251">
        <v>6989.7102133891503</v>
      </c>
      <c r="K2467" s="38">
        <f t="shared" si="122"/>
        <v>167753</v>
      </c>
      <c r="L2467" s="561" t="s">
        <v>166</v>
      </c>
      <c r="M2467" s="561" t="s">
        <v>164</v>
      </c>
      <c r="N2467" s="52" t="str">
        <f>IF(AND('331-CT'!$E$7=TH!H2467,OR(L2467="331",M2467="331")),"331",IF(AND(OR(L2467="131",M2467="131"),H2467='131-CT'!$E$7),"131",""))</f>
        <v/>
      </c>
      <c r="O2467" s="818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51"/>
    </row>
    <row r="2468" spans="1:28" s="209" customFormat="1" ht="15.75" customHeight="1">
      <c r="A2468" s="202" t="str">
        <f>IF(B2468&lt;&gt;"",IF(AND(B2468&gt;=_TM1,B2468&lt;=_TM2,OR(TH!L2468="1111",TH!M2468="1111")),TH!D2468,""),"")</f>
        <v/>
      </c>
      <c r="B2468" s="36">
        <f t="shared" si="124"/>
        <v>6</v>
      </c>
      <c r="C2468" s="182">
        <f t="shared" si="123"/>
        <v>42522</v>
      </c>
      <c r="D2468" s="182" t="s">
        <v>1547</v>
      </c>
      <c r="E2468" s="189">
        <v>42522</v>
      </c>
      <c r="F2468" s="187" t="s">
        <v>1047</v>
      </c>
      <c r="G2468" s="451" t="s">
        <v>575</v>
      </c>
      <c r="H2468" s="7" t="s">
        <v>1549</v>
      </c>
      <c r="I2468" s="251">
        <v>90</v>
      </c>
      <c r="J2468" s="251">
        <v>11848.41121537917</v>
      </c>
      <c r="K2468" s="38">
        <f t="shared" si="122"/>
        <v>1066357</v>
      </c>
      <c r="L2468" s="561" t="s">
        <v>166</v>
      </c>
      <c r="M2468" s="561" t="s">
        <v>164</v>
      </c>
      <c r="N2468" s="52" t="str">
        <f>IF(AND('331-CT'!$E$7=TH!H2468,OR(L2468="331",M2468="331")),"331",IF(AND(OR(L2468="131",M2468="131"),H2468='131-CT'!$E$7),"131",""))</f>
        <v/>
      </c>
      <c r="O2468" s="818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51"/>
    </row>
    <row r="2469" spans="1:28" s="209" customFormat="1" ht="15.75" customHeight="1">
      <c r="A2469" s="202" t="str">
        <f>IF(B2469&lt;&gt;"",IF(AND(B2469&gt;=_TM1,B2469&lt;=_TM2,OR(TH!L2469="1111",TH!M2469="1111")),TH!D2469,""),"")</f>
        <v/>
      </c>
      <c r="B2469" s="36">
        <f t="shared" si="124"/>
        <v>6</v>
      </c>
      <c r="C2469" s="182">
        <f t="shared" si="123"/>
        <v>42522</v>
      </c>
      <c r="D2469" s="182" t="s">
        <v>1547</v>
      </c>
      <c r="E2469" s="189">
        <v>42522</v>
      </c>
      <c r="F2469" s="187" t="s">
        <v>1048</v>
      </c>
      <c r="G2469" s="451" t="s">
        <v>575</v>
      </c>
      <c r="H2469" s="7" t="s">
        <v>1549</v>
      </c>
      <c r="I2469" s="251">
        <v>55</v>
      </c>
      <c r="J2469" s="251">
        <v>9973.1231093479346</v>
      </c>
      <c r="K2469" s="38">
        <f t="shared" si="122"/>
        <v>548522</v>
      </c>
      <c r="L2469" s="561" t="s">
        <v>166</v>
      </c>
      <c r="M2469" s="561" t="s">
        <v>164</v>
      </c>
      <c r="N2469" s="52" t="str">
        <f>IF(AND('331-CT'!$E$7=TH!H2469,OR(L2469="331",M2469="331")),"331",IF(AND(OR(L2469="131",M2469="131"),H2469='131-CT'!$E$7),"131",""))</f>
        <v/>
      </c>
      <c r="O2469" s="818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751"/>
    </row>
    <row r="2470" spans="1:28" s="209" customFormat="1" ht="15.75" customHeight="1">
      <c r="A2470" s="202" t="str">
        <f>IF(B2470&lt;&gt;"",IF(AND(B2470&gt;=_TM1,B2470&lt;=_TM2,OR(TH!L2470="1111",TH!M2470="1111")),TH!D2470,""),"")</f>
        <v/>
      </c>
      <c r="B2470" s="36">
        <f t="shared" si="124"/>
        <v>6</v>
      </c>
      <c r="C2470" s="182">
        <f t="shared" si="123"/>
        <v>42522</v>
      </c>
      <c r="D2470" s="182" t="s">
        <v>1547</v>
      </c>
      <c r="E2470" s="189">
        <v>42522</v>
      </c>
      <c r="F2470" s="187" t="s">
        <v>1049</v>
      </c>
      <c r="G2470" s="451" t="s">
        <v>575</v>
      </c>
      <c r="H2470" s="7" t="s">
        <v>1549</v>
      </c>
      <c r="I2470" s="251">
        <v>210</v>
      </c>
      <c r="J2470" s="251">
        <v>13723.699321410406</v>
      </c>
      <c r="K2470" s="38">
        <f t="shared" si="122"/>
        <v>2881977</v>
      </c>
      <c r="L2470" s="561" t="s">
        <v>166</v>
      </c>
      <c r="M2470" s="561" t="s">
        <v>164</v>
      </c>
      <c r="N2470" s="52" t="str">
        <f>IF(AND('331-CT'!$E$7=TH!H2470,OR(L2470="331",M2470="331")),"331",IF(AND(OR(L2470="131",M2470="131"),H2470='131-CT'!$E$7),"131",""))</f>
        <v/>
      </c>
      <c r="O2470" s="818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751"/>
    </row>
    <row r="2471" spans="1:28" s="209" customFormat="1" ht="15.75" customHeight="1">
      <c r="A2471" s="202" t="str">
        <f>IF(B2471&lt;&gt;"",IF(AND(B2471&gt;=_TM1,B2471&lt;=_TM2,OR(TH!L2471="1111",TH!M2471="1111")),TH!D2471,""),"")</f>
        <v/>
      </c>
      <c r="B2471" s="36">
        <f t="shared" si="124"/>
        <v>6</v>
      </c>
      <c r="C2471" s="182">
        <f t="shared" si="123"/>
        <v>42522</v>
      </c>
      <c r="D2471" s="182" t="s">
        <v>1547</v>
      </c>
      <c r="E2471" s="189">
        <v>42522</v>
      </c>
      <c r="F2471" s="187" t="s">
        <v>1050</v>
      </c>
      <c r="G2471" s="451" t="s">
        <v>576</v>
      </c>
      <c r="H2471" s="7" t="s">
        <v>1549</v>
      </c>
      <c r="I2471" s="251">
        <v>210</v>
      </c>
      <c r="J2471" s="251">
        <v>9376.4405301561783</v>
      </c>
      <c r="K2471" s="38">
        <f t="shared" si="122"/>
        <v>1969053</v>
      </c>
      <c r="L2471" s="561" t="s">
        <v>166</v>
      </c>
      <c r="M2471" s="561" t="s">
        <v>164</v>
      </c>
      <c r="N2471" s="52" t="str">
        <f>IF(AND('331-CT'!$E$7=TH!H2471,OR(L2471="331",M2471="331")),"331",IF(AND(OR(L2471="131",M2471="131"),H2471='131-CT'!$E$7),"131",""))</f>
        <v/>
      </c>
      <c r="O2471" s="818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751"/>
    </row>
    <row r="2472" spans="1:28" s="209" customFormat="1" ht="15.75" customHeight="1">
      <c r="A2472" s="202" t="str">
        <f>IF(B2472&lt;&gt;"",IF(AND(B2472&gt;=_TM1,B2472&lt;=_TM2,OR(TH!L2472="1111",TH!M2472="1111")),TH!D2472,""),"")</f>
        <v/>
      </c>
      <c r="B2472" s="36">
        <f t="shared" si="124"/>
        <v>6</v>
      </c>
      <c r="C2472" s="182">
        <f t="shared" si="123"/>
        <v>42522</v>
      </c>
      <c r="D2472" s="182" t="s">
        <v>1547</v>
      </c>
      <c r="E2472" s="189">
        <v>42522</v>
      </c>
      <c r="F2472" s="187" t="s">
        <v>474</v>
      </c>
      <c r="G2472" s="451" t="s">
        <v>576</v>
      </c>
      <c r="H2472" s="7" t="s">
        <v>1549</v>
      </c>
      <c r="I2472" s="251">
        <v>204</v>
      </c>
      <c r="J2472" s="251">
        <v>10910.767162363552</v>
      </c>
      <c r="K2472" s="38">
        <f t="shared" si="122"/>
        <v>2225797</v>
      </c>
      <c r="L2472" s="561" t="s">
        <v>166</v>
      </c>
      <c r="M2472" s="561" t="s">
        <v>164</v>
      </c>
      <c r="N2472" s="52" t="str">
        <f>IF(AND('331-CT'!$E$7=TH!H2472,OR(L2472="331",M2472="331")),"331",IF(AND(OR(L2472="131",M2472="131"),H2472='131-CT'!$E$7),"131",""))</f>
        <v/>
      </c>
      <c r="O2472" s="818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751"/>
      <c r="AB2472" s="552"/>
    </row>
    <row r="2473" spans="1:28" s="209" customFormat="1" ht="15.75" customHeight="1">
      <c r="A2473" s="202" t="str">
        <f>IF(B2473&lt;&gt;"",IF(AND(B2473&gt;=_TM1,B2473&lt;=_TM2,OR(TH!L2473="1111",TH!M2473="1111")),TH!D2473,""),"")</f>
        <v/>
      </c>
      <c r="B2473" s="36">
        <f t="shared" si="124"/>
        <v>6</v>
      </c>
      <c r="C2473" s="182">
        <f t="shared" si="123"/>
        <v>42522</v>
      </c>
      <c r="D2473" s="182" t="s">
        <v>1547</v>
      </c>
      <c r="E2473" s="189">
        <v>42522</v>
      </c>
      <c r="F2473" s="187" t="s">
        <v>438</v>
      </c>
      <c r="G2473" s="451" t="s">
        <v>577</v>
      </c>
      <c r="H2473" s="7" t="s">
        <v>1549</v>
      </c>
      <c r="I2473" s="251">
        <v>220</v>
      </c>
      <c r="J2473" s="251">
        <v>5966.8257919175676</v>
      </c>
      <c r="K2473" s="38">
        <f t="shared" si="122"/>
        <v>1312702</v>
      </c>
      <c r="L2473" s="561" t="s">
        <v>166</v>
      </c>
      <c r="M2473" s="561" t="s">
        <v>164</v>
      </c>
      <c r="N2473" s="52" t="str">
        <f>IF(AND('331-CT'!$E$7=TH!H2473,OR(L2473="331",M2473="331")),"331",IF(AND(OR(L2473="131",M2473="131"),H2473='131-CT'!$E$7),"131",""))</f>
        <v/>
      </c>
      <c r="O2473" s="818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751"/>
    </row>
    <row r="2474" spans="1:28" s="209" customFormat="1" ht="15.75" customHeight="1">
      <c r="A2474" s="202" t="str">
        <f>IF(B2474&lt;&gt;"",IF(AND(B2474&gt;=_TM1,B2474&lt;=_TM2,OR(TH!L2474="1111",TH!M2474="1111")),TH!D2474,""),"")</f>
        <v/>
      </c>
      <c r="B2474" s="36">
        <f t="shared" si="124"/>
        <v>6</v>
      </c>
      <c r="C2474" s="182">
        <f t="shared" si="123"/>
        <v>42527</v>
      </c>
      <c r="D2474" s="182" t="s">
        <v>1547</v>
      </c>
      <c r="E2474" s="189">
        <v>42527</v>
      </c>
      <c r="F2474" s="187" t="s">
        <v>414</v>
      </c>
      <c r="G2474" s="451" t="s">
        <v>578</v>
      </c>
      <c r="H2474" s="7" t="s">
        <v>1549</v>
      </c>
      <c r="I2474" s="251">
        <v>780</v>
      </c>
      <c r="J2474" s="251">
        <v>7756.8735294928383</v>
      </c>
      <c r="K2474" s="38">
        <f t="shared" si="122"/>
        <v>6050361</v>
      </c>
      <c r="L2474" s="561" t="s">
        <v>166</v>
      </c>
      <c r="M2474" s="561" t="s">
        <v>164</v>
      </c>
      <c r="N2474" s="52" t="str">
        <f>IF(AND('331-CT'!$E$7=TH!H2474,OR(L2474="331",M2474="331")),"331",IF(AND(OR(L2474="131",M2474="131"),H2474='131-CT'!$E$7),"131",""))</f>
        <v/>
      </c>
      <c r="O2474" s="818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751"/>
    </row>
    <row r="2475" spans="1:28" s="209" customFormat="1" ht="15.75" customHeight="1">
      <c r="A2475" s="202" t="str">
        <f>IF(B2475&lt;&gt;"",IF(AND(B2475&gt;=_TM1,B2475&lt;=_TM2,OR(TH!L2475="1111",TH!M2475="1111")),TH!D2475,""),"")</f>
        <v/>
      </c>
      <c r="B2475" s="36">
        <f t="shared" si="124"/>
        <v>6</v>
      </c>
      <c r="C2475" s="182">
        <f t="shared" si="123"/>
        <v>42527</v>
      </c>
      <c r="D2475" s="182" t="s">
        <v>1547</v>
      </c>
      <c r="E2475" s="189">
        <v>42527</v>
      </c>
      <c r="F2475" s="187" t="s">
        <v>646</v>
      </c>
      <c r="G2475" s="451" t="s">
        <v>579</v>
      </c>
      <c r="H2475" s="7" t="s">
        <v>1549</v>
      </c>
      <c r="I2475" s="251">
        <v>2000</v>
      </c>
      <c r="J2475" s="251">
        <v>6733.9891080212556</v>
      </c>
      <c r="K2475" s="38">
        <f t="shared" si="122"/>
        <v>13467978</v>
      </c>
      <c r="L2475" s="561" t="s">
        <v>166</v>
      </c>
      <c r="M2475" s="561" t="s">
        <v>164</v>
      </c>
      <c r="N2475" s="52" t="str">
        <f>IF(AND('331-CT'!$E$7=TH!H2475,OR(L2475="331",M2475="331")),"331",IF(AND(OR(L2475="131",M2475="131"),H2475='131-CT'!$E$7),"131",""))</f>
        <v/>
      </c>
      <c r="O2475" s="818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751"/>
    </row>
    <row r="2476" spans="1:28" s="209" customFormat="1" ht="15.75" customHeight="1">
      <c r="A2476" s="202" t="str">
        <f>IF(B2476&lt;&gt;"",IF(AND(B2476&gt;=_TM1,B2476&lt;=_TM2,OR(TH!L2476="1111",TH!M2476="1111")),TH!D2476,""),"")</f>
        <v/>
      </c>
      <c r="B2476" s="36">
        <f t="shared" si="124"/>
        <v>6</v>
      </c>
      <c r="C2476" s="182">
        <f t="shared" si="123"/>
        <v>42527</v>
      </c>
      <c r="D2476" s="182" t="s">
        <v>1547</v>
      </c>
      <c r="E2476" s="189">
        <v>42527</v>
      </c>
      <c r="F2476" s="187" t="s">
        <v>436</v>
      </c>
      <c r="G2476" s="451" t="s">
        <v>1051</v>
      </c>
      <c r="H2476" s="7" t="s">
        <v>1549</v>
      </c>
      <c r="I2476" s="251">
        <v>517</v>
      </c>
      <c r="J2476" s="251">
        <v>5796.3450550056377</v>
      </c>
      <c r="K2476" s="38">
        <f t="shared" si="122"/>
        <v>2996710</v>
      </c>
      <c r="L2476" s="561" t="s">
        <v>166</v>
      </c>
      <c r="M2476" s="561" t="s">
        <v>164</v>
      </c>
      <c r="N2476" s="52" t="str">
        <f>IF(AND('331-CT'!$E$7=TH!H2476,OR(L2476="331",M2476="331")),"331",IF(AND(OR(L2476="131",M2476="131"),H2476='131-CT'!$E$7),"131",""))</f>
        <v/>
      </c>
      <c r="O2476" s="818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751"/>
    </row>
    <row r="2477" spans="1:28" s="209" customFormat="1" ht="15.75" customHeight="1">
      <c r="A2477" s="202" t="str">
        <f>IF(B2477&lt;&gt;"",IF(AND(B2477&gt;=_TM1,B2477&lt;=_TM2,OR(TH!L2477="1111",TH!M2477="1111")),TH!D2477,""),"")</f>
        <v/>
      </c>
      <c r="B2477" s="36">
        <f t="shared" si="124"/>
        <v>6</v>
      </c>
      <c r="C2477" s="182">
        <f t="shared" si="123"/>
        <v>42528</v>
      </c>
      <c r="D2477" s="182" t="s">
        <v>1547</v>
      </c>
      <c r="E2477" s="189">
        <v>42528</v>
      </c>
      <c r="F2477" s="187" t="s">
        <v>627</v>
      </c>
      <c r="G2477" s="451" t="s">
        <v>580</v>
      </c>
      <c r="H2477" s="7" t="s">
        <v>1549</v>
      </c>
      <c r="I2477" s="251">
        <v>308</v>
      </c>
      <c r="J2477" s="251">
        <v>6393.027634197394</v>
      </c>
      <c r="K2477" s="38">
        <f t="shared" si="122"/>
        <v>1969053</v>
      </c>
      <c r="L2477" s="561" t="s">
        <v>166</v>
      </c>
      <c r="M2477" s="561" t="s">
        <v>164</v>
      </c>
      <c r="N2477" s="52" t="str">
        <f>IF(AND('331-CT'!$E$7=TH!H2477,OR(L2477="331",M2477="331")),"331",IF(AND(OR(L2477="131",M2477="131"),H2477='131-CT'!$E$7),"131",""))</f>
        <v/>
      </c>
      <c r="O2477" s="818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751"/>
    </row>
    <row r="2478" spans="1:28" s="209" customFormat="1" ht="15.75" customHeight="1">
      <c r="A2478" s="202" t="str">
        <f>IF(B2478&lt;&gt;"",IF(AND(B2478&gt;=_TM1,B2478&lt;=_TM2,OR(TH!L2478="1111",TH!M2478="1111")),TH!D2478,""),"")</f>
        <v/>
      </c>
      <c r="B2478" s="36">
        <f t="shared" si="124"/>
        <v>6</v>
      </c>
      <c r="C2478" s="182">
        <f t="shared" si="123"/>
        <v>42528</v>
      </c>
      <c r="D2478" s="182" t="s">
        <v>1547</v>
      </c>
      <c r="E2478" s="189">
        <v>42528</v>
      </c>
      <c r="F2478" s="187" t="s">
        <v>400</v>
      </c>
      <c r="G2478" s="451" t="s">
        <v>580</v>
      </c>
      <c r="H2478" s="7" t="s">
        <v>1549</v>
      </c>
      <c r="I2478" s="251">
        <v>308</v>
      </c>
      <c r="J2478" s="251">
        <v>8097.8350033166989</v>
      </c>
      <c r="K2478" s="38">
        <f t="shared" si="122"/>
        <v>2494133</v>
      </c>
      <c r="L2478" s="561" t="s">
        <v>166</v>
      </c>
      <c r="M2478" s="561" t="s">
        <v>164</v>
      </c>
      <c r="N2478" s="52" t="str">
        <f>IF(AND('331-CT'!$E$7=TH!H2478,OR(L2478="331",M2478="331")),"331",IF(AND(OR(L2478="131",M2478="131"),H2478='131-CT'!$E$7),"131",""))</f>
        <v/>
      </c>
      <c r="O2478" s="818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751"/>
    </row>
    <row r="2479" spans="1:28" s="209" customFormat="1" ht="15.75" customHeight="1">
      <c r="A2479" s="202" t="str">
        <f>IF(B2479&lt;&gt;"",IF(AND(B2479&gt;=_TM1,B2479&lt;=_TM2,OR(TH!L2479="1111",TH!M2479="1111")),TH!D2479,""),"")</f>
        <v/>
      </c>
      <c r="B2479" s="36">
        <f t="shared" si="124"/>
        <v>6</v>
      </c>
      <c r="C2479" s="182">
        <f t="shared" si="123"/>
        <v>42529</v>
      </c>
      <c r="D2479" s="182" t="s">
        <v>1547</v>
      </c>
      <c r="E2479" s="189">
        <v>42529</v>
      </c>
      <c r="F2479" s="187" t="s">
        <v>436</v>
      </c>
      <c r="G2479" s="451" t="s">
        <v>581</v>
      </c>
      <c r="H2479" s="7" t="s">
        <v>1549</v>
      </c>
      <c r="I2479" s="251">
        <v>1023</v>
      </c>
      <c r="J2479" s="251">
        <v>5796.3450550056377</v>
      </c>
      <c r="K2479" s="38">
        <f t="shared" ref="K2479:K2542" si="125">ROUND(I2479*J2479,0)</f>
        <v>5929661</v>
      </c>
      <c r="L2479" s="561" t="s">
        <v>166</v>
      </c>
      <c r="M2479" s="561" t="s">
        <v>164</v>
      </c>
      <c r="N2479" s="52" t="str">
        <f>IF(AND('331-CT'!$E$7=TH!H2479,OR(L2479="331",M2479="331")),"331",IF(AND(OR(L2479="131",M2479="131"),H2479='131-CT'!$E$7),"131",""))</f>
        <v/>
      </c>
      <c r="O2479" s="818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751"/>
    </row>
    <row r="2480" spans="1:28" s="209" customFormat="1" ht="15.75" customHeight="1">
      <c r="A2480" s="202" t="str">
        <f>IF(B2480&lt;&gt;"",IF(AND(B2480&gt;=_TM1,B2480&lt;=_TM2,OR(TH!L2480="1111",TH!M2480="1111")),TH!D2480,""),"")</f>
        <v/>
      </c>
      <c r="B2480" s="36">
        <f t="shared" si="124"/>
        <v>6</v>
      </c>
      <c r="C2480" s="182">
        <f t="shared" si="123"/>
        <v>42530</v>
      </c>
      <c r="D2480" s="182" t="s">
        <v>1547</v>
      </c>
      <c r="E2480" s="189">
        <v>42530</v>
      </c>
      <c r="F2480" s="187" t="s">
        <v>1052</v>
      </c>
      <c r="G2480" s="451" t="s">
        <v>582</v>
      </c>
      <c r="H2480" s="7" t="s">
        <v>1549</v>
      </c>
      <c r="I2480" s="251">
        <v>1010</v>
      </c>
      <c r="J2480" s="251">
        <v>11166.488267731449</v>
      </c>
      <c r="K2480" s="38">
        <f t="shared" si="125"/>
        <v>11278153</v>
      </c>
      <c r="L2480" s="561" t="s">
        <v>166</v>
      </c>
      <c r="M2480" s="561" t="s">
        <v>164</v>
      </c>
      <c r="N2480" s="52" t="str">
        <f>IF(AND('331-CT'!$E$7=TH!H2480,OR(L2480="331",M2480="331")),"331",IF(AND(OR(L2480="131",M2480="131"),H2480='131-CT'!$E$7),"131",""))</f>
        <v/>
      </c>
      <c r="O2480" s="818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751"/>
    </row>
    <row r="2481" spans="1:27" s="209" customFormat="1" ht="15.75" customHeight="1">
      <c r="A2481" s="202" t="str">
        <f>IF(B2481&lt;&gt;"",IF(AND(B2481&gt;=_TM1,B2481&lt;=_TM2,OR(TH!L2481="1111",TH!M2481="1111")),TH!D2481,""),"")</f>
        <v/>
      </c>
      <c r="B2481" s="36">
        <f t="shared" si="124"/>
        <v>6</v>
      </c>
      <c r="C2481" s="182">
        <f t="shared" si="123"/>
        <v>42530</v>
      </c>
      <c r="D2481" s="182" t="s">
        <v>1547</v>
      </c>
      <c r="E2481" s="189">
        <v>42530</v>
      </c>
      <c r="F2481" s="187" t="s">
        <v>645</v>
      </c>
      <c r="G2481" s="451" t="s">
        <v>582</v>
      </c>
      <c r="H2481" s="7" t="s">
        <v>1549</v>
      </c>
      <c r="I2481" s="251">
        <v>50</v>
      </c>
      <c r="J2481" s="251">
        <v>11166.488267731449</v>
      </c>
      <c r="K2481" s="38">
        <f t="shared" si="125"/>
        <v>558324</v>
      </c>
      <c r="L2481" s="561" t="s">
        <v>166</v>
      </c>
      <c r="M2481" s="561" t="s">
        <v>164</v>
      </c>
      <c r="N2481" s="52" t="str">
        <f>IF(AND('331-CT'!$E$7=TH!H2481,OR(L2481="331",M2481="331")),"331",IF(AND(OR(L2481="131",M2481="131"),H2481='131-CT'!$E$7),"131",""))</f>
        <v/>
      </c>
      <c r="O2481" s="818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751"/>
    </row>
    <row r="2482" spans="1:27" s="209" customFormat="1" ht="15.75" customHeight="1">
      <c r="A2482" s="202" t="str">
        <f>IF(B2482&lt;&gt;"",IF(AND(B2482&gt;=_TM1,B2482&lt;=_TM2,OR(TH!L2482="1111",TH!M2482="1111")),TH!D2482,""),"")</f>
        <v/>
      </c>
      <c r="B2482" s="36">
        <f t="shared" si="124"/>
        <v>6</v>
      </c>
      <c r="C2482" s="182">
        <f t="shared" si="123"/>
        <v>42530</v>
      </c>
      <c r="D2482" s="182" t="s">
        <v>1547</v>
      </c>
      <c r="E2482" s="189">
        <v>42530</v>
      </c>
      <c r="F2482" s="187" t="s">
        <v>693</v>
      </c>
      <c r="G2482" s="451" t="s">
        <v>582</v>
      </c>
      <c r="H2482" s="7" t="s">
        <v>1549</v>
      </c>
      <c r="I2482" s="251">
        <v>2120</v>
      </c>
      <c r="J2482" s="251">
        <v>767.16331610368729</v>
      </c>
      <c r="K2482" s="38">
        <f t="shared" si="125"/>
        <v>1626386</v>
      </c>
      <c r="L2482" s="561" t="s">
        <v>166</v>
      </c>
      <c r="M2482" s="561" t="s">
        <v>164</v>
      </c>
      <c r="N2482" s="52" t="str">
        <f>IF(AND('331-CT'!$E$7=TH!H2482,OR(L2482="331",M2482="331")),"331",IF(AND(OR(L2482="131",M2482="131"),H2482='131-CT'!$E$7),"131",""))</f>
        <v/>
      </c>
      <c r="O2482" s="818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751"/>
    </row>
    <row r="2483" spans="1:27" s="209" customFormat="1" ht="15.75" customHeight="1">
      <c r="A2483" s="202" t="str">
        <f>IF(B2483&lt;&gt;"",IF(AND(B2483&gt;=_TM1,B2483&lt;=_TM2,OR(TH!L2483="1111",TH!M2483="1111")),TH!D2483,""),"")</f>
        <v/>
      </c>
      <c r="B2483" s="36">
        <f t="shared" si="124"/>
        <v>6</v>
      </c>
      <c r="C2483" s="182">
        <f t="shared" si="123"/>
        <v>42530</v>
      </c>
      <c r="D2483" s="182" t="s">
        <v>1547</v>
      </c>
      <c r="E2483" s="189">
        <v>42530</v>
      </c>
      <c r="F2483" s="187" t="s">
        <v>1029</v>
      </c>
      <c r="G2483" s="451" t="s">
        <v>583</v>
      </c>
      <c r="H2483" s="7" t="s">
        <v>1549</v>
      </c>
      <c r="I2483" s="251">
        <v>490</v>
      </c>
      <c r="J2483" s="251">
        <v>4773.460633534055</v>
      </c>
      <c r="K2483" s="38">
        <f t="shared" si="125"/>
        <v>2338996</v>
      </c>
      <c r="L2483" s="561" t="s">
        <v>166</v>
      </c>
      <c r="M2483" s="561" t="s">
        <v>164</v>
      </c>
      <c r="N2483" s="52" t="str">
        <f>IF(AND('331-CT'!$E$7=TH!H2483,OR(L2483="331",M2483="331")),"331",IF(AND(OR(L2483="131",M2483="131"),H2483='131-CT'!$E$7),"131",""))</f>
        <v/>
      </c>
      <c r="O2483" s="818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751"/>
    </row>
    <row r="2484" spans="1:27" s="209" customFormat="1" ht="15.75" customHeight="1">
      <c r="A2484" s="202" t="str">
        <f>IF(B2484&lt;&gt;"",IF(AND(B2484&gt;=_TM1,B2484&lt;=_TM2,OR(TH!L2484="1111",TH!M2484="1111")),TH!D2484,""),"")</f>
        <v/>
      </c>
      <c r="B2484" s="36">
        <f t="shared" si="124"/>
        <v>6</v>
      </c>
      <c r="C2484" s="182">
        <f t="shared" si="123"/>
        <v>42530</v>
      </c>
      <c r="D2484" s="182" t="s">
        <v>1547</v>
      </c>
      <c r="E2484" s="189">
        <v>42530</v>
      </c>
      <c r="F2484" s="187" t="s">
        <v>1054</v>
      </c>
      <c r="G2484" s="451" t="s">
        <v>583</v>
      </c>
      <c r="H2484" s="7" t="s">
        <v>1549</v>
      </c>
      <c r="I2484" s="251">
        <v>510</v>
      </c>
      <c r="J2484" s="251">
        <v>5881.5854234616017</v>
      </c>
      <c r="K2484" s="38">
        <f t="shared" si="125"/>
        <v>2999609</v>
      </c>
      <c r="L2484" s="561" t="s">
        <v>166</v>
      </c>
      <c r="M2484" s="561" t="s">
        <v>164</v>
      </c>
      <c r="N2484" s="52" t="str">
        <f>IF(AND('331-CT'!$E$7=TH!H2484,OR(L2484="331",M2484="331")),"331",IF(AND(OR(L2484="131",M2484="131"),H2484='131-CT'!$E$7),"131",""))</f>
        <v/>
      </c>
      <c r="O2484" s="818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751"/>
    </row>
    <row r="2485" spans="1:27" s="209" customFormat="1" ht="15.75" customHeight="1">
      <c r="A2485" s="202" t="str">
        <f>IF(B2485&lt;&gt;"",IF(AND(B2485&gt;=_TM1,B2485&lt;=_TM2,OR(TH!L2485="1111",TH!M2485="1111")),TH!D2485,""),"")</f>
        <v/>
      </c>
      <c r="B2485" s="36">
        <f t="shared" si="124"/>
        <v>6</v>
      </c>
      <c r="C2485" s="182">
        <f t="shared" si="123"/>
        <v>42535</v>
      </c>
      <c r="D2485" s="182" t="s">
        <v>1547</v>
      </c>
      <c r="E2485" s="189">
        <v>42535</v>
      </c>
      <c r="F2485" s="187" t="s">
        <v>436</v>
      </c>
      <c r="G2485" s="451" t="s">
        <v>584</v>
      </c>
      <c r="H2485" s="7" t="s">
        <v>1549</v>
      </c>
      <c r="I2485" s="251">
        <v>402</v>
      </c>
      <c r="J2485" s="251">
        <v>5796.3450550056377</v>
      </c>
      <c r="K2485" s="38">
        <f t="shared" si="125"/>
        <v>2330131</v>
      </c>
      <c r="L2485" s="561" t="s">
        <v>166</v>
      </c>
      <c r="M2485" s="561" t="s">
        <v>164</v>
      </c>
      <c r="N2485" s="52" t="str">
        <f>IF(AND('331-CT'!$E$7=TH!H2485,OR(L2485="331",M2485="331")),"331",IF(AND(OR(L2485="131",M2485="131"),H2485='131-CT'!$E$7),"131",""))</f>
        <v/>
      </c>
      <c r="O2485" s="818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751"/>
    </row>
    <row r="2486" spans="1:27" s="209" customFormat="1" ht="15.75" customHeight="1">
      <c r="A2486" s="202" t="str">
        <f>IF(B2486&lt;&gt;"",IF(AND(B2486&gt;=_TM1,B2486&lt;=_TM2,OR(TH!L2486="1111",TH!M2486="1111")),TH!D2486,""),"")</f>
        <v/>
      </c>
      <c r="B2486" s="36">
        <f t="shared" si="124"/>
        <v>6</v>
      </c>
      <c r="C2486" s="182">
        <f t="shared" si="123"/>
        <v>42535</v>
      </c>
      <c r="D2486" s="182" t="s">
        <v>1547</v>
      </c>
      <c r="E2486" s="189">
        <v>42535</v>
      </c>
      <c r="F2486" s="187" t="s">
        <v>512</v>
      </c>
      <c r="G2486" s="451" t="s">
        <v>584</v>
      </c>
      <c r="H2486" s="7" t="s">
        <v>1549</v>
      </c>
      <c r="I2486" s="251">
        <v>317</v>
      </c>
      <c r="J2486" s="251">
        <v>4517.7395281661584</v>
      </c>
      <c r="K2486" s="38">
        <f t="shared" si="125"/>
        <v>1432123</v>
      </c>
      <c r="L2486" s="561" t="s">
        <v>166</v>
      </c>
      <c r="M2486" s="561" t="s">
        <v>164</v>
      </c>
      <c r="N2486" s="52" t="str">
        <f>IF(AND('331-CT'!$E$7=TH!H2486,OR(L2486="331",M2486="331")),"331",IF(AND(OR(L2486="131",M2486="131"),H2486='131-CT'!$E$7),"131",""))</f>
        <v/>
      </c>
      <c r="O2486" s="818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751"/>
    </row>
    <row r="2487" spans="1:27" s="209" customFormat="1" ht="15.75" customHeight="1">
      <c r="A2487" s="202" t="str">
        <f>IF(B2487&lt;&gt;"",IF(AND(B2487&gt;=_TM1,B2487&lt;=_TM2,OR(TH!L2487="1111",TH!M2487="1111")),TH!D2487,""),"")</f>
        <v/>
      </c>
      <c r="B2487" s="36">
        <f t="shared" si="124"/>
        <v>6</v>
      </c>
      <c r="C2487" s="182">
        <f t="shared" si="123"/>
        <v>42536</v>
      </c>
      <c r="D2487" s="182" t="s">
        <v>1547</v>
      </c>
      <c r="E2487" s="189">
        <v>42536</v>
      </c>
      <c r="F2487" s="187" t="s">
        <v>1443</v>
      </c>
      <c r="G2487" s="451" t="s">
        <v>585</v>
      </c>
      <c r="H2487" s="7" t="s">
        <v>1549</v>
      </c>
      <c r="I2487" s="251">
        <v>300</v>
      </c>
      <c r="J2487" s="251">
        <v>8097.8350033166989</v>
      </c>
      <c r="K2487" s="38">
        <f t="shared" si="125"/>
        <v>2429351</v>
      </c>
      <c r="L2487" s="561" t="s">
        <v>166</v>
      </c>
      <c r="M2487" s="561" t="s">
        <v>164</v>
      </c>
      <c r="N2487" s="52" t="str">
        <f>IF(AND('331-CT'!$E$7=TH!H2487,OR(L2487="331",M2487="331")),"331",IF(AND(OR(L2487="131",M2487="131"),H2487='131-CT'!$E$7),"131",""))</f>
        <v/>
      </c>
      <c r="O2487" s="818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751"/>
    </row>
    <row r="2488" spans="1:27" s="209" customFormat="1" ht="15.75" customHeight="1">
      <c r="A2488" s="202" t="str">
        <f>IF(B2488&lt;&gt;"",IF(AND(B2488&gt;=_TM1,B2488&lt;=_TM2,OR(TH!L2488="1111",TH!M2488="1111")),TH!D2488,""),"")</f>
        <v/>
      </c>
      <c r="B2488" s="36">
        <f t="shared" si="124"/>
        <v>6</v>
      </c>
      <c r="C2488" s="182">
        <f t="shared" si="123"/>
        <v>42539</v>
      </c>
      <c r="D2488" s="182" t="s">
        <v>1547</v>
      </c>
      <c r="E2488" s="189">
        <v>42539</v>
      </c>
      <c r="F2488" s="187" t="s">
        <v>480</v>
      </c>
      <c r="G2488" s="451" t="s">
        <v>586</v>
      </c>
      <c r="H2488" s="7" t="s">
        <v>1549</v>
      </c>
      <c r="I2488" s="251">
        <v>237</v>
      </c>
      <c r="J2488" s="251">
        <v>10825.526793907587</v>
      </c>
      <c r="K2488" s="38">
        <f t="shared" si="125"/>
        <v>2565650</v>
      </c>
      <c r="L2488" s="561" t="s">
        <v>166</v>
      </c>
      <c r="M2488" s="561" t="s">
        <v>164</v>
      </c>
      <c r="N2488" s="52" t="str">
        <f>IF(AND('331-CT'!$E$7=TH!H2488,OR(L2488="331",M2488="331")),"331",IF(AND(OR(L2488="131",M2488="131"),H2488='131-CT'!$E$7),"131",""))</f>
        <v/>
      </c>
      <c r="O2488" s="818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751"/>
    </row>
    <row r="2489" spans="1:27" s="209" customFormat="1" ht="15.75" customHeight="1">
      <c r="A2489" s="202" t="str">
        <f>IF(B2489&lt;&gt;"",IF(AND(B2489&gt;=_TM1,B2489&lt;=_TM2,OR(TH!L2489="1111",TH!M2489="1111")),TH!D2489,""),"")</f>
        <v/>
      </c>
      <c r="B2489" s="36">
        <f t="shared" si="124"/>
        <v>6</v>
      </c>
      <c r="C2489" s="182">
        <f t="shared" si="123"/>
        <v>42539</v>
      </c>
      <c r="D2489" s="182" t="s">
        <v>1547</v>
      </c>
      <c r="E2489" s="189">
        <v>42539</v>
      </c>
      <c r="F2489" s="187" t="s">
        <v>473</v>
      </c>
      <c r="G2489" s="451" t="s">
        <v>586</v>
      </c>
      <c r="H2489" s="7" t="s">
        <v>1549</v>
      </c>
      <c r="I2489" s="251">
        <v>51</v>
      </c>
      <c r="J2489" s="251">
        <v>8438.7964771405605</v>
      </c>
      <c r="K2489" s="38">
        <f t="shared" si="125"/>
        <v>430379</v>
      </c>
      <c r="L2489" s="561" t="s">
        <v>166</v>
      </c>
      <c r="M2489" s="561" t="s">
        <v>164</v>
      </c>
      <c r="N2489" s="52" t="str">
        <f>IF(AND('331-CT'!$E$7=TH!H2489,OR(L2489="331",M2489="331")),"331",IF(AND(OR(L2489="131",M2489="131"),H2489='131-CT'!$E$7),"131",""))</f>
        <v/>
      </c>
      <c r="O2489" s="818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751"/>
    </row>
    <row r="2490" spans="1:27" s="209" customFormat="1" ht="15.75" customHeight="1">
      <c r="A2490" s="202" t="str">
        <f>IF(B2490&lt;&gt;"",IF(AND(B2490&gt;=_TM1,B2490&lt;=_TM2,OR(TH!L2490="1111",TH!M2490="1111")),TH!D2490,""),"")</f>
        <v/>
      </c>
      <c r="B2490" s="36">
        <f t="shared" si="124"/>
        <v>6</v>
      </c>
      <c r="C2490" s="182">
        <f t="shared" ref="C2490:C2530" si="126">E2490</f>
        <v>42539</v>
      </c>
      <c r="D2490" s="182" t="s">
        <v>1547</v>
      </c>
      <c r="E2490" s="189">
        <v>42539</v>
      </c>
      <c r="F2490" s="187" t="s">
        <v>1048</v>
      </c>
      <c r="G2490" s="451" t="s">
        <v>586</v>
      </c>
      <c r="H2490" s="7" t="s">
        <v>1549</v>
      </c>
      <c r="I2490" s="251">
        <v>55</v>
      </c>
      <c r="J2490" s="251">
        <v>9973.1231093479346</v>
      </c>
      <c r="K2490" s="38">
        <f t="shared" si="125"/>
        <v>548522</v>
      </c>
      <c r="L2490" s="561" t="s">
        <v>166</v>
      </c>
      <c r="M2490" s="561" t="s">
        <v>164</v>
      </c>
      <c r="N2490" s="52" t="str">
        <f>IF(AND('331-CT'!$E$7=TH!H2490,OR(L2490="331",M2490="331")),"331",IF(AND(OR(L2490="131",M2490="131"),H2490='131-CT'!$E$7),"131",""))</f>
        <v/>
      </c>
      <c r="O2490" s="818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751"/>
    </row>
    <row r="2491" spans="1:27" s="209" customFormat="1" ht="15.75" customHeight="1">
      <c r="A2491" s="202" t="str">
        <f>IF(B2491&lt;&gt;"",IF(AND(B2491&gt;=_TM1,B2491&lt;=_TM2,OR(TH!L2491="1111",TH!M2491="1111")),TH!D2491,""),"")</f>
        <v/>
      </c>
      <c r="B2491" s="36">
        <f t="shared" si="124"/>
        <v>6</v>
      </c>
      <c r="C2491" s="182">
        <f t="shared" si="126"/>
        <v>42539</v>
      </c>
      <c r="D2491" s="182" t="s">
        <v>1547</v>
      </c>
      <c r="E2491" s="189">
        <v>42539</v>
      </c>
      <c r="F2491" s="187" t="s">
        <v>474</v>
      </c>
      <c r="G2491" s="451" t="s">
        <v>586</v>
      </c>
      <c r="H2491" s="7" t="s">
        <v>1549</v>
      </c>
      <c r="I2491" s="251">
        <v>357</v>
      </c>
      <c r="J2491" s="251">
        <v>10910.767162363552</v>
      </c>
      <c r="K2491" s="38">
        <f t="shared" si="125"/>
        <v>3895144</v>
      </c>
      <c r="L2491" s="561" t="s">
        <v>166</v>
      </c>
      <c r="M2491" s="561" t="s">
        <v>164</v>
      </c>
      <c r="N2491" s="52" t="str">
        <f>IF(AND('331-CT'!$E$7=TH!H2491,OR(L2491="331",M2491="331")),"331",IF(AND(OR(L2491="131",M2491="131"),H2491='131-CT'!$E$7),"131",""))</f>
        <v/>
      </c>
      <c r="O2491" s="818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751"/>
    </row>
    <row r="2492" spans="1:27" s="209" customFormat="1" ht="15.75" customHeight="1">
      <c r="A2492" s="202" t="str">
        <f>IF(B2492&lt;&gt;"",IF(AND(B2492&gt;=_TM1,B2492&lt;=_TM2,OR(TH!L2492="1111",TH!M2492="1111")),TH!D2492,""),"")</f>
        <v/>
      </c>
      <c r="B2492" s="36">
        <f t="shared" si="124"/>
        <v>6</v>
      </c>
      <c r="C2492" s="182">
        <f t="shared" si="126"/>
        <v>42539</v>
      </c>
      <c r="D2492" s="182" t="s">
        <v>1547</v>
      </c>
      <c r="E2492" s="189">
        <v>42539</v>
      </c>
      <c r="F2492" s="187" t="s">
        <v>474</v>
      </c>
      <c r="G2492" s="451" t="s">
        <v>587</v>
      </c>
      <c r="H2492" s="7" t="s">
        <v>1549</v>
      </c>
      <c r="I2492" s="251">
        <v>764</v>
      </c>
      <c r="J2492" s="251">
        <v>10910.767162363552</v>
      </c>
      <c r="K2492" s="38">
        <f t="shared" si="125"/>
        <v>8335826</v>
      </c>
      <c r="L2492" s="561" t="s">
        <v>166</v>
      </c>
      <c r="M2492" s="561" t="s">
        <v>164</v>
      </c>
      <c r="N2492" s="52" t="str">
        <f>IF(AND('331-CT'!$E$7=TH!H2492,OR(L2492="331",M2492="331")),"331",IF(AND(OR(L2492="131",M2492="131"),H2492='131-CT'!$E$7),"131",""))</f>
        <v/>
      </c>
      <c r="O2492" s="818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751"/>
    </row>
    <row r="2493" spans="1:27" s="209" customFormat="1" ht="15.75" customHeight="1">
      <c r="A2493" s="202" t="str">
        <f>IF(B2493&lt;&gt;"",IF(AND(B2493&gt;=_TM1,B2493&lt;=_TM2,OR(TH!L2493="1111",TH!M2493="1111")),TH!D2493,""),"")</f>
        <v/>
      </c>
      <c r="B2493" s="36">
        <f t="shared" si="124"/>
        <v>6</v>
      </c>
      <c r="C2493" s="182">
        <f t="shared" si="126"/>
        <v>42539</v>
      </c>
      <c r="D2493" s="182" t="s">
        <v>1547</v>
      </c>
      <c r="E2493" s="189">
        <v>42539</v>
      </c>
      <c r="F2493" s="187" t="s">
        <v>477</v>
      </c>
      <c r="G2493" s="451" t="s">
        <v>588</v>
      </c>
      <c r="H2493" s="7" t="s">
        <v>1549</v>
      </c>
      <c r="I2493" s="251">
        <v>214</v>
      </c>
      <c r="J2493" s="251">
        <v>7927.3542664047691</v>
      </c>
      <c r="K2493" s="38">
        <f t="shared" si="125"/>
        <v>1696454</v>
      </c>
      <c r="L2493" s="561" t="s">
        <v>166</v>
      </c>
      <c r="M2493" s="561" t="s">
        <v>164</v>
      </c>
      <c r="N2493" s="52" t="str">
        <f>IF(AND('331-CT'!$E$7=TH!H2493,OR(L2493="331",M2493="331")),"331",IF(AND(OR(L2493="131",M2493="131"),H2493='131-CT'!$E$7),"131",""))</f>
        <v/>
      </c>
      <c r="O2493" s="818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751"/>
    </row>
    <row r="2494" spans="1:27" s="209" customFormat="1" ht="15.75" customHeight="1">
      <c r="A2494" s="202" t="str">
        <f>IF(B2494&lt;&gt;"",IF(AND(B2494&gt;=_TM1,B2494&lt;=_TM2,OR(TH!L2494="1111",TH!M2494="1111")),TH!D2494,""),"")</f>
        <v/>
      </c>
      <c r="B2494" s="36">
        <f t="shared" si="124"/>
        <v>6</v>
      </c>
      <c r="C2494" s="182">
        <f t="shared" si="126"/>
        <v>42541</v>
      </c>
      <c r="D2494" s="182" t="s">
        <v>1547</v>
      </c>
      <c r="E2494" s="189">
        <v>42541</v>
      </c>
      <c r="F2494" s="187" t="s">
        <v>985</v>
      </c>
      <c r="G2494" s="451" t="s">
        <v>589</v>
      </c>
      <c r="H2494" s="7" t="s">
        <v>1549</v>
      </c>
      <c r="I2494" s="251">
        <v>88</v>
      </c>
      <c r="J2494" s="251">
        <v>11507.449741555311</v>
      </c>
      <c r="K2494" s="38">
        <f t="shared" si="125"/>
        <v>1012656</v>
      </c>
      <c r="L2494" s="561" t="s">
        <v>166</v>
      </c>
      <c r="M2494" s="561" t="s">
        <v>164</v>
      </c>
      <c r="N2494" s="52" t="str">
        <f>IF(AND('331-CT'!$E$7=TH!H2494,OR(L2494="331",M2494="331")),"331",IF(AND(OR(L2494="131",M2494="131"),H2494='131-CT'!$E$7),"131",""))</f>
        <v/>
      </c>
      <c r="O2494" s="818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751"/>
    </row>
    <row r="2495" spans="1:27" s="209" customFormat="1" ht="15.75" customHeight="1">
      <c r="A2495" s="202" t="str">
        <f>IF(B2495&lt;&gt;"",IF(AND(B2495&gt;=_TM1,B2495&lt;=_TM2,OR(TH!L2495="1111",TH!M2495="1111")),TH!D2495,""),"")</f>
        <v/>
      </c>
      <c r="B2495" s="36">
        <f t="shared" si="124"/>
        <v>6</v>
      </c>
      <c r="C2495" s="182">
        <f t="shared" si="126"/>
        <v>42541</v>
      </c>
      <c r="D2495" s="182" t="s">
        <v>1547</v>
      </c>
      <c r="E2495" s="189">
        <v>42541</v>
      </c>
      <c r="F2495" s="187" t="s">
        <v>1048</v>
      </c>
      <c r="G2495" s="451" t="s">
        <v>589</v>
      </c>
      <c r="H2495" s="7" t="s">
        <v>1549</v>
      </c>
      <c r="I2495" s="251">
        <v>35</v>
      </c>
      <c r="J2495" s="251">
        <v>9973.1231093479346</v>
      </c>
      <c r="K2495" s="38">
        <f t="shared" si="125"/>
        <v>349059</v>
      </c>
      <c r="L2495" s="561" t="s">
        <v>166</v>
      </c>
      <c r="M2495" s="561" t="s">
        <v>164</v>
      </c>
      <c r="N2495" s="52" t="str">
        <f>IF(AND('331-CT'!$E$7=TH!H2495,OR(L2495="331",M2495="331")),"331",IF(AND(OR(L2495="131",M2495="131"),H2495='131-CT'!$E$7),"131",""))</f>
        <v/>
      </c>
      <c r="O2495" s="818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751"/>
    </row>
    <row r="2496" spans="1:27" s="209" customFormat="1" ht="15.75" customHeight="1">
      <c r="A2496" s="202" t="str">
        <f>IF(B2496&lt;&gt;"",IF(AND(B2496&gt;=_TM1,B2496&lt;=_TM2,OR(TH!L2496="1111",TH!M2496="1111")),TH!D2496,""),"")</f>
        <v/>
      </c>
      <c r="B2496" s="36">
        <f t="shared" si="124"/>
        <v>6</v>
      </c>
      <c r="C2496" s="182">
        <f t="shared" si="126"/>
        <v>42541</v>
      </c>
      <c r="D2496" s="182" t="s">
        <v>1547</v>
      </c>
      <c r="E2496" s="189">
        <v>42541</v>
      </c>
      <c r="F2496" s="187" t="s">
        <v>662</v>
      </c>
      <c r="G2496" s="451" t="s">
        <v>589</v>
      </c>
      <c r="H2496" s="7" t="s">
        <v>1549</v>
      </c>
      <c r="I2496" s="251">
        <v>27</v>
      </c>
      <c r="J2496" s="251">
        <v>6222.5468972854633</v>
      </c>
      <c r="K2496" s="38">
        <f t="shared" si="125"/>
        <v>168009</v>
      </c>
      <c r="L2496" s="561" t="s">
        <v>166</v>
      </c>
      <c r="M2496" s="561" t="s">
        <v>164</v>
      </c>
      <c r="N2496" s="52" t="str">
        <f>IF(AND('331-CT'!$E$7=TH!H2496,OR(L2496="331",M2496="331")),"331",IF(AND(OR(L2496="131",M2496="131"),H2496='131-CT'!$E$7),"131",""))</f>
        <v/>
      </c>
      <c r="O2496" s="818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751"/>
    </row>
    <row r="2497" spans="1:28" s="209" customFormat="1" ht="15.75" customHeight="1">
      <c r="A2497" s="202" t="str">
        <f>IF(B2497&lt;&gt;"",IF(AND(B2497&gt;=_TM1,B2497&lt;=_TM2,OR(TH!L2497="1111",TH!M2497="1111")),TH!D2497,""),"")</f>
        <v/>
      </c>
      <c r="B2497" s="36">
        <f t="shared" si="124"/>
        <v>6</v>
      </c>
      <c r="C2497" s="182">
        <f t="shared" si="126"/>
        <v>42541</v>
      </c>
      <c r="D2497" s="182" t="s">
        <v>1547</v>
      </c>
      <c r="E2497" s="189">
        <v>42541</v>
      </c>
      <c r="F2497" s="187" t="s">
        <v>408</v>
      </c>
      <c r="G2497" s="451" t="s">
        <v>589</v>
      </c>
      <c r="H2497" s="7" t="s">
        <v>1549</v>
      </c>
      <c r="I2497" s="251">
        <v>51</v>
      </c>
      <c r="J2497" s="251">
        <v>11251.728636187414</v>
      </c>
      <c r="K2497" s="38">
        <f t="shared" si="125"/>
        <v>573838</v>
      </c>
      <c r="L2497" s="561" t="s">
        <v>166</v>
      </c>
      <c r="M2497" s="561" t="s">
        <v>164</v>
      </c>
      <c r="N2497" s="52" t="str">
        <f>IF(AND('331-CT'!$E$7=TH!H2497,OR(L2497="331",M2497="331")),"331",IF(AND(OR(L2497="131",M2497="131"),H2497='131-CT'!$E$7),"131",""))</f>
        <v/>
      </c>
      <c r="O2497" s="818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751"/>
    </row>
    <row r="2498" spans="1:28" s="209" customFormat="1" ht="15.75" customHeight="1">
      <c r="A2498" s="202" t="str">
        <f>IF(B2498&lt;&gt;"",IF(AND(B2498&gt;=_TM1,B2498&lt;=_TM2,OR(TH!L2498="1111",TH!M2498="1111")),TH!D2498,""),"")</f>
        <v/>
      </c>
      <c r="B2498" s="36">
        <f t="shared" si="124"/>
        <v>6</v>
      </c>
      <c r="C2498" s="182">
        <f t="shared" si="126"/>
        <v>42541</v>
      </c>
      <c r="D2498" s="182" t="s">
        <v>1547</v>
      </c>
      <c r="E2498" s="189">
        <v>42541</v>
      </c>
      <c r="F2498" s="187" t="s">
        <v>1055</v>
      </c>
      <c r="G2498" s="451" t="s">
        <v>590</v>
      </c>
      <c r="H2498" s="7" t="s">
        <v>1549</v>
      </c>
      <c r="I2498" s="251">
        <v>2250</v>
      </c>
      <c r="J2498" s="251">
        <v>3750.5762120624713</v>
      </c>
      <c r="K2498" s="38">
        <f t="shared" si="125"/>
        <v>8438796</v>
      </c>
      <c r="L2498" s="561" t="s">
        <v>166</v>
      </c>
      <c r="M2498" s="561" t="s">
        <v>164</v>
      </c>
      <c r="N2498" s="52" t="str">
        <f>IF(AND('331-CT'!$E$7=TH!H2498,OR(L2498="331",M2498="331")),"331",IF(AND(OR(L2498="131",M2498="131"),H2498='131-CT'!$E$7),"131",""))</f>
        <v/>
      </c>
      <c r="O2498" s="818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751"/>
    </row>
    <row r="2499" spans="1:28" s="209" customFormat="1" ht="15.75" customHeight="1">
      <c r="A2499" s="202" t="str">
        <f>IF(B2499&lt;&gt;"",IF(AND(B2499&gt;=_TM1,B2499&lt;=_TM2,OR(TH!L2499="1111",TH!M2499="1111")),TH!D2499,""),"")</f>
        <v/>
      </c>
      <c r="B2499" s="36">
        <f t="shared" si="124"/>
        <v>6</v>
      </c>
      <c r="C2499" s="182">
        <f t="shared" si="126"/>
        <v>42542</v>
      </c>
      <c r="D2499" s="182" t="s">
        <v>1547</v>
      </c>
      <c r="E2499" s="189">
        <v>42542</v>
      </c>
      <c r="F2499" s="187" t="s">
        <v>933</v>
      </c>
      <c r="G2499" s="451" t="s">
        <v>591</v>
      </c>
      <c r="H2499" s="7" t="s">
        <v>1549</v>
      </c>
      <c r="I2499" s="251">
        <v>245</v>
      </c>
      <c r="J2499" s="251">
        <v>12018.8919522911</v>
      </c>
      <c r="K2499" s="38">
        <f t="shared" si="125"/>
        <v>2944629</v>
      </c>
      <c r="L2499" s="561" t="s">
        <v>166</v>
      </c>
      <c r="M2499" s="561" t="s">
        <v>164</v>
      </c>
      <c r="N2499" s="52" t="str">
        <f>IF(AND('331-CT'!$E$7=TH!H2499,OR(L2499="331",M2499="331")),"331",IF(AND(OR(L2499="131",M2499="131"),H2499='131-CT'!$E$7),"131",""))</f>
        <v/>
      </c>
      <c r="O2499" s="818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751"/>
    </row>
    <row r="2500" spans="1:28" s="209" customFormat="1" ht="15.75" customHeight="1">
      <c r="A2500" s="202" t="str">
        <f>IF(B2500&lt;&gt;"",IF(AND(B2500&gt;=_TM1,B2500&lt;=_TM2,OR(TH!L2500="1111",TH!M2500="1111")),TH!D2500,""),"")</f>
        <v/>
      </c>
      <c r="B2500" s="36">
        <f t="shared" si="124"/>
        <v>6</v>
      </c>
      <c r="C2500" s="182">
        <f t="shared" si="126"/>
        <v>42542</v>
      </c>
      <c r="D2500" s="182" t="s">
        <v>1547</v>
      </c>
      <c r="E2500" s="189">
        <v>42542</v>
      </c>
      <c r="F2500" s="187" t="s">
        <v>1056</v>
      </c>
      <c r="G2500" s="451" t="s">
        <v>591</v>
      </c>
      <c r="H2500" s="7" t="s">
        <v>1549</v>
      </c>
      <c r="I2500" s="251">
        <v>30</v>
      </c>
      <c r="J2500" s="251">
        <v>9035.4790563323168</v>
      </c>
      <c r="K2500" s="38">
        <f t="shared" si="125"/>
        <v>271064</v>
      </c>
      <c r="L2500" s="561" t="s">
        <v>166</v>
      </c>
      <c r="M2500" s="561" t="s">
        <v>164</v>
      </c>
      <c r="N2500" s="52" t="str">
        <f>IF(AND('331-CT'!$E$7=TH!H2500,OR(L2500="331",M2500="331")),"331",IF(AND(OR(L2500="131",M2500="131"),H2500='131-CT'!$E$7),"131",""))</f>
        <v/>
      </c>
      <c r="O2500" s="818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751"/>
    </row>
    <row r="2501" spans="1:28" s="209" customFormat="1" ht="15.75" customHeight="1">
      <c r="A2501" s="202" t="str">
        <f>IF(B2501&lt;&gt;"",IF(AND(B2501&gt;=_TM1,B2501&lt;=_TM2,OR(TH!L2501="1111",TH!M2501="1111")),TH!D2501,""),"")</f>
        <v/>
      </c>
      <c r="B2501" s="36">
        <f t="shared" si="124"/>
        <v>6</v>
      </c>
      <c r="C2501" s="182">
        <f t="shared" si="126"/>
        <v>42542</v>
      </c>
      <c r="D2501" s="182" t="s">
        <v>1547</v>
      </c>
      <c r="E2501" s="189">
        <v>42542</v>
      </c>
      <c r="F2501" s="187" t="s">
        <v>480</v>
      </c>
      <c r="G2501" s="451" t="s">
        <v>591</v>
      </c>
      <c r="H2501" s="7" t="s">
        <v>1549</v>
      </c>
      <c r="I2501" s="251">
        <v>641</v>
      </c>
      <c r="J2501" s="251">
        <v>10825.526793907587</v>
      </c>
      <c r="K2501" s="38">
        <f t="shared" si="125"/>
        <v>6939163</v>
      </c>
      <c r="L2501" s="561" t="s">
        <v>166</v>
      </c>
      <c r="M2501" s="561" t="s">
        <v>164</v>
      </c>
      <c r="N2501" s="52" t="str">
        <f>IF(AND('331-CT'!$E$7=TH!H2501,OR(L2501="331",M2501="331")),"331",IF(AND(OR(L2501="131",M2501="131"),H2501='131-CT'!$E$7),"131",""))</f>
        <v/>
      </c>
      <c r="O2501" s="818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751"/>
      <c r="AB2501" s="552"/>
    </row>
    <row r="2502" spans="1:28" s="209" customFormat="1" ht="15.75" customHeight="1">
      <c r="A2502" s="202" t="str">
        <f>IF(B2502&lt;&gt;"",IF(AND(B2502&gt;=_TM1,B2502&lt;=_TM2,OR(TH!L2502="1111",TH!M2502="1111")),TH!D2502,""),"")</f>
        <v/>
      </c>
      <c r="B2502" s="36">
        <f t="shared" ref="B2502:B2565" si="127">IF(C2502&lt;&gt;"",MONTH(C2502),"")</f>
        <v>6</v>
      </c>
      <c r="C2502" s="182">
        <f t="shared" si="126"/>
        <v>42543</v>
      </c>
      <c r="D2502" s="182" t="s">
        <v>1547</v>
      </c>
      <c r="E2502" s="189">
        <v>42543</v>
      </c>
      <c r="F2502" s="187" t="s">
        <v>436</v>
      </c>
      <c r="G2502" s="451" t="s">
        <v>592</v>
      </c>
      <c r="H2502" s="7" t="s">
        <v>1549</v>
      </c>
      <c r="I2502" s="251">
        <v>834</v>
      </c>
      <c r="J2502" s="251">
        <v>5796.3450550056377</v>
      </c>
      <c r="K2502" s="38">
        <f t="shared" si="125"/>
        <v>4834152</v>
      </c>
      <c r="L2502" s="561" t="s">
        <v>166</v>
      </c>
      <c r="M2502" s="561" t="s">
        <v>164</v>
      </c>
      <c r="N2502" s="52" t="str">
        <f>IF(AND('331-CT'!$E$7=TH!H2502,OR(L2502="331",M2502="331")),"331",IF(AND(OR(L2502="131",M2502="131"),H2502='131-CT'!$E$7),"131",""))</f>
        <v/>
      </c>
      <c r="O2502" s="818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751"/>
      <c r="AB2502" s="552"/>
    </row>
    <row r="2503" spans="1:28" s="209" customFormat="1" ht="15.75" customHeight="1">
      <c r="A2503" s="202" t="str">
        <f>IF(B2503&lt;&gt;"",IF(AND(B2503&gt;=_TM1,B2503&lt;=_TM2,OR(TH!L2503="1111",TH!M2503="1111")),TH!D2503,""),"")</f>
        <v/>
      </c>
      <c r="B2503" s="36">
        <f t="shared" si="127"/>
        <v>6</v>
      </c>
      <c r="C2503" s="182">
        <f t="shared" si="126"/>
        <v>42543</v>
      </c>
      <c r="D2503" s="182" t="s">
        <v>1547</v>
      </c>
      <c r="E2503" s="189">
        <v>42543</v>
      </c>
      <c r="F2503" s="187" t="s">
        <v>436</v>
      </c>
      <c r="G2503" s="451" t="s">
        <v>592</v>
      </c>
      <c r="H2503" s="7" t="s">
        <v>1549</v>
      </c>
      <c r="I2503" s="251">
        <v>322</v>
      </c>
      <c r="J2503" s="251">
        <v>5796.3450550056377</v>
      </c>
      <c r="K2503" s="38">
        <f t="shared" si="125"/>
        <v>1866423</v>
      </c>
      <c r="L2503" s="561" t="s">
        <v>166</v>
      </c>
      <c r="M2503" s="561" t="s">
        <v>164</v>
      </c>
      <c r="N2503" s="52" t="str">
        <f>IF(AND('331-CT'!$E$7=TH!H2503,OR(L2503="331",M2503="331")),"331",IF(AND(OR(L2503="131",M2503="131"),H2503='131-CT'!$E$7),"131",""))</f>
        <v/>
      </c>
      <c r="O2503" s="818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751"/>
    </row>
    <row r="2504" spans="1:28" s="209" customFormat="1" ht="15.75" customHeight="1">
      <c r="A2504" s="202" t="str">
        <f>IF(B2504&lt;&gt;"",IF(AND(B2504&gt;=_TM1,B2504&lt;=_TM2,OR(TH!L2504="1111",TH!M2504="1111")),TH!D2504,""),"")</f>
        <v/>
      </c>
      <c r="B2504" s="36">
        <f t="shared" si="127"/>
        <v>6</v>
      </c>
      <c r="C2504" s="182">
        <f t="shared" si="126"/>
        <v>42543</v>
      </c>
      <c r="D2504" s="182" t="s">
        <v>1547</v>
      </c>
      <c r="E2504" s="189">
        <v>42543</v>
      </c>
      <c r="F2504" s="187" t="s">
        <v>1057</v>
      </c>
      <c r="G2504" s="451" t="s">
        <v>593</v>
      </c>
      <c r="H2504" s="7" t="s">
        <v>1549</v>
      </c>
      <c r="I2504" s="251">
        <v>720</v>
      </c>
      <c r="J2504" s="251">
        <v>11848.41121537917</v>
      </c>
      <c r="K2504" s="38">
        <f t="shared" si="125"/>
        <v>8530856</v>
      </c>
      <c r="L2504" s="561" t="s">
        <v>166</v>
      </c>
      <c r="M2504" s="561" t="s">
        <v>164</v>
      </c>
      <c r="N2504" s="52" t="str">
        <f>IF(AND('331-CT'!$E$7=TH!H2504,OR(L2504="331",M2504="331")),"331",IF(AND(OR(L2504="131",M2504="131"),H2504='131-CT'!$E$7),"131",""))</f>
        <v/>
      </c>
      <c r="O2504" s="818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751"/>
    </row>
    <row r="2505" spans="1:28" s="209" customFormat="1" ht="15.75" customHeight="1">
      <c r="A2505" s="202" t="str">
        <f>IF(B2505&lt;&gt;"",IF(AND(B2505&gt;=_TM1,B2505&lt;=_TM2,OR(TH!L2505="1111",TH!M2505="1111")),TH!D2505,""),"")</f>
        <v/>
      </c>
      <c r="B2505" s="36">
        <f t="shared" si="127"/>
        <v>6</v>
      </c>
      <c r="C2505" s="182">
        <f t="shared" si="126"/>
        <v>42543</v>
      </c>
      <c r="D2505" s="182" t="s">
        <v>1547</v>
      </c>
      <c r="E2505" s="189">
        <v>42543</v>
      </c>
      <c r="F2505" s="187" t="s">
        <v>1048</v>
      </c>
      <c r="G2505" s="451" t="s">
        <v>593</v>
      </c>
      <c r="H2505" s="7" t="s">
        <v>1549</v>
      </c>
      <c r="I2505" s="251">
        <v>12</v>
      </c>
      <c r="J2505" s="251">
        <v>9973.1231093479346</v>
      </c>
      <c r="K2505" s="38">
        <f t="shared" si="125"/>
        <v>119677</v>
      </c>
      <c r="L2505" s="561" t="s">
        <v>166</v>
      </c>
      <c r="M2505" s="561" t="s">
        <v>164</v>
      </c>
      <c r="N2505" s="52" t="str">
        <f>IF(AND('331-CT'!$E$7=TH!H2505,OR(L2505="331",M2505="331")),"331",IF(AND(OR(L2505="131",M2505="131"),H2505='131-CT'!$E$7),"131",""))</f>
        <v/>
      </c>
      <c r="O2505" s="818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751"/>
      <c r="AB2505" s="552"/>
    </row>
    <row r="2506" spans="1:28" s="209" customFormat="1" ht="15.75" customHeight="1">
      <c r="A2506" s="202" t="str">
        <f>IF(B2506&lt;&gt;"",IF(AND(B2506&gt;=_TM1,B2506&lt;=_TM2,OR(TH!L2506="1111",TH!M2506="1111")),TH!D2506,""),"")</f>
        <v/>
      </c>
      <c r="B2506" s="36">
        <f t="shared" si="127"/>
        <v>6</v>
      </c>
      <c r="C2506" s="182">
        <f t="shared" si="126"/>
        <v>42544</v>
      </c>
      <c r="D2506" s="182" t="s">
        <v>1547</v>
      </c>
      <c r="E2506" s="189">
        <v>42544</v>
      </c>
      <c r="F2506" s="187" t="s">
        <v>1058</v>
      </c>
      <c r="G2506" s="451" t="s">
        <v>595</v>
      </c>
      <c r="H2506" s="7" t="s">
        <v>1549</v>
      </c>
      <c r="I2506" s="251">
        <v>304</v>
      </c>
      <c r="J2506" s="251">
        <v>5370.1432127258113</v>
      </c>
      <c r="K2506" s="38">
        <f t="shared" si="125"/>
        <v>1632524</v>
      </c>
      <c r="L2506" s="561" t="s">
        <v>166</v>
      </c>
      <c r="M2506" s="561" t="s">
        <v>164</v>
      </c>
      <c r="N2506" s="52" t="str">
        <f>IF(AND('331-CT'!$E$7=TH!H2506,OR(L2506="331",M2506="331")),"331",IF(AND(OR(L2506="131",M2506="131"),H2506='131-CT'!$E$7),"131",""))</f>
        <v/>
      </c>
      <c r="O2506" s="818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751"/>
    </row>
    <row r="2507" spans="1:28" s="209" customFormat="1" ht="15.75" customHeight="1">
      <c r="A2507" s="202" t="str">
        <f>IF(B2507&lt;&gt;"",IF(AND(B2507&gt;=_TM1,B2507&lt;=_TM2,OR(TH!L2507="1111",TH!M2507="1111")),TH!D2507,""),"")</f>
        <v/>
      </c>
      <c r="B2507" s="36">
        <f t="shared" si="127"/>
        <v>6</v>
      </c>
      <c r="C2507" s="182">
        <f t="shared" si="126"/>
        <v>42545</v>
      </c>
      <c r="D2507" s="182" t="s">
        <v>1547</v>
      </c>
      <c r="E2507" s="189">
        <v>42545</v>
      </c>
      <c r="F2507" s="187" t="s">
        <v>436</v>
      </c>
      <c r="G2507" s="451" t="s">
        <v>596</v>
      </c>
      <c r="H2507" s="7" t="s">
        <v>1549</v>
      </c>
      <c r="I2507" s="251">
        <v>534</v>
      </c>
      <c r="J2507" s="251">
        <v>5796.3450550056377</v>
      </c>
      <c r="K2507" s="38">
        <f t="shared" si="125"/>
        <v>3095248</v>
      </c>
      <c r="L2507" s="561" t="s">
        <v>166</v>
      </c>
      <c r="M2507" s="561" t="s">
        <v>164</v>
      </c>
      <c r="N2507" s="52" t="str">
        <f>IF(AND('331-CT'!$E$7=TH!H2507,OR(L2507="331",M2507="331")),"331",IF(AND(OR(L2507="131",M2507="131"),H2507='131-CT'!$E$7),"131",""))</f>
        <v/>
      </c>
      <c r="O2507" s="818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751"/>
      <c r="AB2507" s="552"/>
    </row>
    <row r="2508" spans="1:28" s="209" customFormat="1" ht="15.75" customHeight="1">
      <c r="A2508" s="202" t="str">
        <f>IF(B2508&lt;&gt;"",IF(AND(B2508&gt;=_TM1,B2508&lt;=_TM2,OR(TH!L2508="1111",TH!M2508="1111")),TH!D2508,""),"")</f>
        <v/>
      </c>
      <c r="B2508" s="36">
        <f t="shared" si="127"/>
        <v>6</v>
      </c>
      <c r="C2508" s="182">
        <f t="shared" si="126"/>
        <v>42545</v>
      </c>
      <c r="D2508" s="182" t="s">
        <v>1547</v>
      </c>
      <c r="E2508" s="189">
        <v>42545</v>
      </c>
      <c r="F2508" s="187" t="s">
        <v>436</v>
      </c>
      <c r="G2508" s="451" t="s">
        <v>596</v>
      </c>
      <c r="H2508" s="7" t="s">
        <v>1549</v>
      </c>
      <c r="I2508" s="251">
        <v>99</v>
      </c>
      <c r="J2508" s="251">
        <v>5796.3450550056377</v>
      </c>
      <c r="K2508" s="38">
        <f t="shared" si="125"/>
        <v>573838</v>
      </c>
      <c r="L2508" s="561" t="s">
        <v>166</v>
      </c>
      <c r="M2508" s="561" t="s">
        <v>164</v>
      </c>
      <c r="N2508" s="52" t="str">
        <f>IF(AND('331-CT'!$E$7=TH!H2508,OR(L2508="331",M2508="331")),"331",IF(AND(OR(L2508="131",M2508="131"),H2508='131-CT'!$E$7),"131",""))</f>
        <v/>
      </c>
      <c r="O2508" s="818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751"/>
    </row>
    <row r="2509" spans="1:28" s="209" customFormat="1" ht="15.75" customHeight="1">
      <c r="A2509" s="202" t="str">
        <f>IF(B2509&lt;&gt;"",IF(AND(B2509&gt;=_TM1,B2509&lt;=_TM2,OR(TH!L2509="1111",TH!M2509="1111")),TH!D2509,""),"")</f>
        <v/>
      </c>
      <c r="B2509" s="36">
        <f t="shared" si="127"/>
        <v>6</v>
      </c>
      <c r="C2509" s="182">
        <f t="shared" si="126"/>
        <v>42545</v>
      </c>
      <c r="D2509" s="182" t="s">
        <v>1547</v>
      </c>
      <c r="E2509" s="189">
        <v>42545</v>
      </c>
      <c r="F2509" s="187" t="s">
        <v>429</v>
      </c>
      <c r="G2509" s="451" t="s">
        <v>599</v>
      </c>
      <c r="H2509" s="7" t="s">
        <v>1549</v>
      </c>
      <c r="I2509" s="251">
        <v>628</v>
      </c>
      <c r="J2509" s="251">
        <v>10314.084583171796</v>
      </c>
      <c r="K2509" s="38">
        <f t="shared" si="125"/>
        <v>6477245</v>
      </c>
      <c r="L2509" s="561" t="s">
        <v>166</v>
      </c>
      <c r="M2509" s="561" t="s">
        <v>164</v>
      </c>
      <c r="N2509" s="52" t="str">
        <f>IF(AND('331-CT'!$E$7=TH!H2509,OR(L2509="331",M2509="331")),"331",IF(AND(OR(L2509="131",M2509="131"),H2509='131-CT'!$E$7),"131",""))</f>
        <v/>
      </c>
      <c r="O2509" s="818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751"/>
    </row>
    <row r="2510" spans="1:28" s="209" customFormat="1" ht="15.75" customHeight="1">
      <c r="A2510" s="202" t="str">
        <f>IF(B2510&lt;&gt;"",IF(AND(B2510&gt;=_TM1,B2510&lt;=_TM2,OR(TH!L2510="1111",TH!M2510="1111")),TH!D2510,""),"")</f>
        <v/>
      </c>
      <c r="B2510" s="36">
        <f t="shared" si="127"/>
        <v>6</v>
      </c>
      <c r="C2510" s="182">
        <f t="shared" si="126"/>
        <v>42545</v>
      </c>
      <c r="D2510" s="182" t="s">
        <v>1547</v>
      </c>
      <c r="E2510" s="189">
        <v>42545</v>
      </c>
      <c r="F2510" s="187" t="s">
        <v>1437</v>
      </c>
      <c r="G2510" s="451" t="s">
        <v>600</v>
      </c>
      <c r="H2510" s="7" t="s">
        <v>1549</v>
      </c>
      <c r="I2510" s="251">
        <v>3000</v>
      </c>
      <c r="J2510" s="251">
        <v>3324.3743697826449</v>
      </c>
      <c r="K2510" s="38">
        <f t="shared" si="125"/>
        <v>9973123</v>
      </c>
      <c r="L2510" s="561" t="s">
        <v>166</v>
      </c>
      <c r="M2510" s="561" t="s">
        <v>164</v>
      </c>
      <c r="N2510" s="52" t="str">
        <f>IF(AND('331-CT'!$E$7=TH!H2510,OR(L2510="331",M2510="331")),"331",IF(AND(OR(L2510="131",M2510="131"),H2510='131-CT'!$E$7),"131",""))</f>
        <v/>
      </c>
      <c r="O2510" s="818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751"/>
      <c r="AB2510" s="552"/>
    </row>
    <row r="2511" spans="1:28" s="209" customFormat="1" ht="15.75" customHeight="1">
      <c r="A2511" s="202" t="str">
        <f>IF(B2511&lt;&gt;"",IF(AND(B2511&gt;=_TM1,B2511&lt;=_TM2,OR(TH!L2511="1111",TH!M2511="1111")),TH!D2511,""),"")</f>
        <v/>
      </c>
      <c r="B2511" s="36">
        <f t="shared" si="127"/>
        <v>6</v>
      </c>
      <c r="C2511" s="182">
        <f t="shared" si="126"/>
        <v>42548</v>
      </c>
      <c r="D2511" s="182" t="s">
        <v>1547</v>
      </c>
      <c r="E2511" s="189">
        <v>42548</v>
      </c>
      <c r="F2511" s="187" t="s">
        <v>436</v>
      </c>
      <c r="G2511" s="451" t="s">
        <v>601</v>
      </c>
      <c r="H2511" s="7" t="s">
        <v>1549</v>
      </c>
      <c r="I2511" s="251">
        <v>509</v>
      </c>
      <c r="J2511" s="251">
        <v>5796.3450550056377</v>
      </c>
      <c r="K2511" s="38">
        <f t="shared" si="125"/>
        <v>2950340</v>
      </c>
      <c r="L2511" s="561" t="s">
        <v>166</v>
      </c>
      <c r="M2511" s="561" t="s">
        <v>164</v>
      </c>
      <c r="N2511" s="52" t="str">
        <f>IF(AND('331-CT'!$E$7=TH!H2511,OR(L2511="331",M2511="331")),"331",IF(AND(OR(L2511="131",M2511="131"),H2511='131-CT'!$E$7),"131",""))</f>
        <v/>
      </c>
      <c r="O2511" s="818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751"/>
    </row>
    <row r="2512" spans="1:28" s="209" customFormat="1" ht="15.75" customHeight="1">
      <c r="A2512" s="202" t="str">
        <f>IF(B2512&lt;&gt;"",IF(AND(B2512&gt;=_TM1,B2512&lt;=_TM2,OR(TH!L2512="1111",TH!M2512="1111")),TH!D2512,""),"")</f>
        <v/>
      </c>
      <c r="B2512" s="36">
        <f t="shared" si="127"/>
        <v>6</v>
      </c>
      <c r="C2512" s="182">
        <f t="shared" si="126"/>
        <v>42548</v>
      </c>
      <c r="D2512" s="182" t="s">
        <v>1547</v>
      </c>
      <c r="E2512" s="189">
        <v>42548</v>
      </c>
      <c r="F2512" s="187" t="s">
        <v>436</v>
      </c>
      <c r="G2512" s="451" t="s">
        <v>601</v>
      </c>
      <c r="H2512" s="7" t="s">
        <v>1549</v>
      </c>
      <c r="I2512" s="251">
        <v>1104</v>
      </c>
      <c r="J2512" s="251">
        <v>5796.3450550056377</v>
      </c>
      <c r="K2512" s="38">
        <f t="shared" si="125"/>
        <v>6399165</v>
      </c>
      <c r="L2512" s="561" t="s">
        <v>166</v>
      </c>
      <c r="M2512" s="561" t="s">
        <v>164</v>
      </c>
      <c r="N2512" s="52" t="str">
        <f>IF(AND('331-CT'!$E$7=TH!H2512,OR(L2512="331",M2512="331")),"331",IF(AND(OR(L2512="131",M2512="131"),H2512='131-CT'!$E$7),"131",""))</f>
        <v/>
      </c>
      <c r="O2512" s="818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751"/>
      <c r="AB2512" s="552"/>
    </row>
    <row r="2513" spans="1:28" s="209" customFormat="1" ht="15.75" customHeight="1">
      <c r="A2513" s="202" t="str">
        <f>IF(B2513&lt;&gt;"",IF(AND(B2513&gt;=_TM1,B2513&lt;=_TM2,OR(TH!L2513="1111",TH!M2513="1111")),TH!D2513,""),"")</f>
        <v/>
      </c>
      <c r="B2513" s="36">
        <f t="shared" si="127"/>
        <v>6</v>
      </c>
      <c r="C2513" s="182">
        <f t="shared" si="126"/>
        <v>42548</v>
      </c>
      <c r="D2513" s="182" t="s">
        <v>1547</v>
      </c>
      <c r="E2513" s="189">
        <v>42548</v>
      </c>
      <c r="F2513" s="187" t="s">
        <v>1443</v>
      </c>
      <c r="G2513" s="451" t="s">
        <v>602</v>
      </c>
      <c r="H2513" s="7" t="s">
        <v>1549</v>
      </c>
      <c r="I2513" s="251">
        <v>522</v>
      </c>
      <c r="J2513" s="251">
        <v>8097.8350033166989</v>
      </c>
      <c r="K2513" s="38">
        <f t="shared" si="125"/>
        <v>4227070</v>
      </c>
      <c r="L2513" s="561" t="s">
        <v>166</v>
      </c>
      <c r="M2513" s="561" t="s">
        <v>164</v>
      </c>
      <c r="N2513" s="52" t="str">
        <f>IF(AND('331-CT'!$E$7=TH!H2513,OR(L2513="331",M2513="331")),"331",IF(AND(OR(L2513="131",M2513="131"),H2513='131-CT'!$E$7),"131",""))</f>
        <v/>
      </c>
      <c r="O2513" s="818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751"/>
    </row>
    <row r="2514" spans="1:28" s="209" customFormat="1" ht="15.75" customHeight="1">
      <c r="A2514" s="202" t="str">
        <f>IF(B2514&lt;&gt;"",IF(AND(B2514&gt;=_TM1,B2514&lt;=_TM2,OR(TH!L2514="1111",TH!M2514="1111")),TH!D2514,""),"")</f>
        <v/>
      </c>
      <c r="B2514" s="36">
        <f t="shared" si="127"/>
        <v>6</v>
      </c>
      <c r="C2514" s="182">
        <f t="shared" si="126"/>
        <v>42549</v>
      </c>
      <c r="D2514" s="182" t="s">
        <v>1547</v>
      </c>
      <c r="E2514" s="189">
        <v>42549</v>
      </c>
      <c r="F2514" s="187" t="s">
        <v>389</v>
      </c>
      <c r="G2514" s="451" t="s">
        <v>1061</v>
      </c>
      <c r="H2514" s="7" t="s">
        <v>1549</v>
      </c>
      <c r="I2514" s="251">
        <v>1300</v>
      </c>
      <c r="J2514" s="251">
        <v>6989.7102133891503</v>
      </c>
      <c r="K2514" s="38">
        <f t="shared" si="125"/>
        <v>9086623</v>
      </c>
      <c r="L2514" s="561" t="s">
        <v>166</v>
      </c>
      <c r="M2514" s="561" t="s">
        <v>164</v>
      </c>
      <c r="N2514" s="52" t="str">
        <f>IF(AND('331-CT'!$E$7=TH!H2514,OR(L2514="331",M2514="331")),"331",IF(AND(OR(L2514="131",M2514="131"),H2514='131-CT'!$E$7),"131",""))</f>
        <v/>
      </c>
      <c r="O2514" s="818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751"/>
      <c r="AB2514" s="552"/>
    </row>
    <row r="2515" spans="1:28" s="209" customFormat="1" ht="15.75" customHeight="1">
      <c r="A2515" s="202" t="str">
        <f>IF(B2515&lt;&gt;"",IF(AND(B2515&gt;=_TM1,B2515&lt;=_TM2,OR(TH!L2515="1111",TH!M2515="1111")),TH!D2515,""),"")</f>
        <v/>
      </c>
      <c r="B2515" s="36">
        <f t="shared" si="127"/>
        <v>6</v>
      </c>
      <c r="C2515" s="182">
        <f t="shared" si="126"/>
        <v>42549</v>
      </c>
      <c r="D2515" s="182" t="s">
        <v>1547</v>
      </c>
      <c r="E2515" s="189">
        <v>42549</v>
      </c>
      <c r="F2515" s="187" t="s">
        <v>392</v>
      </c>
      <c r="G2515" s="451" t="s">
        <v>1061</v>
      </c>
      <c r="H2515" s="7" t="s">
        <v>1549</v>
      </c>
      <c r="I2515" s="251">
        <v>338</v>
      </c>
      <c r="J2515" s="251">
        <v>8268.3157402286288</v>
      </c>
      <c r="K2515" s="38">
        <f t="shared" si="125"/>
        <v>2794691</v>
      </c>
      <c r="L2515" s="561" t="s">
        <v>166</v>
      </c>
      <c r="M2515" s="561" t="s">
        <v>164</v>
      </c>
      <c r="N2515" s="52" t="str">
        <f>IF(AND('331-CT'!$E$7=TH!H2515,OR(L2515="331",M2515="331")),"331",IF(AND(OR(L2515="131",M2515="131"),H2515='131-CT'!$E$7),"131",""))</f>
        <v/>
      </c>
      <c r="O2515" s="818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751"/>
    </row>
    <row r="2516" spans="1:28" s="209" customFormat="1" ht="15.75" customHeight="1">
      <c r="A2516" s="202" t="str">
        <f>IF(B2516&lt;&gt;"",IF(AND(B2516&gt;=_TM1,B2516&lt;=_TM2,OR(TH!L2516="1111",TH!M2516="1111")),TH!D2516,""),"")</f>
        <v/>
      </c>
      <c r="B2516" s="36">
        <f t="shared" si="127"/>
        <v>6</v>
      </c>
      <c r="C2516" s="182">
        <f t="shared" si="126"/>
        <v>42549</v>
      </c>
      <c r="D2516" s="182" t="s">
        <v>1547</v>
      </c>
      <c r="E2516" s="189">
        <v>42549</v>
      </c>
      <c r="F2516" s="187" t="s">
        <v>626</v>
      </c>
      <c r="G2516" s="451" t="s">
        <v>1061</v>
      </c>
      <c r="H2516" s="7" t="s">
        <v>1549</v>
      </c>
      <c r="I2516" s="251">
        <v>316</v>
      </c>
      <c r="J2516" s="251">
        <v>12615.574531482858</v>
      </c>
      <c r="K2516" s="38">
        <f t="shared" si="125"/>
        <v>3986522</v>
      </c>
      <c r="L2516" s="561" t="s">
        <v>166</v>
      </c>
      <c r="M2516" s="561" t="s">
        <v>164</v>
      </c>
      <c r="N2516" s="52" t="str">
        <f>IF(AND('331-CT'!$E$7=TH!H2516,OR(L2516="331",M2516="331")),"331",IF(AND(OR(L2516="131",M2516="131"),H2516='131-CT'!$E$7),"131",""))</f>
        <v/>
      </c>
      <c r="O2516" s="818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751"/>
    </row>
    <row r="2517" spans="1:28" s="209" customFormat="1" ht="15.75" customHeight="1">
      <c r="A2517" s="202" t="str">
        <f>IF(B2517&lt;&gt;"",IF(AND(B2517&gt;=_TM1,B2517&lt;=_TM2,OR(TH!L2517="1111",TH!M2517="1111")),TH!D2517,""),"")</f>
        <v/>
      </c>
      <c r="B2517" s="36">
        <f t="shared" si="127"/>
        <v>6</v>
      </c>
      <c r="C2517" s="182">
        <f t="shared" si="126"/>
        <v>42550</v>
      </c>
      <c r="D2517" s="182" t="s">
        <v>1547</v>
      </c>
      <c r="E2517" s="189">
        <v>42550</v>
      </c>
      <c r="F2517" s="187" t="s">
        <v>1062</v>
      </c>
      <c r="G2517" s="451" t="s">
        <v>603</v>
      </c>
      <c r="H2517" s="7" t="s">
        <v>1549</v>
      </c>
      <c r="I2517" s="251">
        <v>71</v>
      </c>
      <c r="J2517" s="251">
        <v>5966.8257919175676</v>
      </c>
      <c r="K2517" s="38">
        <f t="shared" si="125"/>
        <v>423645</v>
      </c>
      <c r="L2517" s="561" t="s">
        <v>166</v>
      </c>
      <c r="M2517" s="561" t="s">
        <v>164</v>
      </c>
      <c r="N2517" s="52" t="str">
        <f>IF(AND('331-CT'!$E$7=TH!H2517,OR(L2517="331",M2517="331")),"331",IF(AND(OR(L2517="131",M2517="131"),H2517='131-CT'!$E$7),"131",""))</f>
        <v/>
      </c>
      <c r="O2517" s="818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751"/>
      <c r="AB2517" s="552"/>
    </row>
    <row r="2518" spans="1:28" s="209" customFormat="1" ht="15.75" customHeight="1">
      <c r="A2518" s="202" t="str">
        <f>IF(B2518&lt;&gt;"",IF(AND(B2518&gt;=_TM1,B2518&lt;=_TM2,OR(TH!L2518="1111",TH!M2518="1111")),TH!D2518,""),"")</f>
        <v/>
      </c>
      <c r="B2518" s="36">
        <f t="shared" si="127"/>
        <v>6</v>
      </c>
      <c r="C2518" s="182">
        <f t="shared" si="126"/>
        <v>42550</v>
      </c>
      <c r="D2518" s="182" t="s">
        <v>1547</v>
      </c>
      <c r="E2518" s="189">
        <v>42550</v>
      </c>
      <c r="F2518" s="187" t="s">
        <v>1029</v>
      </c>
      <c r="G2518" s="451" t="s">
        <v>603</v>
      </c>
      <c r="H2518" s="7" t="s">
        <v>1549</v>
      </c>
      <c r="I2518" s="251">
        <v>535</v>
      </c>
      <c r="J2518" s="251">
        <v>4773.460633534055</v>
      </c>
      <c r="K2518" s="38">
        <f t="shared" si="125"/>
        <v>2553801</v>
      </c>
      <c r="L2518" s="561" t="s">
        <v>166</v>
      </c>
      <c r="M2518" s="561" t="s">
        <v>164</v>
      </c>
      <c r="N2518" s="52" t="str">
        <f>IF(AND('331-CT'!$E$7=TH!H2518,OR(L2518="331",M2518="331")),"331",IF(AND(OR(L2518="131",M2518="131"),H2518='131-CT'!$E$7),"131",""))</f>
        <v/>
      </c>
      <c r="O2518" s="818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751"/>
    </row>
    <row r="2519" spans="1:28" s="209" customFormat="1" ht="15.75" customHeight="1">
      <c r="A2519" s="202" t="str">
        <f>IF(B2519&lt;&gt;"",IF(AND(B2519&gt;=_TM1,B2519&lt;=_TM2,OR(TH!L2519="1111",TH!M2519="1111")),TH!D2519,""),"")</f>
        <v/>
      </c>
      <c r="B2519" s="36">
        <f t="shared" si="127"/>
        <v>6</v>
      </c>
      <c r="C2519" s="182">
        <f t="shared" si="126"/>
        <v>42550</v>
      </c>
      <c r="D2519" s="182" t="s">
        <v>1547</v>
      </c>
      <c r="E2519" s="189">
        <v>42550</v>
      </c>
      <c r="F2519" s="187" t="s">
        <v>1063</v>
      </c>
      <c r="G2519" s="451" t="s">
        <v>603</v>
      </c>
      <c r="H2519" s="7" t="s">
        <v>1549</v>
      </c>
      <c r="I2519" s="251">
        <v>333</v>
      </c>
      <c r="J2519" s="251">
        <v>4006.2973174303665</v>
      </c>
      <c r="K2519" s="38">
        <f t="shared" si="125"/>
        <v>1334097</v>
      </c>
      <c r="L2519" s="561" t="s">
        <v>166</v>
      </c>
      <c r="M2519" s="561" t="s">
        <v>164</v>
      </c>
      <c r="N2519" s="52" t="str">
        <f>IF(AND('331-CT'!$E$7=TH!H2519,OR(L2519="331",M2519="331")),"331",IF(AND(OR(L2519="131",M2519="131"),H2519='131-CT'!$E$7),"131",""))</f>
        <v/>
      </c>
      <c r="O2519" s="818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751"/>
    </row>
    <row r="2520" spans="1:28" s="209" customFormat="1" ht="15.75" customHeight="1">
      <c r="A2520" s="202" t="str">
        <f>IF(B2520&lt;&gt;"",IF(AND(B2520&gt;=_TM1,B2520&lt;=_TM2,OR(TH!L2520="1111",TH!M2520="1111")),TH!D2520,""),"")</f>
        <v/>
      </c>
      <c r="B2520" s="36">
        <f t="shared" si="127"/>
        <v>6</v>
      </c>
      <c r="C2520" s="182">
        <f t="shared" si="126"/>
        <v>42550</v>
      </c>
      <c r="D2520" s="182" t="s">
        <v>1547</v>
      </c>
      <c r="E2520" s="189">
        <v>42550</v>
      </c>
      <c r="F2520" s="187" t="s">
        <v>645</v>
      </c>
      <c r="G2520" s="451" t="s">
        <v>1064</v>
      </c>
      <c r="H2520" s="7" t="s">
        <v>1549</v>
      </c>
      <c r="I2520" s="251">
        <v>1055</v>
      </c>
      <c r="J2520" s="251">
        <v>9717.402003980038</v>
      </c>
      <c r="K2520" s="38">
        <f t="shared" si="125"/>
        <v>10251859</v>
      </c>
      <c r="L2520" s="561" t="s">
        <v>166</v>
      </c>
      <c r="M2520" s="561" t="s">
        <v>164</v>
      </c>
      <c r="N2520" s="52" t="str">
        <f>IF(AND('331-CT'!$E$7=TH!H2520,OR(L2520="331",M2520="331")),"331",IF(AND(OR(L2520="131",M2520="131"),H2520='131-CT'!$E$7),"131",""))</f>
        <v/>
      </c>
      <c r="O2520" s="818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751"/>
    </row>
    <row r="2521" spans="1:28" s="209" customFormat="1" ht="15.75" customHeight="1">
      <c r="A2521" s="202" t="str">
        <f>IF(B2521&lt;&gt;"",IF(AND(B2521&gt;=_TM1,B2521&lt;=_TM2,OR(TH!L2521="1111",TH!M2521="1111")),TH!D2521,""),"")</f>
        <v/>
      </c>
      <c r="B2521" s="36">
        <f t="shared" si="127"/>
        <v>6</v>
      </c>
      <c r="C2521" s="182">
        <f t="shared" si="126"/>
        <v>42550</v>
      </c>
      <c r="D2521" s="182" t="s">
        <v>1547</v>
      </c>
      <c r="E2521" s="189">
        <v>42550</v>
      </c>
      <c r="F2521" s="187" t="s">
        <v>645</v>
      </c>
      <c r="G2521" s="451" t="s">
        <v>1064</v>
      </c>
      <c r="H2521" s="7" t="s">
        <v>1549</v>
      </c>
      <c r="I2521" s="251">
        <v>100</v>
      </c>
      <c r="J2521" s="251">
        <v>9717.402003980038</v>
      </c>
      <c r="K2521" s="38">
        <f t="shared" si="125"/>
        <v>971740</v>
      </c>
      <c r="L2521" s="561" t="s">
        <v>166</v>
      </c>
      <c r="M2521" s="561" t="s">
        <v>164</v>
      </c>
      <c r="N2521" s="52" t="str">
        <f>IF(AND('331-CT'!$E$7=TH!H2521,OR(L2521="331",M2521="331")),"331",IF(AND(OR(L2521="131",M2521="131"),H2521='131-CT'!$E$7),"131",""))</f>
        <v/>
      </c>
      <c r="O2521" s="818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751"/>
    </row>
    <row r="2522" spans="1:28" s="209" customFormat="1" ht="15.75" customHeight="1">
      <c r="A2522" s="202" t="str">
        <f>IF(B2522&lt;&gt;"",IF(AND(B2522&gt;=_TM1,B2522&lt;=_TM2,OR(TH!L2522="1111",TH!M2522="1111")),TH!D2522,""),"")</f>
        <v/>
      </c>
      <c r="B2522" s="36">
        <f t="shared" si="127"/>
        <v>6</v>
      </c>
      <c r="C2522" s="182">
        <f t="shared" si="126"/>
        <v>42550</v>
      </c>
      <c r="D2522" s="182" t="s">
        <v>1547</v>
      </c>
      <c r="E2522" s="189">
        <v>42550</v>
      </c>
      <c r="F2522" s="187" t="s">
        <v>693</v>
      </c>
      <c r="G2522" s="451" t="s">
        <v>1064</v>
      </c>
      <c r="H2522" s="7" t="s">
        <v>1549</v>
      </c>
      <c r="I2522" s="251">
        <v>2000</v>
      </c>
      <c r="J2522" s="251">
        <v>767.16331610368729</v>
      </c>
      <c r="K2522" s="38">
        <f t="shared" si="125"/>
        <v>1534327</v>
      </c>
      <c r="L2522" s="561" t="s">
        <v>166</v>
      </c>
      <c r="M2522" s="561" t="s">
        <v>164</v>
      </c>
      <c r="N2522" s="52" t="str">
        <f>IF(AND('331-CT'!$E$7=TH!H2522,OR(L2522="331",M2522="331")),"331",IF(AND(OR(L2522="131",M2522="131"),H2522='131-CT'!$E$7),"131",""))</f>
        <v/>
      </c>
      <c r="O2522" s="818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751"/>
    </row>
    <row r="2523" spans="1:28" s="209" customFormat="1" ht="15.75" customHeight="1">
      <c r="A2523" s="202" t="str">
        <f>IF(B2523&lt;&gt;"",IF(AND(B2523&gt;=_TM1,B2523&lt;=_TM2,OR(TH!L2523="1111",TH!M2523="1111")),TH!D2523,""),"")</f>
        <v/>
      </c>
      <c r="B2523" s="36">
        <f t="shared" si="127"/>
        <v>6</v>
      </c>
      <c r="C2523" s="182">
        <f t="shared" si="126"/>
        <v>42550</v>
      </c>
      <c r="D2523" s="182" t="s">
        <v>1547</v>
      </c>
      <c r="E2523" s="189">
        <v>42550</v>
      </c>
      <c r="F2523" s="187" t="s">
        <v>1244</v>
      </c>
      <c r="G2523" s="451" t="s">
        <v>604</v>
      </c>
      <c r="H2523" s="7" t="s">
        <v>1549</v>
      </c>
      <c r="I2523" s="251">
        <v>200</v>
      </c>
      <c r="J2523" s="251">
        <v>15002.304848249885</v>
      </c>
      <c r="K2523" s="38">
        <f t="shared" si="125"/>
        <v>3000461</v>
      </c>
      <c r="L2523" s="561" t="s">
        <v>166</v>
      </c>
      <c r="M2523" s="561" t="s">
        <v>164</v>
      </c>
      <c r="N2523" s="52" t="str">
        <f>IF(AND('331-CT'!$E$7=TH!H2523,OR(L2523="331",M2523="331")),"331",IF(AND(OR(L2523="131",M2523="131"),H2523='131-CT'!$E$7),"131",""))</f>
        <v/>
      </c>
      <c r="O2523" s="818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751"/>
    </row>
    <row r="2524" spans="1:28" s="209" customFormat="1" ht="15.75" customHeight="1">
      <c r="A2524" s="202" t="str">
        <f>IF(B2524&lt;&gt;"",IF(AND(B2524&gt;=_TM1,B2524&lt;=_TM2,OR(TH!L2524="1111",TH!M2524="1111")),TH!D2524,""),"")</f>
        <v/>
      </c>
      <c r="B2524" s="36">
        <f t="shared" si="127"/>
        <v>6</v>
      </c>
      <c r="C2524" s="182">
        <f t="shared" si="126"/>
        <v>42550</v>
      </c>
      <c r="D2524" s="182" t="s">
        <v>1547</v>
      </c>
      <c r="E2524" s="189">
        <v>42550</v>
      </c>
      <c r="F2524" s="187" t="s">
        <v>1065</v>
      </c>
      <c r="G2524" s="451" t="s">
        <v>605</v>
      </c>
      <c r="H2524" s="7" t="s">
        <v>1549</v>
      </c>
      <c r="I2524" s="251">
        <v>1320</v>
      </c>
      <c r="J2524" s="251">
        <v>9887.8827408919697</v>
      </c>
      <c r="K2524" s="38">
        <f t="shared" si="125"/>
        <v>13052005</v>
      </c>
      <c r="L2524" s="561" t="s">
        <v>166</v>
      </c>
      <c r="M2524" s="561" t="s">
        <v>164</v>
      </c>
      <c r="N2524" s="52" t="str">
        <f>IF(AND('331-CT'!$E$7=TH!H2524,OR(L2524="331",M2524="331")),"331",IF(AND(OR(L2524="131",M2524="131"),H2524='131-CT'!$E$7),"131",""))</f>
        <v/>
      </c>
      <c r="O2524" s="818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751"/>
      <c r="AB2524" s="552"/>
    </row>
    <row r="2525" spans="1:28" s="209" customFormat="1" ht="15.75" customHeight="1">
      <c r="A2525" s="202" t="str">
        <f>IF(B2525&lt;&gt;"",IF(AND(B2525&gt;=_TM1,B2525&lt;=_TM2,OR(TH!L2525="1111",TH!M2525="1111")),TH!D2525,""),"")</f>
        <v/>
      </c>
      <c r="B2525" s="36">
        <f t="shared" si="127"/>
        <v>6</v>
      </c>
      <c r="C2525" s="182">
        <f t="shared" si="126"/>
        <v>42550</v>
      </c>
      <c r="D2525" s="182" t="s">
        <v>1547</v>
      </c>
      <c r="E2525" s="189">
        <v>42550</v>
      </c>
      <c r="F2525" s="187" t="s">
        <v>1066</v>
      </c>
      <c r="G2525" s="451" t="s">
        <v>605</v>
      </c>
      <c r="H2525" s="7" t="s">
        <v>1549</v>
      </c>
      <c r="I2525" s="251">
        <v>320</v>
      </c>
      <c r="J2525" s="251">
        <v>11848.41121537917</v>
      </c>
      <c r="K2525" s="38">
        <f t="shared" si="125"/>
        <v>3791492</v>
      </c>
      <c r="L2525" s="561" t="s">
        <v>166</v>
      </c>
      <c r="M2525" s="561" t="s">
        <v>164</v>
      </c>
      <c r="N2525" s="52" t="str">
        <f>IF(AND('331-CT'!$E$7=TH!H2525,OR(L2525="331",M2525="331")),"331",IF(AND(OR(L2525="131",M2525="131"),H2525='131-CT'!$E$7),"131",""))</f>
        <v/>
      </c>
      <c r="O2525" s="818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751"/>
    </row>
    <row r="2526" spans="1:28" s="209" customFormat="1" ht="15.75" customHeight="1">
      <c r="A2526" s="202" t="str">
        <f>IF(B2526&lt;&gt;"",IF(AND(B2526&gt;=_TM1,B2526&lt;=_TM2,OR(TH!L2526="1111",TH!M2526="1111")),TH!D2526,""),"")</f>
        <v/>
      </c>
      <c r="B2526" s="36">
        <f t="shared" si="127"/>
        <v>6</v>
      </c>
      <c r="C2526" s="182">
        <f t="shared" si="126"/>
        <v>42550</v>
      </c>
      <c r="D2526" s="182" t="s">
        <v>1547</v>
      </c>
      <c r="E2526" s="189">
        <v>42550</v>
      </c>
      <c r="F2526" s="187" t="s">
        <v>1067</v>
      </c>
      <c r="G2526" s="451" t="s">
        <v>605</v>
      </c>
      <c r="H2526" s="7" t="s">
        <v>1549</v>
      </c>
      <c r="I2526" s="251">
        <v>28</v>
      </c>
      <c r="J2526" s="251">
        <v>11933.651583835135</v>
      </c>
      <c r="K2526" s="38">
        <f t="shared" si="125"/>
        <v>334142</v>
      </c>
      <c r="L2526" s="561" t="s">
        <v>166</v>
      </c>
      <c r="M2526" s="561" t="s">
        <v>164</v>
      </c>
      <c r="N2526" s="52" t="str">
        <f>IF(AND('331-CT'!$E$7=TH!H2526,OR(L2526="331",M2526="331")),"331",IF(AND(OR(L2526="131",M2526="131"),H2526='131-CT'!$E$7),"131",""))</f>
        <v/>
      </c>
      <c r="O2526" s="818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751"/>
    </row>
    <row r="2527" spans="1:28" s="209" customFormat="1" ht="15.75" customHeight="1">
      <c r="A2527" s="202" t="str">
        <f>IF(B2527&lt;&gt;"",IF(AND(B2527&gt;=_TM1,B2527&lt;=_TM2,OR(TH!L2527="1111",TH!M2527="1111")),TH!D2527,""),"")</f>
        <v/>
      </c>
      <c r="B2527" s="36">
        <f t="shared" si="127"/>
        <v>6</v>
      </c>
      <c r="C2527" s="182">
        <f t="shared" si="126"/>
        <v>42550</v>
      </c>
      <c r="D2527" s="182" t="s">
        <v>1547</v>
      </c>
      <c r="E2527" s="189">
        <v>42550</v>
      </c>
      <c r="F2527" s="187" t="s">
        <v>959</v>
      </c>
      <c r="G2527" s="451" t="s">
        <v>605</v>
      </c>
      <c r="H2527" s="7" t="s">
        <v>1549</v>
      </c>
      <c r="I2527" s="251">
        <v>245</v>
      </c>
      <c r="J2527" s="251">
        <v>10996.007530819517</v>
      </c>
      <c r="K2527" s="38">
        <f t="shared" si="125"/>
        <v>2694022</v>
      </c>
      <c r="L2527" s="561" t="s">
        <v>166</v>
      </c>
      <c r="M2527" s="561" t="s">
        <v>164</v>
      </c>
      <c r="N2527" s="52" t="str">
        <f>IF(AND('331-CT'!$E$7=TH!H2527,OR(L2527="331",M2527="331")),"331",IF(AND(OR(L2527="131",M2527="131"),H2527='131-CT'!$E$7),"131",""))</f>
        <v/>
      </c>
      <c r="O2527" s="818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751"/>
      <c r="AB2527" s="552"/>
    </row>
    <row r="2528" spans="1:28" s="209" customFormat="1" ht="15.75" customHeight="1">
      <c r="A2528" s="202" t="str">
        <f>IF(B2528&lt;&gt;"",IF(AND(B2528&gt;=_TM1,B2528&lt;=_TM2,OR(TH!L2528="1111",TH!M2528="1111")),TH!D2528,""),"")</f>
        <v/>
      </c>
      <c r="B2528" s="36">
        <f t="shared" si="127"/>
        <v>6</v>
      </c>
      <c r="C2528" s="182">
        <f t="shared" si="126"/>
        <v>42550</v>
      </c>
      <c r="D2528" s="182" t="s">
        <v>1547</v>
      </c>
      <c r="E2528" s="189">
        <v>42550</v>
      </c>
      <c r="F2528" s="187" t="s">
        <v>987</v>
      </c>
      <c r="G2528" s="451" t="s">
        <v>605</v>
      </c>
      <c r="H2528" s="7" t="s">
        <v>1549</v>
      </c>
      <c r="I2528" s="251">
        <v>52</v>
      </c>
      <c r="J2528" s="251">
        <v>10228.844214715829</v>
      </c>
      <c r="K2528" s="38">
        <f t="shared" si="125"/>
        <v>531900</v>
      </c>
      <c r="L2528" s="561" t="s">
        <v>166</v>
      </c>
      <c r="M2528" s="561" t="s">
        <v>164</v>
      </c>
      <c r="N2528" s="52" t="str">
        <f>IF(AND('331-CT'!$E$7=TH!H2528,OR(L2528="331",M2528="331")),"331",IF(AND(OR(L2528="131",M2528="131"),H2528='131-CT'!$E$7),"131",""))</f>
        <v/>
      </c>
      <c r="O2528" s="818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751"/>
    </row>
    <row r="2529" spans="1:29" s="209" customFormat="1" ht="15.75" customHeight="1">
      <c r="A2529" s="202" t="str">
        <f>IF(B2529&lt;&gt;"",IF(AND(B2529&gt;=_TM1,B2529&lt;=_TM2,OR(TH!L2529="1111",TH!M2529="1111")),TH!D2529,""),"")</f>
        <v/>
      </c>
      <c r="B2529" s="36">
        <f t="shared" si="127"/>
        <v>6</v>
      </c>
      <c r="C2529" s="182">
        <f t="shared" si="126"/>
        <v>42550</v>
      </c>
      <c r="D2529" s="182" t="s">
        <v>1547</v>
      </c>
      <c r="E2529" s="189">
        <v>42550</v>
      </c>
      <c r="F2529" s="187" t="s">
        <v>627</v>
      </c>
      <c r="G2529" s="451" t="s">
        <v>606</v>
      </c>
      <c r="H2529" s="7" t="s">
        <v>1549</v>
      </c>
      <c r="I2529" s="251">
        <v>410</v>
      </c>
      <c r="J2529" s="251">
        <v>6393.027634197394</v>
      </c>
      <c r="K2529" s="38">
        <f t="shared" si="125"/>
        <v>2621141</v>
      </c>
      <c r="L2529" s="561" t="s">
        <v>166</v>
      </c>
      <c r="M2529" s="561" t="s">
        <v>164</v>
      </c>
      <c r="N2529" s="52" t="str">
        <f>IF(AND('331-CT'!$E$7=TH!H2529,OR(L2529="331",M2529="331")),"331",IF(AND(OR(L2529="131",M2529="131"),H2529='131-CT'!$E$7),"131",""))</f>
        <v/>
      </c>
      <c r="O2529" s="818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751"/>
    </row>
    <row r="2530" spans="1:29" s="209" customFormat="1" ht="15.75" customHeight="1">
      <c r="A2530" s="202" t="str">
        <f>IF(B2530&lt;&gt;"",IF(AND(B2530&gt;=_TM1,B2530&lt;=_TM2,OR(TH!L2530="1111",TH!M2530="1111")),TH!D2530,""),"")</f>
        <v/>
      </c>
      <c r="B2530" s="36">
        <f t="shared" si="127"/>
        <v>6</v>
      </c>
      <c r="C2530" s="182">
        <f t="shared" si="126"/>
        <v>42550</v>
      </c>
      <c r="D2530" s="182" t="s">
        <v>1547</v>
      </c>
      <c r="E2530" s="189">
        <v>42550</v>
      </c>
      <c r="F2530" s="187" t="s">
        <v>1439</v>
      </c>
      <c r="G2530" s="451" t="s">
        <v>608</v>
      </c>
      <c r="H2530" s="7" t="s">
        <v>1549</v>
      </c>
      <c r="I2530" s="251">
        <v>800</v>
      </c>
      <c r="J2530" s="251">
        <v>6989.7102133891503</v>
      </c>
      <c r="K2530" s="38">
        <f t="shared" si="125"/>
        <v>5591768</v>
      </c>
      <c r="L2530" s="561" t="s">
        <v>166</v>
      </c>
      <c r="M2530" s="561" t="s">
        <v>164</v>
      </c>
      <c r="N2530" s="52" t="str">
        <f>IF(AND('331-CT'!$E$7=TH!H2530,OR(L2530="331",M2530="331")),"331",IF(AND(OR(L2530="131",M2530="131"),H2530='131-CT'!$E$7),"131",""))</f>
        <v/>
      </c>
      <c r="O2530" s="818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751"/>
    </row>
    <row r="2531" spans="1:29" s="209" customFormat="1" ht="15.75" customHeight="1">
      <c r="A2531" s="202" t="str">
        <f>IF(B2531&lt;&gt;"",IF(AND(B2531&gt;=_TM1,B2531&lt;=_TM2,OR(TH!L2531="1111",TH!M2531="1111")),TH!D2531,""),"")</f>
        <v/>
      </c>
      <c r="B2531" s="36">
        <f t="shared" si="127"/>
        <v>1</v>
      </c>
      <c r="C2531" s="182">
        <v>42006</v>
      </c>
      <c r="D2531" s="182" t="s">
        <v>1547</v>
      </c>
      <c r="E2531" s="691">
        <v>42550</v>
      </c>
      <c r="F2531" s="187" t="s">
        <v>429</v>
      </c>
      <c r="G2531" s="451" t="s">
        <v>611</v>
      </c>
      <c r="H2531" s="7" t="s">
        <v>1549</v>
      </c>
      <c r="I2531" s="251">
        <v>628</v>
      </c>
      <c r="J2531" s="251">
        <v>10314.084583171796</v>
      </c>
      <c r="K2531" s="38">
        <f t="shared" si="125"/>
        <v>6477245</v>
      </c>
      <c r="L2531" s="561" t="s">
        <v>166</v>
      </c>
      <c r="M2531" s="561" t="s">
        <v>164</v>
      </c>
      <c r="N2531" s="52" t="str">
        <f>IF(AND('331-CT'!$E$7=TH!H2531,OR(L2531="331",M2531="331")),"331",IF(AND(OR(L2531="131",M2531="131"),H2531='131-CT'!$E$7),"131",""))</f>
        <v/>
      </c>
      <c r="O2531" s="818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751"/>
    </row>
    <row r="2532" spans="1:29" s="209" customFormat="1" ht="15.75" customHeight="1">
      <c r="A2532" s="202" t="str">
        <f>IF(B2532&lt;&gt;"",IF(AND(B2532&gt;=_TM1,B2532&lt;=_TM2,OR(TH!L2532="1111",TH!M2532="1111")),TH!D2532,""),"")</f>
        <v/>
      </c>
      <c r="B2532" s="36">
        <f t="shared" si="127"/>
        <v>1</v>
      </c>
      <c r="C2532" s="182">
        <v>42006</v>
      </c>
      <c r="D2532" s="182" t="s">
        <v>1547</v>
      </c>
      <c r="E2532" s="691">
        <v>42550</v>
      </c>
      <c r="F2532" s="187" t="s">
        <v>1068</v>
      </c>
      <c r="G2532" s="451" t="s">
        <v>613</v>
      </c>
      <c r="H2532" s="7" t="s">
        <v>1549</v>
      </c>
      <c r="I2532" s="251">
        <v>53</v>
      </c>
      <c r="J2532" s="251">
        <v>72113.351713746611</v>
      </c>
      <c r="K2532" s="38">
        <f t="shared" si="125"/>
        <v>3822008</v>
      </c>
      <c r="L2532" s="561" t="s">
        <v>166</v>
      </c>
      <c r="M2532" s="561" t="s">
        <v>164</v>
      </c>
      <c r="N2532" s="52" t="str">
        <f>IF(AND('331-CT'!$E$7=TH!H2532,OR(L2532="331",M2532="331")),"331",IF(AND(OR(L2532="131",M2532="131"),H2532='131-CT'!$E$7),"131",""))</f>
        <v/>
      </c>
      <c r="O2532" s="818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751"/>
    </row>
    <row r="2533" spans="1:29" s="209" customFormat="1" ht="15.75" customHeight="1">
      <c r="A2533" s="202" t="str">
        <f>IF(B2533&lt;&gt;"",IF(AND(B2533&gt;=_TM1,B2533&lt;=_TM2,OR(TH!L2533="1111",TH!M2533="1111")),TH!D2533,""),"")</f>
        <v/>
      </c>
      <c r="B2533" s="36">
        <f t="shared" si="127"/>
        <v>1</v>
      </c>
      <c r="C2533" s="182">
        <v>42006</v>
      </c>
      <c r="D2533" s="182" t="s">
        <v>1547</v>
      </c>
      <c r="E2533" s="691">
        <v>42550</v>
      </c>
      <c r="F2533" s="187" t="s">
        <v>418</v>
      </c>
      <c r="G2533" s="451" t="s">
        <v>613</v>
      </c>
      <c r="H2533" s="7" t="s">
        <v>1549</v>
      </c>
      <c r="I2533" s="251">
        <v>120</v>
      </c>
      <c r="J2533" s="251">
        <v>61799.267130574808</v>
      </c>
      <c r="K2533" s="38">
        <f t="shared" si="125"/>
        <v>7415912</v>
      </c>
      <c r="L2533" s="561" t="s">
        <v>166</v>
      </c>
      <c r="M2533" s="561" t="s">
        <v>164</v>
      </c>
      <c r="N2533" s="52" t="str">
        <f>IF(AND('331-CT'!$E$7=TH!H2533,OR(L2533="331",M2533="331")),"331",IF(AND(OR(L2533="131",M2533="131"),H2533='131-CT'!$E$7),"131",""))</f>
        <v/>
      </c>
      <c r="O2533" s="818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751"/>
    </row>
    <row r="2534" spans="1:29" s="209" customFormat="1" ht="15.75" customHeight="1">
      <c r="A2534" s="202" t="str">
        <f>IF(B2534&lt;&gt;"",IF(AND(B2534&gt;=_TM1,B2534&lt;=_TM2,OR(TH!L2534="1111",TH!M2534="1111")),TH!D2534,""),"")</f>
        <v/>
      </c>
      <c r="B2534" s="36">
        <f t="shared" si="127"/>
        <v>1</v>
      </c>
      <c r="C2534" s="182">
        <v>42006</v>
      </c>
      <c r="D2534" s="182" t="s">
        <v>1547</v>
      </c>
      <c r="E2534" s="691">
        <v>42550</v>
      </c>
      <c r="F2534" s="187" t="s">
        <v>1069</v>
      </c>
      <c r="G2534" s="451" t="s">
        <v>613</v>
      </c>
      <c r="H2534" s="7" t="s">
        <v>1549</v>
      </c>
      <c r="I2534" s="251">
        <v>13</v>
      </c>
      <c r="J2534" s="251">
        <v>43728.309017910171</v>
      </c>
      <c r="K2534" s="38">
        <f t="shared" si="125"/>
        <v>568468</v>
      </c>
      <c r="L2534" s="561" t="s">
        <v>166</v>
      </c>
      <c r="M2534" s="561" t="s">
        <v>164</v>
      </c>
      <c r="N2534" s="52" t="str">
        <f>IF(AND('331-CT'!$E$7=TH!H2534,OR(L2534="331",M2534="331")),"331",IF(AND(OR(L2534="131",M2534="131"),H2534='131-CT'!$E$7),"131",""))</f>
        <v/>
      </c>
      <c r="O2534" s="818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751"/>
    </row>
    <row r="2535" spans="1:29" s="209" customFormat="1" ht="15.75" customHeight="1">
      <c r="A2535" s="202" t="str">
        <f>IF(B2535&lt;&gt;"",IF(AND(B2535&gt;=_TM1,B2535&lt;=_TM2,OR(TH!L2535="1111",TH!M2535="1111")),TH!D2535,""),"")</f>
        <v/>
      </c>
      <c r="B2535" s="36">
        <f t="shared" si="127"/>
        <v>6</v>
      </c>
      <c r="C2535" s="182">
        <f t="shared" ref="C2535:C2598" si="128">E2535</f>
        <v>42550</v>
      </c>
      <c r="D2535" s="182" t="s">
        <v>1547</v>
      </c>
      <c r="E2535" s="189">
        <v>42550</v>
      </c>
      <c r="F2535" s="187" t="s">
        <v>495</v>
      </c>
      <c r="G2535" s="451" t="s">
        <v>613</v>
      </c>
      <c r="H2535" s="7" t="s">
        <v>1549</v>
      </c>
      <c r="I2535" s="251">
        <v>51</v>
      </c>
      <c r="J2535" s="251">
        <v>49098.452230635987</v>
      </c>
      <c r="K2535" s="38">
        <f t="shared" si="125"/>
        <v>2504021</v>
      </c>
      <c r="L2535" s="561" t="s">
        <v>166</v>
      </c>
      <c r="M2535" s="561" t="s">
        <v>164</v>
      </c>
      <c r="N2535" s="52" t="str">
        <f>IF(AND('331-CT'!$E$7=TH!H2535,OR(L2535="331",M2535="331")),"331",IF(AND(OR(L2535="131",M2535="131"),H2535='131-CT'!$E$7),"131",""))</f>
        <v/>
      </c>
      <c r="O2535" s="818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751"/>
      <c r="AB2535" s="552"/>
      <c r="AC2535" s="552"/>
    </row>
    <row r="2536" spans="1:29" s="209" customFormat="1" ht="15.75" customHeight="1">
      <c r="A2536" s="202" t="str">
        <f>IF(B2536&lt;&gt;"",IF(AND(B2536&gt;=_TM1,B2536&lt;=_TM2,OR(TH!L2536="1111",TH!M2536="1111")),TH!D2536,""),"")</f>
        <v/>
      </c>
      <c r="B2536" s="36">
        <f t="shared" si="127"/>
        <v>6</v>
      </c>
      <c r="C2536" s="182">
        <f t="shared" si="128"/>
        <v>42551</v>
      </c>
      <c r="D2536" s="182" t="s">
        <v>1547</v>
      </c>
      <c r="E2536" s="189">
        <v>42551</v>
      </c>
      <c r="F2536" s="187" t="s">
        <v>651</v>
      </c>
      <c r="G2536" s="451" t="s">
        <v>614</v>
      </c>
      <c r="H2536" s="7" t="s">
        <v>1549</v>
      </c>
      <c r="I2536" s="251">
        <v>220</v>
      </c>
      <c r="J2536" s="251">
        <v>7160.1909503010811</v>
      </c>
      <c r="K2536" s="38">
        <f t="shared" si="125"/>
        <v>1575242</v>
      </c>
      <c r="L2536" s="561" t="s">
        <v>166</v>
      </c>
      <c r="M2536" s="561" t="s">
        <v>164</v>
      </c>
      <c r="N2536" s="52" t="str">
        <f>IF(AND('331-CT'!$E$7=TH!H2536,OR(L2536="331",M2536="331")),"331",IF(AND(OR(L2536="131",M2536="131"),H2536='131-CT'!$E$7),"131",""))</f>
        <v/>
      </c>
      <c r="O2536" s="818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751"/>
      <c r="AB2536" s="552"/>
    </row>
    <row r="2537" spans="1:29" s="209" customFormat="1" ht="15.75" customHeight="1">
      <c r="A2537" s="202" t="str">
        <f>IF(B2537&lt;&gt;"",IF(AND(B2537&gt;=_TM1,B2537&lt;=_TM2,OR(TH!L2537="1111",TH!M2537="1111")),TH!D2537,""),"")</f>
        <v/>
      </c>
      <c r="B2537" s="36">
        <f t="shared" si="127"/>
        <v>6</v>
      </c>
      <c r="C2537" s="182">
        <f t="shared" si="128"/>
        <v>42551</v>
      </c>
      <c r="D2537" s="182" t="s">
        <v>1547</v>
      </c>
      <c r="E2537" s="189">
        <v>42551</v>
      </c>
      <c r="F2537" s="187" t="s">
        <v>540</v>
      </c>
      <c r="G2537" s="451" t="s">
        <v>614</v>
      </c>
      <c r="H2537" s="7" t="s">
        <v>1549</v>
      </c>
      <c r="I2537" s="251">
        <v>529</v>
      </c>
      <c r="J2537" s="251">
        <v>8268.3157402286288</v>
      </c>
      <c r="K2537" s="38">
        <f t="shared" si="125"/>
        <v>4373939</v>
      </c>
      <c r="L2537" s="561" t="s">
        <v>166</v>
      </c>
      <c r="M2537" s="561" t="s">
        <v>164</v>
      </c>
      <c r="N2537" s="52" t="str">
        <f>IF(AND('331-CT'!$E$7=TH!H2537,OR(L2537="331",M2537="331")),"331",IF(AND(OR(L2537="131",M2537="131"),H2537='131-CT'!$E$7),"131",""))</f>
        <v/>
      </c>
      <c r="O2537" s="818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751"/>
    </row>
    <row r="2538" spans="1:29" s="788" customFormat="1" ht="15.75" customHeight="1">
      <c r="A2538" s="202" t="str">
        <f>IF(B2538&lt;&gt;"",IF(AND(B2538&gt;=_TM1,B2538&lt;=_TM2,OR(TH!L2538="1111",TH!M2538="1111")),TH!D2538,""),"")</f>
        <v/>
      </c>
      <c r="B2538" s="779">
        <f t="shared" si="127"/>
        <v>7</v>
      </c>
      <c r="C2538" s="780">
        <f t="shared" si="128"/>
        <v>42556</v>
      </c>
      <c r="D2538" s="780" t="s">
        <v>1547</v>
      </c>
      <c r="E2538" s="781">
        <v>42556</v>
      </c>
      <c r="F2538" s="789" t="s">
        <v>1443</v>
      </c>
      <c r="G2538" s="783" t="s">
        <v>616</v>
      </c>
      <c r="H2538" s="784" t="s">
        <v>1549</v>
      </c>
      <c r="I2538" s="785">
        <v>498</v>
      </c>
      <c r="J2538" s="785">
        <v>11673.570112762354</v>
      </c>
      <c r="K2538" s="829">
        <f t="shared" si="125"/>
        <v>5813438</v>
      </c>
      <c r="L2538" s="891" t="s">
        <v>166</v>
      </c>
      <c r="M2538" s="891" t="s">
        <v>164</v>
      </c>
      <c r="N2538" s="52" t="str">
        <f>IF(AND('331-CT'!$E$7=TH!H2538,OR(L2538="331",M2538="331")),"331",IF(AND(OR(L2538="131",M2538="131"),H2538='131-CT'!$E$7),"131",""))</f>
        <v/>
      </c>
      <c r="O2538" s="818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  <c r="AA2538" s="888"/>
    </row>
    <row r="2539" spans="1:29" s="209" customFormat="1" ht="15.75" customHeight="1">
      <c r="A2539" s="202" t="str">
        <f>IF(B2539&lt;&gt;"",IF(AND(B2539&gt;=_TM1,B2539&lt;=_TM2,OR(TH!L2539="1111",TH!M2539="1111")),TH!D2539,""),"")</f>
        <v/>
      </c>
      <c r="B2539" s="36">
        <f t="shared" si="127"/>
        <v>7</v>
      </c>
      <c r="C2539" s="182">
        <f t="shared" si="128"/>
        <v>42557</v>
      </c>
      <c r="D2539" s="182" t="s">
        <v>1547</v>
      </c>
      <c r="E2539" s="189">
        <v>42557</v>
      </c>
      <c r="F2539" s="187" t="s">
        <v>1255</v>
      </c>
      <c r="G2539" s="451" t="s">
        <v>617</v>
      </c>
      <c r="H2539" s="7" t="s">
        <v>1549</v>
      </c>
      <c r="I2539" s="251">
        <v>1320</v>
      </c>
      <c r="J2539" s="251">
        <v>10076.134202594874</v>
      </c>
      <c r="K2539" s="38">
        <f t="shared" si="125"/>
        <v>13300497</v>
      </c>
      <c r="L2539" s="561" t="s">
        <v>166</v>
      </c>
      <c r="M2539" s="561" t="s">
        <v>164</v>
      </c>
      <c r="N2539" s="52" t="str">
        <f>IF(AND('331-CT'!$E$7=TH!H2539,OR(L2539="331",M2539="331")),"331",IF(AND(OR(L2539="131",M2539="131"),H2539='131-CT'!$E$7),"131",""))</f>
        <v/>
      </c>
      <c r="O2539" s="818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  <c r="AA2539" s="751"/>
    </row>
    <row r="2540" spans="1:29" s="209" customFormat="1" ht="15.75" customHeight="1">
      <c r="A2540" s="202" t="str">
        <f>IF(B2540&lt;&gt;"",IF(AND(B2540&gt;=_TM1,B2540&lt;=_TM2,OR(TH!L2540="1111",TH!M2540="1111")),TH!D2540,""),"")</f>
        <v/>
      </c>
      <c r="B2540" s="36">
        <f t="shared" si="127"/>
        <v>7</v>
      </c>
      <c r="C2540" s="182">
        <f t="shared" si="128"/>
        <v>42557</v>
      </c>
      <c r="D2540" s="182" t="s">
        <v>1547</v>
      </c>
      <c r="E2540" s="189">
        <v>42557</v>
      </c>
      <c r="F2540" s="187" t="s">
        <v>1256</v>
      </c>
      <c r="G2540" s="451" t="s">
        <v>617</v>
      </c>
      <c r="H2540" s="7" t="s">
        <v>1549</v>
      </c>
      <c r="I2540" s="251">
        <v>630</v>
      </c>
      <c r="J2540" s="251">
        <v>11182.051371172362</v>
      </c>
      <c r="K2540" s="38">
        <f t="shared" si="125"/>
        <v>7044692</v>
      </c>
      <c r="L2540" s="561" t="s">
        <v>166</v>
      </c>
      <c r="M2540" s="561" t="s">
        <v>164</v>
      </c>
      <c r="N2540" s="52" t="str">
        <f>IF(AND('331-CT'!$E$7=TH!H2540,OR(L2540="331",M2540="331")),"331",IF(AND(OR(L2540="131",M2540="131"),H2540='131-CT'!$E$7),"131",""))</f>
        <v/>
      </c>
      <c r="O2540" s="818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  <c r="AA2540" s="751"/>
    </row>
    <row r="2541" spans="1:29" s="209" customFormat="1" ht="15.75" customHeight="1">
      <c r="A2541" s="202" t="str">
        <f>IF(B2541&lt;&gt;"",IF(AND(B2541&gt;=_TM1,B2541&lt;=_TM2,OR(TH!L2541="1111",TH!M2541="1111")),TH!D2541,""),"")</f>
        <v/>
      </c>
      <c r="B2541" s="36">
        <f t="shared" si="127"/>
        <v>7</v>
      </c>
      <c r="C2541" s="182">
        <f t="shared" si="128"/>
        <v>42557</v>
      </c>
      <c r="D2541" s="182" t="s">
        <v>1547</v>
      </c>
      <c r="E2541" s="691">
        <v>42557</v>
      </c>
      <c r="F2541" s="187" t="s">
        <v>594</v>
      </c>
      <c r="G2541" s="451" t="s">
        <v>617</v>
      </c>
      <c r="H2541" s="7" t="s">
        <v>1549</v>
      </c>
      <c r="I2541" s="251">
        <v>320</v>
      </c>
      <c r="J2541" s="251">
        <v>11059.171685774863</v>
      </c>
      <c r="K2541" s="38">
        <f t="shared" si="125"/>
        <v>3538935</v>
      </c>
      <c r="L2541" s="561" t="s">
        <v>166</v>
      </c>
      <c r="M2541" s="561" t="s">
        <v>164</v>
      </c>
      <c r="N2541" s="52" t="str">
        <f>IF(AND('331-CT'!$E$7=TH!H2541,OR(L2541="331",M2541="331")),"331",IF(AND(OR(L2541="131",M2541="131"),H2541='131-CT'!$E$7),"131",""))</f>
        <v/>
      </c>
      <c r="O2541" s="818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  <c r="AA2541" s="751"/>
    </row>
    <row r="2542" spans="1:29" s="209" customFormat="1" ht="15.75" customHeight="1">
      <c r="A2542" s="202" t="str">
        <f>IF(B2542&lt;&gt;"",IF(AND(B2542&gt;=_TM1,B2542&lt;=_TM2,OR(TH!L2542="1111",TH!M2542="1111")),TH!D2542,""),"")</f>
        <v/>
      </c>
      <c r="B2542" s="36">
        <f t="shared" si="127"/>
        <v>7</v>
      </c>
      <c r="C2542" s="182">
        <f t="shared" si="128"/>
        <v>42557</v>
      </c>
      <c r="D2542" s="182" t="s">
        <v>1547</v>
      </c>
      <c r="E2542" s="691">
        <v>42557</v>
      </c>
      <c r="F2542" s="187" t="s">
        <v>1257</v>
      </c>
      <c r="G2542" s="451" t="s">
        <v>618</v>
      </c>
      <c r="H2542" s="7" t="s">
        <v>1549</v>
      </c>
      <c r="I2542" s="251">
        <v>230</v>
      </c>
      <c r="J2542" s="251">
        <v>9093.096719414887</v>
      </c>
      <c r="K2542" s="38">
        <f t="shared" si="125"/>
        <v>2091412</v>
      </c>
      <c r="L2542" s="561" t="s">
        <v>166</v>
      </c>
      <c r="M2542" s="561" t="s">
        <v>164</v>
      </c>
      <c r="N2542" s="52" t="str">
        <f>IF(AND('331-CT'!$E$7=TH!H2542,OR(L2542="331",M2542="331")),"331",IF(AND(OR(L2542="131",M2542="131"),H2542='131-CT'!$E$7),"131",""))</f>
        <v/>
      </c>
      <c r="O2542" s="818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  <c r="AA2542" s="751"/>
    </row>
    <row r="2543" spans="1:29" s="209" customFormat="1" ht="15.75" customHeight="1">
      <c r="A2543" s="202" t="str">
        <f>IF(B2543&lt;&gt;"",IF(AND(B2543&gt;=_TM1,B2543&lt;=_TM2,OR(TH!L2543="1111",TH!M2543="1111")),TH!D2543,""),"")</f>
        <v/>
      </c>
      <c r="B2543" s="36">
        <f t="shared" si="127"/>
        <v>7</v>
      </c>
      <c r="C2543" s="182">
        <f t="shared" si="128"/>
        <v>42558</v>
      </c>
      <c r="D2543" s="182" t="s">
        <v>1547</v>
      </c>
      <c r="E2543" s="691">
        <v>42558</v>
      </c>
      <c r="F2543" s="187" t="s">
        <v>1258</v>
      </c>
      <c r="G2543" s="451" t="s">
        <v>619</v>
      </c>
      <c r="H2543" s="7" t="s">
        <v>1549</v>
      </c>
      <c r="I2543" s="251">
        <v>1545</v>
      </c>
      <c r="J2543" s="251">
        <v>8355.8186070298962</v>
      </c>
      <c r="K2543" s="38">
        <f t="shared" ref="K2543:K2606" si="129">ROUND(I2543*J2543,0)</f>
        <v>12909740</v>
      </c>
      <c r="L2543" s="561" t="s">
        <v>166</v>
      </c>
      <c r="M2543" s="561" t="s">
        <v>164</v>
      </c>
      <c r="N2543" s="52" t="str">
        <f>IF(AND('331-CT'!$E$7=TH!H2543,OR(L2543="331",M2543="331")),"331",IF(AND(OR(L2543="131",M2543="131"),H2543='131-CT'!$E$7),"131",""))</f>
        <v/>
      </c>
      <c r="O2543" s="818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  <c r="AA2543" s="751"/>
      <c r="AB2543" s="552"/>
      <c r="AC2543" s="552"/>
    </row>
    <row r="2544" spans="1:29" s="209" customFormat="1" ht="15.75" customHeight="1">
      <c r="A2544" s="202" t="str">
        <f>IF(B2544&lt;&gt;"",IF(AND(B2544&gt;=_TM1,B2544&lt;=_TM2,OR(TH!L2544="1111",TH!M2544="1111")),TH!D2544,""),"")</f>
        <v/>
      </c>
      <c r="B2544" s="36">
        <f t="shared" si="127"/>
        <v>7</v>
      </c>
      <c r="C2544" s="182">
        <f t="shared" si="128"/>
        <v>42558</v>
      </c>
      <c r="D2544" s="182" t="s">
        <v>1547</v>
      </c>
      <c r="E2544" s="691">
        <v>42558</v>
      </c>
      <c r="F2544" s="187" t="s">
        <v>1258</v>
      </c>
      <c r="G2544" s="451" t="s">
        <v>619</v>
      </c>
      <c r="H2544" s="7" t="s">
        <v>1549</v>
      </c>
      <c r="I2544" s="251">
        <v>559</v>
      </c>
      <c r="J2544" s="251">
        <v>8355.8186070298962</v>
      </c>
      <c r="K2544" s="38">
        <f t="shared" si="129"/>
        <v>4670903</v>
      </c>
      <c r="L2544" s="561" t="s">
        <v>166</v>
      </c>
      <c r="M2544" s="561" t="s">
        <v>164</v>
      </c>
      <c r="N2544" s="52" t="str">
        <f>IF(AND('331-CT'!$E$7=TH!H2544,OR(L2544="331",M2544="331")),"331",IF(AND(OR(L2544="131",M2544="131"),H2544='131-CT'!$E$7),"131",""))</f>
        <v/>
      </c>
      <c r="O2544" s="818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  <c r="AA2544" s="751"/>
      <c r="AB2544" s="552"/>
    </row>
    <row r="2545" spans="1:29" s="209" customFormat="1" ht="15.75" customHeight="1">
      <c r="A2545" s="202" t="str">
        <f>IF(B2545&lt;&gt;"",IF(AND(B2545&gt;=_TM1,B2545&lt;=_TM2,OR(TH!L2545="1111",TH!M2545="1111")),TH!D2545,""),"")</f>
        <v/>
      </c>
      <c r="B2545" s="36">
        <f t="shared" si="127"/>
        <v>7</v>
      </c>
      <c r="C2545" s="182">
        <f t="shared" si="128"/>
        <v>42559</v>
      </c>
      <c r="D2545" s="182" t="s">
        <v>1547</v>
      </c>
      <c r="E2545" s="691">
        <v>42559</v>
      </c>
      <c r="F2545" s="187" t="s">
        <v>988</v>
      </c>
      <c r="G2545" s="451" t="s">
        <v>620</v>
      </c>
      <c r="H2545" s="7" t="s">
        <v>1549</v>
      </c>
      <c r="I2545" s="251">
        <v>548</v>
      </c>
      <c r="J2545" s="251">
        <v>10567.652944184869</v>
      </c>
      <c r="K2545" s="38">
        <f t="shared" si="129"/>
        <v>5791074</v>
      </c>
      <c r="L2545" s="561" t="s">
        <v>166</v>
      </c>
      <c r="M2545" s="561" t="s">
        <v>164</v>
      </c>
      <c r="N2545" s="52" t="str">
        <f>IF(AND('331-CT'!$E$7=TH!H2545,OR(L2545="331",M2545="331")),"331",IF(AND(OR(L2545="131",M2545="131"),H2545='131-CT'!$E$7),"131",""))</f>
        <v/>
      </c>
      <c r="O2545" s="818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  <c r="AA2545" s="751"/>
      <c r="AB2545" s="552"/>
    </row>
    <row r="2546" spans="1:29" s="209" customFormat="1" ht="15.75" customHeight="1">
      <c r="A2546" s="202" t="str">
        <f>IF(B2546&lt;&gt;"",IF(AND(B2546&gt;=_TM1,B2546&lt;=_TM2,OR(TH!L2546="1111",TH!M2546="1111")),TH!D2546,""),"")</f>
        <v/>
      </c>
      <c r="B2546" s="36">
        <f t="shared" si="127"/>
        <v>7</v>
      </c>
      <c r="C2546" s="182">
        <f t="shared" si="128"/>
        <v>42563</v>
      </c>
      <c r="D2546" s="182" t="s">
        <v>1547</v>
      </c>
      <c r="E2546" s="189">
        <v>42563</v>
      </c>
      <c r="F2546" s="187" t="s">
        <v>1070</v>
      </c>
      <c r="G2546" s="451" t="s">
        <v>621</v>
      </c>
      <c r="H2546" s="7" t="s">
        <v>1549</v>
      </c>
      <c r="I2546" s="251">
        <v>220</v>
      </c>
      <c r="J2546" s="251">
        <v>33546.154113517085</v>
      </c>
      <c r="K2546" s="38">
        <f t="shared" si="129"/>
        <v>7380154</v>
      </c>
      <c r="L2546" s="561" t="s">
        <v>166</v>
      </c>
      <c r="M2546" s="561" t="s">
        <v>164</v>
      </c>
      <c r="N2546" s="52" t="str">
        <f>IF(AND('331-CT'!$E$7=TH!H2546,OR(L2546="331",M2546="331")),"331",IF(AND(OR(L2546="131",M2546="131"),H2546='131-CT'!$E$7),"131",""))</f>
        <v/>
      </c>
      <c r="O2546" s="818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  <c r="AA2546" s="751"/>
    </row>
    <row r="2547" spans="1:29" s="209" customFormat="1" ht="15.75" customHeight="1">
      <c r="A2547" s="202" t="str">
        <f>IF(B2547&lt;&gt;"",IF(AND(B2547&gt;=_TM1,B2547&lt;=_TM2,OR(TH!L2547="1111",TH!M2547="1111")),TH!D2547,""),"")</f>
        <v/>
      </c>
      <c r="B2547" s="36">
        <f t="shared" si="127"/>
        <v>7</v>
      </c>
      <c r="C2547" s="182">
        <f t="shared" si="128"/>
        <v>42563</v>
      </c>
      <c r="D2547" s="182" t="s">
        <v>1547</v>
      </c>
      <c r="E2547" s="189">
        <v>42563</v>
      </c>
      <c r="F2547" s="190" t="s">
        <v>917</v>
      </c>
      <c r="G2547" s="448" t="s">
        <v>621</v>
      </c>
      <c r="H2547" s="7" t="s">
        <v>1549</v>
      </c>
      <c r="I2547" s="252">
        <v>250</v>
      </c>
      <c r="J2547" s="251">
        <v>16465.877843264796</v>
      </c>
      <c r="K2547" s="38">
        <f t="shared" si="129"/>
        <v>4116469</v>
      </c>
      <c r="L2547" s="561" t="s">
        <v>166</v>
      </c>
      <c r="M2547" s="561" t="s">
        <v>164</v>
      </c>
      <c r="N2547" s="52" t="str">
        <f>IF(AND('331-CT'!$E$7=TH!H2547,OR(L2547="331",M2547="331")),"331",IF(AND(OR(L2547="131",M2547="131"),H2547='131-CT'!$E$7),"131",""))</f>
        <v/>
      </c>
      <c r="O2547" s="818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  <c r="AA2547" s="751"/>
    </row>
    <row r="2548" spans="1:29" s="209" customFormat="1" ht="15.75" customHeight="1">
      <c r="A2548" s="202" t="str">
        <f>IF(B2548&lt;&gt;"",IF(AND(B2548&gt;=_TM1,B2548&lt;=_TM2,OR(TH!L2548="1111",TH!M2548="1111")),TH!D2548,""),"")</f>
        <v/>
      </c>
      <c r="B2548" s="36">
        <f t="shared" si="127"/>
        <v>7</v>
      </c>
      <c r="C2548" s="182">
        <f t="shared" si="128"/>
        <v>42563</v>
      </c>
      <c r="D2548" s="182" t="s">
        <v>1547</v>
      </c>
      <c r="E2548" s="189">
        <v>42563</v>
      </c>
      <c r="F2548" s="190" t="s">
        <v>1071</v>
      </c>
      <c r="G2548" s="448" t="s">
        <v>621</v>
      </c>
      <c r="H2548" s="7" t="s">
        <v>1549</v>
      </c>
      <c r="I2548" s="252">
        <v>45</v>
      </c>
      <c r="J2548" s="251">
        <v>10567.652944184869</v>
      </c>
      <c r="K2548" s="38">
        <f t="shared" si="129"/>
        <v>475544</v>
      </c>
      <c r="L2548" s="561" t="s">
        <v>166</v>
      </c>
      <c r="M2548" s="561" t="s">
        <v>164</v>
      </c>
      <c r="N2548" s="52" t="str">
        <f>IF(AND('331-CT'!$E$7=TH!H2548,OR(L2548="331",M2548="331")),"331",IF(AND(OR(L2548="131",M2548="131"),H2548='131-CT'!$E$7),"131",""))</f>
        <v/>
      </c>
      <c r="O2548" s="818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  <c r="AA2548" s="751"/>
    </row>
    <row r="2549" spans="1:29" s="209" customFormat="1" ht="15.75" customHeight="1">
      <c r="A2549" s="202" t="str">
        <f>IF(B2549&lt;&gt;"",IF(AND(B2549&gt;=_TM1,B2549&lt;=_TM2,OR(TH!L2549="1111",TH!M2549="1111")),TH!D2549,""),"")</f>
        <v/>
      </c>
      <c r="B2549" s="36">
        <f t="shared" si="127"/>
        <v>7</v>
      </c>
      <c r="C2549" s="182">
        <f t="shared" si="128"/>
        <v>42563</v>
      </c>
      <c r="D2549" s="182" t="s">
        <v>1547</v>
      </c>
      <c r="E2549" s="189">
        <v>42563</v>
      </c>
      <c r="F2549" s="187" t="s">
        <v>474</v>
      </c>
      <c r="G2549" s="451" t="s">
        <v>621</v>
      </c>
      <c r="H2549" s="7" t="s">
        <v>1549</v>
      </c>
      <c r="I2549" s="251">
        <v>582</v>
      </c>
      <c r="J2549" s="251">
        <v>15728.599730879805</v>
      </c>
      <c r="K2549" s="38">
        <f t="shared" si="129"/>
        <v>9154045</v>
      </c>
      <c r="L2549" s="561" t="s">
        <v>166</v>
      </c>
      <c r="M2549" s="561" t="s">
        <v>164</v>
      </c>
      <c r="N2549" s="52" t="str">
        <f>IF(AND('331-CT'!$E$7=TH!H2549,OR(L2549="331",M2549="331")),"331",IF(AND(OR(L2549="131",M2549="131"),H2549='131-CT'!$E$7),"131",""))</f>
        <v/>
      </c>
      <c r="O2549" s="818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  <c r="AA2549" s="751"/>
    </row>
    <row r="2550" spans="1:29" s="209" customFormat="1" ht="15.75" customHeight="1">
      <c r="A2550" s="202" t="str">
        <f>IF(B2550&lt;&gt;"",IF(AND(B2550&gt;=_TM1,B2550&lt;=_TM2,OR(TH!L2550="1111",TH!M2550="1111")),TH!D2550,""),"")</f>
        <v/>
      </c>
      <c r="B2550" s="36">
        <f t="shared" si="127"/>
        <v>7</v>
      </c>
      <c r="C2550" s="182">
        <f t="shared" si="128"/>
        <v>42563</v>
      </c>
      <c r="D2550" s="182" t="s">
        <v>1547</v>
      </c>
      <c r="E2550" s="189">
        <v>42563</v>
      </c>
      <c r="F2550" s="187" t="s">
        <v>1072</v>
      </c>
      <c r="G2550" s="451" t="s">
        <v>621</v>
      </c>
      <c r="H2550" s="7" t="s">
        <v>1549</v>
      </c>
      <c r="I2550" s="251">
        <v>55</v>
      </c>
      <c r="J2550" s="251">
        <v>14499.802876904818</v>
      </c>
      <c r="K2550" s="38">
        <f t="shared" si="129"/>
        <v>797489</v>
      </c>
      <c r="L2550" s="561" t="s">
        <v>166</v>
      </c>
      <c r="M2550" s="561" t="s">
        <v>164</v>
      </c>
      <c r="N2550" s="52" t="str">
        <f>IF(AND('331-CT'!$E$7=TH!H2550,OR(L2550="331",M2550="331")),"331",IF(AND(OR(L2550="131",M2550="131"),H2550='131-CT'!$E$7),"131",""))</f>
        <v/>
      </c>
      <c r="O2550" s="818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  <c r="AA2550" s="751"/>
    </row>
    <row r="2551" spans="1:29" s="209" customFormat="1" ht="15.75" customHeight="1">
      <c r="A2551" s="202" t="str">
        <f>IF(B2551&lt;&gt;"",IF(AND(B2551&gt;=_TM1,B2551&lt;=_TM2,OR(TH!L2551="1111",TH!M2551="1111")),TH!D2551,""),"")</f>
        <v/>
      </c>
      <c r="B2551" s="36">
        <f t="shared" si="127"/>
        <v>7</v>
      </c>
      <c r="C2551" s="182">
        <f t="shared" si="128"/>
        <v>42563</v>
      </c>
      <c r="D2551" s="182" t="s">
        <v>1547</v>
      </c>
      <c r="E2551" s="691">
        <v>42563</v>
      </c>
      <c r="F2551" s="40" t="s">
        <v>1068</v>
      </c>
      <c r="G2551" s="450" t="s">
        <v>622</v>
      </c>
      <c r="H2551" s="7" t="s">
        <v>1549</v>
      </c>
      <c r="I2551" s="668">
        <v>19</v>
      </c>
      <c r="J2551" s="668">
        <v>103956.21384628372</v>
      </c>
      <c r="K2551" s="38">
        <f t="shared" si="129"/>
        <v>1975168</v>
      </c>
      <c r="L2551" s="561" t="s">
        <v>166</v>
      </c>
      <c r="M2551" s="561" t="s">
        <v>164</v>
      </c>
      <c r="N2551" s="52" t="str">
        <f>IF(AND('331-CT'!$E$7=TH!H2551,OR(L2551="331",M2551="331")),"331",IF(AND(OR(L2551="131",M2551="131"),H2551='131-CT'!$E$7),"131",""))</f>
        <v/>
      </c>
      <c r="O2551" s="818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  <c r="AA2551" s="751"/>
    </row>
    <row r="2552" spans="1:29" s="209" customFormat="1" ht="15.75" customHeight="1">
      <c r="A2552" s="202" t="str">
        <f>IF(B2552&lt;&gt;"",IF(AND(B2552&gt;=_TM1,B2552&lt;=_TM2,OR(TH!L2552="1111",TH!M2552="1111")),TH!D2552,""),"")</f>
        <v/>
      </c>
      <c r="B2552" s="36">
        <f t="shared" si="127"/>
        <v>7</v>
      </c>
      <c r="C2552" s="182">
        <f t="shared" si="128"/>
        <v>42563</v>
      </c>
      <c r="D2552" s="182" t="s">
        <v>1547</v>
      </c>
      <c r="E2552" s="691">
        <v>42563</v>
      </c>
      <c r="F2552" s="40" t="s">
        <v>418</v>
      </c>
      <c r="G2552" s="450" t="s">
        <v>622</v>
      </c>
      <c r="H2552" s="7" t="s">
        <v>1549</v>
      </c>
      <c r="I2552" s="251">
        <v>60</v>
      </c>
      <c r="J2552" s="251">
        <v>89087.771913186385</v>
      </c>
      <c r="K2552" s="38">
        <f t="shared" si="129"/>
        <v>5345266</v>
      </c>
      <c r="L2552" s="561" t="s">
        <v>166</v>
      </c>
      <c r="M2552" s="561" t="s">
        <v>164</v>
      </c>
      <c r="N2552" s="52" t="str">
        <f>IF(AND('331-CT'!$E$7=TH!H2552,OR(L2552="331",M2552="331")),"331",IF(AND(OR(L2552="131",M2552="131"),H2552='131-CT'!$E$7),"131",""))</f>
        <v/>
      </c>
      <c r="O2552" s="818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  <c r="AA2552" s="751"/>
    </row>
    <row r="2553" spans="1:29" s="209" customFormat="1" ht="15.75" customHeight="1">
      <c r="A2553" s="202" t="str">
        <f>IF(B2553&lt;&gt;"",IF(AND(B2553&gt;=_TM1,B2553&lt;=_TM2,OR(TH!L2553="1111",TH!M2553="1111")),TH!D2553,""),"")</f>
        <v/>
      </c>
      <c r="B2553" s="36">
        <f t="shared" si="127"/>
        <v>8</v>
      </c>
      <c r="C2553" s="182">
        <f t="shared" si="128"/>
        <v>42604</v>
      </c>
      <c r="D2553" s="182" t="s">
        <v>1547</v>
      </c>
      <c r="E2553" s="691">
        <v>42604</v>
      </c>
      <c r="F2553" s="190" t="s">
        <v>429</v>
      </c>
      <c r="G2553" s="451" t="s">
        <v>1259</v>
      </c>
      <c r="H2553" s="7" t="s">
        <v>1549</v>
      </c>
      <c r="I2553" s="251">
        <v>489</v>
      </c>
      <c r="J2553" s="251">
        <v>14868.441933097314</v>
      </c>
      <c r="K2553" s="38">
        <f t="shared" si="129"/>
        <v>7270668</v>
      </c>
      <c r="L2553" s="561" t="s">
        <v>166</v>
      </c>
      <c r="M2553" s="561" t="s">
        <v>164</v>
      </c>
      <c r="N2553" s="52" t="str">
        <f>IF(AND('331-CT'!$E$7=TH!H2553,OR(L2553="331",M2553="331")),"331",IF(AND(OR(L2553="131",M2553="131"),H2553='131-CT'!$E$7),"131",""))</f>
        <v/>
      </c>
      <c r="O2553" s="818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751"/>
    </row>
    <row r="2554" spans="1:29" s="209" customFormat="1" ht="15.75" customHeight="1">
      <c r="A2554" s="202" t="str">
        <f>IF(B2554&lt;&gt;"",IF(AND(B2554&gt;=_TM1,B2554&lt;=_TM2,OR(TH!L2554="1111",TH!M2554="1111")),TH!D2554,""),"")</f>
        <v/>
      </c>
      <c r="B2554" s="36">
        <f t="shared" si="127"/>
        <v>8</v>
      </c>
      <c r="C2554" s="182">
        <f t="shared" si="128"/>
        <v>42605</v>
      </c>
      <c r="D2554" s="182" t="s">
        <v>1547</v>
      </c>
      <c r="E2554" s="691">
        <v>42605</v>
      </c>
      <c r="F2554" s="190" t="s">
        <v>1262</v>
      </c>
      <c r="G2554" s="451" t="s">
        <v>1260</v>
      </c>
      <c r="H2554" s="7" t="s">
        <v>1549</v>
      </c>
      <c r="I2554" s="251">
        <v>1714</v>
      </c>
      <c r="J2554" s="251">
        <v>2457.5937079499695</v>
      </c>
      <c r="K2554" s="38">
        <f t="shared" si="129"/>
        <v>4212316</v>
      </c>
      <c r="L2554" s="561" t="s">
        <v>166</v>
      </c>
      <c r="M2554" s="561" t="s">
        <v>164</v>
      </c>
      <c r="N2554" s="52" t="str">
        <f>IF(AND('331-CT'!$E$7=TH!H2554,OR(L2554="331",M2554="331")),"331",IF(AND(OR(L2554="131",M2554="131"),H2554='131-CT'!$E$7),"131",""))</f>
        <v/>
      </c>
      <c r="O2554" s="818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751"/>
    </row>
    <row r="2555" spans="1:29" s="209" customFormat="1" ht="15.75" customHeight="1">
      <c r="A2555" s="202" t="str">
        <f>IF(B2555&lt;&gt;"",IF(AND(B2555&gt;=_TM1,B2555&lt;=_TM2,OR(TH!L2555="1111",TH!M2555="1111")),TH!D2555,""),"")</f>
        <v/>
      </c>
      <c r="B2555" s="36">
        <f t="shared" si="127"/>
        <v>8</v>
      </c>
      <c r="C2555" s="182">
        <f t="shared" si="128"/>
        <v>42605</v>
      </c>
      <c r="D2555" s="182" t="s">
        <v>1547</v>
      </c>
      <c r="E2555" s="691">
        <v>42605</v>
      </c>
      <c r="F2555" s="187" t="s">
        <v>1263</v>
      </c>
      <c r="G2555" s="451" t="s">
        <v>1260</v>
      </c>
      <c r="H2555" s="7" t="s">
        <v>1549</v>
      </c>
      <c r="I2555" s="251">
        <v>218</v>
      </c>
      <c r="J2555" s="251">
        <v>7864.2998654399025</v>
      </c>
      <c r="K2555" s="38">
        <f t="shared" si="129"/>
        <v>1714417</v>
      </c>
      <c r="L2555" s="561" t="s">
        <v>166</v>
      </c>
      <c r="M2555" s="561" t="s">
        <v>164</v>
      </c>
      <c r="N2555" s="52" t="str">
        <f>IF(AND('331-CT'!$E$7=TH!H2555,OR(L2555="331",M2555="331")),"331",IF(AND(OR(L2555="131",M2555="131"),H2555='131-CT'!$E$7),"131",""))</f>
        <v/>
      </c>
      <c r="O2555" s="818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751"/>
    </row>
    <row r="2556" spans="1:29" s="209" customFormat="1" ht="15.75" customHeight="1">
      <c r="A2556" s="202" t="str">
        <f>IF(B2556&lt;&gt;"",IF(AND(B2556&gt;=_TM1,B2556&lt;=_TM2,OR(TH!L2556="1111",TH!M2556="1111")),TH!D2556,""),"")</f>
        <v/>
      </c>
      <c r="B2556" s="36">
        <f t="shared" si="127"/>
        <v>8</v>
      </c>
      <c r="C2556" s="182">
        <f t="shared" si="128"/>
        <v>42612</v>
      </c>
      <c r="D2556" s="182" t="s">
        <v>1547</v>
      </c>
      <c r="E2556" s="691">
        <v>42612</v>
      </c>
      <c r="F2556" s="187" t="s">
        <v>1255</v>
      </c>
      <c r="G2556" s="451" t="s">
        <v>1264</v>
      </c>
      <c r="H2556" s="7" t="s">
        <v>1549</v>
      </c>
      <c r="I2556" s="251">
        <v>819</v>
      </c>
      <c r="J2556" s="251">
        <v>10076.134202594874</v>
      </c>
      <c r="K2556" s="38">
        <f t="shared" si="129"/>
        <v>8252354</v>
      </c>
      <c r="L2556" s="561" t="s">
        <v>166</v>
      </c>
      <c r="M2556" s="561" t="s">
        <v>164</v>
      </c>
      <c r="N2556" s="52" t="str">
        <f>IF(AND('331-CT'!$E$7=TH!H2556,OR(L2556="331",M2556="331")),"331",IF(AND(OR(L2556="131",M2556="131"),H2556='131-CT'!$E$7),"131",""))</f>
        <v/>
      </c>
      <c r="O2556" s="818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751"/>
    </row>
    <row r="2557" spans="1:29" s="209" customFormat="1" ht="15.75" customHeight="1">
      <c r="A2557" s="202" t="str">
        <f>IF(B2557&lt;&gt;"",IF(AND(B2557&gt;=_TM1,B2557&lt;=_TM2,OR(TH!L2557="1111",TH!M2557="1111")),TH!D2557,""),"")</f>
        <v/>
      </c>
      <c r="B2557" s="36">
        <f t="shared" si="127"/>
        <v>8</v>
      </c>
      <c r="C2557" s="182">
        <f t="shared" si="128"/>
        <v>42612</v>
      </c>
      <c r="D2557" s="182" t="s">
        <v>1547</v>
      </c>
      <c r="E2557" s="189">
        <v>42612</v>
      </c>
      <c r="F2557" s="187" t="s">
        <v>1256</v>
      </c>
      <c r="G2557" s="451" t="s">
        <v>1264</v>
      </c>
      <c r="H2557" s="7" t="s">
        <v>1549</v>
      </c>
      <c r="I2557" s="251">
        <v>610</v>
      </c>
      <c r="J2557" s="251">
        <v>11182.051371172362</v>
      </c>
      <c r="K2557" s="38">
        <f t="shared" si="129"/>
        <v>6821051</v>
      </c>
      <c r="L2557" s="561" t="s">
        <v>166</v>
      </c>
      <c r="M2557" s="561" t="s">
        <v>164</v>
      </c>
      <c r="N2557" s="52" t="str">
        <f>IF(AND('331-CT'!$E$7=TH!H2557,OR(L2557="331",M2557="331")),"331",IF(AND(OR(L2557="131",M2557="131"),H2557='131-CT'!$E$7),"131",""))</f>
        <v/>
      </c>
      <c r="O2557" s="818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751"/>
    </row>
    <row r="2558" spans="1:29" s="209" customFormat="1" ht="15.75" customHeight="1">
      <c r="A2558" s="202" t="str">
        <f>IF(B2558&lt;&gt;"",IF(AND(B2558&gt;=_TM1,B2558&lt;=_TM2,OR(TH!L2558="1111",TH!M2558="1111")),TH!D2558,""),"")</f>
        <v/>
      </c>
      <c r="B2558" s="36">
        <f t="shared" si="127"/>
        <v>8</v>
      </c>
      <c r="C2558" s="182">
        <f t="shared" si="128"/>
        <v>42612</v>
      </c>
      <c r="D2558" s="182" t="s">
        <v>1547</v>
      </c>
      <c r="E2558" s="189">
        <v>42612</v>
      </c>
      <c r="F2558" s="187" t="s">
        <v>441</v>
      </c>
      <c r="G2558" s="451" t="s">
        <v>1264</v>
      </c>
      <c r="H2558" s="7" t="s">
        <v>1549</v>
      </c>
      <c r="I2558" s="668">
        <v>599</v>
      </c>
      <c r="J2558" s="668">
        <v>19414.99029280476</v>
      </c>
      <c r="K2558" s="38">
        <f t="shared" si="129"/>
        <v>11629579</v>
      </c>
      <c r="L2558" s="561" t="s">
        <v>166</v>
      </c>
      <c r="M2558" s="561" t="s">
        <v>164</v>
      </c>
      <c r="N2558" s="52" t="str">
        <f>IF(AND('331-CT'!$E$7=TH!H2558,OR(L2558="331",M2558="331")),"331",IF(AND(OR(L2558="131",M2558="131"),H2558='131-CT'!$E$7),"131",""))</f>
        <v/>
      </c>
      <c r="O2558" s="818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751"/>
    </row>
    <row r="2559" spans="1:29" s="209" customFormat="1" ht="15.75" customHeight="1">
      <c r="A2559" s="202" t="str">
        <f>IF(B2559&lt;&gt;"",IF(AND(B2559&gt;=_TM1,B2559&lt;=_TM2,OR(TH!L2559="1111",TH!M2559="1111")),TH!D2559,""),"")</f>
        <v/>
      </c>
      <c r="B2559" s="36">
        <f t="shared" si="127"/>
        <v>8</v>
      </c>
      <c r="C2559" s="182">
        <f t="shared" si="128"/>
        <v>42612</v>
      </c>
      <c r="D2559" s="182" t="s">
        <v>1547</v>
      </c>
      <c r="E2559" s="691">
        <v>42612</v>
      </c>
      <c r="F2559" s="187" t="s">
        <v>454</v>
      </c>
      <c r="G2559" s="451" t="s">
        <v>1264</v>
      </c>
      <c r="H2559" s="7" t="s">
        <v>1549</v>
      </c>
      <c r="I2559" s="251">
        <v>305</v>
      </c>
      <c r="J2559" s="251">
        <v>23592.899596319705</v>
      </c>
      <c r="K2559" s="38">
        <f t="shared" si="129"/>
        <v>7195834</v>
      </c>
      <c r="L2559" s="561" t="s">
        <v>166</v>
      </c>
      <c r="M2559" s="561" t="s">
        <v>164</v>
      </c>
      <c r="N2559" s="52" t="str">
        <f>IF(AND('331-CT'!$E$7=TH!H2559,OR(L2559="331",M2559="331")),"331",IF(AND(OR(L2559="131",M2559="131"),H2559='131-CT'!$E$7),"131",""))</f>
        <v/>
      </c>
      <c r="O2559" s="818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  <c r="AA2559" s="751"/>
      <c r="AB2559" s="552"/>
      <c r="AC2559" s="552"/>
    </row>
    <row r="2560" spans="1:29" s="209" customFormat="1" ht="15.75" customHeight="1">
      <c r="A2560" s="202" t="str">
        <f>IF(B2560&lt;&gt;"",IF(AND(B2560&gt;=_TM1,B2560&lt;=_TM2,OR(TH!L2560="1111",TH!M2560="1111")),TH!D2560,""),"")</f>
        <v/>
      </c>
      <c r="B2560" s="36">
        <f t="shared" si="127"/>
        <v>8</v>
      </c>
      <c r="C2560" s="182">
        <f t="shared" si="128"/>
        <v>42612</v>
      </c>
      <c r="D2560" s="182" t="s">
        <v>1547</v>
      </c>
      <c r="E2560" s="691">
        <v>42612</v>
      </c>
      <c r="F2560" s="187" t="s">
        <v>1446</v>
      </c>
      <c r="G2560" s="451" t="s">
        <v>1265</v>
      </c>
      <c r="H2560" s="7" t="s">
        <v>1549</v>
      </c>
      <c r="I2560" s="251">
        <v>100</v>
      </c>
      <c r="J2560" s="251">
        <v>25681.854248077179</v>
      </c>
      <c r="K2560" s="38">
        <f t="shared" si="129"/>
        <v>2568185</v>
      </c>
      <c r="L2560" s="561" t="s">
        <v>166</v>
      </c>
      <c r="M2560" s="561" t="s">
        <v>164</v>
      </c>
      <c r="N2560" s="52" t="str">
        <f>IF(AND('331-CT'!$E$7=TH!H2560,OR(L2560="331",M2560="331")),"331",IF(AND(OR(L2560="131",M2560="131"),H2560='131-CT'!$E$7),"131",""))</f>
        <v/>
      </c>
      <c r="O2560" s="818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751"/>
      <c r="AB2560" s="552"/>
    </row>
    <row r="2561" spans="1:29" s="209" customFormat="1" ht="15.75" customHeight="1">
      <c r="A2561" s="202" t="str">
        <f>IF(B2561&lt;&gt;"",IF(AND(B2561&gt;=_TM1,B2561&lt;=_TM2,OR(TH!L2561="1111",TH!M2561="1111")),TH!D2561,""),"")</f>
        <v/>
      </c>
      <c r="B2561" s="36">
        <f t="shared" si="127"/>
        <v>8</v>
      </c>
      <c r="C2561" s="182">
        <f t="shared" si="128"/>
        <v>42612</v>
      </c>
      <c r="D2561" s="182" t="s">
        <v>1547</v>
      </c>
      <c r="E2561" s="691">
        <v>42612</v>
      </c>
      <c r="F2561" s="187" t="s">
        <v>1446</v>
      </c>
      <c r="G2561" s="451" t="s">
        <v>1265</v>
      </c>
      <c r="H2561" s="7" t="s">
        <v>1549</v>
      </c>
      <c r="I2561" s="251">
        <v>100</v>
      </c>
      <c r="J2561" s="251">
        <v>25681.854248077179</v>
      </c>
      <c r="K2561" s="38">
        <f t="shared" si="129"/>
        <v>2568185</v>
      </c>
      <c r="L2561" s="561" t="s">
        <v>166</v>
      </c>
      <c r="M2561" s="561" t="s">
        <v>164</v>
      </c>
      <c r="N2561" s="52" t="str">
        <f>IF(AND('331-CT'!$E$7=TH!H2561,OR(L2561="331",M2561="331")),"331",IF(AND(OR(L2561="131",M2561="131"),H2561='131-CT'!$E$7),"131",""))</f>
        <v/>
      </c>
      <c r="O2561" s="818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751"/>
      <c r="AB2561" s="552"/>
    </row>
    <row r="2562" spans="1:29" s="209" customFormat="1" ht="15.75" customHeight="1">
      <c r="A2562" s="202" t="str">
        <f>IF(B2562&lt;&gt;"",IF(AND(B2562&gt;=_TM1,B2562&lt;=_TM2,OR(TH!L2562="1111",TH!M2562="1111")),TH!D2562,""),"")</f>
        <v/>
      </c>
      <c r="B2562" s="36">
        <f t="shared" si="127"/>
        <v>9</v>
      </c>
      <c r="C2562" s="182">
        <f t="shared" si="128"/>
        <v>42627</v>
      </c>
      <c r="D2562" s="182" t="s">
        <v>1547</v>
      </c>
      <c r="E2562" s="691">
        <v>42627</v>
      </c>
      <c r="F2562" s="190" t="s">
        <v>610</v>
      </c>
      <c r="G2562" s="451" t="s">
        <v>1266</v>
      </c>
      <c r="H2562" s="7" t="s">
        <v>1549</v>
      </c>
      <c r="I2562" s="251">
        <v>153</v>
      </c>
      <c r="J2562" s="251">
        <v>39567.258697994512</v>
      </c>
      <c r="K2562" s="38">
        <f t="shared" si="129"/>
        <v>6053791</v>
      </c>
      <c r="L2562" s="561" t="s">
        <v>166</v>
      </c>
      <c r="M2562" s="561" t="s">
        <v>164</v>
      </c>
      <c r="N2562" s="52" t="str">
        <f>IF(AND('331-CT'!$E$7=TH!H2562,OR(L2562="331",M2562="331")),"331",IF(AND(OR(L2562="131",M2562="131"),H2562='131-CT'!$E$7),"131",""))</f>
        <v/>
      </c>
      <c r="O2562" s="818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751"/>
      <c r="AB2562" s="552"/>
      <c r="AC2562" s="552"/>
    </row>
    <row r="2563" spans="1:29" s="209" customFormat="1" ht="15.75" customHeight="1">
      <c r="A2563" s="202" t="str">
        <f>IF(B2563&lt;&gt;"",IF(AND(B2563&gt;=_TM1,B2563&lt;=_TM2,OR(TH!L2563="1111",TH!M2563="1111")),TH!D2563,""),"")</f>
        <v/>
      </c>
      <c r="B2563" s="36">
        <f t="shared" si="127"/>
        <v>9</v>
      </c>
      <c r="C2563" s="182">
        <f t="shared" si="128"/>
        <v>42627</v>
      </c>
      <c r="D2563" s="182" t="s">
        <v>1547</v>
      </c>
      <c r="E2563" s="691">
        <v>42627</v>
      </c>
      <c r="F2563" s="190" t="s">
        <v>972</v>
      </c>
      <c r="G2563" s="451" t="s">
        <v>1267</v>
      </c>
      <c r="H2563" s="7" t="s">
        <v>1549</v>
      </c>
      <c r="I2563" s="251">
        <v>205</v>
      </c>
      <c r="J2563" s="251">
        <v>11182.051371172362</v>
      </c>
      <c r="K2563" s="38">
        <f t="shared" si="129"/>
        <v>2292321</v>
      </c>
      <c r="L2563" s="561" t="s">
        <v>166</v>
      </c>
      <c r="M2563" s="561" t="s">
        <v>164</v>
      </c>
      <c r="N2563" s="52" t="str">
        <f>IF(AND('331-CT'!$E$7=TH!H2563,OR(L2563="331",M2563="331")),"331",IF(AND(OR(L2563="131",M2563="131"),H2563='131-CT'!$E$7),"131",""))</f>
        <v/>
      </c>
      <c r="O2563" s="818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  <c r="AA2563" s="751"/>
      <c r="AB2563" s="552"/>
    </row>
    <row r="2564" spans="1:29" s="209" customFormat="1" ht="15.75" customHeight="1">
      <c r="A2564" s="202" t="str">
        <f>IF(B2564&lt;&gt;"",IF(AND(B2564&gt;=_TM1,B2564&lt;=_TM2,OR(TH!L2564="1111",TH!M2564="1111")),TH!D2564,""),"")</f>
        <v/>
      </c>
      <c r="B2564" s="36">
        <f t="shared" si="127"/>
        <v>9</v>
      </c>
      <c r="C2564" s="182">
        <f t="shared" si="128"/>
        <v>42632</v>
      </c>
      <c r="D2564" s="182" t="s">
        <v>1547</v>
      </c>
      <c r="E2564" s="691">
        <v>42632</v>
      </c>
      <c r="F2564" s="187" t="s">
        <v>1443</v>
      </c>
      <c r="G2564" s="451" t="s">
        <v>1269</v>
      </c>
      <c r="H2564" s="7" t="s">
        <v>1549</v>
      </c>
      <c r="I2564" s="251">
        <v>300</v>
      </c>
      <c r="J2564" s="251">
        <v>11673.570112762354</v>
      </c>
      <c r="K2564" s="38">
        <f t="shared" si="129"/>
        <v>3502071</v>
      </c>
      <c r="L2564" s="561" t="s">
        <v>166</v>
      </c>
      <c r="M2564" s="561" t="s">
        <v>164</v>
      </c>
      <c r="N2564" s="52" t="str">
        <f>IF(AND('331-CT'!$E$7=TH!H2564,OR(L2564="331",M2564="331")),"331",IF(AND(OR(L2564="131",M2564="131"),H2564='131-CT'!$E$7),"131",""))</f>
        <v/>
      </c>
      <c r="O2564" s="818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  <c r="AA2564" s="751"/>
    </row>
    <row r="2565" spans="1:29" s="788" customFormat="1" ht="15.75" customHeight="1">
      <c r="A2565" s="202" t="str">
        <f>IF(B2565&lt;&gt;"",IF(AND(B2565&gt;=_TM1,B2565&lt;=_TM2,OR(TH!L2565="1111",TH!M2565="1111")),TH!D2565,""),"")</f>
        <v/>
      </c>
      <c r="B2565" s="779">
        <f t="shared" si="127"/>
        <v>10</v>
      </c>
      <c r="C2565" s="780">
        <f t="shared" si="128"/>
        <v>42648</v>
      </c>
      <c r="D2565" s="780" t="s">
        <v>1547</v>
      </c>
      <c r="E2565" s="851">
        <v>42648</v>
      </c>
      <c r="F2565" s="789" t="s">
        <v>1434</v>
      </c>
      <c r="G2565" s="783" t="s">
        <v>1544</v>
      </c>
      <c r="H2565" s="784" t="s">
        <v>1549</v>
      </c>
      <c r="I2565" s="902">
        <v>50</v>
      </c>
      <c r="J2565" s="902">
        <v>8605.1998042915038</v>
      </c>
      <c r="K2565" s="829">
        <f t="shared" si="129"/>
        <v>430260</v>
      </c>
      <c r="L2565" s="891" t="s">
        <v>166</v>
      </c>
      <c r="M2565" s="891" t="s">
        <v>164</v>
      </c>
      <c r="N2565" s="52" t="str">
        <f>IF(AND('331-CT'!$E$7=TH!H2565,OR(L2565="331",M2565="331")),"331",IF(AND(OR(L2565="131",M2565="131"),H2565='131-CT'!$E$7),"131",""))</f>
        <v/>
      </c>
      <c r="O2565" s="818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88"/>
    </row>
    <row r="2566" spans="1:29" s="209" customFormat="1" ht="15.75" customHeight="1">
      <c r="A2566" s="202" t="str">
        <f>IF(B2566&lt;&gt;"",IF(AND(B2566&gt;=_TM1,B2566&lt;=_TM2,OR(TH!L2566="1111",TH!M2566="1111")),TH!D2566,""),"")</f>
        <v/>
      </c>
      <c r="B2566" s="36">
        <f t="shared" ref="B2566:B2629" si="130">IF(C2566&lt;&gt;"",MONTH(C2566),"")</f>
        <v>10</v>
      </c>
      <c r="C2566" s="182">
        <f t="shared" si="128"/>
        <v>42649</v>
      </c>
      <c r="D2566" s="182" t="s">
        <v>1547</v>
      </c>
      <c r="E2566" s="691">
        <v>42649</v>
      </c>
      <c r="F2566" s="190" t="s">
        <v>1303</v>
      </c>
      <c r="G2566" s="451" t="s">
        <v>1302</v>
      </c>
      <c r="H2566" s="7" t="s">
        <v>1549</v>
      </c>
      <c r="I2566" s="668">
        <v>1018</v>
      </c>
      <c r="J2566" s="668">
        <v>6074.2586853822377</v>
      </c>
      <c r="K2566" s="38">
        <f t="shared" si="129"/>
        <v>6183595</v>
      </c>
      <c r="L2566" s="561" t="s">
        <v>166</v>
      </c>
      <c r="M2566" s="561" t="s">
        <v>164</v>
      </c>
      <c r="N2566" s="52" t="str">
        <f>IF(AND('331-CT'!$E$7=TH!H2566,OR(L2566="331",M2566="331")),"331",IF(AND(OR(L2566="131",M2566="131"),H2566='131-CT'!$E$7),"131",""))</f>
        <v/>
      </c>
      <c r="O2566" s="818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751"/>
      <c r="AB2566" s="552"/>
      <c r="AC2566" s="552"/>
    </row>
    <row r="2567" spans="1:29" s="209" customFormat="1" ht="15.75" customHeight="1">
      <c r="A2567" s="202" t="str">
        <f>IF(B2567&lt;&gt;"",IF(AND(B2567&gt;=_TM1,B2567&lt;=_TM2,OR(TH!L2567="1111",TH!M2567="1111")),TH!D2567,""),"")</f>
        <v/>
      </c>
      <c r="B2567" s="36">
        <f t="shared" si="130"/>
        <v>10</v>
      </c>
      <c r="C2567" s="182">
        <f t="shared" si="128"/>
        <v>42649</v>
      </c>
      <c r="D2567" s="182" t="s">
        <v>1547</v>
      </c>
      <c r="E2567" s="691">
        <v>42649</v>
      </c>
      <c r="F2567" s="190" t="s">
        <v>1304</v>
      </c>
      <c r="G2567" s="451" t="s">
        <v>1302</v>
      </c>
      <c r="H2567" s="7" t="s">
        <v>1549</v>
      </c>
      <c r="I2567" s="668">
        <v>1020</v>
      </c>
      <c r="J2567" s="668">
        <v>4808.7881259276046</v>
      </c>
      <c r="K2567" s="38">
        <f t="shared" si="129"/>
        <v>4904964</v>
      </c>
      <c r="L2567" s="561" t="s">
        <v>166</v>
      </c>
      <c r="M2567" s="561" t="s">
        <v>164</v>
      </c>
      <c r="N2567" s="52" t="str">
        <f>IF(AND('331-CT'!$E$7=TH!H2567,OR(L2567="331",M2567="331")),"331",IF(AND(OR(L2567="131",M2567="131"),H2567='131-CT'!$E$7),"131",""))</f>
        <v/>
      </c>
      <c r="O2567" s="818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751"/>
      <c r="AB2567" s="552"/>
    </row>
    <row r="2568" spans="1:29" s="209" customFormat="1" ht="15.75" customHeight="1">
      <c r="A2568" s="202" t="str">
        <f>IF(B2568&lt;&gt;"",IF(AND(B2568&gt;=_TM1,B2568&lt;=_TM2,OR(TH!L2568="1111",TH!M2568="1111")),TH!D2568,""),"")</f>
        <v/>
      </c>
      <c r="B2568" s="36">
        <f t="shared" si="130"/>
        <v>10</v>
      </c>
      <c r="C2568" s="182">
        <f t="shared" si="128"/>
        <v>42651</v>
      </c>
      <c r="D2568" s="182" t="s">
        <v>1547</v>
      </c>
      <c r="E2568" s="189">
        <v>42651</v>
      </c>
      <c r="F2568" s="187" t="s">
        <v>1255</v>
      </c>
      <c r="G2568" s="451" t="s">
        <v>1305</v>
      </c>
      <c r="H2568" s="7" t="s">
        <v>1549</v>
      </c>
      <c r="I2568" s="668">
        <v>926</v>
      </c>
      <c r="J2568" s="668">
        <v>6917.9057250186588</v>
      </c>
      <c r="K2568" s="38">
        <f t="shared" si="129"/>
        <v>6405981</v>
      </c>
      <c r="L2568" s="561" t="s">
        <v>166</v>
      </c>
      <c r="M2568" s="561" t="s">
        <v>164</v>
      </c>
      <c r="N2568" s="52" t="str">
        <f>IF(AND('331-CT'!$E$7=TH!H2568,OR(L2568="331",M2568="331")),"331",IF(AND(OR(L2568="131",M2568="131"),H2568='131-CT'!$E$7),"131",""))</f>
        <v/>
      </c>
      <c r="O2568" s="818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751"/>
      <c r="AB2568" s="552"/>
      <c r="AC2568" s="552"/>
    </row>
    <row r="2569" spans="1:29" s="209" customFormat="1" ht="15.75" customHeight="1">
      <c r="A2569" s="202" t="str">
        <f>IF(B2569&lt;&gt;"",IF(AND(B2569&gt;=_TM1,B2569&lt;=_TM2,OR(TH!L2569="1111",TH!M2569="1111")),TH!D2569,""),"")</f>
        <v/>
      </c>
      <c r="B2569" s="36">
        <f t="shared" si="130"/>
        <v>10</v>
      </c>
      <c r="C2569" s="182">
        <f t="shared" si="128"/>
        <v>42651</v>
      </c>
      <c r="D2569" s="182" t="s">
        <v>1547</v>
      </c>
      <c r="E2569" s="189">
        <v>42651</v>
      </c>
      <c r="F2569" s="187" t="s">
        <v>1306</v>
      </c>
      <c r="G2569" s="451" t="s">
        <v>823</v>
      </c>
      <c r="H2569" s="7" t="s">
        <v>1549</v>
      </c>
      <c r="I2569" s="668">
        <v>140</v>
      </c>
      <c r="J2569" s="668">
        <v>10461.223291491631</v>
      </c>
      <c r="K2569" s="38">
        <f t="shared" si="129"/>
        <v>1464571</v>
      </c>
      <c r="L2569" s="561" t="s">
        <v>166</v>
      </c>
      <c r="M2569" s="561" t="s">
        <v>164</v>
      </c>
      <c r="N2569" s="52" t="str">
        <f>IF(AND('331-CT'!$E$7=TH!H2569,OR(L2569="331",M2569="331")),"331",IF(AND(OR(L2569="131",M2569="131"),H2569='131-CT'!$E$7),"131",""))</f>
        <v/>
      </c>
      <c r="O2569" s="818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751"/>
      <c r="AB2569" s="552"/>
      <c r="AC2569" s="552"/>
    </row>
    <row r="2570" spans="1:29" s="209" customFormat="1" ht="15.75" customHeight="1">
      <c r="A2570" s="202" t="str">
        <f>IF(B2570&lt;&gt;"",IF(AND(B2570&gt;=_TM1,B2570&lt;=_TM2,OR(TH!L2570="1111",TH!M2570="1111")),TH!D2570,""),"")</f>
        <v/>
      </c>
      <c r="B2570" s="36">
        <f t="shared" si="130"/>
        <v>10</v>
      </c>
      <c r="C2570" s="182">
        <f t="shared" si="128"/>
        <v>42651</v>
      </c>
      <c r="D2570" s="182" t="s">
        <v>1547</v>
      </c>
      <c r="E2570" s="189">
        <v>42651</v>
      </c>
      <c r="F2570" s="187" t="s">
        <v>1307</v>
      </c>
      <c r="G2570" s="451" t="s">
        <v>823</v>
      </c>
      <c r="H2570" s="7" t="s">
        <v>1549</v>
      </c>
      <c r="I2570" s="668">
        <v>140</v>
      </c>
      <c r="J2570" s="668">
        <v>12823.435002473612</v>
      </c>
      <c r="K2570" s="38">
        <f t="shared" si="129"/>
        <v>1795281</v>
      </c>
      <c r="L2570" s="561" t="s">
        <v>166</v>
      </c>
      <c r="M2570" s="561" t="s">
        <v>164</v>
      </c>
      <c r="N2570" s="52" t="str">
        <f>IF(AND('331-CT'!$E$7=TH!H2570,OR(L2570="331",M2570="331")),"331",IF(AND(OR(L2570="131",M2570="131"),H2570='131-CT'!$E$7),"131",""))</f>
        <v/>
      </c>
      <c r="O2570" s="818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751"/>
      <c r="AB2570" s="552"/>
      <c r="AC2570" s="552"/>
    </row>
    <row r="2571" spans="1:29" s="209" customFormat="1" ht="15.75" customHeight="1">
      <c r="A2571" s="202" t="str">
        <f>IF(B2571&lt;&gt;"",IF(AND(B2571&gt;=_TM1,B2571&lt;=_TM2,OR(TH!L2571="1111",TH!M2571="1111")),TH!D2571,""),"")</f>
        <v/>
      </c>
      <c r="B2571" s="36">
        <f t="shared" si="130"/>
        <v>10</v>
      </c>
      <c r="C2571" s="182">
        <f t="shared" si="128"/>
        <v>42651</v>
      </c>
      <c r="D2571" s="182" t="s">
        <v>1547</v>
      </c>
      <c r="E2571" s="189">
        <v>42651</v>
      </c>
      <c r="F2571" s="187" t="s">
        <v>1310</v>
      </c>
      <c r="G2571" s="451" t="s">
        <v>823</v>
      </c>
      <c r="H2571" s="7" t="s">
        <v>1549</v>
      </c>
      <c r="I2571" s="668">
        <v>140</v>
      </c>
      <c r="J2571" s="668">
        <v>9195.7527320369991</v>
      </c>
      <c r="K2571" s="38">
        <f t="shared" si="129"/>
        <v>1287405</v>
      </c>
      <c r="L2571" s="561" t="s">
        <v>166</v>
      </c>
      <c r="M2571" s="561" t="s">
        <v>164</v>
      </c>
      <c r="N2571" s="52" t="str">
        <f>IF(AND('331-CT'!$E$7=TH!H2571,OR(L2571="331",M2571="331")),"331",IF(AND(OR(L2571="131",M2571="131"),H2571='131-CT'!$E$7),"131",""))</f>
        <v/>
      </c>
      <c r="O2571" s="818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751"/>
      <c r="AB2571" s="552"/>
      <c r="AC2571" s="552"/>
    </row>
    <row r="2572" spans="1:29" s="209" customFormat="1" ht="15.75" customHeight="1">
      <c r="A2572" s="202" t="str">
        <f>IF(B2572&lt;&gt;"",IF(AND(B2572&gt;=_TM1,B2572&lt;=_TM2,OR(TH!L2572="1111",TH!M2572="1111")),TH!D2572,""),"")</f>
        <v/>
      </c>
      <c r="B2572" s="36">
        <f t="shared" si="130"/>
        <v>10</v>
      </c>
      <c r="C2572" s="182">
        <f t="shared" si="128"/>
        <v>42651</v>
      </c>
      <c r="D2572" s="182" t="s">
        <v>1547</v>
      </c>
      <c r="E2572" s="189">
        <v>42651</v>
      </c>
      <c r="F2572" s="187" t="s">
        <v>1308</v>
      </c>
      <c r="G2572" s="451" t="s">
        <v>823</v>
      </c>
      <c r="H2572" s="7" t="s">
        <v>1549</v>
      </c>
      <c r="I2572" s="668">
        <v>140</v>
      </c>
      <c r="J2572" s="668">
        <v>10208.129179600704</v>
      </c>
      <c r="K2572" s="38">
        <f t="shared" si="129"/>
        <v>1429138</v>
      </c>
      <c r="L2572" s="561" t="s">
        <v>166</v>
      </c>
      <c r="M2572" s="561" t="s">
        <v>164</v>
      </c>
      <c r="N2572" s="52" t="str">
        <f>IF(AND('331-CT'!$E$7=TH!H2572,OR(L2572="331",M2572="331")),"331",IF(AND(OR(L2572="131",M2572="131"),H2572='131-CT'!$E$7),"131",""))</f>
        <v/>
      </c>
      <c r="O2572" s="818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751"/>
      <c r="AB2572" s="552"/>
      <c r="AC2572" s="552"/>
    </row>
    <row r="2573" spans="1:29" s="209" customFormat="1" ht="15.75" customHeight="1">
      <c r="A2573" s="202" t="str">
        <f>IF(B2573&lt;&gt;"",IF(AND(B2573&gt;=_TM1,B2573&lt;=_TM2,OR(TH!L2573="1111",TH!M2573="1111")),TH!D2573,""),"")</f>
        <v/>
      </c>
      <c r="B2573" s="36">
        <f t="shared" si="130"/>
        <v>10</v>
      </c>
      <c r="C2573" s="182">
        <f t="shared" si="128"/>
        <v>42651</v>
      </c>
      <c r="D2573" s="182" t="s">
        <v>1547</v>
      </c>
      <c r="E2573" s="189">
        <v>42651</v>
      </c>
      <c r="F2573" s="187" t="s">
        <v>1309</v>
      </c>
      <c r="G2573" s="451" t="s">
        <v>823</v>
      </c>
      <c r="H2573" s="7" t="s">
        <v>1549</v>
      </c>
      <c r="I2573" s="251">
        <v>400</v>
      </c>
      <c r="J2573" s="251">
        <v>11220.505627164412</v>
      </c>
      <c r="K2573" s="38">
        <f t="shared" si="129"/>
        <v>4488202</v>
      </c>
      <c r="L2573" s="561" t="s">
        <v>166</v>
      </c>
      <c r="M2573" s="561" t="s">
        <v>164</v>
      </c>
      <c r="N2573" s="52" t="str">
        <f>IF(AND('331-CT'!$E$7=TH!H2573,OR(L2573="331",M2573="331")),"331",IF(AND(OR(L2573="131",M2573="131"),H2573='131-CT'!$E$7),"131",""))</f>
        <v/>
      </c>
      <c r="O2573" s="818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751"/>
      <c r="AB2573" s="552"/>
    </row>
    <row r="2574" spans="1:29" s="209" customFormat="1" ht="15.75" customHeight="1">
      <c r="A2574" s="202" t="str">
        <f>IF(B2574&lt;&gt;"",IF(AND(B2574&gt;=_TM1,B2574&lt;=_TM2,OR(TH!L2574="1111",TH!M2574="1111")),TH!D2574,""),"")</f>
        <v/>
      </c>
      <c r="B2574" s="36">
        <f t="shared" si="130"/>
        <v>10</v>
      </c>
      <c r="C2574" s="182">
        <f t="shared" si="128"/>
        <v>42651</v>
      </c>
      <c r="D2574" s="182" t="s">
        <v>1547</v>
      </c>
      <c r="E2574" s="691">
        <v>42651</v>
      </c>
      <c r="F2574" s="187" t="s">
        <v>1436</v>
      </c>
      <c r="G2574" s="451" t="s">
        <v>823</v>
      </c>
      <c r="H2574" s="7" t="s">
        <v>1549</v>
      </c>
      <c r="I2574" s="251">
        <v>100</v>
      </c>
      <c r="J2574" s="251">
        <v>17632.223128401216</v>
      </c>
      <c r="K2574" s="38">
        <f t="shared" si="129"/>
        <v>1763222</v>
      </c>
      <c r="L2574" s="561" t="s">
        <v>166</v>
      </c>
      <c r="M2574" s="561" t="s">
        <v>164</v>
      </c>
      <c r="N2574" s="52" t="str">
        <f>IF(AND('331-CT'!$E$7=TH!H2574,OR(L2574="331",M2574="331")),"331",IF(AND(OR(L2574="131",M2574="131"),H2574='131-CT'!$E$7),"131",""))</f>
        <v/>
      </c>
      <c r="O2574" s="818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751"/>
    </row>
    <row r="2575" spans="1:29" s="209" customFormat="1" ht="15.75" customHeight="1">
      <c r="A2575" s="202" t="str">
        <f>IF(B2575&lt;&gt;"",IF(AND(B2575&gt;=_TM1,B2575&lt;=_TM2,OR(TH!L2575="1111",TH!M2575="1111")),TH!D2575,""),"")</f>
        <v/>
      </c>
      <c r="B2575" s="36">
        <f t="shared" si="130"/>
        <v>10</v>
      </c>
      <c r="C2575" s="182">
        <f t="shared" si="128"/>
        <v>42651</v>
      </c>
      <c r="D2575" s="182" t="s">
        <v>1547</v>
      </c>
      <c r="E2575" s="691">
        <v>42651</v>
      </c>
      <c r="F2575" s="187" t="s">
        <v>1446</v>
      </c>
      <c r="G2575" s="451" t="s">
        <v>823</v>
      </c>
      <c r="H2575" s="7" t="s">
        <v>1549</v>
      </c>
      <c r="I2575" s="668">
        <v>170</v>
      </c>
      <c r="J2575" s="668">
        <v>17632.223128401216</v>
      </c>
      <c r="K2575" s="38">
        <f t="shared" si="129"/>
        <v>2997478</v>
      </c>
      <c r="L2575" s="561" t="s">
        <v>166</v>
      </c>
      <c r="M2575" s="561" t="s">
        <v>164</v>
      </c>
      <c r="N2575" s="52" t="str">
        <f>IF(AND('331-CT'!$E$7=TH!H2575,OR(L2575="331",M2575="331")),"331",IF(AND(OR(L2575="131",M2575="131"),H2575='131-CT'!$E$7),"131",""))</f>
        <v/>
      </c>
      <c r="O2575" s="818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751"/>
    </row>
    <row r="2576" spans="1:29" s="209" customFormat="1" ht="15.75" customHeight="1">
      <c r="A2576" s="202" t="str">
        <f>IF(B2576&lt;&gt;"",IF(AND(B2576&gt;=_TM1,B2576&lt;=_TM2,OR(TH!L2576="1111",TH!M2576="1111")),TH!D2576,""),"")</f>
        <v/>
      </c>
      <c r="B2576" s="36">
        <f t="shared" si="130"/>
        <v>10</v>
      </c>
      <c r="C2576" s="182">
        <f t="shared" si="128"/>
        <v>42653</v>
      </c>
      <c r="D2576" s="182" t="s">
        <v>1547</v>
      </c>
      <c r="E2576" s="691">
        <v>42653</v>
      </c>
      <c r="F2576" s="187" t="s">
        <v>1255</v>
      </c>
      <c r="G2576" s="451" t="s">
        <v>1543</v>
      </c>
      <c r="H2576" s="7" t="s">
        <v>1549</v>
      </c>
      <c r="I2576" s="251">
        <v>320</v>
      </c>
      <c r="J2576" s="251">
        <v>6917.9057250186588</v>
      </c>
      <c r="K2576" s="38">
        <f t="shared" si="129"/>
        <v>2213730</v>
      </c>
      <c r="L2576" s="561" t="s">
        <v>166</v>
      </c>
      <c r="M2576" s="561" t="s">
        <v>164</v>
      </c>
      <c r="N2576" s="52" t="str">
        <f>IF(AND('331-CT'!$E$7=TH!H2576,OR(L2576="331",M2576="331")),"331",IF(AND(OR(L2576="131",M2576="131"),H2576='131-CT'!$E$7),"131",""))</f>
        <v/>
      </c>
      <c r="O2576" s="818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751"/>
      <c r="AB2576" s="552"/>
      <c r="AC2576" s="552"/>
    </row>
    <row r="2577" spans="1:29" s="209" customFormat="1" ht="15.75" customHeight="1">
      <c r="A2577" s="202" t="str">
        <f>IF(B2577&lt;&gt;"",IF(AND(B2577&gt;=_TM1,B2577&lt;=_TM2,OR(TH!L2577="1111",TH!M2577="1111")),TH!D2577,""),"")</f>
        <v/>
      </c>
      <c r="B2577" s="36">
        <f t="shared" si="130"/>
        <v>10</v>
      </c>
      <c r="C2577" s="182">
        <f t="shared" si="128"/>
        <v>42653</v>
      </c>
      <c r="D2577" s="182" t="s">
        <v>1547</v>
      </c>
      <c r="E2577" s="691">
        <v>42653</v>
      </c>
      <c r="F2577" s="187" t="s">
        <v>441</v>
      </c>
      <c r="G2577" s="451" t="s">
        <v>1543</v>
      </c>
      <c r="H2577" s="7" t="s">
        <v>1549</v>
      </c>
      <c r="I2577" s="251">
        <v>659</v>
      </c>
      <c r="J2577" s="251">
        <v>13329.623226255466</v>
      </c>
      <c r="K2577" s="38">
        <f t="shared" si="129"/>
        <v>8784222</v>
      </c>
      <c r="L2577" s="561" t="s">
        <v>166</v>
      </c>
      <c r="M2577" s="561" t="s">
        <v>164</v>
      </c>
      <c r="N2577" s="52" t="str">
        <f>IF(AND('331-CT'!$E$7=TH!H2577,OR(L2577="331",M2577="331")),"331",IF(AND(OR(L2577="131",M2577="131"),H2577='131-CT'!$E$7),"131",""))</f>
        <v/>
      </c>
      <c r="O2577" s="818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751"/>
      <c r="AB2577" s="552"/>
    </row>
    <row r="2578" spans="1:29" s="209" customFormat="1" ht="15.75" customHeight="1">
      <c r="A2578" s="202" t="str">
        <f>IF(B2578&lt;&gt;"",IF(AND(B2578&gt;=_TM1,B2578&lt;=_TM2,OR(TH!L2578="1111",TH!M2578="1111")),TH!D2578,""),"")</f>
        <v/>
      </c>
      <c r="B2578" s="36">
        <f t="shared" si="130"/>
        <v>10</v>
      </c>
      <c r="C2578" s="182">
        <f t="shared" si="128"/>
        <v>42655</v>
      </c>
      <c r="D2578" s="182" t="s">
        <v>1547</v>
      </c>
      <c r="E2578" s="691">
        <v>42655</v>
      </c>
      <c r="F2578" s="187" t="s">
        <v>418</v>
      </c>
      <c r="G2578" s="451" t="s">
        <v>1311</v>
      </c>
      <c r="H2578" s="7" t="s">
        <v>1549</v>
      </c>
      <c r="I2578" s="251">
        <v>150</v>
      </c>
      <c r="J2578" s="251">
        <v>61164.410373640589</v>
      </c>
      <c r="K2578" s="38">
        <f t="shared" si="129"/>
        <v>9174662</v>
      </c>
      <c r="L2578" s="561" t="s">
        <v>166</v>
      </c>
      <c r="M2578" s="561" t="s">
        <v>164</v>
      </c>
      <c r="N2578" s="52" t="str">
        <f>IF(AND('331-CT'!$E$7=TH!H2578,OR(L2578="331",M2578="331")),"331",IF(AND(OR(L2578="131",M2578="131"),H2578='131-CT'!$E$7),"131",""))</f>
        <v/>
      </c>
      <c r="O2578" s="818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751"/>
      <c r="AB2578" s="552"/>
    </row>
    <row r="2579" spans="1:29" s="209" customFormat="1" ht="15.75" customHeight="1">
      <c r="A2579" s="202" t="str">
        <f>IF(B2579&lt;&gt;"",IF(AND(B2579&gt;=_TM1,B2579&lt;=_TM2,OR(TH!L2579="1111",TH!M2579="1111")),TH!D2579,""),"")</f>
        <v/>
      </c>
      <c r="B2579" s="36">
        <f t="shared" si="130"/>
        <v>10</v>
      </c>
      <c r="C2579" s="182">
        <f t="shared" si="128"/>
        <v>42656</v>
      </c>
      <c r="D2579" s="182" t="s">
        <v>1547</v>
      </c>
      <c r="E2579" s="691">
        <v>42656</v>
      </c>
      <c r="F2579" s="286" t="s">
        <v>1443</v>
      </c>
      <c r="G2579" s="450" t="s">
        <v>1312</v>
      </c>
      <c r="H2579" s="7" t="s">
        <v>1549</v>
      </c>
      <c r="I2579" s="251">
        <v>520</v>
      </c>
      <c r="J2579" s="251">
        <v>8014.6468765460077</v>
      </c>
      <c r="K2579" s="38">
        <f t="shared" si="129"/>
        <v>4167616</v>
      </c>
      <c r="L2579" s="561" t="s">
        <v>166</v>
      </c>
      <c r="M2579" s="561" t="s">
        <v>164</v>
      </c>
      <c r="N2579" s="52" t="str">
        <f>IF(AND('331-CT'!$E$7=TH!H2579,OR(L2579="331",M2579="331")),"331",IF(AND(OR(L2579="131",M2579="131"),H2579='131-CT'!$E$7),"131",""))</f>
        <v/>
      </c>
      <c r="O2579" s="818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751"/>
      <c r="AB2579" s="552"/>
      <c r="AC2579" s="552"/>
    </row>
    <row r="2580" spans="1:29" s="209" customFormat="1" ht="15.75" customHeight="1">
      <c r="A2580" s="202" t="str">
        <f>IF(B2580&lt;&gt;"",IF(AND(B2580&gt;=_TM1,B2580&lt;=_TM2,OR(TH!L2580="1111",TH!M2580="1111")),TH!D2580,""),"")</f>
        <v/>
      </c>
      <c r="B2580" s="36">
        <f t="shared" si="130"/>
        <v>10</v>
      </c>
      <c r="C2580" s="182">
        <f t="shared" si="128"/>
        <v>42656</v>
      </c>
      <c r="D2580" s="182" t="s">
        <v>1547</v>
      </c>
      <c r="E2580" s="691">
        <v>42656</v>
      </c>
      <c r="F2580" s="286" t="s">
        <v>1313</v>
      </c>
      <c r="G2580" s="450" t="s">
        <v>1312</v>
      </c>
      <c r="H2580" s="7" t="s">
        <v>1549</v>
      </c>
      <c r="I2580" s="714">
        <v>50</v>
      </c>
      <c r="J2580" s="251">
        <v>4640.0587180003204</v>
      </c>
      <c r="K2580" s="38">
        <f t="shared" si="129"/>
        <v>232003</v>
      </c>
      <c r="L2580" s="561" t="s">
        <v>166</v>
      </c>
      <c r="M2580" s="561" t="s">
        <v>164</v>
      </c>
      <c r="N2580" s="52" t="str">
        <f>IF(AND('331-CT'!$E$7=TH!H2580,OR(L2580="331",M2580="331")),"331",IF(AND(OR(L2580="131",M2580="131"),H2580='131-CT'!$E$7),"131",""))</f>
        <v/>
      </c>
      <c r="O2580" s="818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751"/>
      <c r="AB2580" s="552"/>
    </row>
    <row r="2581" spans="1:29" s="209" customFormat="1" ht="15.75" customHeight="1">
      <c r="A2581" s="202" t="str">
        <f>IF(B2581&lt;&gt;"",IF(AND(B2581&gt;=_TM1,B2581&lt;=_TM2,OR(TH!L2581="1111",TH!M2581="1111")),TH!D2581,""),"")</f>
        <v/>
      </c>
      <c r="B2581" s="36">
        <f t="shared" si="130"/>
        <v>10</v>
      </c>
      <c r="C2581" s="182">
        <f t="shared" si="128"/>
        <v>42656</v>
      </c>
      <c r="D2581" s="182" t="s">
        <v>1547</v>
      </c>
      <c r="E2581" s="189">
        <v>42656</v>
      </c>
      <c r="F2581" s="286" t="s">
        <v>1315</v>
      </c>
      <c r="G2581" s="450" t="s">
        <v>1314</v>
      </c>
      <c r="H2581" s="7" t="s">
        <v>1549</v>
      </c>
      <c r="I2581" s="251">
        <v>996</v>
      </c>
      <c r="J2581" s="251">
        <v>4724.4234219639629</v>
      </c>
      <c r="K2581" s="38">
        <f t="shared" si="129"/>
        <v>4705526</v>
      </c>
      <c r="L2581" s="561" t="s">
        <v>166</v>
      </c>
      <c r="M2581" s="561" t="s">
        <v>164</v>
      </c>
      <c r="N2581" s="52" t="str">
        <f>IF(AND('331-CT'!$E$7=TH!H2581,OR(L2581="331",M2581="331")),"331",IF(AND(OR(L2581="131",M2581="131"),H2581='131-CT'!$E$7),"131",""))</f>
        <v/>
      </c>
      <c r="O2581" s="818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751"/>
      <c r="AB2581" s="552"/>
      <c r="AC2581" s="552"/>
    </row>
    <row r="2582" spans="1:29" s="209" customFormat="1" ht="15.75" customHeight="1">
      <c r="A2582" s="202" t="str">
        <f>IF(B2582&lt;&gt;"",IF(AND(B2582&gt;=_TM1,B2582&lt;=_TM2,OR(TH!L2582="1111",TH!M2582="1111")),TH!D2582,""),"")</f>
        <v/>
      </c>
      <c r="B2582" s="36">
        <f t="shared" si="130"/>
        <v>10</v>
      </c>
      <c r="C2582" s="182">
        <f t="shared" si="128"/>
        <v>42661</v>
      </c>
      <c r="D2582" s="182" t="s">
        <v>1547</v>
      </c>
      <c r="E2582" s="189">
        <v>42661</v>
      </c>
      <c r="F2582" s="286" t="s">
        <v>1317</v>
      </c>
      <c r="G2582" s="450" t="s">
        <v>1316</v>
      </c>
      <c r="H2582" s="7" t="s">
        <v>1549</v>
      </c>
      <c r="I2582" s="251">
        <v>510</v>
      </c>
      <c r="J2582" s="251">
        <v>6158.6233893458793</v>
      </c>
      <c r="K2582" s="38">
        <f t="shared" si="129"/>
        <v>3140898</v>
      </c>
      <c r="L2582" s="561" t="s">
        <v>166</v>
      </c>
      <c r="M2582" s="561" t="s">
        <v>164</v>
      </c>
      <c r="N2582" s="52" t="str">
        <f>IF(AND('331-CT'!$E$7=TH!H2582,OR(L2582="331",M2582="331")),"331",IF(AND(OR(L2582="131",M2582="131"),H2582='131-CT'!$E$7),"131",""))</f>
        <v/>
      </c>
      <c r="O2582" s="818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751"/>
      <c r="AB2582" s="552"/>
    </row>
    <row r="2583" spans="1:29" s="209" customFormat="1" ht="15.75" customHeight="1">
      <c r="A2583" s="202" t="str">
        <f>IF(B2583&lt;&gt;"",IF(AND(B2583&gt;=_TM1,B2583&lt;=_TM2,OR(TH!L2583="1111",TH!M2583="1111")),TH!D2583,""),"")</f>
        <v/>
      </c>
      <c r="B2583" s="36">
        <f t="shared" si="130"/>
        <v>10</v>
      </c>
      <c r="C2583" s="182">
        <f t="shared" si="128"/>
        <v>42661</v>
      </c>
      <c r="D2583" s="182" t="s">
        <v>1547</v>
      </c>
      <c r="E2583" s="189">
        <v>42661</v>
      </c>
      <c r="F2583" s="286" t="s">
        <v>1320</v>
      </c>
      <c r="G2583" s="450" t="s">
        <v>1318</v>
      </c>
      <c r="H2583" s="7" t="s">
        <v>1549</v>
      </c>
      <c r="I2583" s="251">
        <v>5070</v>
      </c>
      <c r="J2583" s="251">
        <v>1856.0234872001281</v>
      </c>
      <c r="K2583" s="38">
        <f t="shared" si="129"/>
        <v>9410039</v>
      </c>
      <c r="L2583" s="561" t="s">
        <v>166</v>
      </c>
      <c r="M2583" s="561" t="s">
        <v>164</v>
      </c>
      <c r="N2583" s="52" t="str">
        <f>IF(AND('331-CT'!$E$7=TH!H2583,OR(L2583="331",M2583="331")),"331",IF(AND(OR(L2583="131",M2583="131"),H2583='131-CT'!$E$7),"131",""))</f>
        <v/>
      </c>
      <c r="O2583" s="818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751"/>
      <c r="AB2583" s="552"/>
      <c r="AC2583" s="552"/>
    </row>
    <row r="2584" spans="1:29" s="209" customFormat="1" ht="15.75" customHeight="1">
      <c r="A2584" s="202" t="str">
        <f>IF(B2584&lt;&gt;"",IF(AND(B2584&gt;=_TM1,B2584&lt;=_TM2,OR(TH!L2584="1111",TH!M2584="1111")),TH!D2584,""),"")</f>
        <v/>
      </c>
      <c r="B2584" s="36">
        <f t="shared" si="130"/>
        <v>10</v>
      </c>
      <c r="C2584" s="182">
        <f t="shared" si="128"/>
        <v>42661</v>
      </c>
      <c r="D2584" s="182" t="s">
        <v>1547</v>
      </c>
      <c r="E2584" s="189">
        <v>42661</v>
      </c>
      <c r="F2584" s="286" t="s">
        <v>1321</v>
      </c>
      <c r="G2584" s="450" t="s">
        <v>1318</v>
      </c>
      <c r="H2584" s="7" t="s">
        <v>1549</v>
      </c>
      <c r="I2584" s="668">
        <v>500</v>
      </c>
      <c r="J2584" s="668">
        <v>12654.705594546329</v>
      </c>
      <c r="K2584" s="38">
        <f t="shared" si="129"/>
        <v>6327353</v>
      </c>
      <c r="L2584" s="561" t="s">
        <v>166</v>
      </c>
      <c r="M2584" s="561" t="s">
        <v>164</v>
      </c>
      <c r="N2584" s="52" t="str">
        <f>IF(AND('331-CT'!$E$7=TH!H2584,OR(L2584="331",M2584="331")),"331",IF(AND(OR(L2584="131",M2584="131"),H2584='131-CT'!$E$7),"131",""))</f>
        <v/>
      </c>
      <c r="O2584" s="818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751"/>
      <c r="AB2584" s="552"/>
    </row>
    <row r="2585" spans="1:29" s="209" customFormat="1" ht="15.75" customHeight="1">
      <c r="A2585" s="202" t="str">
        <f>IF(B2585&lt;&gt;"",IF(AND(B2585&gt;=_TM1,B2585&lt;=_TM2,OR(TH!L2585="1111",TH!M2585="1111")),TH!D2585,""),"")</f>
        <v/>
      </c>
      <c r="B2585" s="36">
        <f t="shared" si="130"/>
        <v>10</v>
      </c>
      <c r="C2585" s="182">
        <f t="shared" si="128"/>
        <v>42661</v>
      </c>
      <c r="D2585" s="182" t="s">
        <v>1547</v>
      </c>
      <c r="E2585" s="189">
        <v>42661</v>
      </c>
      <c r="F2585" s="187" t="s">
        <v>1325</v>
      </c>
      <c r="G2585" s="451" t="s">
        <v>1322</v>
      </c>
      <c r="H2585" s="7" t="s">
        <v>1549</v>
      </c>
      <c r="I2585" s="668">
        <v>400</v>
      </c>
      <c r="J2585" s="668">
        <v>6496.0822052004487</v>
      </c>
      <c r="K2585" s="38">
        <f t="shared" si="129"/>
        <v>2598433</v>
      </c>
      <c r="L2585" s="561" t="s">
        <v>166</v>
      </c>
      <c r="M2585" s="561" t="s">
        <v>164</v>
      </c>
      <c r="N2585" s="52" t="str">
        <f>IF(AND('331-CT'!$E$7=TH!H2585,OR(L2585="331",M2585="331")),"331",IF(AND(OR(L2585="131",M2585="131"),H2585='131-CT'!$E$7),"131",""))</f>
        <v/>
      </c>
      <c r="O2585" s="818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751"/>
    </row>
    <row r="2586" spans="1:29" s="209" customFormat="1" ht="15.75" customHeight="1">
      <c r="A2586" s="202" t="str">
        <f>IF(B2586&lt;&gt;"",IF(AND(B2586&gt;=_TM1,B2586&lt;=_TM2,OR(TH!L2586="1111",TH!M2586="1111")),TH!D2586,""),"")</f>
        <v/>
      </c>
      <c r="B2586" s="36">
        <f t="shared" si="130"/>
        <v>10</v>
      </c>
      <c r="C2586" s="182">
        <f t="shared" si="128"/>
        <v>42661</v>
      </c>
      <c r="D2586" s="182" t="s">
        <v>1547</v>
      </c>
      <c r="E2586" s="189">
        <v>42661</v>
      </c>
      <c r="F2586" s="187" t="s">
        <v>1326</v>
      </c>
      <c r="G2586" s="451" t="s">
        <v>1322</v>
      </c>
      <c r="H2586" s="7" t="s">
        <v>1549</v>
      </c>
      <c r="I2586" s="251">
        <v>338</v>
      </c>
      <c r="J2586" s="251">
        <v>8436.4703963642187</v>
      </c>
      <c r="K2586" s="38">
        <f t="shared" si="129"/>
        <v>2851527</v>
      </c>
      <c r="L2586" s="561" t="s">
        <v>166</v>
      </c>
      <c r="M2586" s="561" t="s">
        <v>164</v>
      </c>
      <c r="N2586" s="52" t="str">
        <f>IF(AND('331-CT'!$E$7=TH!H2586,OR(L2586="331",M2586="331")),"331",IF(AND(OR(L2586="131",M2586="131"),H2586='131-CT'!$E$7),"131",""))</f>
        <v/>
      </c>
      <c r="O2586" s="818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751"/>
    </row>
    <row r="2587" spans="1:29" s="209" customFormat="1" ht="15.75" customHeight="1">
      <c r="A2587" s="202" t="str">
        <f>IF(B2587&lt;&gt;"",IF(AND(B2587&gt;=_TM1,B2587&lt;=_TM2,OR(TH!L2587="1111",TH!M2587="1111")),TH!D2587,""),"")</f>
        <v/>
      </c>
      <c r="B2587" s="36">
        <f t="shared" si="130"/>
        <v>10</v>
      </c>
      <c r="C2587" s="182">
        <f t="shared" si="128"/>
        <v>42661</v>
      </c>
      <c r="D2587" s="182" t="s">
        <v>1547</v>
      </c>
      <c r="E2587" s="189">
        <v>42661</v>
      </c>
      <c r="F2587" s="190" t="s">
        <v>1327</v>
      </c>
      <c r="G2587" s="451" t="s">
        <v>1322</v>
      </c>
      <c r="H2587" s="7" t="s">
        <v>1549</v>
      </c>
      <c r="I2587" s="251">
        <v>400</v>
      </c>
      <c r="J2587" s="251">
        <v>5821.1645734913109</v>
      </c>
      <c r="K2587" s="38">
        <f t="shared" si="129"/>
        <v>2328466</v>
      </c>
      <c r="L2587" s="561" t="s">
        <v>166</v>
      </c>
      <c r="M2587" s="561" t="s">
        <v>164</v>
      </c>
      <c r="N2587" s="52" t="str">
        <f>IF(AND('331-CT'!$E$7=TH!H2587,OR(L2587="331",M2587="331")),"331",IF(AND(OR(L2587="131",M2587="131"),H2587='131-CT'!$E$7),"131",""))</f>
        <v/>
      </c>
      <c r="O2587" s="818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751"/>
      <c r="AB2587" s="552"/>
      <c r="AC2587" s="552"/>
    </row>
    <row r="2588" spans="1:29" s="209" customFormat="1" ht="15.75" customHeight="1">
      <c r="A2588" s="202" t="str">
        <f>IF(B2588&lt;&gt;"",IF(AND(B2588&gt;=_TM1,B2588&lt;=_TM2,OR(TH!L2588="1111",TH!M2588="1111")),TH!D2588,""),"")</f>
        <v/>
      </c>
      <c r="B2588" s="36">
        <f t="shared" si="130"/>
        <v>10</v>
      </c>
      <c r="C2588" s="182">
        <f t="shared" si="128"/>
        <v>42661</v>
      </c>
      <c r="D2588" s="182" t="s">
        <v>1547</v>
      </c>
      <c r="E2588" s="189">
        <v>42661</v>
      </c>
      <c r="F2588" s="190" t="s">
        <v>1329</v>
      </c>
      <c r="G2588" s="451" t="s">
        <v>1324</v>
      </c>
      <c r="H2588" s="7" t="s">
        <v>1549</v>
      </c>
      <c r="I2588" s="251">
        <v>203</v>
      </c>
      <c r="J2588" s="251">
        <v>6327.3527972731645</v>
      </c>
      <c r="K2588" s="38">
        <f t="shared" si="129"/>
        <v>1284453</v>
      </c>
      <c r="L2588" s="561" t="s">
        <v>166</v>
      </c>
      <c r="M2588" s="561" t="s">
        <v>164</v>
      </c>
      <c r="N2588" s="52" t="str">
        <f>IF(AND('331-CT'!$E$7=TH!H2588,OR(L2588="331",M2588="331")),"331",IF(AND(OR(L2588="131",M2588="131"),H2588='131-CT'!$E$7),"131",""))</f>
        <v/>
      </c>
      <c r="O2588" s="818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751"/>
      <c r="AB2588" s="552"/>
      <c r="AC2588" s="552"/>
    </row>
    <row r="2589" spans="1:29" s="209" customFormat="1" ht="15.75" customHeight="1">
      <c r="A2589" s="202" t="str">
        <f>IF(B2589&lt;&gt;"",IF(AND(B2589&gt;=_TM1,B2589&lt;=_TM2,OR(TH!L2589="1111",TH!M2589="1111")),TH!D2589,""),"")</f>
        <v/>
      </c>
      <c r="B2589" s="36">
        <f t="shared" si="130"/>
        <v>10</v>
      </c>
      <c r="C2589" s="182">
        <f t="shared" si="128"/>
        <v>42661</v>
      </c>
      <c r="D2589" s="182" t="s">
        <v>1547</v>
      </c>
      <c r="E2589" s="189">
        <v>42661</v>
      </c>
      <c r="F2589" s="190" t="s">
        <v>481</v>
      </c>
      <c r="G2589" s="451" t="s">
        <v>1324</v>
      </c>
      <c r="H2589" s="7" t="s">
        <v>1549</v>
      </c>
      <c r="I2589" s="251">
        <v>200</v>
      </c>
      <c r="J2589" s="251">
        <v>7002.2704289823014</v>
      </c>
      <c r="K2589" s="38">
        <f t="shared" si="129"/>
        <v>1400454</v>
      </c>
      <c r="L2589" s="561" t="s">
        <v>166</v>
      </c>
      <c r="M2589" s="561" t="s">
        <v>164</v>
      </c>
      <c r="N2589" s="52" t="str">
        <f>IF(AND('331-CT'!$E$7=TH!H2589,OR(L2589="331",M2589="331")),"331",IF(AND(OR(L2589="131",M2589="131"),H2589='131-CT'!$E$7),"131",""))</f>
        <v/>
      </c>
      <c r="O2589" s="818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751"/>
      <c r="AB2589" s="552"/>
    </row>
    <row r="2590" spans="1:29" s="209" customFormat="1" ht="15.75" customHeight="1">
      <c r="A2590" s="202" t="str">
        <f>IF(B2590&lt;&gt;"",IF(AND(B2590&gt;=_TM1,B2590&lt;=_TM2,OR(TH!L2590="1111",TH!M2590="1111")),TH!D2590,""),"")</f>
        <v/>
      </c>
      <c r="B2590" s="36">
        <f t="shared" si="130"/>
        <v>10</v>
      </c>
      <c r="C2590" s="182">
        <f t="shared" si="128"/>
        <v>42662</v>
      </c>
      <c r="D2590" s="182" t="s">
        <v>1547</v>
      </c>
      <c r="E2590" s="189">
        <v>42662</v>
      </c>
      <c r="F2590" s="286" t="s">
        <v>1327</v>
      </c>
      <c r="G2590" s="451" t="s">
        <v>1330</v>
      </c>
      <c r="H2590" s="7" t="s">
        <v>1549</v>
      </c>
      <c r="I2590" s="251">
        <v>934</v>
      </c>
      <c r="J2590" s="251">
        <v>5821.1645734913109</v>
      </c>
      <c r="K2590" s="38">
        <f t="shared" si="129"/>
        <v>5436968</v>
      </c>
      <c r="L2590" s="561" t="s">
        <v>166</v>
      </c>
      <c r="M2590" s="561" t="s">
        <v>164</v>
      </c>
      <c r="N2590" s="52" t="str">
        <f>IF(AND('331-CT'!$E$7=TH!H2590,OR(L2590="331",M2590="331")),"331",IF(AND(OR(L2590="131",M2590="131"),H2590='131-CT'!$E$7),"131",""))</f>
        <v/>
      </c>
      <c r="O2590" s="818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751"/>
      <c r="AB2590" s="552"/>
      <c r="AC2590" s="552"/>
    </row>
    <row r="2591" spans="1:29" s="209" customFormat="1" ht="15.75" customHeight="1">
      <c r="A2591" s="202" t="str">
        <f>IF(B2591&lt;&gt;"",IF(AND(B2591&gt;=_TM1,B2591&lt;=_TM2,OR(TH!L2591="1111",TH!M2591="1111")),TH!D2591,""),"")</f>
        <v/>
      </c>
      <c r="B2591" s="36">
        <f t="shared" si="130"/>
        <v>10</v>
      </c>
      <c r="C2591" s="182">
        <f t="shared" si="128"/>
        <v>42662</v>
      </c>
      <c r="D2591" s="182" t="s">
        <v>1547</v>
      </c>
      <c r="E2591" s="189">
        <v>42662</v>
      </c>
      <c r="F2591" s="286" t="s">
        <v>1256</v>
      </c>
      <c r="G2591" s="451" t="s">
        <v>1331</v>
      </c>
      <c r="H2591" s="7" t="s">
        <v>1549</v>
      </c>
      <c r="I2591" s="251">
        <v>617</v>
      </c>
      <c r="J2591" s="251">
        <v>7677.1880606914392</v>
      </c>
      <c r="K2591" s="38">
        <f t="shared" si="129"/>
        <v>4736825</v>
      </c>
      <c r="L2591" s="561" t="s">
        <v>166</v>
      </c>
      <c r="M2591" s="561" t="s">
        <v>164</v>
      </c>
      <c r="N2591" s="52" t="str">
        <f>IF(AND('331-CT'!$E$7=TH!H2591,OR(L2591="331",M2591="331")),"331",IF(AND(OR(L2591="131",M2591="131"),H2591='131-CT'!$E$7),"131",""))</f>
        <v/>
      </c>
      <c r="O2591" s="818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751"/>
      <c r="AB2591" s="552"/>
    </row>
    <row r="2592" spans="1:29" s="209" customFormat="1" ht="15.75" customHeight="1">
      <c r="A2592" s="202" t="str">
        <f>IF(B2592&lt;&gt;"",IF(AND(B2592&gt;=_TM1,B2592&lt;=_TM2,OR(TH!L2592="1111",TH!M2592="1111")),TH!D2592,""),"")</f>
        <v/>
      </c>
      <c r="B2592" s="36">
        <f t="shared" si="130"/>
        <v>10</v>
      </c>
      <c r="C2592" s="182">
        <f t="shared" si="128"/>
        <v>42662</v>
      </c>
      <c r="D2592" s="182" t="s">
        <v>1547</v>
      </c>
      <c r="E2592" s="189">
        <v>42662</v>
      </c>
      <c r="F2592" s="286" t="s">
        <v>626</v>
      </c>
      <c r="G2592" s="451" t="s">
        <v>1331</v>
      </c>
      <c r="H2592" s="7" t="s">
        <v>1549</v>
      </c>
      <c r="I2592" s="251">
        <v>322</v>
      </c>
      <c r="J2592" s="251">
        <v>12485.976186619044</v>
      </c>
      <c r="K2592" s="38">
        <f t="shared" si="129"/>
        <v>4020484</v>
      </c>
      <c r="L2592" s="561" t="s">
        <v>166</v>
      </c>
      <c r="M2592" s="561" t="s">
        <v>164</v>
      </c>
      <c r="N2592" s="52" t="str">
        <f>IF(AND('331-CT'!$E$7=TH!H2592,OR(L2592="331",M2592="331")),"331",IF(AND(OR(L2592="131",M2592="131"),H2592='131-CT'!$E$7),"131",""))</f>
        <v/>
      </c>
      <c r="O2592" s="818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751"/>
      <c r="AB2592" s="552"/>
      <c r="AC2592" s="552"/>
    </row>
    <row r="2593" spans="1:29" s="209" customFormat="1" ht="15.75" customHeight="1">
      <c r="A2593" s="202" t="str">
        <f>IF(B2593&lt;&gt;"",IF(AND(B2593&gt;=_TM1,B2593&lt;=_TM2,OR(TH!L2593="1111",TH!M2593="1111")),TH!D2593,""),"")</f>
        <v/>
      </c>
      <c r="B2593" s="36">
        <f t="shared" si="130"/>
        <v>10</v>
      </c>
      <c r="C2593" s="182">
        <f t="shared" si="128"/>
        <v>42664</v>
      </c>
      <c r="D2593" s="182" t="s">
        <v>1547</v>
      </c>
      <c r="E2593" s="189">
        <v>42664</v>
      </c>
      <c r="F2593" s="286" t="s">
        <v>1441</v>
      </c>
      <c r="G2593" s="451" t="s">
        <v>1332</v>
      </c>
      <c r="H2593" s="7" t="s">
        <v>1549</v>
      </c>
      <c r="I2593" s="251">
        <v>1800</v>
      </c>
      <c r="J2593" s="251">
        <v>3627.6822704366141</v>
      </c>
      <c r="K2593" s="38">
        <f t="shared" si="129"/>
        <v>6529828</v>
      </c>
      <c r="L2593" s="561" t="s">
        <v>166</v>
      </c>
      <c r="M2593" s="561" t="s">
        <v>164</v>
      </c>
      <c r="N2593" s="52" t="str">
        <f>IF(AND('331-CT'!$E$7=TH!H2593,OR(L2593="331",M2593="331")),"331",IF(AND(OR(L2593="131",M2593="131"),H2593='131-CT'!$E$7),"131",""))</f>
        <v/>
      </c>
      <c r="O2593" s="818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751"/>
      <c r="AB2593" s="552"/>
    </row>
    <row r="2594" spans="1:29" s="209" customFormat="1" ht="15.75" customHeight="1">
      <c r="A2594" s="202" t="str">
        <f>IF(B2594&lt;&gt;"",IF(AND(B2594&gt;=_TM1,B2594&lt;=_TM2,OR(TH!L2594="1111",TH!M2594="1111")),TH!D2594,""),"")</f>
        <v/>
      </c>
      <c r="B2594" s="36">
        <f t="shared" si="130"/>
        <v>10</v>
      </c>
      <c r="C2594" s="182">
        <f t="shared" si="128"/>
        <v>42664</v>
      </c>
      <c r="D2594" s="182" t="s">
        <v>1547</v>
      </c>
      <c r="E2594" s="189">
        <v>42664</v>
      </c>
      <c r="F2594" s="286" t="s">
        <v>1307</v>
      </c>
      <c r="G2594" s="451" t="s">
        <v>1332</v>
      </c>
      <c r="H2594" s="7" t="s">
        <v>1549</v>
      </c>
      <c r="I2594" s="251">
        <v>30</v>
      </c>
      <c r="J2594" s="251">
        <v>12823.435002473612</v>
      </c>
      <c r="K2594" s="38">
        <f t="shared" si="129"/>
        <v>384703</v>
      </c>
      <c r="L2594" s="561" t="s">
        <v>166</v>
      </c>
      <c r="M2594" s="561" t="s">
        <v>164</v>
      </c>
      <c r="N2594" s="52" t="str">
        <f>IF(AND('331-CT'!$E$7=TH!H2594,OR(L2594="331",M2594="331")),"331",IF(AND(OR(L2594="131",M2594="131"),H2594='131-CT'!$E$7),"131",""))</f>
        <v/>
      </c>
      <c r="O2594" s="818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751"/>
      <c r="AB2594" s="552"/>
      <c r="AC2594" s="552"/>
    </row>
    <row r="2595" spans="1:29" s="209" customFormat="1" ht="15.75" customHeight="1">
      <c r="A2595" s="202" t="str">
        <f>IF(B2595&lt;&gt;"",IF(AND(B2595&gt;=_TM1,B2595&lt;=_TM2,OR(TH!L2595="1111",TH!M2595="1111")),TH!D2595,""),"")</f>
        <v/>
      </c>
      <c r="B2595" s="36">
        <f t="shared" si="130"/>
        <v>10</v>
      </c>
      <c r="C2595" s="182">
        <f t="shared" si="128"/>
        <v>42664</v>
      </c>
      <c r="D2595" s="182" t="s">
        <v>1547</v>
      </c>
      <c r="E2595" s="189">
        <v>42664</v>
      </c>
      <c r="F2595" s="286" t="s">
        <v>1307</v>
      </c>
      <c r="G2595" s="451" t="s">
        <v>1332</v>
      </c>
      <c r="H2595" s="7" t="s">
        <v>1549</v>
      </c>
      <c r="I2595" s="251">
        <v>30</v>
      </c>
      <c r="J2595" s="251">
        <v>12823.435002473612</v>
      </c>
      <c r="K2595" s="38">
        <f t="shared" si="129"/>
        <v>384703</v>
      </c>
      <c r="L2595" s="561" t="s">
        <v>166</v>
      </c>
      <c r="M2595" s="561" t="s">
        <v>164</v>
      </c>
      <c r="N2595" s="52" t="str">
        <f>IF(AND('331-CT'!$E$7=TH!H2595,OR(L2595="331",M2595="331")),"331",IF(AND(OR(L2595="131",M2595="131"),H2595='131-CT'!$E$7),"131",""))</f>
        <v/>
      </c>
      <c r="O2595" s="818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751"/>
      <c r="AB2595" s="552"/>
    </row>
    <row r="2596" spans="1:29" s="209" customFormat="1" ht="15.75" customHeight="1">
      <c r="A2596" s="202" t="str">
        <f>IF(B2596&lt;&gt;"",IF(AND(B2596&gt;=_TM1,B2596&lt;=_TM2,OR(TH!L2596="1111",TH!M2596="1111")),TH!D2596,""),"")</f>
        <v/>
      </c>
      <c r="B2596" s="36">
        <f t="shared" si="130"/>
        <v>10</v>
      </c>
      <c r="C2596" s="182">
        <f t="shared" si="128"/>
        <v>42664</v>
      </c>
      <c r="D2596" s="182" t="s">
        <v>1547</v>
      </c>
      <c r="E2596" s="189">
        <v>42664</v>
      </c>
      <c r="F2596" s="190" t="s">
        <v>1310</v>
      </c>
      <c r="G2596" s="451" t="s">
        <v>1332</v>
      </c>
      <c r="H2596" s="7" t="s">
        <v>1549</v>
      </c>
      <c r="I2596" s="251">
        <v>30</v>
      </c>
      <c r="J2596" s="251">
        <v>9195.7527320369991</v>
      </c>
      <c r="K2596" s="38">
        <f t="shared" si="129"/>
        <v>275873</v>
      </c>
      <c r="L2596" s="561" t="s">
        <v>166</v>
      </c>
      <c r="M2596" s="561" t="s">
        <v>164</v>
      </c>
      <c r="N2596" s="52" t="str">
        <f>IF(AND('331-CT'!$E$7=TH!H2596,OR(L2596="331",M2596="331")),"331",IF(AND(OR(L2596="131",M2596="131"),H2596='131-CT'!$E$7),"131",""))</f>
        <v/>
      </c>
      <c r="O2596" s="818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751"/>
      <c r="AB2596" s="552"/>
      <c r="AC2596" s="552"/>
    </row>
    <row r="2597" spans="1:29" s="209" customFormat="1" ht="15.75" customHeight="1">
      <c r="A2597" s="202" t="str">
        <f>IF(B2597&lt;&gt;"",IF(AND(B2597&gt;=_TM1,B2597&lt;=_TM2,OR(TH!L2597="1111",TH!M2597="1111")),TH!D2597,""),"")</f>
        <v/>
      </c>
      <c r="B2597" s="36">
        <f t="shared" si="130"/>
        <v>10</v>
      </c>
      <c r="C2597" s="182">
        <f t="shared" si="128"/>
        <v>42664</v>
      </c>
      <c r="D2597" s="182" t="s">
        <v>1547</v>
      </c>
      <c r="E2597" s="189">
        <v>42664</v>
      </c>
      <c r="F2597" s="190" t="s">
        <v>1308</v>
      </c>
      <c r="G2597" s="451" t="s">
        <v>1332</v>
      </c>
      <c r="H2597" s="7" t="s">
        <v>1549</v>
      </c>
      <c r="I2597" s="251">
        <v>30</v>
      </c>
      <c r="J2597" s="251">
        <v>10208.129179600704</v>
      </c>
      <c r="K2597" s="38">
        <f t="shared" si="129"/>
        <v>306244</v>
      </c>
      <c r="L2597" s="561" t="s">
        <v>166</v>
      </c>
      <c r="M2597" s="561" t="s">
        <v>164</v>
      </c>
      <c r="N2597" s="52" t="str">
        <f>IF(AND('331-CT'!$E$7=TH!H2597,OR(L2597="331",M2597="331")),"331",IF(AND(OR(L2597="131",M2597="131"),H2597='131-CT'!$E$7),"131",""))</f>
        <v/>
      </c>
      <c r="O2597" s="818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751"/>
      <c r="AB2597" s="552"/>
    </row>
    <row r="2598" spans="1:29" s="209" customFormat="1" ht="15.75" customHeight="1">
      <c r="A2598" s="202" t="str">
        <f>IF(B2598&lt;&gt;"",IF(AND(B2598&gt;=_TM1,B2598&lt;=_TM2,OR(TH!L2598="1111",TH!M2598="1111")),TH!D2598,""),"")</f>
        <v/>
      </c>
      <c r="B2598" s="36">
        <f t="shared" si="130"/>
        <v>10</v>
      </c>
      <c r="C2598" s="182">
        <f t="shared" si="128"/>
        <v>42664</v>
      </c>
      <c r="D2598" s="182" t="s">
        <v>1547</v>
      </c>
      <c r="E2598" s="189">
        <v>42664</v>
      </c>
      <c r="F2598" s="286" t="s">
        <v>1309</v>
      </c>
      <c r="G2598" s="451" t="s">
        <v>1332</v>
      </c>
      <c r="H2598" s="7" t="s">
        <v>1549</v>
      </c>
      <c r="I2598" s="251">
        <v>100</v>
      </c>
      <c r="J2598" s="251">
        <v>11220.505627164412</v>
      </c>
      <c r="K2598" s="38">
        <f t="shared" si="129"/>
        <v>1122051</v>
      </c>
      <c r="L2598" s="561" t="s">
        <v>166</v>
      </c>
      <c r="M2598" s="561" t="s">
        <v>164</v>
      </c>
      <c r="N2598" s="52" t="str">
        <f>IF(AND('331-CT'!$E$7=TH!H2598,OR(L2598="331",M2598="331")),"331",IF(AND(OR(L2598="131",M2598="131"),H2598='131-CT'!$E$7),"131",""))</f>
        <v/>
      </c>
      <c r="O2598" s="818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751"/>
      <c r="AB2598" s="552"/>
      <c r="AC2598" s="552"/>
    </row>
    <row r="2599" spans="1:29" s="209" customFormat="1" ht="15.75" customHeight="1">
      <c r="A2599" s="202" t="str">
        <f>IF(B2599&lt;&gt;"",IF(AND(B2599&gt;=_TM1,B2599&lt;=_TM2,OR(TH!L2599="1111",TH!M2599="1111")),TH!D2599,""),"")</f>
        <v/>
      </c>
      <c r="B2599" s="36">
        <f t="shared" si="130"/>
        <v>10</v>
      </c>
      <c r="C2599" s="182">
        <f t="shared" ref="C2599:C2662" si="131">E2599</f>
        <v>42664</v>
      </c>
      <c r="D2599" s="182" t="s">
        <v>1547</v>
      </c>
      <c r="E2599" s="189">
        <v>42664</v>
      </c>
      <c r="F2599" s="286" t="s">
        <v>1436</v>
      </c>
      <c r="G2599" s="451" t="s">
        <v>1332</v>
      </c>
      <c r="H2599" s="7" t="s">
        <v>1549</v>
      </c>
      <c r="I2599" s="251">
        <v>30</v>
      </c>
      <c r="J2599" s="251">
        <v>17632.223128401216</v>
      </c>
      <c r="K2599" s="38">
        <f t="shared" si="129"/>
        <v>528967</v>
      </c>
      <c r="L2599" s="561" t="s">
        <v>166</v>
      </c>
      <c r="M2599" s="561" t="s">
        <v>164</v>
      </c>
      <c r="N2599" s="52" t="str">
        <f>IF(AND('331-CT'!$E$7=TH!H2599,OR(L2599="331",M2599="331")),"331",IF(AND(OR(L2599="131",M2599="131"),H2599='131-CT'!$E$7),"131",""))</f>
        <v/>
      </c>
      <c r="O2599" s="818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751"/>
      <c r="AB2599" s="552"/>
    </row>
    <row r="2600" spans="1:29" s="209" customFormat="1" ht="15.75" customHeight="1">
      <c r="A2600" s="202" t="str">
        <f>IF(B2600&lt;&gt;"",IF(AND(B2600&gt;=_TM1,B2600&lt;=_TM2,OR(TH!L2600="1111",TH!M2600="1111")),TH!D2600,""),"")</f>
        <v/>
      </c>
      <c r="B2600" s="36">
        <f t="shared" si="130"/>
        <v>10</v>
      </c>
      <c r="C2600" s="182">
        <f t="shared" si="131"/>
        <v>42664</v>
      </c>
      <c r="D2600" s="182" t="s">
        <v>1547</v>
      </c>
      <c r="E2600" s="189">
        <v>42664</v>
      </c>
      <c r="F2600" s="190" t="s">
        <v>1446</v>
      </c>
      <c r="G2600" s="451" t="s">
        <v>1332</v>
      </c>
      <c r="H2600" s="7" t="s">
        <v>1549</v>
      </c>
      <c r="I2600" s="251">
        <v>70</v>
      </c>
      <c r="J2600" s="251">
        <v>17632.223128401216</v>
      </c>
      <c r="K2600" s="38">
        <f t="shared" si="129"/>
        <v>1234256</v>
      </c>
      <c r="L2600" s="561" t="s">
        <v>166</v>
      </c>
      <c r="M2600" s="561" t="s">
        <v>164</v>
      </c>
      <c r="N2600" s="52" t="str">
        <f>IF(AND('331-CT'!$E$7=TH!H2600,OR(L2600="331",M2600="331")),"331",IF(AND(OR(L2600="131",M2600="131"),H2600='131-CT'!$E$7),"131",""))</f>
        <v/>
      </c>
      <c r="O2600" s="818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751"/>
      <c r="AB2600" s="552"/>
      <c r="AC2600" s="552"/>
    </row>
    <row r="2601" spans="1:29" s="209" customFormat="1" ht="15.75" customHeight="1">
      <c r="A2601" s="202" t="str">
        <f>IF(B2601&lt;&gt;"",IF(AND(B2601&gt;=_TM1,B2601&lt;=_TM2,OR(TH!L2601="1111",TH!M2601="1111")),TH!D2601,""),"")</f>
        <v/>
      </c>
      <c r="B2601" s="36">
        <f t="shared" si="130"/>
        <v>10</v>
      </c>
      <c r="C2601" s="182">
        <f t="shared" si="131"/>
        <v>42665</v>
      </c>
      <c r="D2601" s="182" t="s">
        <v>1547</v>
      </c>
      <c r="E2601" s="189">
        <v>42665</v>
      </c>
      <c r="F2601" s="190" t="s">
        <v>1334</v>
      </c>
      <c r="G2601" s="451" t="s">
        <v>1333</v>
      </c>
      <c r="H2601" s="7" t="s">
        <v>1549</v>
      </c>
      <c r="I2601" s="251">
        <v>296</v>
      </c>
      <c r="J2601" s="251">
        <v>11304.870331128053</v>
      </c>
      <c r="K2601" s="38">
        <f t="shared" si="129"/>
        <v>3346242</v>
      </c>
      <c r="L2601" s="561" t="s">
        <v>166</v>
      </c>
      <c r="M2601" s="561" t="s">
        <v>164</v>
      </c>
      <c r="N2601" s="52" t="str">
        <f>IF(AND('331-CT'!$E$7=TH!H2601,OR(L2601="331",M2601="331")),"331",IF(AND(OR(L2601="131",M2601="131"),H2601='131-CT'!$E$7),"131",""))</f>
        <v/>
      </c>
      <c r="O2601" s="818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751"/>
      <c r="AB2601" s="552"/>
      <c r="AC2601" s="552"/>
    </row>
    <row r="2602" spans="1:29" s="209" customFormat="1" ht="15.75" customHeight="1">
      <c r="A2602" s="202" t="str">
        <f>IF(B2602&lt;&gt;"",IF(AND(B2602&gt;=_TM1,B2602&lt;=_TM2,OR(TH!L2602="1111",TH!M2602="1111")),TH!D2602,""),"")</f>
        <v/>
      </c>
      <c r="B2602" s="36">
        <f t="shared" si="130"/>
        <v>10</v>
      </c>
      <c r="C2602" s="182">
        <f t="shared" si="131"/>
        <v>42665</v>
      </c>
      <c r="D2602" s="182" t="s">
        <v>1547</v>
      </c>
      <c r="E2602" s="189">
        <v>42665</v>
      </c>
      <c r="F2602" s="190" t="s">
        <v>1335</v>
      </c>
      <c r="G2602" s="451" t="s">
        <v>1333</v>
      </c>
      <c r="H2602" s="7" t="s">
        <v>1549</v>
      </c>
      <c r="I2602" s="251">
        <v>100</v>
      </c>
      <c r="J2602" s="251">
        <v>7845.9174686187234</v>
      </c>
      <c r="K2602" s="38">
        <f t="shared" si="129"/>
        <v>784592</v>
      </c>
      <c r="L2602" s="561" t="s">
        <v>166</v>
      </c>
      <c r="M2602" s="561" t="s">
        <v>164</v>
      </c>
      <c r="N2602" s="52" t="str">
        <f>IF(AND('331-CT'!$E$7=TH!H2602,OR(L2602="331",M2602="331")),"331",IF(AND(OR(L2602="131",M2602="131"),H2602='131-CT'!$E$7),"131",""))</f>
        <v/>
      </c>
      <c r="O2602" s="818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751"/>
      <c r="AB2602" s="552"/>
    </row>
    <row r="2603" spans="1:29" s="209" customFormat="1" ht="15.75" customHeight="1">
      <c r="A2603" s="202" t="str">
        <f>IF(B2603&lt;&gt;"",IF(AND(B2603&gt;=_TM1,B2603&lt;=_TM2,OR(TH!L2603="1111",TH!M2603="1111")),TH!D2603,""),"")</f>
        <v/>
      </c>
      <c r="B2603" s="36">
        <f t="shared" si="130"/>
        <v>10</v>
      </c>
      <c r="C2603" s="182">
        <f t="shared" si="131"/>
        <v>42665</v>
      </c>
      <c r="D2603" s="182" t="s">
        <v>1547</v>
      </c>
      <c r="E2603" s="691">
        <v>42665</v>
      </c>
      <c r="F2603" s="286" t="s">
        <v>1336</v>
      </c>
      <c r="G2603" s="451" t="s">
        <v>1333</v>
      </c>
      <c r="H2603" s="7" t="s">
        <v>1549</v>
      </c>
      <c r="I2603" s="251">
        <v>52</v>
      </c>
      <c r="J2603" s="251">
        <v>8858.2939161824306</v>
      </c>
      <c r="K2603" s="38">
        <f t="shared" si="129"/>
        <v>460631</v>
      </c>
      <c r="L2603" s="561" t="s">
        <v>166</v>
      </c>
      <c r="M2603" s="561" t="s">
        <v>164</v>
      </c>
      <c r="N2603" s="52" t="str">
        <f>IF(AND('331-CT'!$E$7=TH!H2603,OR(L2603="331",M2603="331")),"331",IF(AND(OR(L2603="131",M2603="131"),H2603='131-CT'!$E$7),"131",""))</f>
        <v/>
      </c>
      <c r="O2603" s="818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751"/>
      <c r="AB2603" s="552"/>
      <c r="AC2603" s="552"/>
    </row>
    <row r="2604" spans="1:29" s="209" customFormat="1" ht="15.75" customHeight="1">
      <c r="A2604" s="202" t="str">
        <f>IF(B2604&lt;&gt;"",IF(AND(B2604&gt;=_TM1,B2604&lt;=_TM2,OR(TH!L2604="1111",TH!M2604="1111")),TH!D2604,""),"")</f>
        <v/>
      </c>
      <c r="B2604" s="36">
        <f t="shared" si="130"/>
        <v>10</v>
      </c>
      <c r="C2604" s="182">
        <f t="shared" si="131"/>
        <v>42665</v>
      </c>
      <c r="D2604" s="182" t="s">
        <v>1547</v>
      </c>
      <c r="E2604" s="691">
        <v>42665</v>
      </c>
      <c r="F2604" s="286" t="s">
        <v>1338</v>
      </c>
      <c r="G2604" s="451" t="s">
        <v>1337</v>
      </c>
      <c r="H2604" s="7" t="s">
        <v>1549</v>
      </c>
      <c r="I2604" s="251">
        <v>526</v>
      </c>
      <c r="J2604" s="251">
        <v>5230.6116457458156</v>
      </c>
      <c r="K2604" s="38">
        <f t="shared" si="129"/>
        <v>2751302</v>
      </c>
      <c r="L2604" s="561" t="s">
        <v>166</v>
      </c>
      <c r="M2604" s="561" t="s">
        <v>164</v>
      </c>
      <c r="N2604" s="52" t="str">
        <f>IF(AND('331-CT'!$E$7=TH!H2604,OR(L2604="331",M2604="331")),"331",IF(AND(OR(L2604="131",M2604="131"),H2604='131-CT'!$E$7),"131",""))</f>
        <v/>
      </c>
      <c r="O2604" s="818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751"/>
      <c r="AB2604" s="552"/>
    </row>
    <row r="2605" spans="1:29" s="209" customFormat="1" ht="15.75" customHeight="1">
      <c r="A2605" s="202" t="str">
        <f>IF(B2605&lt;&gt;"",IF(AND(B2605&gt;=_TM1,B2605&lt;=_TM2,OR(TH!L2605="1111",TH!M2605="1111")),TH!D2605,""),"")</f>
        <v/>
      </c>
      <c r="B2605" s="36">
        <f t="shared" si="130"/>
        <v>10</v>
      </c>
      <c r="C2605" s="182">
        <f t="shared" si="131"/>
        <v>42667</v>
      </c>
      <c r="D2605" s="182" t="s">
        <v>1547</v>
      </c>
      <c r="E2605" s="691">
        <v>42667</v>
      </c>
      <c r="F2605" s="286" t="s">
        <v>1255</v>
      </c>
      <c r="G2605" s="451" t="s">
        <v>1339</v>
      </c>
      <c r="H2605" s="7" t="s">
        <v>1549</v>
      </c>
      <c r="I2605" s="251">
        <v>1188</v>
      </c>
      <c r="J2605" s="251">
        <v>6917.9057250186588</v>
      </c>
      <c r="K2605" s="38">
        <f t="shared" si="129"/>
        <v>8218472</v>
      </c>
      <c r="L2605" s="561" t="s">
        <v>166</v>
      </c>
      <c r="M2605" s="561" t="s">
        <v>164</v>
      </c>
      <c r="N2605" s="52" t="str">
        <f>IF(AND('331-CT'!$E$7=TH!H2605,OR(L2605="331",M2605="331")),"331",IF(AND(OR(L2605="131",M2605="131"),H2605='131-CT'!$E$7),"131",""))</f>
        <v/>
      </c>
      <c r="O2605" s="818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751"/>
      <c r="AB2605" s="552"/>
      <c r="AC2605" s="552"/>
    </row>
    <row r="2606" spans="1:29" s="209" customFormat="1" ht="15.75" customHeight="1">
      <c r="A2606" s="202" t="str">
        <f>IF(B2606&lt;&gt;"",IF(AND(B2606&gt;=_TM1,B2606&lt;=_TM2,OR(TH!L2606="1111",TH!M2606="1111")),TH!D2606,""),"")</f>
        <v/>
      </c>
      <c r="B2606" s="36">
        <f t="shared" si="130"/>
        <v>10</v>
      </c>
      <c r="C2606" s="182">
        <f t="shared" si="131"/>
        <v>42667</v>
      </c>
      <c r="D2606" s="182" t="s">
        <v>1547</v>
      </c>
      <c r="E2606" s="691">
        <v>42667</v>
      </c>
      <c r="F2606" s="286" t="s">
        <v>625</v>
      </c>
      <c r="G2606" s="451" t="s">
        <v>1339</v>
      </c>
      <c r="H2606" s="7" t="s">
        <v>1549</v>
      </c>
      <c r="I2606" s="251">
        <v>215</v>
      </c>
      <c r="J2606" s="251">
        <v>10967.411515273485</v>
      </c>
      <c r="K2606" s="38">
        <f t="shared" si="129"/>
        <v>2357993</v>
      </c>
      <c r="L2606" s="561" t="s">
        <v>166</v>
      </c>
      <c r="M2606" s="561" t="s">
        <v>164</v>
      </c>
      <c r="N2606" s="52" t="str">
        <f>IF(AND('331-CT'!$E$7=TH!H2606,OR(L2606="331",M2606="331")),"331",IF(AND(OR(L2606="131",M2606="131"),H2606='131-CT'!$E$7),"131",""))</f>
        <v/>
      </c>
      <c r="O2606" s="818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751"/>
      <c r="AB2606" s="552"/>
    </row>
    <row r="2607" spans="1:29" s="209" customFormat="1" ht="15.75" customHeight="1">
      <c r="A2607" s="202" t="str">
        <f>IF(B2607&lt;&gt;"",IF(AND(B2607&gt;=_TM1,B2607&lt;=_TM2,OR(TH!L2607="1111",TH!M2607="1111")),TH!D2607,""),"")</f>
        <v/>
      </c>
      <c r="B2607" s="36">
        <f t="shared" si="130"/>
        <v>10</v>
      </c>
      <c r="C2607" s="182">
        <f t="shared" si="131"/>
        <v>42668</v>
      </c>
      <c r="D2607" s="182" t="s">
        <v>1547</v>
      </c>
      <c r="E2607" s="691">
        <v>42668</v>
      </c>
      <c r="F2607" s="187" t="s">
        <v>1341</v>
      </c>
      <c r="G2607" s="451" t="s">
        <v>1340</v>
      </c>
      <c r="H2607" s="7" t="s">
        <v>1549</v>
      </c>
      <c r="I2607" s="251">
        <v>720</v>
      </c>
      <c r="J2607" s="251">
        <v>5399.3410536730999</v>
      </c>
      <c r="K2607" s="38">
        <f t="shared" ref="K2607:K2670" si="132">ROUND(I2607*J2607,0)</f>
        <v>3887526</v>
      </c>
      <c r="L2607" s="561" t="s">
        <v>166</v>
      </c>
      <c r="M2607" s="561" t="s">
        <v>164</v>
      </c>
      <c r="N2607" s="52" t="str">
        <f>IF(AND('331-CT'!$E$7=TH!H2607,OR(L2607="331",M2607="331")),"331",IF(AND(OR(L2607="131",M2607="131"),H2607='131-CT'!$E$7),"131",""))</f>
        <v/>
      </c>
      <c r="O2607" s="818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751"/>
    </row>
    <row r="2608" spans="1:29" s="209" customFormat="1" ht="15.75" customHeight="1">
      <c r="A2608" s="202" t="str">
        <f>IF(B2608&lt;&gt;"",IF(AND(B2608&gt;=_TM1,B2608&lt;=_TM2,OR(TH!L2608="1111",TH!M2608="1111")),TH!D2608,""),"")</f>
        <v/>
      </c>
      <c r="B2608" s="36">
        <f t="shared" si="130"/>
        <v>10</v>
      </c>
      <c r="C2608" s="182">
        <f t="shared" si="131"/>
        <v>42668</v>
      </c>
      <c r="D2608" s="182" t="s">
        <v>1547</v>
      </c>
      <c r="E2608" s="691">
        <v>42668</v>
      </c>
      <c r="F2608" s="187" t="s">
        <v>1342</v>
      </c>
      <c r="G2608" s="451" t="s">
        <v>1340</v>
      </c>
      <c r="H2608" s="7" t="s">
        <v>1549</v>
      </c>
      <c r="I2608" s="251">
        <v>313</v>
      </c>
      <c r="J2608" s="251">
        <v>4471.3293100730361</v>
      </c>
      <c r="K2608" s="38">
        <f t="shared" si="132"/>
        <v>1399526</v>
      </c>
      <c r="L2608" s="561" t="s">
        <v>166</v>
      </c>
      <c r="M2608" s="561" t="s">
        <v>164</v>
      </c>
      <c r="N2608" s="52" t="str">
        <f>IF(AND('331-CT'!$E$7=TH!H2608,OR(L2608="331",M2608="331")),"331",IF(AND(OR(L2608="131",M2608="131"),H2608='131-CT'!$E$7),"131",""))</f>
        <v/>
      </c>
      <c r="O2608" s="818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751"/>
    </row>
    <row r="2609" spans="1:29" s="209" customFormat="1" ht="15.75" customHeight="1">
      <c r="A2609" s="202" t="str">
        <f>IF(B2609&lt;&gt;"",IF(AND(B2609&gt;=_TM1,B2609&lt;=_TM2,OR(TH!L2609="1111",TH!M2609="1111")),TH!D2609,""),"")</f>
        <v/>
      </c>
      <c r="B2609" s="36">
        <f t="shared" si="130"/>
        <v>10</v>
      </c>
      <c r="C2609" s="182">
        <f t="shared" si="131"/>
        <v>42669</v>
      </c>
      <c r="D2609" s="182" t="s">
        <v>1547</v>
      </c>
      <c r="E2609" s="691">
        <v>42669</v>
      </c>
      <c r="F2609" s="190" t="s">
        <v>1068</v>
      </c>
      <c r="G2609" s="451" t="s">
        <v>1343</v>
      </c>
      <c r="H2609" s="7" t="s">
        <v>1549</v>
      </c>
      <c r="I2609" s="251">
        <v>60</v>
      </c>
      <c r="J2609" s="251">
        <v>71372.539553241295</v>
      </c>
      <c r="K2609" s="38">
        <f t="shared" si="132"/>
        <v>4282352</v>
      </c>
      <c r="L2609" s="561" t="s">
        <v>166</v>
      </c>
      <c r="M2609" s="561" t="s">
        <v>164</v>
      </c>
      <c r="N2609" s="52" t="str">
        <f>IF(AND('331-CT'!$E$7=TH!H2609,OR(L2609="331",M2609="331")),"331",IF(AND(OR(L2609="131",M2609="131"),H2609='131-CT'!$E$7),"131",""))</f>
        <v/>
      </c>
      <c r="O2609" s="818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751"/>
      <c r="AB2609" s="552"/>
      <c r="AC2609" s="552"/>
    </row>
    <row r="2610" spans="1:29" s="209" customFormat="1" ht="15.75" customHeight="1">
      <c r="A2610" s="202" t="str">
        <f>IF(B2610&lt;&gt;"",IF(AND(B2610&gt;=_TM1,B2610&lt;=_TM2,OR(TH!L2610="1111",TH!M2610="1111")),TH!D2610,""),"")</f>
        <v/>
      </c>
      <c r="B2610" s="36">
        <f t="shared" si="130"/>
        <v>10</v>
      </c>
      <c r="C2610" s="182">
        <f t="shared" si="131"/>
        <v>42669</v>
      </c>
      <c r="D2610" s="182" t="s">
        <v>1547</v>
      </c>
      <c r="E2610" s="691">
        <v>42669</v>
      </c>
      <c r="F2610" s="190" t="s">
        <v>418</v>
      </c>
      <c r="G2610" s="451" t="s">
        <v>1343</v>
      </c>
      <c r="H2610" s="7" t="s">
        <v>1549</v>
      </c>
      <c r="I2610" s="251">
        <v>154</v>
      </c>
      <c r="J2610" s="251">
        <v>61164.410373640589</v>
      </c>
      <c r="K2610" s="38">
        <f t="shared" si="132"/>
        <v>9419319</v>
      </c>
      <c r="L2610" s="561" t="s">
        <v>166</v>
      </c>
      <c r="M2610" s="561" t="s">
        <v>164</v>
      </c>
      <c r="N2610" s="52" t="str">
        <f>IF(AND('331-CT'!$E$7=TH!H2610,OR(L2610="331",M2610="331")),"331",IF(AND(OR(L2610="131",M2610="131"),H2610='131-CT'!$E$7),"131",""))</f>
        <v/>
      </c>
      <c r="O2610" s="818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751"/>
      <c r="AB2610" s="552"/>
    </row>
    <row r="2611" spans="1:29" s="209" customFormat="1" ht="15.75" customHeight="1">
      <c r="A2611" s="202" t="str">
        <f>IF(B2611&lt;&gt;"",IF(AND(B2611&gt;=_TM1,B2611&lt;=_TM2,OR(TH!L2611="1111",TH!M2611="1111")),TH!D2611,""),"")</f>
        <v/>
      </c>
      <c r="B2611" s="36">
        <f t="shared" si="130"/>
        <v>10</v>
      </c>
      <c r="C2611" s="182">
        <f t="shared" si="131"/>
        <v>42669</v>
      </c>
      <c r="D2611" s="182" t="s">
        <v>1547</v>
      </c>
      <c r="E2611" s="691">
        <v>42669</v>
      </c>
      <c r="F2611" s="286" t="s">
        <v>1444</v>
      </c>
      <c r="G2611" s="451" t="s">
        <v>1345</v>
      </c>
      <c r="H2611" s="7" t="s">
        <v>1549</v>
      </c>
      <c r="I2611" s="251">
        <v>520</v>
      </c>
      <c r="J2611" s="251">
        <v>2699.6705268365499</v>
      </c>
      <c r="K2611" s="38">
        <f t="shared" si="132"/>
        <v>1403829</v>
      </c>
      <c r="L2611" s="561" t="s">
        <v>166</v>
      </c>
      <c r="M2611" s="561" t="s">
        <v>164</v>
      </c>
      <c r="N2611" s="52" t="str">
        <f>IF(AND('331-CT'!$E$7=TH!H2611,OR(L2611="331",M2611="331")),"331",IF(AND(OR(L2611="131",M2611="131"),H2611='131-CT'!$E$7),"131",""))</f>
        <v/>
      </c>
      <c r="O2611" s="818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751"/>
      <c r="AB2611" s="552"/>
      <c r="AC2611" s="552"/>
    </row>
    <row r="2612" spans="1:29" s="209" customFormat="1" ht="15.75" customHeight="1">
      <c r="A2612" s="202" t="str">
        <f>IF(B2612&lt;&gt;"",IF(AND(B2612&gt;=_TM1,B2612&lt;=_TM2,OR(TH!L2612="1111",TH!M2612="1111")),TH!D2612,""),"")</f>
        <v/>
      </c>
      <c r="B2612" s="36">
        <f t="shared" si="130"/>
        <v>10</v>
      </c>
      <c r="C2612" s="182">
        <f t="shared" si="131"/>
        <v>42669</v>
      </c>
      <c r="D2612" s="182" t="s">
        <v>1547</v>
      </c>
      <c r="E2612" s="691">
        <v>42669</v>
      </c>
      <c r="F2612" s="286" t="s">
        <v>1444</v>
      </c>
      <c r="G2612" s="451" t="s">
        <v>1345</v>
      </c>
      <c r="H2612" s="7" t="s">
        <v>1549</v>
      </c>
      <c r="I2612" s="251">
        <v>550</v>
      </c>
      <c r="J2612" s="251">
        <v>2699.6705268365499</v>
      </c>
      <c r="K2612" s="38">
        <f t="shared" si="132"/>
        <v>1484819</v>
      </c>
      <c r="L2612" s="561" t="s">
        <v>166</v>
      </c>
      <c r="M2612" s="561" t="s">
        <v>164</v>
      </c>
      <c r="N2612" s="52" t="str">
        <f>IF(AND('331-CT'!$E$7=TH!H2612,OR(L2612="331",M2612="331")),"331",IF(AND(OR(L2612="131",M2612="131"),H2612='131-CT'!$E$7),"131",""))</f>
        <v/>
      </c>
      <c r="O2612" s="818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751"/>
      <c r="AB2612" s="552"/>
    </row>
    <row r="2613" spans="1:29" s="209" customFormat="1" ht="15.75" customHeight="1">
      <c r="A2613" s="202" t="str">
        <f>IF(B2613&lt;&gt;"",IF(AND(B2613&gt;=_TM1,B2613&lt;=_TM2,OR(TH!L2613="1111",TH!M2613="1111")),TH!D2613,""),"")</f>
        <v/>
      </c>
      <c r="B2613" s="36">
        <f t="shared" si="130"/>
        <v>10</v>
      </c>
      <c r="C2613" s="182">
        <f t="shared" si="131"/>
        <v>42670</v>
      </c>
      <c r="D2613" s="182" t="s">
        <v>1547</v>
      </c>
      <c r="E2613" s="691">
        <v>42670</v>
      </c>
      <c r="F2613" s="286" t="s">
        <v>1348</v>
      </c>
      <c r="G2613" s="451" t="s">
        <v>1347</v>
      </c>
      <c r="H2613" s="7" t="s">
        <v>1549</v>
      </c>
      <c r="I2613" s="251">
        <v>100</v>
      </c>
      <c r="J2613" s="251">
        <v>15860.56434516473</v>
      </c>
      <c r="K2613" s="38">
        <f t="shared" si="132"/>
        <v>1586056</v>
      </c>
      <c r="L2613" s="561" t="s">
        <v>166</v>
      </c>
      <c r="M2613" s="561" t="s">
        <v>164</v>
      </c>
      <c r="N2613" s="52" t="str">
        <f>IF(AND('331-CT'!$E$7=TH!H2613,OR(L2613="331",M2613="331")),"331",IF(AND(OR(L2613="131",M2613="131"),H2613='131-CT'!$E$7),"131",""))</f>
        <v/>
      </c>
      <c r="O2613" s="818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751"/>
      <c r="AB2613" s="552"/>
      <c r="AC2613" s="552"/>
    </row>
    <row r="2614" spans="1:29" s="209" customFormat="1" ht="15.75" customHeight="1">
      <c r="A2614" s="202" t="str">
        <f>IF(B2614&lt;&gt;"",IF(AND(B2614&gt;=_TM1,B2614&lt;=_TM2,OR(TH!L2614="1111",TH!M2614="1111")),TH!D2614,""),"")</f>
        <v/>
      </c>
      <c r="B2614" s="36">
        <f t="shared" si="130"/>
        <v>10</v>
      </c>
      <c r="C2614" s="182">
        <f t="shared" si="131"/>
        <v>42670</v>
      </c>
      <c r="D2614" s="182" t="s">
        <v>1547</v>
      </c>
      <c r="E2614" s="691">
        <v>42670</v>
      </c>
      <c r="F2614" s="286" t="s">
        <v>1351</v>
      </c>
      <c r="G2614" s="451" t="s">
        <v>1350</v>
      </c>
      <c r="H2614" s="7" t="s">
        <v>1549</v>
      </c>
      <c r="I2614" s="251">
        <v>25</v>
      </c>
      <c r="J2614" s="251">
        <v>8099.0115805096493</v>
      </c>
      <c r="K2614" s="38">
        <f t="shared" si="132"/>
        <v>202475</v>
      </c>
      <c r="L2614" s="561" t="s">
        <v>166</v>
      </c>
      <c r="M2614" s="561" t="s">
        <v>164</v>
      </c>
      <c r="N2614" s="52" t="str">
        <f>IF(AND('331-CT'!$E$7=TH!H2614,OR(L2614="331",M2614="331")),"331",IF(AND(OR(L2614="131",M2614="131"),H2614='131-CT'!$E$7),"131",""))</f>
        <v/>
      </c>
      <c r="O2614" s="818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751"/>
      <c r="AB2614" s="552"/>
    </row>
    <row r="2615" spans="1:29" s="209" customFormat="1" ht="15.75" customHeight="1">
      <c r="A2615" s="202" t="str">
        <f>IF(B2615&lt;&gt;"",IF(AND(B2615&gt;=_TM1,B2615&lt;=_TM2,OR(TH!L2615="1111",TH!M2615="1111")),TH!D2615,""),"")</f>
        <v/>
      </c>
      <c r="B2615" s="36">
        <f t="shared" si="130"/>
        <v>11</v>
      </c>
      <c r="C2615" s="182">
        <f t="shared" si="131"/>
        <v>42676</v>
      </c>
      <c r="D2615" s="182" t="s">
        <v>1547</v>
      </c>
      <c r="E2615" s="691">
        <v>42676</v>
      </c>
      <c r="F2615" s="190" t="s">
        <v>1441</v>
      </c>
      <c r="G2615" s="451" t="s">
        <v>1352</v>
      </c>
      <c r="H2615" s="7" t="s">
        <v>1549</v>
      </c>
      <c r="I2615" s="251">
        <v>1800</v>
      </c>
      <c r="J2615" s="251">
        <v>3627.6822704366141</v>
      </c>
      <c r="K2615" s="38">
        <f t="shared" si="132"/>
        <v>6529828</v>
      </c>
      <c r="L2615" s="561" t="s">
        <v>166</v>
      </c>
      <c r="M2615" s="561" t="s">
        <v>164</v>
      </c>
      <c r="N2615" s="52" t="str">
        <f>IF(AND('331-CT'!$E$7=TH!H2615,OR(L2615="331",M2615="331")),"331",IF(AND(OR(L2615="131",M2615="131"),H2615='131-CT'!$E$7),"131",""))</f>
        <v/>
      </c>
      <c r="O2615" s="818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751"/>
      <c r="AB2615" s="552"/>
      <c r="AC2615" s="552"/>
    </row>
    <row r="2616" spans="1:29" s="209" customFormat="1" ht="15.75" customHeight="1">
      <c r="A2616" s="202" t="str">
        <f>IF(B2616&lt;&gt;"",IF(AND(B2616&gt;=_TM1,B2616&lt;=_TM2,OR(TH!L2616="1111",TH!M2616="1111")),TH!D2616,""),"")</f>
        <v/>
      </c>
      <c r="B2616" s="36">
        <f t="shared" si="130"/>
        <v>11</v>
      </c>
      <c r="C2616" s="182">
        <f t="shared" si="131"/>
        <v>42676</v>
      </c>
      <c r="D2616" s="182" t="s">
        <v>1547</v>
      </c>
      <c r="E2616" s="691">
        <v>42676</v>
      </c>
      <c r="F2616" s="190" t="s">
        <v>1307</v>
      </c>
      <c r="G2616" s="451" t="s">
        <v>1352</v>
      </c>
      <c r="H2616" s="7" t="s">
        <v>1549</v>
      </c>
      <c r="I2616" s="251">
        <v>30</v>
      </c>
      <c r="J2616" s="251">
        <v>12823.435002473612</v>
      </c>
      <c r="K2616" s="38">
        <f t="shared" si="132"/>
        <v>384703</v>
      </c>
      <c r="L2616" s="561" t="s">
        <v>166</v>
      </c>
      <c r="M2616" s="561" t="s">
        <v>164</v>
      </c>
      <c r="N2616" s="52" t="str">
        <f>IF(AND('331-CT'!$E$7=TH!H2616,OR(L2616="331",M2616="331")),"331",IF(AND(OR(L2616="131",M2616="131"),H2616='131-CT'!$E$7),"131",""))</f>
        <v/>
      </c>
      <c r="O2616" s="818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751"/>
      <c r="AB2616" s="552"/>
      <c r="AC2616" s="552"/>
    </row>
    <row r="2617" spans="1:29" s="209" customFormat="1" ht="15.75" customHeight="1">
      <c r="A2617" s="202" t="str">
        <f>IF(B2617&lt;&gt;"",IF(AND(B2617&gt;=_TM1,B2617&lt;=_TM2,OR(TH!L2617="1111",TH!M2617="1111")),TH!D2617,""),"")</f>
        <v/>
      </c>
      <c r="B2617" s="36">
        <f t="shared" si="130"/>
        <v>11</v>
      </c>
      <c r="C2617" s="182">
        <f t="shared" si="131"/>
        <v>42676</v>
      </c>
      <c r="D2617" s="182" t="s">
        <v>1547</v>
      </c>
      <c r="E2617" s="691">
        <v>42676</v>
      </c>
      <c r="F2617" s="190" t="s">
        <v>1307</v>
      </c>
      <c r="G2617" s="451" t="s">
        <v>1352</v>
      </c>
      <c r="H2617" s="7" t="s">
        <v>1549</v>
      </c>
      <c r="I2617" s="251">
        <v>30</v>
      </c>
      <c r="J2617" s="251">
        <v>12823.435002473612</v>
      </c>
      <c r="K2617" s="38">
        <f t="shared" si="132"/>
        <v>384703</v>
      </c>
      <c r="L2617" s="561" t="s">
        <v>166</v>
      </c>
      <c r="M2617" s="561" t="s">
        <v>164</v>
      </c>
      <c r="N2617" s="52" t="str">
        <f>IF(AND('331-CT'!$E$7=TH!H2617,OR(L2617="331",M2617="331")),"331",IF(AND(OR(L2617="131",M2617="131"),H2617='131-CT'!$E$7),"131",""))</f>
        <v/>
      </c>
      <c r="O2617" s="818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751"/>
      <c r="AB2617" s="552"/>
    </row>
    <row r="2618" spans="1:29" s="209" customFormat="1" ht="15.75" customHeight="1">
      <c r="A2618" s="202" t="str">
        <f>IF(B2618&lt;&gt;"",IF(AND(B2618&gt;=_TM1,B2618&lt;=_TM2,OR(TH!L2618="1111",TH!M2618="1111")),TH!D2618,""),"")</f>
        <v/>
      </c>
      <c r="B2618" s="36">
        <f t="shared" si="130"/>
        <v>11</v>
      </c>
      <c r="C2618" s="182">
        <f t="shared" si="131"/>
        <v>42676</v>
      </c>
      <c r="D2618" s="182" t="s">
        <v>1547</v>
      </c>
      <c r="E2618" s="691">
        <v>42676</v>
      </c>
      <c r="F2618" s="286" t="s">
        <v>1310</v>
      </c>
      <c r="G2618" s="451" t="s">
        <v>1352</v>
      </c>
      <c r="H2618" s="7" t="s">
        <v>1549</v>
      </c>
      <c r="I2618" s="251">
        <v>30</v>
      </c>
      <c r="J2618" s="251">
        <v>9195.7527320369991</v>
      </c>
      <c r="K2618" s="38">
        <f t="shared" si="132"/>
        <v>275873</v>
      </c>
      <c r="L2618" s="561" t="s">
        <v>166</v>
      </c>
      <c r="M2618" s="561" t="s">
        <v>164</v>
      </c>
      <c r="N2618" s="52" t="str">
        <f>IF(AND('331-CT'!$E$7=TH!H2618,OR(L2618="331",M2618="331")),"331",IF(AND(OR(L2618="131",M2618="131"),H2618='131-CT'!$E$7),"131",""))</f>
        <v/>
      </c>
      <c r="O2618" s="818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751"/>
      <c r="AB2618" s="552"/>
      <c r="AC2618" s="552"/>
    </row>
    <row r="2619" spans="1:29" s="209" customFormat="1" ht="15.75" customHeight="1">
      <c r="A2619" s="202" t="str">
        <f>IF(B2619&lt;&gt;"",IF(AND(B2619&gt;=_TM1,B2619&lt;=_TM2,OR(TH!L2619="1111",TH!M2619="1111")),TH!D2619,""),"")</f>
        <v/>
      </c>
      <c r="B2619" s="36">
        <f t="shared" si="130"/>
        <v>11</v>
      </c>
      <c r="C2619" s="182">
        <f t="shared" si="131"/>
        <v>42676</v>
      </c>
      <c r="D2619" s="182" t="s">
        <v>1547</v>
      </c>
      <c r="E2619" s="689">
        <v>42676</v>
      </c>
      <c r="F2619" s="286" t="s">
        <v>1308</v>
      </c>
      <c r="G2619" s="451" t="s">
        <v>1352</v>
      </c>
      <c r="H2619" s="7" t="s">
        <v>1549</v>
      </c>
      <c r="I2619" s="251">
        <v>30</v>
      </c>
      <c r="J2619" s="251">
        <v>10208.129179600704</v>
      </c>
      <c r="K2619" s="38">
        <f t="shared" si="132"/>
        <v>306244</v>
      </c>
      <c r="L2619" s="561" t="s">
        <v>166</v>
      </c>
      <c r="M2619" s="561" t="s">
        <v>164</v>
      </c>
      <c r="N2619" s="52" t="str">
        <f>IF(AND('331-CT'!$E$7=TH!H2619,OR(L2619="331",M2619="331")),"331",IF(AND(OR(L2619="131",M2619="131"),H2619='131-CT'!$E$7),"131",""))</f>
        <v/>
      </c>
      <c r="O2619" s="818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751"/>
      <c r="AB2619" s="552"/>
    </row>
    <row r="2620" spans="1:29" s="209" customFormat="1" ht="15.75" customHeight="1">
      <c r="A2620" s="202" t="str">
        <f>IF(B2620&lt;&gt;"",IF(AND(B2620&gt;=_TM1,B2620&lt;=_TM2,OR(TH!L2620="1111",TH!M2620="1111")),TH!D2620,""),"")</f>
        <v/>
      </c>
      <c r="B2620" s="36">
        <f t="shared" si="130"/>
        <v>11</v>
      </c>
      <c r="C2620" s="182">
        <f t="shared" si="131"/>
        <v>42676</v>
      </c>
      <c r="D2620" s="182" t="s">
        <v>1547</v>
      </c>
      <c r="E2620" s="689">
        <v>42676</v>
      </c>
      <c r="F2620" s="286" t="s">
        <v>1309</v>
      </c>
      <c r="G2620" s="451" t="s">
        <v>1352</v>
      </c>
      <c r="H2620" s="7" t="s">
        <v>1549</v>
      </c>
      <c r="I2620" s="251">
        <v>100</v>
      </c>
      <c r="J2620" s="251">
        <v>11220.505627164412</v>
      </c>
      <c r="K2620" s="38">
        <f t="shared" si="132"/>
        <v>1122051</v>
      </c>
      <c r="L2620" s="561" t="s">
        <v>166</v>
      </c>
      <c r="M2620" s="561" t="s">
        <v>164</v>
      </c>
      <c r="N2620" s="52" t="str">
        <f>IF(AND('331-CT'!$E$7=TH!H2620,OR(L2620="331",M2620="331")),"331",IF(AND(OR(L2620="131",M2620="131"),H2620='131-CT'!$E$7),"131",""))</f>
        <v/>
      </c>
      <c r="O2620" s="818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751"/>
      <c r="AB2620" s="552"/>
      <c r="AC2620" s="552"/>
    </row>
    <row r="2621" spans="1:29" s="209" customFormat="1" ht="15.75" customHeight="1">
      <c r="A2621" s="202" t="str">
        <f>IF(B2621&lt;&gt;"",IF(AND(B2621&gt;=_TM1,B2621&lt;=_TM2,OR(TH!L2621="1111",TH!M2621="1111")),TH!D2621,""),"")</f>
        <v/>
      </c>
      <c r="B2621" s="36">
        <f t="shared" si="130"/>
        <v>11</v>
      </c>
      <c r="C2621" s="182">
        <f t="shared" si="131"/>
        <v>42676</v>
      </c>
      <c r="D2621" s="182" t="s">
        <v>1547</v>
      </c>
      <c r="E2621" s="689">
        <v>42676</v>
      </c>
      <c r="F2621" s="286" t="s">
        <v>1436</v>
      </c>
      <c r="G2621" s="451" t="s">
        <v>1352</v>
      </c>
      <c r="H2621" s="7" t="s">
        <v>1549</v>
      </c>
      <c r="I2621" s="251">
        <v>30</v>
      </c>
      <c r="J2621" s="251">
        <v>17632.223128401216</v>
      </c>
      <c r="K2621" s="38">
        <f t="shared" si="132"/>
        <v>528967</v>
      </c>
      <c r="L2621" s="561" t="s">
        <v>166</v>
      </c>
      <c r="M2621" s="561" t="s">
        <v>164</v>
      </c>
      <c r="N2621" s="52" t="str">
        <f>IF(AND('331-CT'!$E$7=TH!H2621,OR(L2621="331",M2621="331")),"331",IF(AND(OR(L2621="131",M2621="131"),H2621='131-CT'!$E$7),"131",""))</f>
        <v/>
      </c>
      <c r="O2621" s="818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751"/>
      <c r="AB2621" s="552"/>
    </row>
    <row r="2622" spans="1:29" s="209" customFormat="1" ht="15.75" customHeight="1">
      <c r="A2622" s="202" t="str">
        <f>IF(B2622&lt;&gt;"",IF(AND(B2622&gt;=_TM1,B2622&lt;=_TM2,OR(TH!L2622="1111",TH!M2622="1111")),TH!D2622,""),"")</f>
        <v/>
      </c>
      <c r="B2622" s="36">
        <f t="shared" si="130"/>
        <v>11</v>
      </c>
      <c r="C2622" s="182">
        <f t="shared" si="131"/>
        <v>42676</v>
      </c>
      <c r="D2622" s="182" t="s">
        <v>1547</v>
      </c>
      <c r="E2622" s="689">
        <v>42676</v>
      </c>
      <c r="F2622" s="286" t="s">
        <v>1446</v>
      </c>
      <c r="G2622" s="451" t="s">
        <v>1352</v>
      </c>
      <c r="H2622" s="7" t="s">
        <v>1549</v>
      </c>
      <c r="I2622" s="251">
        <v>70</v>
      </c>
      <c r="J2622" s="251">
        <v>17632.223128401216</v>
      </c>
      <c r="K2622" s="38">
        <f t="shared" si="132"/>
        <v>1234256</v>
      </c>
      <c r="L2622" s="561" t="s">
        <v>166</v>
      </c>
      <c r="M2622" s="561" t="s">
        <v>164</v>
      </c>
      <c r="N2622" s="52" t="str">
        <f>IF(AND('331-CT'!$E$7=TH!H2622,OR(L2622="331",M2622="331")),"331",IF(AND(OR(L2622="131",M2622="131"),H2622='131-CT'!$E$7),"131",""))</f>
        <v/>
      </c>
      <c r="O2622" s="818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751"/>
      <c r="AB2622" s="552"/>
      <c r="AC2622" s="552"/>
    </row>
    <row r="2623" spans="1:29" s="209" customFormat="1" ht="15.75" customHeight="1">
      <c r="A2623" s="202" t="str">
        <f>IF(B2623&lt;&gt;"",IF(AND(B2623&gt;=_TM1,B2623&lt;=_TM2,OR(TH!L2623="1111",TH!M2623="1111")),TH!D2623,""),"")</f>
        <v/>
      </c>
      <c r="B2623" s="36">
        <f t="shared" si="130"/>
        <v>11</v>
      </c>
      <c r="C2623" s="182">
        <f t="shared" si="131"/>
        <v>42677</v>
      </c>
      <c r="D2623" s="182" t="s">
        <v>1547</v>
      </c>
      <c r="E2623" s="691">
        <v>42677</v>
      </c>
      <c r="F2623" s="286" t="s">
        <v>1315</v>
      </c>
      <c r="G2623" s="451" t="s">
        <v>1353</v>
      </c>
      <c r="H2623" s="7" t="s">
        <v>1549</v>
      </c>
      <c r="I2623" s="251">
        <v>974</v>
      </c>
      <c r="J2623" s="251">
        <v>4724.4234219639629</v>
      </c>
      <c r="K2623" s="38">
        <f t="shared" si="132"/>
        <v>4601588</v>
      </c>
      <c r="L2623" s="561" t="s">
        <v>166</v>
      </c>
      <c r="M2623" s="561" t="s">
        <v>164</v>
      </c>
      <c r="N2623" s="52" t="str">
        <f>IF(AND('331-CT'!$E$7=TH!H2623,OR(L2623="331",M2623="331")),"331",IF(AND(OR(L2623="131",M2623="131"),H2623='131-CT'!$E$7),"131",""))</f>
        <v/>
      </c>
      <c r="O2623" s="818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751"/>
      <c r="AB2623" s="552"/>
    </row>
    <row r="2624" spans="1:29" s="209" customFormat="1" ht="15.75" customHeight="1">
      <c r="A2624" s="202" t="str">
        <f>IF(B2624&lt;&gt;"",IF(AND(B2624&gt;=_TM1,B2624&lt;=_TM2,OR(TH!L2624="1111",TH!M2624="1111")),TH!D2624,""),"")</f>
        <v/>
      </c>
      <c r="B2624" s="36">
        <f t="shared" si="130"/>
        <v>11</v>
      </c>
      <c r="C2624" s="182">
        <f t="shared" si="131"/>
        <v>42679</v>
      </c>
      <c r="D2624" s="182" t="s">
        <v>1547</v>
      </c>
      <c r="E2624" s="691">
        <v>42679</v>
      </c>
      <c r="F2624" s="286" t="s">
        <v>1443</v>
      </c>
      <c r="G2624" s="451" t="s">
        <v>1354</v>
      </c>
      <c r="H2624" s="7" t="s">
        <v>1549</v>
      </c>
      <c r="I2624" s="251">
        <v>450</v>
      </c>
      <c r="J2624" s="251">
        <v>8014.6468765460077</v>
      </c>
      <c r="K2624" s="38">
        <f t="shared" si="132"/>
        <v>3606591</v>
      </c>
      <c r="L2624" s="561" t="s">
        <v>166</v>
      </c>
      <c r="M2624" s="561" t="s">
        <v>164</v>
      </c>
      <c r="N2624" s="52" t="str">
        <f>IF(AND('331-CT'!$E$7=TH!H2624,OR(L2624="331",M2624="331")),"331",IF(AND(OR(L2624="131",M2624="131"),H2624='131-CT'!$E$7),"131",""))</f>
        <v/>
      </c>
      <c r="O2624" s="818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751"/>
      <c r="AB2624" s="552"/>
      <c r="AC2624" s="552"/>
    </row>
    <row r="2625" spans="1:29" s="209" customFormat="1" ht="15.75" customHeight="1">
      <c r="A2625" s="202" t="str">
        <f>IF(B2625&lt;&gt;"",IF(AND(B2625&gt;=_TM1,B2625&lt;=_TM2,OR(TH!L2625="1111",TH!M2625="1111")),TH!D2625,""),"")</f>
        <v/>
      </c>
      <c r="B2625" s="36">
        <f t="shared" si="130"/>
        <v>11</v>
      </c>
      <c r="C2625" s="182">
        <f t="shared" si="131"/>
        <v>42679</v>
      </c>
      <c r="D2625" s="182" t="s">
        <v>1547</v>
      </c>
      <c r="E2625" s="691">
        <v>42679</v>
      </c>
      <c r="F2625" s="286" t="s">
        <v>1443</v>
      </c>
      <c r="G2625" s="451" t="s">
        <v>1354</v>
      </c>
      <c r="H2625" s="7" t="s">
        <v>1549</v>
      </c>
      <c r="I2625" s="668">
        <v>200</v>
      </c>
      <c r="J2625" s="668">
        <v>8014.6468765460077</v>
      </c>
      <c r="K2625" s="38">
        <f t="shared" si="132"/>
        <v>1602929</v>
      </c>
      <c r="L2625" s="561" t="s">
        <v>166</v>
      </c>
      <c r="M2625" s="561" t="s">
        <v>164</v>
      </c>
      <c r="N2625" s="52" t="str">
        <f>IF(AND('331-CT'!$E$7=TH!H2625,OR(L2625="331",M2625="331")),"331",IF(AND(OR(L2625="131",M2625="131"),H2625='131-CT'!$E$7),"131",""))</f>
        <v/>
      </c>
      <c r="O2625" s="818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751"/>
      <c r="AB2625" s="552"/>
    </row>
    <row r="2626" spans="1:29" s="209" customFormat="1" ht="15.75" customHeight="1">
      <c r="A2626" s="202" t="str">
        <f>IF(B2626&lt;&gt;"",IF(AND(B2626&gt;=_TM1,B2626&lt;=_TM2,OR(TH!L2626="1111",TH!M2626="1111")),TH!D2626,""),"")</f>
        <v/>
      </c>
      <c r="B2626" s="36">
        <f t="shared" si="130"/>
        <v>11</v>
      </c>
      <c r="C2626" s="182">
        <f t="shared" si="131"/>
        <v>42679</v>
      </c>
      <c r="D2626" s="182" t="s">
        <v>1547</v>
      </c>
      <c r="E2626" s="691">
        <v>42679</v>
      </c>
      <c r="F2626" s="286" t="s">
        <v>1355</v>
      </c>
      <c r="G2626" s="451" t="s">
        <v>1354</v>
      </c>
      <c r="H2626" s="7" t="s">
        <v>1549</v>
      </c>
      <c r="I2626" s="668">
        <v>530</v>
      </c>
      <c r="J2626" s="668">
        <v>6327.3527972731645</v>
      </c>
      <c r="K2626" s="38">
        <f t="shared" si="132"/>
        <v>3353497</v>
      </c>
      <c r="L2626" s="561" t="s">
        <v>166</v>
      </c>
      <c r="M2626" s="561" t="s">
        <v>164</v>
      </c>
      <c r="N2626" s="52" t="str">
        <f>IF(AND('331-CT'!$E$7=TH!H2626,OR(L2626="331",M2626="331")),"331",IF(AND(OR(L2626="131",M2626="131"),H2626='131-CT'!$E$7),"131",""))</f>
        <v/>
      </c>
      <c r="O2626" s="818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751"/>
      <c r="AB2626" s="552"/>
      <c r="AC2626" s="552"/>
    </row>
    <row r="2627" spans="1:29" s="209" customFormat="1" ht="15.75" customHeight="1">
      <c r="A2627" s="202" t="str">
        <f>IF(B2627&lt;&gt;"",IF(AND(B2627&gt;=_TM1,B2627&lt;=_TM2,OR(TH!L2627="1111",TH!M2627="1111")),TH!D2627,""),"")</f>
        <v/>
      </c>
      <c r="B2627" s="36">
        <f t="shared" si="130"/>
        <v>11</v>
      </c>
      <c r="C2627" s="182">
        <f t="shared" si="131"/>
        <v>42683</v>
      </c>
      <c r="D2627" s="182" t="s">
        <v>1547</v>
      </c>
      <c r="E2627" s="691">
        <v>42683</v>
      </c>
      <c r="F2627" s="286" t="s">
        <v>1366</v>
      </c>
      <c r="G2627" s="451" t="s">
        <v>1363</v>
      </c>
      <c r="H2627" s="7" t="s">
        <v>1549</v>
      </c>
      <c r="I2627" s="251">
        <v>233</v>
      </c>
      <c r="J2627" s="251">
        <v>5652.4351655640266</v>
      </c>
      <c r="K2627" s="38">
        <f t="shared" si="132"/>
        <v>1317017</v>
      </c>
      <c r="L2627" s="561" t="s">
        <v>166</v>
      </c>
      <c r="M2627" s="561" t="s">
        <v>164</v>
      </c>
      <c r="N2627" s="52" t="str">
        <f>IF(AND('331-CT'!$E$7=TH!H2627,OR(L2627="331",M2627="331")),"331",IF(AND(OR(L2627="131",M2627="131"),H2627='131-CT'!$E$7),"131",""))</f>
        <v/>
      </c>
      <c r="O2627" s="818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751"/>
      <c r="AB2627" s="552"/>
    </row>
    <row r="2628" spans="1:29" s="209" customFormat="1" ht="15.75" customHeight="1">
      <c r="A2628" s="202" t="str">
        <f>IF(B2628&lt;&gt;"",IF(AND(B2628&gt;=_TM1,B2628&lt;=_TM2,OR(TH!L2628="1111",TH!M2628="1111")),TH!D2628,""),"")</f>
        <v/>
      </c>
      <c r="B2628" s="36">
        <f t="shared" si="130"/>
        <v>11</v>
      </c>
      <c r="C2628" s="182">
        <f t="shared" si="131"/>
        <v>42683</v>
      </c>
      <c r="D2628" s="182" t="s">
        <v>1547</v>
      </c>
      <c r="E2628" s="691">
        <v>42683</v>
      </c>
      <c r="F2628" s="190" t="s">
        <v>1367</v>
      </c>
      <c r="G2628" s="451" t="s">
        <v>1363</v>
      </c>
      <c r="H2628" s="7" t="s">
        <v>1549</v>
      </c>
      <c r="I2628" s="251">
        <v>13</v>
      </c>
      <c r="J2628" s="251">
        <v>6496.0822052004487</v>
      </c>
      <c r="K2628" s="38">
        <f t="shared" si="132"/>
        <v>84449</v>
      </c>
      <c r="L2628" s="561" t="s">
        <v>166</v>
      </c>
      <c r="M2628" s="561" t="s">
        <v>164</v>
      </c>
      <c r="N2628" s="52" t="str">
        <f>IF(AND('331-CT'!$E$7=TH!H2628,OR(L2628="331",M2628="331")),"331",IF(AND(OR(L2628="131",M2628="131"),H2628='131-CT'!$E$7),"131",""))</f>
        <v/>
      </c>
      <c r="O2628" s="818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751"/>
      <c r="AB2628" s="552"/>
      <c r="AC2628" s="552"/>
    </row>
    <row r="2629" spans="1:29" s="209" customFormat="1" ht="15.75" customHeight="1">
      <c r="A2629" s="202" t="str">
        <f>IF(B2629&lt;&gt;"",IF(AND(B2629&gt;=_TM1,B2629&lt;=_TM2,OR(TH!L2629="1111",TH!M2629="1111")),TH!D2629,""),"")</f>
        <v/>
      </c>
      <c r="B2629" s="36">
        <f t="shared" si="130"/>
        <v>11</v>
      </c>
      <c r="C2629" s="182">
        <f t="shared" si="131"/>
        <v>42683</v>
      </c>
      <c r="D2629" s="182" t="s">
        <v>1547</v>
      </c>
      <c r="E2629" s="691">
        <v>42683</v>
      </c>
      <c r="F2629" s="190" t="s">
        <v>1368</v>
      </c>
      <c r="G2629" s="451" t="s">
        <v>1363</v>
      </c>
      <c r="H2629" s="7" t="s">
        <v>1549</v>
      </c>
      <c r="I2629" s="251">
        <v>42</v>
      </c>
      <c r="J2629" s="251">
        <v>19319.51720767406</v>
      </c>
      <c r="K2629" s="38">
        <f t="shared" si="132"/>
        <v>811420</v>
      </c>
      <c r="L2629" s="561" t="s">
        <v>166</v>
      </c>
      <c r="M2629" s="561" t="s">
        <v>164</v>
      </c>
      <c r="N2629" s="52" t="str">
        <f>IF(AND('331-CT'!$E$7=TH!H2629,OR(L2629="331",M2629="331")),"331",IF(AND(OR(L2629="131",M2629="131"),H2629='131-CT'!$E$7),"131",""))</f>
        <v/>
      </c>
      <c r="O2629" s="818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751"/>
      <c r="AB2629" s="552"/>
    </row>
    <row r="2630" spans="1:29" s="209" customFormat="1" ht="15.75" customHeight="1">
      <c r="A2630" s="202" t="str">
        <f>IF(B2630&lt;&gt;"",IF(AND(B2630&gt;=_TM1,B2630&lt;=_TM2,OR(TH!L2630="1111",TH!M2630="1111")),TH!D2630,""),"")</f>
        <v/>
      </c>
      <c r="B2630" s="36">
        <f t="shared" ref="B2630:B2693" si="133">IF(C2630&lt;&gt;"",MONTH(C2630),"")</f>
        <v>11</v>
      </c>
      <c r="C2630" s="182">
        <f t="shared" si="131"/>
        <v>42683</v>
      </c>
      <c r="D2630" s="182" t="s">
        <v>1547</v>
      </c>
      <c r="E2630" s="691">
        <v>42683</v>
      </c>
      <c r="F2630" s="190" t="s">
        <v>1369</v>
      </c>
      <c r="G2630" s="451" t="s">
        <v>1363</v>
      </c>
      <c r="H2630" s="7" t="s">
        <v>1549</v>
      </c>
      <c r="I2630" s="251">
        <v>164</v>
      </c>
      <c r="J2630" s="251">
        <v>1856.0234872001281</v>
      </c>
      <c r="K2630" s="38">
        <f t="shared" si="132"/>
        <v>304388</v>
      </c>
      <c r="L2630" s="561" t="s">
        <v>166</v>
      </c>
      <c r="M2630" s="561" t="s">
        <v>164</v>
      </c>
      <c r="N2630" s="52" t="str">
        <f>IF(AND('331-CT'!$E$7=TH!H2630,OR(L2630="331",M2630="331")),"331",IF(AND(OR(L2630="131",M2630="131"),H2630='131-CT'!$E$7),"131",""))</f>
        <v/>
      </c>
      <c r="O2630" s="818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751"/>
      <c r="AB2630" s="552"/>
      <c r="AC2630" s="552"/>
    </row>
    <row r="2631" spans="1:29" s="209" customFormat="1" ht="15.75" customHeight="1">
      <c r="A2631" s="202" t="str">
        <f>IF(B2631&lt;&gt;"",IF(AND(B2631&gt;=_TM1,B2631&lt;=_TM2,OR(TH!L2631="1111",TH!M2631="1111")),TH!D2631,""),"")</f>
        <v/>
      </c>
      <c r="B2631" s="36">
        <f t="shared" si="133"/>
        <v>11</v>
      </c>
      <c r="C2631" s="182">
        <f t="shared" si="131"/>
        <v>42683</v>
      </c>
      <c r="D2631" s="182" t="s">
        <v>1547</v>
      </c>
      <c r="E2631" s="691">
        <v>42683</v>
      </c>
      <c r="F2631" s="190" t="s">
        <v>1370</v>
      </c>
      <c r="G2631" s="451" t="s">
        <v>1363</v>
      </c>
      <c r="H2631" s="7" t="s">
        <v>1549</v>
      </c>
      <c r="I2631" s="251">
        <v>123</v>
      </c>
      <c r="J2631" s="251">
        <v>1181.1058554909907</v>
      </c>
      <c r="K2631" s="38">
        <f t="shared" si="132"/>
        <v>145276</v>
      </c>
      <c r="L2631" s="561" t="s">
        <v>166</v>
      </c>
      <c r="M2631" s="561" t="s">
        <v>164</v>
      </c>
      <c r="N2631" s="52" t="str">
        <f>IF(AND('331-CT'!$E$7=TH!H2631,OR(L2631="331",M2631="331")),"331",IF(AND(OR(L2631="131",M2631="131"),H2631='131-CT'!$E$7),"131",""))</f>
        <v/>
      </c>
      <c r="O2631" s="818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751"/>
      <c r="AB2631" s="552"/>
      <c r="AC2631" s="552"/>
    </row>
    <row r="2632" spans="1:29" s="209" customFormat="1" ht="15.75" customHeight="1">
      <c r="A2632" s="202" t="str">
        <f>IF(B2632&lt;&gt;"",IF(AND(B2632&gt;=_TM1,B2632&lt;=_TM2,OR(TH!L2632="1111",TH!M2632="1111")),TH!D2632,""),"")</f>
        <v/>
      </c>
      <c r="B2632" s="36">
        <f t="shared" si="133"/>
        <v>11</v>
      </c>
      <c r="C2632" s="182">
        <f t="shared" si="131"/>
        <v>42683</v>
      </c>
      <c r="D2632" s="182" t="s">
        <v>1547</v>
      </c>
      <c r="E2632" s="691">
        <v>42683</v>
      </c>
      <c r="F2632" s="190" t="s">
        <v>1373</v>
      </c>
      <c r="G2632" s="451" t="s">
        <v>1371</v>
      </c>
      <c r="H2632" s="7" t="s">
        <v>1549</v>
      </c>
      <c r="I2632" s="251">
        <v>92</v>
      </c>
      <c r="J2632" s="251">
        <v>9195.7527320369991</v>
      </c>
      <c r="K2632" s="38">
        <f t="shared" si="132"/>
        <v>846009</v>
      </c>
      <c r="L2632" s="561" t="s">
        <v>166</v>
      </c>
      <c r="M2632" s="561" t="s">
        <v>164</v>
      </c>
      <c r="N2632" s="52" t="str">
        <f>IF(AND('331-CT'!$E$7=TH!H2632,OR(L2632="331",M2632="331")),"331",IF(AND(OR(L2632="131",M2632="131"),H2632='131-CT'!$E$7),"131",""))</f>
        <v/>
      </c>
      <c r="O2632" s="818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751"/>
      <c r="AB2632" s="552"/>
    </row>
    <row r="2633" spans="1:29" s="209" customFormat="1" ht="15.75" customHeight="1">
      <c r="A2633" s="202" t="str">
        <f>IF(B2633&lt;&gt;"",IF(AND(B2633&gt;=_TM1,B2633&lt;=_TM2,OR(TH!L2633="1111",TH!M2633="1111")),TH!D2633,""),"")</f>
        <v/>
      </c>
      <c r="B2633" s="36">
        <f t="shared" si="133"/>
        <v>11</v>
      </c>
      <c r="C2633" s="182">
        <f t="shared" si="131"/>
        <v>42683</v>
      </c>
      <c r="D2633" s="182" t="s">
        <v>1547</v>
      </c>
      <c r="E2633" s="691">
        <v>42683</v>
      </c>
      <c r="F2633" s="286" t="s">
        <v>1374</v>
      </c>
      <c r="G2633" s="451" t="s">
        <v>1371</v>
      </c>
      <c r="H2633" s="7" t="s">
        <v>1549</v>
      </c>
      <c r="I2633" s="251">
        <v>52</v>
      </c>
      <c r="J2633" s="251">
        <v>8858.2939161824306</v>
      </c>
      <c r="K2633" s="38">
        <f t="shared" si="132"/>
        <v>460631</v>
      </c>
      <c r="L2633" s="561" t="s">
        <v>166</v>
      </c>
      <c r="M2633" s="561" t="s">
        <v>164</v>
      </c>
      <c r="N2633" s="52" t="str">
        <f>IF(AND('331-CT'!$E$7=TH!H2633,OR(L2633="331",M2633="331")),"331",IF(AND(OR(L2633="131",M2633="131"),H2633='131-CT'!$E$7),"131",""))</f>
        <v/>
      </c>
      <c r="O2633" s="818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751"/>
      <c r="AB2633" s="552"/>
      <c r="AC2633" s="552"/>
    </row>
    <row r="2634" spans="1:29" s="209" customFormat="1" ht="15.75" customHeight="1">
      <c r="A2634" s="202" t="str">
        <f>IF(B2634&lt;&gt;"",IF(AND(B2634&gt;=_TM1,B2634&lt;=_TM2,OR(TH!L2634="1111",TH!M2634="1111")),TH!D2634,""),"")</f>
        <v/>
      </c>
      <c r="B2634" s="36">
        <f t="shared" si="133"/>
        <v>11</v>
      </c>
      <c r="C2634" s="182">
        <f t="shared" si="131"/>
        <v>42683</v>
      </c>
      <c r="D2634" s="182" t="s">
        <v>1547</v>
      </c>
      <c r="E2634" s="691">
        <v>42683</v>
      </c>
      <c r="F2634" s="286" t="s">
        <v>1375</v>
      </c>
      <c r="G2634" s="451" t="s">
        <v>1371</v>
      </c>
      <c r="H2634" s="7" t="s">
        <v>1549</v>
      </c>
      <c r="I2634" s="251">
        <v>192</v>
      </c>
      <c r="J2634" s="251">
        <v>8267.7409884369335</v>
      </c>
      <c r="K2634" s="38">
        <f t="shared" si="132"/>
        <v>1587406</v>
      </c>
      <c r="L2634" s="561" t="s">
        <v>166</v>
      </c>
      <c r="M2634" s="561" t="s">
        <v>164</v>
      </c>
      <c r="N2634" s="52" t="str">
        <f>IF(AND('331-CT'!$E$7=TH!H2634,OR(L2634="331",M2634="331")),"331",IF(AND(OR(L2634="131",M2634="131"),H2634='131-CT'!$E$7),"131",""))</f>
        <v/>
      </c>
      <c r="O2634" s="818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751"/>
      <c r="AB2634" s="552"/>
    </row>
    <row r="2635" spans="1:29" s="209" customFormat="1" ht="15.75" customHeight="1">
      <c r="A2635" s="202" t="str">
        <f>IF(B2635&lt;&gt;"",IF(AND(B2635&gt;=_TM1,B2635&lt;=_TM2,OR(TH!L2635="1111",TH!M2635="1111")),TH!D2635,""),"")</f>
        <v/>
      </c>
      <c r="B2635" s="36">
        <f t="shared" si="133"/>
        <v>11</v>
      </c>
      <c r="C2635" s="182">
        <f t="shared" si="131"/>
        <v>42683</v>
      </c>
      <c r="D2635" s="182" t="s">
        <v>1547</v>
      </c>
      <c r="E2635" s="691">
        <v>42683</v>
      </c>
      <c r="F2635" s="190" t="s">
        <v>1378</v>
      </c>
      <c r="G2635" s="451" t="s">
        <v>1376</v>
      </c>
      <c r="H2635" s="7" t="s">
        <v>1549</v>
      </c>
      <c r="I2635" s="251">
        <v>364</v>
      </c>
      <c r="J2635" s="251">
        <v>9448.8468439279259</v>
      </c>
      <c r="K2635" s="38">
        <f t="shared" si="132"/>
        <v>3439380</v>
      </c>
      <c r="L2635" s="561" t="s">
        <v>166</v>
      </c>
      <c r="M2635" s="561" t="s">
        <v>164</v>
      </c>
      <c r="N2635" s="52" t="str">
        <f>IF(AND('331-CT'!$E$7=TH!H2635,OR(L2635="331",M2635="331")),"331",IF(AND(OR(L2635="131",M2635="131"),H2635='131-CT'!$E$7),"131",""))</f>
        <v/>
      </c>
      <c r="O2635" s="818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751"/>
      <c r="AB2635" s="552"/>
      <c r="AC2635" s="552"/>
    </row>
    <row r="2636" spans="1:29" s="209" customFormat="1" ht="15.75" customHeight="1">
      <c r="A2636" s="202" t="str">
        <f>IF(B2636&lt;&gt;"",IF(AND(B2636&gt;=_TM1,B2636&lt;=_TM2,OR(TH!L2636="1111",TH!M2636="1111")),TH!D2636,""),"")</f>
        <v/>
      </c>
      <c r="B2636" s="36">
        <f t="shared" si="133"/>
        <v>11</v>
      </c>
      <c r="C2636" s="182">
        <f t="shared" si="131"/>
        <v>42683</v>
      </c>
      <c r="D2636" s="182" t="s">
        <v>1547</v>
      </c>
      <c r="E2636" s="691">
        <v>42683</v>
      </c>
      <c r="F2636" s="190" t="s">
        <v>1379</v>
      </c>
      <c r="G2636" s="451" t="s">
        <v>1376</v>
      </c>
      <c r="H2636" s="7" t="s">
        <v>1549</v>
      </c>
      <c r="I2636" s="251">
        <v>20</v>
      </c>
      <c r="J2636" s="251">
        <v>8183.3762844732919</v>
      </c>
      <c r="K2636" s="38">
        <f t="shared" si="132"/>
        <v>163668</v>
      </c>
      <c r="L2636" s="561" t="s">
        <v>166</v>
      </c>
      <c r="M2636" s="561" t="s">
        <v>164</v>
      </c>
      <c r="N2636" s="52" t="str">
        <f>IF(AND('331-CT'!$E$7=TH!H2636,OR(L2636="331",M2636="331")),"331",IF(AND(OR(L2636="131",M2636="131"),H2636='131-CT'!$E$7),"131",""))</f>
        <v/>
      </c>
      <c r="O2636" s="818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751"/>
      <c r="AB2636" s="552"/>
      <c r="AC2636" s="552"/>
    </row>
    <row r="2637" spans="1:29" s="209" customFormat="1" ht="15.75" customHeight="1">
      <c r="A2637" s="202" t="str">
        <f>IF(B2637&lt;&gt;"",IF(AND(B2637&gt;=_TM1,B2637&lt;=_TM2,OR(TH!L2637="1111",TH!M2637="1111")),TH!D2637,""),"")</f>
        <v/>
      </c>
      <c r="B2637" s="36">
        <f t="shared" si="133"/>
        <v>11</v>
      </c>
      <c r="C2637" s="182">
        <f t="shared" si="131"/>
        <v>42684</v>
      </c>
      <c r="D2637" s="182" t="s">
        <v>1547</v>
      </c>
      <c r="E2637" s="691">
        <v>42684</v>
      </c>
      <c r="F2637" s="190" t="s">
        <v>1380</v>
      </c>
      <c r="G2637" s="451" t="s">
        <v>1377</v>
      </c>
      <c r="H2637" s="7" t="s">
        <v>1549</v>
      </c>
      <c r="I2637" s="251">
        <v>200</v>
      </c>
      <c r="J2637" s="251">
        <v>8183.3762844732919</v>
      </c>
      <c r="K2637" s="38">
        <f t="shared" si="132"/>
        <v>1636675</v>
      </c>
      <c r="L2637" s="561" t="s">
        <v>166</v>
      </c>
      <c r="M2637" s="561" t="s">
        <v>164</v>
      </c>
      <c r="N2637" s="52" t="str">
        <f>IF(AND('331-CT'!$E$7=TH!H2637,OR(L2637="331",M2637="331")),"331",IF(AND(OR(L2637="131",M2637="131"),H2637='131-CT'!$E$7),"131",""))</f>
        <v/>
      </c>
      <c r="O2637" s="818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751"/>
      <c r="AB2637" s="552"/>
    </row>
    <row r="2638" spans="1:29" s="209" customFormat="1" ht="15.75" customHeight="1">
      <c r="A2638" s="202" t="str">
        <f>IF(B2638&lt;&gt;"",IF(AND(B2638&gt;=_TM1,B2638&lt;=_TM2,OR(TH!L2638="1111",TH!M2638="1111")),TH!D2638,""),"")</f>
        <v/>
      </c>
      <c r="B2638" s="36">
        <f t="shared" si="133"/>
        <v>11</v>
      </c>
      <c r="C2638" s="182">
        <f t="shared" si="131"/>
        <v>42684</v>
      </c>
      <c r="D2638" s="182" t="s">
        <v>1547</v>
      </c>
      <c r="E2638" s="691">
        <v>42684</v>
      </c>
      <c r="F2638" s="286" t="s">
        <v>1382</v>
      </c>
      <c r="G2638" s="451" t="s">
        <v>1381</v>
      </c>
      <c r="H2638" s="7" t="s">
        <v>1549</v>
      </c>
      <c r="I2638" s="251">
        <v>300</v>
      </c>
      <c r="J2638" s="251">
        <v>8689.5645082551455</v>
      </c>
      <c r="K2638" s="38">
        <f t="shared" si="132"/>
        <v>2606869</v>
      </c>
      <c r="L2638" s="561" t="s">
        <v>166</v>
      </c>
      <c r="M2638" s="561" t="s">
        <v>164</v>
      </c>
      <c r="N2638" s="52" t="str">
        <f>IF(AND('331-CT'!$E$7=TH!H2638,OR(L2638="331",M2638="331")),"331",IF(AND(OR(L2638="131",M2638="131"),H2638='131-CT'!$E$7),"131",""))</f>
        <v/>
      </c>
      <c r="O2638" s="818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751"/>
      <c r="AB2638" s="552"/>
      <c r="AC2638" s="552"/>
    </row>
    <row r="2639" spans="1:29" s="209" customFormat="1" ht="15.75" customHeight="1">
      <c r="A2639" s="202" t="str">
        <f>IF(B2639&lt;&gt;"",IF(AND(B2639&gt;=_TM1,B2639&lt;=_TM2,OR(TH!L2639="1111",TH!M2639="1111")),TH!D2639,""),"")</f>
        <v/>
      </c>
      <c r="B2639" s="36">
        <f t="shared" si="133"/>
        <v>11</v>
      </c>
      <c r="C2639" s="182">
        <f t="shared" si="131"/>
        <v>42684</v>
      </c>
      <c r="D2639" s="182" t="s">
        <v>1547</v>
      </c>
      <c r="E2639" s="691">
        <v>42684</v>
      </c>
      <c r="F2639" s="286" t="s">
        <v>1383</v>
      </c>
      <c r="G2639" s="451" t="s">
        <v>1381</v>
      </c>
      <c r="H2639" s="7" t="s">
        <v>1549</v>
      </c>
      <c r="I2639" s="251">
        <v>35</v>
      </c>
      <c r="J2639" s="251">
        <v>10545.587995455273</v>
      </c>
      <c r="K2639" s="38">
        <f t="shared" si="132"/>
        <v>369096</v>
      </c>
      <c r="L2639" s="561" t="s">
        <v>166</v>
      </c>
      <c r="M2639" s="561" t="s">
        <v>164</v>
      </c>
      <c r="N2639" s="52" t="str">
        <f>IF(AND('331-CT'!$E$7=TH!H2639,OR(L2639="331",M2639="331")),"331",IF(AND(OR(L2639="131",M2639="131"),H2639='131-CT'!$E$7),"131",""))</f>
        <v/>
      </c>
      <c r="O2639" s="818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751"/>
      <c r="AB2639" s="552"/>
    </row>
    <row r="2640" spans="1:29" s="209" customFormat="1" ht="15.75" customHeight="1">
      <c r="A2640" s="202" t="str">
        <f>IF(B2640&lt;&gt;"",IF(AND(B2640&gt;=_TM1,B2640&lt;=_TM2,OR(TH!L2640="1111",TH!M2640="1111")),TH!D2640,""),"")</f>
        <v/>
      </c>
      <c r="B2640" s="36">
        <f t="shared" si="133"/>
        <v>11</v>
      </c>
      <c r="C2640" s="182">
        <f t="shared" si="131"/>
        <v>42684</v>
      </c>
      <c r="D2640" s="182" t="s">
        <v>1547</v>
      </c>
      <c r="E2640" s="691">
        <v>42684</v>
      </c>
      <c r="F2640" s="286" t="s">
        <v>1384</v>
      </c>
      <c r="G2640" s="451" t="s">
        <v>1381</v>
      </c>
      <c r="H2640" s="7" t="s">
        <v>1549</v>
      </c>
      <c r="I2640" s="251">
        <v>37</v>
      </c>
      <c r="J2640" s="251">
        <v>34673.89332905694</v>
      </c>
      <c r="K2640" s="38">
        <f t="shared" si="132"/>
        <v>1282934</v>
      </c>
      <c r="L2640" s="561" t="s">
        <v>166</v>
      </c>
      <c r="M2640" s="561" t="s">
        <v>164</v>
      </c>
      <c r="N2640" s="52" t="str">
        <f>IF(AND('331-CT'!$E$7=TH!H2640,OR(L2640="331",M2640="331")),"331",IF(AND(OR(L2640="131",M2640="131"),H2640='131-CT'!$E$7),"131",""))</f>
        <v/>
      </c>
      <c r="O2640" s="818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751"/>
      <c r="AB2640" s="552"/>
      <c r="AC2640" s="552"/>
    </row>
    <row r="2641" spans="1:29" s="209" customFormat="1" ht="15.75" customHeight="1">
      <c r="A2641" s="202" t="str">
        <f>IF(B2641&lt;&gt;"",IF(AND(B2641&gt;=_TM1,B2641&lt;=_TM2,OR(TH!L2641="1111",TH!M2641="1111")),TH!D2641,""),"")</f>
        <v/>
      </c>
      <c r="B2641" s="36">
        <f t="shared" si="133"/>
        <v>11</v>
      </c>
      <c r="C2641" s="182">
        <f t="shared" si="131"/>
        <v>42684</v>
      </c>
      <c r="D2641" s="182" t="s">
        <v>1547</v>
      </c>
      <c r="E2641" s="691">
        <v>42684</v>
      </c>
      <c r="F2641" s="286" t="s">
        <v>1385</v>
      </c>
      <c r="G2641" s="451" t="s">
        <v>1381</v>
      </c>
      <c r="H2641" s="7" t="s">
        <v>1549</v>
      </c>
      <c r="I2641" s="251">
        <v>85</v>
      </c>
      <c r="J2641" s="251">
        <v>10123.764475637063</v>
      </c>
      <c r="K2641" s="38">
        <f t="shared" si="132"/>
        <v>860520</v>
      </c>
      <c r="L2641" s="561" t="s">
        <v>166</v>
      </c>
      <c r="M2641" s="561" t="s">
        <v>164</v>
      </c>
      <c r="N2641" s="52" t="str">
        <f>IF(AND('331-CT'!$E$7=TH!H2641,OR(L2641="331",M2641="331")),"331",IF(AND(OR(L2641="131",M2641="131"),H2641='131-CT'!$E$7),"131",""))</f>
        <v/>
      </c>
      <c r="O2641" s="818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751"/>
      <c r="AB2641" s="552"/>
    </row>
    <row r="2642" spans="1:29" s="209" customFormat="1" ht="15.75" customHeight="1">
      <c r="A2642" s="202" t="str">
        <f>IF(B2642&lt;&gt;"",IF(AND(B2642&gt;=_TM1,B2642&lt;=_TM2,OR(TH!L2642="1111",TH!M2642="1111")),TH!D2642,""),"")</f>
        <v/>
      </c>
      <c r="B2642" s="36">
        <f t="shared" si="133"/>
        <v>11</v>
      </c>
      <c r="C2642" s="182">
        <f t="shared" si="131"/>
        <v>42684</v>
      </c>
      <c r="D2642" s="182" t="s">
        <v>1547</v>
      </c>
      <c r="E2642" s="691">
        <v>42684</v>
      </c>
      <c r="F2642" s="187" t="s">
        <v>1442</v>
      </c>
      <c r="G2642" s="451" t="s">
        <v>1386</v>
      </c>
      <c r="H2642" s="7" t="s">
        <v>1549</v>
      </c>
      <c r="I2642" s="251">
        <v>300</v>
      </c>
      <c r="J2642" s="251">
        <v>5483.7057576367424</v>
      </c>
      <c r="K2642" s="38">
        <f t="shared" si="132"/>
        <v>1645112</v>
      </c>
      <c r="L2642" s="561" t="s">
        <v>166</v>
      </c>
      <c r="M2642" s="561" t="s">
        <v>164</v>
      </c>
      <c r="N2642" s="52" t="str">
        <f>IF(AND('331-CT'!$E$7=TH!H2642,OR(L2642="331",M2642="331")),"331",IF(AND(OR(L2642="131",M2642="131"),H2642='131-CT'!$E$7),"131",""))</f>
        <v/>
      </c>
      <c r="O2642" s="818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751"/>
      <c r="AB2642" s="552"/>
      <c r="AC2642" s="552"/>
    </row>
    <row r="2643" spans="1:29" s="209" customFormat="1" ht="15.75" customHeight="1">
      <c r="A2643" s="202" t="str">
        <f>IF(B2643&lt;&gt;"",IF(AND(B2643&gt;=_TM1,B2643&lt;=_TM2,OR(TH!L2643="1111",TH!M2643="1111")),TH!D2643,""),"")</f>
        <v/>
      </c>
      <c r="B2643" s="36">
        <f t="shared" si="133"/>
        <v>11</v>
      </c>
      <c r="C2643" s="182">
        <f t="shared" si="131"/>
        <v>42686</v>
      </c>
      <c r="D2643" s="182" t="s">
        <v>1547</v>
      </c>
      <c r="E2643" s="691">
        <v>42686</v>
      </c>
      <c r="F2643" s="187" t="s">
        <v>1388</v>
      </c>
      <c r="G2643" s="451" t="s">
        <v>1387</v>
      </c>
      <c r="H2643" s="7" t="s">
        <v>1549</v>
      </c>
      <c r="I2643" s="668">
        <v>319</v>
      </c>
      <c r="J2643" s="668">
        <v>8099.0115805096493</v>
      </c>
      <c r="K2643" s="38">
        <f t="shared" si="132"/>
        <v>2583585</v>
      </c>
      <c r="L2643" s="561" t="s">
        <v>166</v>
      </c>
      <c r="M2643" s="561" t="s">
        <v>164</v>
      </c>
      <c r="N2643" s="52" t="str">
        <f>IF(AND('331-CT'!$E$7=TH!H2643,OR(L2643="331",M2643="331")),"331",IF(AND(OR(L2643="131",M2643="131"),H2643='131-CT'!$E$7),"131",""))</f>
        <v/>
      </c>
      <c r="O2643" s="818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751"/>
      <c r="AB2643" s="552"/>
    </row>
    <row r="2644" spans="1:29" s="209" customFormat="1" ht="15.75" customHeight="1">
      <c r="A2644" s="202" t="str">
        <f>IF(B2644&lt;&gt;"",IF(AND(B2644&gt;=_TM1,B2644&lt;=_TM2,OR(TH!L2644="1111",TH!M2644="1111")),TH!D2644,""),"")</f>
        <v/>
      </c>
      <c r="B2644" s="36">
        <f t="shared" si="133"/>
        <v>11</v>
      </c>
      <c r="C2644" s="182">
        <f t="shared" si="131"/>
        <v>42688</v>
      </c>
      <c r="D2644" s="182" t="s">
        <v>1547</v>
      </c>
      <c r="E2644" s="691">
        <v>42688</v>
      </c>
      <c r="F2644" s="187" t="s">
        <v>1255</v>
      </c>
      <c r="G2644" s="451" t="s">
        <v>1389</v>
      </c>
      <c r="H2644" s="7" t="s">
        <v>1549</v>
      </c>
      <c r="I2644" s="251">
        <v>980</v>
      </c>
      <c r="J2644" s="251">
        <v>6917.9057250186588</v>
      </c>
      <c r="K2644" s="38">
        <f t="shared" si="132"/>
        <v>6779548</v>
      </c>
      <c r="L2644" s="561" t="s">
        <v>166</v>
      </c>
      <c r="M2644" s="561" t="s">
        <v>164</v>
      </c>
      <c r="N2644" s="52" t="str">
        <f>IF(AND('331-CT'!$E$7=TH!H2644,OR(L2644="331",M2644="331")),"331",IF(AND(OR(L2644="131",M2644="131"),H2644='131-CT'!$E$7),"131",""))</f>
        <v/>
      </c>
      <c r="O2644" s="818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751"/>
      <c r="AB2644" s="552"/>
    </row>
    <row r="2645" spans="1:29" s="209" customFormat="1" ht="15.75" customHeight="1">
      <c r="A2645" s="202" t="str">
        <f>IF(B2645&lt;&gt;"",IF(AND(B2645&gt;=_TM1,B2645&lt;=_TM2,OR(TH!L2645="1111",TH!M2645="1111")),TH!D2645,""),"")</f>
        <v/>
      </c>
      <c r="B2645" s="36">
        <f t="shared" si="133"/>
        <v>11</v>
      </c>
      <c r="C2645" s="182">
        <f t="shared" si="131"/>
        <v>42688</v>
      </c>
      <c r="D2645" s="182" t="s">
        <v>1547</v>
      </c>
      <c r="E2645" s="691">
        <v>42688</v>
      </c>
      <c r="F2645" s="286" t="s">
        <v>1256</v>
      </c>
      <c r="G2645" s="451" t="s">
        <v>1389</v>
      </c>
      <c r="H2645" s="7" t="s">
        <v>1549</v>
      </c>
      <c r="I2645" s="251">
        <v>1066</v>
      </c>
      <c r="J2645" s="251">
        <v>7677.1880606914392</v>
      </c>
      <c r="K2645" s="38">
        <f t="shared" si="132"/>
        <v>8183882</v>
      </c>
      <c r="L2645" s="561" t="s">
        <v>166</v>
      </c>
      <c r="M2645" s="561" t="s">
        <v>164</v>
      </c>
      <c r="N2645" s="52" t="str">
        <f>IF(AND('331-CT'!$E$7=TH!H2645,OR(L2645="331",M2645="331")),"331",IF(AND(OR(L2645="131",M2645="131"),H2645='131-CT'!$E$7),"131",""))</f>
        <v/>
      </c>
      <c r="O2645" s="818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751"/>
      <c r="AB2645" s="552"/>
      <c r="AC2645" s="552"/>
    </row>
    <row r="2646" spans="1:29" s="209" customFormat="1" ht="15.75" customHeight="1">
      <c r="A2646" s="202" t="str">
        <f>IF(B2646&lt;&gt;"",IF(AND(B2646&gt;=_TM1,B2646&lt;=_TM2,OR(TH!L2646="1111",TH!M2646="1111")),TH!D2646,""),"")</f>
        <v/>
      </c>
      <c r="B2646" s="36">
        <f t="shared" si="133"/>
        <v>11</v>
      </c>
      <c r="C2646" s="182">
        <f t="shared" si="131"/>
        <v>42688</v>
      </c>
      <c r="D2646" s="182" t="s">
        <v>1547</v>
      </c>
      <c r="E2646" s="691">
        <v>42688</v>
      </c>
      <c r="F2646" s="286" t="s">
        <v>392</v>
      </c>
      <c r="G2646" s="451" t="s">
        <v>1389</v>
      </c>
      <c r="H2646" s="7" t="s">
        <v>1549</v>
      </c>
      <c r="I2646" s="251">
        <v>560</v>
      </c>
      <c r="J2646" s="251">
        <v>8183.3762844732919</v>
      </c>
      <c r="K2646" s="38">
        <f t="shared" si="132"/>
        <v>4582691</v>
      </c>
      <c r="L2646" s="561" t="s">
        <v>166</v>
      </c>
      <c r="M2646" s="561" t="s">
        <v>164</v>
      </c>
      <c r="N2646" s="52" t="str">
        <f>IF(AND('331-CT'!$E$7=TH!H2646,OR(L2646="331",M2646="331")),"331",IF(AND(OR(L2646="131",M2646="131"),H2646='131-CT'!$E$7),"131",""))</f>
        <v/>
      </c>
      <c r="O2646" s="818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751"/>
      <c r="AB2646" s="552"/>
    </row>
    <row r="2647" spans="1:29" s="209" customFormat="1" ht="15.75" customHeight="1">
      <c r="A2647" s="202" t="str">
        <f>IF(B2647&lt;&gt;"",IF(AND(B2647&gt;=_TM1,B2647&lt;=_TM2,OR(TH!L2647="1111",TH!M2647="1111")),TH!D2647,""),"")</f>
        <v/>
      </c>
      <c r="B2647" s="36">
        <f t="shared" si="133"/>
        <v>11</v>
      </c>
      <c r="C2647" s="182">
        <f t="shared" si="131"/>
        <v>42689</v>
      </c>
      <c r="D2647" s="182" t="s">
        <v>1547</v>
      </c>
      <c r="E2647" s="691">
        <v>42689</v>
      </c>
      <c r="F2647" s="286" t="s">
        <v>1541</v>
      </c>
      <c r="G2647" s="451" t="s">
        <v>1540</v>
      </c>
      <c r="H2647" s="7" t="s">
        <v>1549</v>
      </c>
      <c r="I2647" s="251">
        <v>127</v>
      </c>
      <c r="J2647" s="251">
        <v>14763.823193637383</v>
      </c>
      <c r="K2647" s="38">
        <f t="shared" si="132"/>
        <v>1875006</v>
      </c>
      <c r="L2647" s="561" t="s">
        <v>166</v>
      </c>
      <c r="M2647" s="561" t="s">
        <v>164</v>
      </c>
      <c r="N2647" s="52" t="str">
        <f>IF(AND('331-CT'!$E$7=TH!H2647,OR(L2647="331",M2647="331")),"331",IF(AND(OR(L2647="131",M2647="131"),H2647='131-CT'!$E$7),"131",""))</f>
        <v/>
      </c>
      <c r="O2647" s="818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751"/>
      <c r="AB2647" s="552"/>
      <c r="AC2647" s="552"/>
    </row>
    <row r="2648" spans="1:29" s="209" customFormat="1" ht="15.75" customHeight="1">
      <c r="A2648" s="202" t="str">
        <f>IF(B2648&lt;&gt;"",IF(AND(B2648&gt;=_TM1,B2648&lt;=_TM2,OR(TH!L2648="1111",TH!M2648="1111")),TH!D2648,""),"")</f>
        <v/>
      </c>
      <c r="B2648" s="36">
        <f t="shared" si="133"/>
        <v>11</v>
      </c>
      <c r="C2648" s="182">
        <f t="shared" si="131"/>
        <v>42689</v>
      </c>
      <c r="D2648" s="182" t="s">
        <v>1547</v>
      </c>
      <c r="E2648" s="691">
        <v>42689</v>
      </c>
      <c r="F2648" s="286" t="s">
        <v>1473</v>
      </c>
      <c r="G2648" s="451" t="s">
        <v>1542</v>
      </c>
      <c r="H2648" s="7" t="s">
        <v>1549</v>
      </c>
      <c r="I2648" s="251">
        <v>3900</v>
      </c>
      <c r="J2648" s="251">
        <v>7086.635132945943</v>
      </c>
      <c r="K2648" s="38">
        <f t="shared" si="132"/>
        <v>27637877</v>
      </c>
      <c r="L2648" s="561" t="s">
        <v>166</v>
      </c>
      <c r="M2648" s="561" t="s">
        <v>164</v>
      </c>
      <c r="N2648" s="52" t="str">
        <f>IF(AND('331-CT'!$E$7=TH!H2648,OR(L2648="331",M2648="331")),"331",IF(AND(OR(L2648="131",M2648="131"),H2648='131-CT'!$E$7),"131",""))</f>
        <v/>
      </c>
      <c r="O2648" s="818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751"/>
      <c r="AB2648" s="552"/>
    </row>
    <row r="2649" spans="1:29" s="209" customFormat="1" ht="15.75" customHeight="1">
      <c r="A2649" s="202" t="str">
        <f>IF(B2649&lt;&gt;"",IF(AND(B2649&gt;=_TM1,B2649&lt;=_TM2,OR(TH!L2649="1111",TH!M2649="1111")),TH!D2649,""),"")</f>
        <v/>
      </c>
      <c r="B2649" s="36">
        <f t="shared" si="133"/>
        <v>11</v>
      </c>
      <c r="C2649" s="182">
        <f t="shared" si="131"/>
        <v>42690</v>
      </c>
      <c r="D2649" s="182" t="s">
        <v>1547</v>
      </c>
      <c r="E2649" s="691">
        <v>42690</v>
      </c>
      <c r="F2649" s="286" t="s">
        <v>1447</v>
      </c>
      <c r="G2649" s="451" t="s">
        <v>1390</v>
      </c>
      <c r="H2649" s="7" t="s">
        <v>1549</v>
      </c>
      <c r="I2649" s="251">
        <v>200</v>
      </c>
      <c r="J2649" s="251">
        <v>9870.670363746136</v>
      </c>
      <c r="K2649" s="38">
        <f t="shared" si="132"/>
        <v>1974134</v>
      </c>
      <c r="L2649" s="561" t="s">
        <v>166</v>
      </c>
      <c r="M2649" s="561" t="s">
        <v>164</v>
      </c>
      <c r="N2649" s="52" t="str">
        <f>IF(AND('331-CT'!$E$7=TH!H2649,OR(L2649="331",M2649="331")),"331",IF(AND(OR(L2649="131",M2649="131"),H2649='131-CT'!$E$7),"131",""))</f>
        <v/>
      </c>
      <c r="O2649" s="818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751"/>
      <c r="AB2649" s="552"/>
      <c r="AC2649" s="552"/>
    </row>
    <row r="2650" spans="1:29" s="209" customFormat="1" ht="15.75" customHeight="1">
      <c r="A2650" s="202" t="str">
        <f>IF(B2650&lt;&gt;"",IF(AND(B2650&gt;=_TM1,B2650&lt;=_TM2,OR(TH!L2650="1111",TH!M2650="1111")),TH!D2650,""),"")</f>
        <v/>
      </c>
      <c r="B2650" s="36">
        <f t="shared" si="133"/>
        <v>11</v>
      </c>
      <c r="C2650" s="182">
        <f t="shared" si="131"/>
        <v>42691</v>
      </c>
      <c r="D2650" s="182" t="s">
        <v>1547</v>
      </c>
      <c r="E2650" s="691">
        <v>42691</v>
      </c>
      <c r="F2650" s="286" t="s">
        <v>1392</v>
      </c>
      <c r="G2650" s="451" t="s">
        <v>1391</v>
      </c>
      <c r="H2650" s="7" t="s">
        <v>1549</v>
      </c>
      <c r="I2650" s="251">
        <v>509</v>
      </c>
      <c r="J2650" s="251">
        <v>7508.458652764155</v>
      </c>
      <c r="K2650" s="38">
        <f t="shared" si="132"/>
        <v>3821805</v>
      </c>
      <c r="L2650" s="561" t="s">
        <v>166</v>
      </c>
      <c r="M2650" s="561" t="s">
        <v>164</v>
      </c>
      <c r="N2650" s="52" t="str">
        <f>IF(AND('331-CT'!$E$7=TH!H2650,OR(L2650="331",M2650="331")),"331",IF(AND(OR(L2650="131",M2650="131"),H2650='131-CT'!$E$7),"131",""))</f>
        <v/>
      </c>
      <c r="O2650" s="818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751"/>
      <c r="AB2650" s="552"/>
    </row>
    <row r="2651" spans="1:29" s="209" customFormat="1" ht="15.75" customHeight="1">
      <c r="A2651" s="202" t="str">
        <f>IF(B2651&lt;&gt;"",IF(AND(B2651&gt;=_TM1,B2651&lt;=_TM2,OR(TH!L2651="1111",TH!M2651="1111")),TH!D2651,""),"")</f>
        <v/>
      </c>
      <c r="B2651" s="36">
        <f t="shared" si="133"/>
        <v>11</v>
      </c>
      <c r="C2651" s="182">
        <f t="shared" si="131"/>
        <v>42691</v>
      </c>
      <c r="D2651" s="182" t="s">
        <v>1547</v>
      </c>
      <c r="E2651" s="691">
        <v>42691</v>
      </c>
      <c r="F2651" s="286" t="s">
        <v>1393</v>
      </c>
      <c r="G2651" s="451" t="s">
        <v>1391</v>
      </c>
      <c r="H2651" s="7" t="s">
        <v>1549</v>
      </c>
      <c r="I2651" s="251">
        <v>208</v>
      </c>
      <c r="J2651" s="251">
        <v>8183.3762844732919</v>
      </c>
      <c r="K2651" s="38">
        <f t="shared" si="132"/>
        <v>1702142</v>
      </c>
      <c r="L2651" s="561" t="s">
        <v>166</v>
      </c>
      <c r="M2651" s="561" t="s">
        <v>164</v>
      </c>
      <c r="N2651" s="52" t="str">
        <f>IF(AND('331-CT'!$E$7=TH!H2651,OR(L2651="331",M2651="331")),"331",IF(AND(OR(L2651="131",M2651="131"),H2651='131-CT'!$E$7),"131",""))</f>
        <v/>
      </c>
      <c r="O2651" s="818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751"/>
      <c r="AB2651" s="552"/>
      <c r="AC2651" s="552"/>
    </row>
    <row r="2652" spans="1:29" s="209" customFormat="1" ht="15.75" customHeight="1">
      <c r="A2652" s="202" t="str">
        <f>IF(B2652&lt;&gt;"",IF(AND(B2652&gt;=_TM1,B2652&lt;=_TM2,OR(TH!L2652="1111",TH!M2652="1111")),TH!D2652,""),"")</f>
        <v/>
      </c>
      <c r="B2652" s="36">
        <f t="shared" si="133"/>
        <v>11</v>
      </c>
      <c r="C2652" s="182">
        <f t="shared" si="131"/>
        <v>42691</v>
      </c>
      <c r="D2652" s="182" t="s">
        <v>1547</v>
      </c>
      <c r="E2652" s="691">
        <v>42691</v>
      </c>
      <c r="F2652" s="286" t="s">
        <v>1394</v>
      </c>
      <c r="G2652" s="451" t="s">
        <v>1391</v>
      </c>
      <c r="H2652" s="7" t="s">
        <v>1549</v>
      </c>
      <c r="I2652" s="251">
        <v>205</v>
      </c>
      <c r="J2652" s="251">
        <v>8942.6586201460723</v>
      </c>
      <c r="K2652" s="38">
        <f t="shared" si="132"/>
        <v>1833245</v>
      </c>
      <c r="L2652" s="561" t="s">
        <v>166</v>
      </c>
      <c r="M2652" s="561" t="s">
        <v>164</v>
      </c>
      <c r="N2652" s="52" t="str">
        <f>IF(AND('331-CT'!$E$7=TH!H2652,OR(L2652="331",M2652="331")),"331",IF(AND(OR(L2652="131",M2652="131"),H2652='131-CT'!$E$7),"131",""))</f>
        <v/>
      </c>
      <c r="O2652" s="818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751"/>
      <c r="AB2652" s="552"/>
    </row>
    <row r="2653" spans="1:29" s="209" customFormat="1" ht="15.75" customHeight="1">
      <c r="A2653" s="202" t="str">
        <f>IF(B2653&lt;&gt;"",IF(AND(B2653&gt;=_TM1,B2653&lt;=_TM2,OR(TH!L2653="1111",TH!M2653="1111")),TH!D2653,""),"")</f>
        <v/>
      </c>
      <c r="B2653" s="36">
        <f t="shared" si="133"/>
        <v>11</v>
      </c>
      <c r="C2653" s="182">
        <f t="shared" si="131"/>
        <v>42692</v>
      </c>
      <c r="D2653" s="182" t="s">
        <v>1547</v>
      </c>
      <c r="E2653" s="691">
        <v>42692</v>
      </c>
      <c r="F2653" s="286" t="s">
        <v>532</v>
      </c>
      <c r="G2653" s="451" t="s">
        <v>1396</v>
      </c>
      <c r="H2653" s="7" t="s">
        <v>1549</v>
      </c>
      <c r="I2653" s="251">
        <v>500</v>
      </c>
      <c r="J2653" s="251">
        <v>19488.246615601347</v>
      </c>
      <c r="K2653" s="38">
        <f t="shared" si="132"/>
        <v>9744123</v>
      </c>
      <c r="L2653" s="561" t="s">
        <v>166</v>
      </c>
      <c r="M2653" s="561" t="s">
        <v>164</v>
      </c>
      <c r="N2653" s="52" t="str">
        <f>IF(AND('331-CT'!$E$7=TH!H2653,OR(L2653="331",M2653="331")),"331",IF(AND(OR(L2653="131",M2653="131"),H2653='131-CT'!$E$7),"131",""))</f>
        <v/>
      </c>
      <c r="O2653" s="818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751"/>
      <c r="AB2653" s="552"/>
      <c r="AC2653" s="552"/>
    </row>
    <row r="2654" spans="1:29" s="209" customFormat="1" ht="15.75" customHeight="1">
      <c r="A2654" s="202" t="str">
        <f>IF(B2654&lt;&gt;"",IF(AND(B2654&gt;=_TM1,B2654&lt;=_TM2,OR(TH!L2654="1111",TH!M2654="1111")),TH!D2654,""),"")</f>
        <v/>
      </c>
      <c r="B2654" s="36">
        <f t="shared" si="133"/>
        <v>11</v>
      </c>
      <c r="C2654" s="182">
        <f t="shared" si="131"/>
        <v>42696</v>
      </c>
      <c r="D2654" s="182" t="s">
        <v>1547</v>
      </c>
      <c r="E2654" s="691">
        <v>42696</v>
      </c>
      <c r="F2654" s="286" t="s">
        <v>923</v>
      </c>
      <c r="G2654" s="451" t="s">
        <v>1397</v>
      </c>
      <c r="H2654" s="7" t="s">
        <v>1549</v>
      </c>
      <c r="I2654" s="251">
        <v>135</v>
      </c>
      <c r="J2654" s="251">
        <v>11304.870331128053</v>
      </c>
      <c r="K2654" s="38">
        <f t="shared" si="132"/>
        <v>1526157</v>
      </c>
      <c r="L2654" s="561" t="s">
        <v>166</v>
      </c>
      <c r="M2654" s="561" t="s">
        <v>164</v>
      </c>
      <c r="N2654" s="52" t="str">
        <f>IF(AND('331-CT'!$E$7=TH!H2654,OR(L2654="331",M2654="331")),"331",IF(AND(OR(L2654="131",M2654="131"),H2654='131-CT'!$E$7),"131",""))</f>
        <v/>
      </c>
      <c r="O2654" s="818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751"/>
      <c r="AB2654" s="552"/>
    </row>
    <row r="2655" spans="1:29" s="209" customFormat="1" ht="15.75" customHeight="1">
      <c r="A2655" s="202" t="str">
        <f>IF(B2655&lt;&gt;"",IF(AND(B2655&gt;=_TM1,B2655&lt;=_TM2,OR(TH!L2655="1111",TH!M2655="1111")),TH!D2655,""),"")</f>
        <v/>
      </c>
      <c r="B2655" s="36">
        <f t="shared" si="133"/>
        <v>11</v>
      </c>
      <c r="C2655" s="182">
        <f t="shared" si="131"/>
        <v>42696</v>
      </c>
      <c r="D2655" s="182" t="s">
        <v>1547</v>
      </c>
      <c r="E2655" s="691">
        <v>42696</v>
      </c>
      <c r="F2655" s="187" t="s">
        <v>1434</v>
      </c>
      <c r="G2655" s="451" t="s">
        <v>1398</v>
      </c>
      <c r="H2655" s="7" t="s">
        <v>1549</v>
      </c>
      <c r="I2655" s="251">
        <v>300</v>
      </c>
      <c r="J2655" s="251">
        <v>8605.1998042915038</v>
      </c>
      <c r="K2655" s="38">
        <f t="shared" si="132"/>
        <v>2581560</v>
      </c>
      <c r="L2655" s="561" t="s">
        <v>166</v>
      </c>
      <c r="M2655" s="561" t="s">
        <v>164</v>
      </c>
      <c r="N2655" s="52" t="str">
        <f>IF(AND('331-CT'!$E$7=TH!H2655,OR(L2655="331",M2655="331")),"331",IF(AND(OR(L2655="131",M2655="131"),H2655='131-CT'!$E$7),"131",""))</f>
        <v/>
      </c>
      <c r="O2655" s="818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751"/>
      <c r="AB2655" s="552"/>
      <c r="AC2655" s="552"/>
    </row>
    <row r="2656" spans="1:29" s="209" customFormat="1" ht="15.75" customHeight="1">
      <c r="A2656" s="202" t="str">
        <f>IF(B2656&lt;&gt;"",IF(AND(B2656&gt;=_TM1,B2656&lt;=_TM2,OR(TH!L2656="1111",TH!M2656="1111")),TH!D2656,""),"")</f>
        <v/>
      </c>
      <c r="B2656" s="36">
        <f t="shared" si="133"/>
        <v>11</v>
      </c>
      <c r="C2656" s="182">
        <f t="shared" si="131"/>
        <v>42697</v>
      </c>
      <c r="D2656" s="182" t="s">
        <v>1547</v>
      </c>
      <c r="E2656" s="691">
        <v>42697</v>
      </c>
      <c r="F2656" s="187" t="s">
        <v>1401</v>
      </c>
      <c r="G2656" s="451" t="s">
        <v>1399</v>
      </c>
      <c r="H2656" s="7" t="s">
        <v>1549</v>
      </c>
      <c r="I2656" s="251">
        <v>10170</v>
      </c>
      <c r="J2656" s="251">
        <v>6580.4469091640904</v>
      </c>
      <c r="K2656" s="38">
        <f t="shared" si="132"/>
        <v>66923145</v>
      </c>
      <c r="L2656" s="561" t="s">
        <v>166</v>
      </c>
      <c r="M2656" s="561" t="s">
        <v>164</v>
      </c>
      <c r="N2656" s="52" t="str">
        <f>IF(AND('331-CT'!$E$7=TH!H2656,OR(L2656="331",M2656="331")),"331",IF(AND(OR(L2656="131",M2656="131"),H2656='131-CT'!$E$7),"131",""))</f>
        <v/>
      </c>
      <c r="O2656" s="818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751"/>
      <c r="AB2656" s="552"/>
    </row>
    <row r="2657" spans="1:29" s="209" customFormat="1" ht="15.75" customHeight="1">
      <c r="A2657" s="202" t="str">
        <f>IF(B2657&lt;&gt;"",IF(AND(B2657&gt;=_TM1,B2657&lt;=_TM2,OR(TH!L2657="1111",TH!M2657="1111")),TH!D2657,""),"")</f>
        <v/>
      </c>
      <c r="B2657" s="36">
        <f t="shared" si="133"/>
        <v>11</v>
      </c>
      <c r="C2657" s="182">
        <f t="shared" si="131"/>
        <v>42697</v>
      </c>
      <c r="D2657" s="182" t="s">
        <v>1547</v>
      </c>
      <c r="E2657" s="691">
        <v>42697</v>
      </c>
      <c r="F2657" s="187" t="s">
        <v>1255</v>
      </c>
      <c r="G2657" s="451" t="s">
        <v>1402</v>
      </c>
      <c r="H2657" s="7" t="s">
        <v>1549</v>
      </c>
      <c r="I2657" s="251">
        <v>637</v>
      </c>
      <c r="J2657" s="251">
        <v>6917.9057250186588</v>
      </c>
      <c r="K2657" s="38">
        <f t="shared" si="132"/>
        <v>4406706</v>
      </c>
      <c r="L2657" s="561" t="s">
        <v>166</v>
      </c>
      <c r="M2657" s="561" t="s">
        <v>164</v>
      </c>
      <c r="N2657" s="52" t="str">
        <f>IF(AND('331-CT'!$E$7=TH!H2657,OR(L2657="331",M2657="331")),"331",IF(AND(OR(L2657="131",M2657="131"),H2657='131-CT'!$E$7),"131",""))</f>
        <v/>
      </c>
      <c r="O2657" s="818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751"/>
      <c r="AB2657" s="552"/>
    </row>
    <row r="2658" spans="1:29" s="209" customFormat="1" ht="15.75" customHeight="1">
      <c r="A2658" s="202" t="str">
        <f>IF(B2658&lt;&gt;"",IF(AND(B2658&gt;=_TM1,B2658&lt;=_TM2,OR(TH!L2658="1111",TH!M2658="1111")),TH!D2658,""),"")</f>
        <v/>
      </c>
      <c r="B2658" s="36">
        <f t="shared" si="133"/>
        <v>11</v>
      </c>
      <c r="C2658" s="182">
        <f t="shared" si="131"/>
        <v>42697</v>
      </c>
      <c r="D2658" s="182" t="s">
        <v>1547</v>
      </c>
      <c r="E2658" s="691">
        <v>42697</v>
      </c>
      <c r="F2658" s="286" t="s">
        <v>1403</v>
      </c>
      <c r="G2658" s="451" t="s">
        <v>1402</v>
      </c>
      <c r="H2658" s="7" t="s">
        <v>1549</v>
      </c>
      <c r="I2658" s="251">
        <v>469</v>
      </c>
      <c r="J2658" s="251">
        <v>13498.352634182751</v>
      </c>
      <c r="K2658" s="38">
        <f t="shared" si="132"/>
        <v>6330727</v>
      </c>
      <c r="L2658" s="561" t="s">
        <v>166</v>
      </c>
      <c r="M2658" s="561" t="s">
        <v>164</v>
      </c>
      <c r="N2658" s="52" t="str">
        <f>IF(AND('331-CT'!$E$7=TH!H2658,OR(L2658="331",M2658="331")),"331",IF(AND(OR(L2658="131",M2658="131"),H2658='131-CT'!$E$7),"131",""))</f>
        <v/>
      </c>
      <c r="O2658" s="818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751"/>
      <c r="AB2658" s="552"/>
      <c r="AC2658" s="552"/>
    </row>
    <row r="2659" spans="1:29" s="209" customFormat="1" ht="15.75" customHeight="1">
      <c r="A2659" s="202" t="str">
        <f>IF(B2659&lt;&gt;"",IF(AND(B2659&gt;=_TM1,B2659&lt;=_TM2,OR(TH!L2659="1111",TH!M2659="1111")),TH!D2659,""),"")</f>
        <v/>
      </c>
      <c r="B2659" s="36">
        <f t="shared" si="133"/>
        <v>11</v>
      </c>
      <c r="C2659" s="182">
        <f t="shared" si="131"/>
        <v>42699</v>
      </c>
      <c r="D2659" s="182" t="s">
        <v>1547</v>
      </c>
      <c r="E2659" s="691">
        <v>42699</v>
      </c>
      <c r="F2659" s="286" t="s">
        <v>1443</v>
      </c>
      <c r="G2659" s="451" t="s">
        <v>1404</v>
      </c>
      <c r="H2659" s="7" t="s">
        <v>1549</v>
      </c>
      <c r="I2659" s="251">
        <v>520</v>
      </c>
      <c r="J2659" s="251">
        <v>8014.6468765460077</v>
      </c>
      <c r="K2659" s="38">
        <f t="shared" si="132"/>
        <v>4167616</v>
      </c>
      <c r="L2659" s="561" t="s">
        <v>166</v>
      </c>
      <c r="M2659" s="561" t="s">
        <v>164</v>
      </c>
      <c r="N2659" s="52" t="str">
        <f>IF(AND('331-CT'!$E$7=TH!H2659,OR(L2659="331",M2659="331")),"331",IF(AND(OR(L2659="131",M2659="131"),H2659='131-CT'!$E$7),"131",""))</f>
        <v/>
      </c>
      <c r="O2659" s="818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751"/>
      <c r="AB2659" s="552"/>
    </row>
    <row r="2660" spans="1:29" s="209" customFormat="1" ht="15.75" customHeight="1">
      <c r="A2660" s="202" t="str">
        <f>IF(B2660&lt;&gt;"",IF(AND(B2660&gt;=_TM1,B2660&lt;=_TM2,OR(TH!L2660="1111",TH!M2660="1111")),TH!D2660,""),"")</f>
        <v/>
      </c>
      <c r="B2660" s="36">
        <f t="shared" si="133"/>
        <v>11</v>
      </c>
      <c r="C2660" s="182">
        <f t="shared" si="131"/>
        <v>42699</v>
      </c>
      <c r="D2660" s="182" t="s">
        <v>1547</v>
      </c>
      <c r="E2660" s="691">
        <v>42699</v>
      </c>
      <c r="F2660" s="286" t="s">
        <v>1443</v>
      </c>
      <c r="G2660" s="451" t="s">
        <v>1404</v>
      </c>
      <c r="H2660" s="7" t="s">
        <v>1549</v>
      </c>
      <c r="I2660" s="251">
        <v>506</v>
      </c>
      <c r="J2660" s="251">
        <v>8014.6468765460077</v>
      </c>
      <c r="K2660" s="38">
        <f t="shared" si="132"/>
        <v>4055411</v>
      </c>
      <c r="L2660" s="561" t="s">
        <v>166</v>
      </c>
      <c r="M2660" s="561" t="s">
        <v>164</v>
      </c>
      <c r="N2660" s="52" t="str">
        <f>IF(AND('331-CT'!$E$7=TH!H2660,OR(L2660="331",M2660="331")),"331",IF(AND(OR(L2660="131",M2660="131"),H2660='131-CT'!$E$7),"131",""))</f>
        <v/>
      </c>
      <c r="O2660" s="818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751"/>
      <c r="AB2660" s="552"/>
    </row>
    <row r="2661" spans="1:29" s="209" customFormat="1" ht="15.75" customHeight="1">
      <c r="A2661" s="202" t="str">
        <f>IF(B2661&lt;&gt;"",IF(AND(B2661&gt;=_TM1,B2661&lt;=_TM2,OR(TH!L2661="1111",TH!M2661="1111")),TH!D2661,""),"")</f>
        <v/>
      </c>
      <c r="B2661" s="36">
        <f t="shared" si="133"/>
        <v>11</v>
      </c>
      <c r="C2661" s="182">
        <f t="shared" si="131"/>
        <v>42699</v>
      </c>
      <c r="D2661" s="182" t="s">
        <v>1547</v>
      </c>
      <c r="E2661" s="691">
        <v>42699</v>
      </c>
      <c r="F2661" s="286" t="s">
        <v>1378</v>
      </c>
      <c r="G2661" s="451" t="s">
        <v>1405</v>
      </c>
      <c r="H2661" s="7" t="s">
        <v>1549</v>
      </c>
      <c r="I2661" s="251">
        <v>131</v>
      </c>
      <c r="J2661" s="251">
        <v>9448.8468439279259</v>
      </c>
      <c r="K2661" s="38">
        <f t="shared" si="132"/>
        <v>1237799</v>
      </c>
      <c r="L2661" s="561" t="s">
        <v>166</v>
      </c>
      <c r="M2661" s="561" t="s">
        <v>164</v>
      </c>
      <c r="N2661" s="52" t="str">
        <f>IF(AND('331-CT'!$E$7=TH!H2661,OR(L2661="331",M2661="331")),"331",IF(AND(OR(L2661="131",M2661="131"),H2661='131-CT'!$E$7),"131",""))</f>
        <v/>
      </c>
      <c r="O2661" s="818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751"/>
      <c r="AB2661" s="552"/>
      <c r="AC2661" s="552"/>
    </row>
    <row r="2662" spans="1:29" s="209" customFormat="1" ht="15.75" customHeight="1">
      <c r="A2662" s="202" t="str">
        <f>IF(B2662&lt;&gt;"",IF(AND(B2662&gt;=_TM1,B2662&lt;=_TM2,OR(TH!L2662="1111",TH!M2662="1111")),TH!D2662,""),"")</f>
        <v/>
      </c>
      <c r="B2662" s="36">
        <f t="shared" si="133"/>
        <v>11</v>
      </c>
      <c r="C2662" s="182">
        <f t="shared" si="131"/>
        <v>42699</v>
      </c>
      <c r="D2662" s="182" t="s">
        <v>1547</v>
      </c>
      <c r="E2662" s="691">
        <v>42699</v>
      </c>
      <c r="F2662" s="286" t="s">
        <v>1406</v>
      </c>
      <c r="G2662" s="451" t="s">
        <v>1405</v>
      </c>
      <c r="H2662" s="7" t="s">
        <v>1549</v>
      </c>
      <c r="I2662" s="251">
        <v>156</v>
      </c>
      <c r="J2662" s="251">
        <v>7845.9174686187234</v>
      </c>
      <c r="K2662" s="38">
        <f t="shared" si="132"/>
        <v>1223963</v>
      </c>
      <c r="L2662" s="561" t="s">
        <v>166</v>
      </c>
      <c r="M2662" s="561" t="s">
        <v>164</v>
      </c>
      <c r="N2662" s="52" t="str">
        <f>IF(AND('331-CT'!$E$7=TH!H2662,OR(L2662="331",M2662="331")),"331",IF(AND(OR(L2662="131",M2662="131"),H2662='131-CT'!$E$7),"131",""))</f>
        <v/>
      </c>
      <c r="O2662" s="818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751"/>
      <c r="AB2662" s="552"/>
    </row>
    <row r="2663" spans="1:29" s="209" customFormat="1" ht="15.75" customHeight="1">
      <c r="A2663" s="202" t="str">
        <f>IF(B2663&lt;&gt;"",IF(AND(B2663&gt;=_TM1,B2663&lt;=_TM2,OR(TH!L2663="1111",TH!M2663="1111")),TH!D2663,""),"")</f>
        <v/>
      </c>
      <c r="B2663" s="36">
        <f t="shared" si="133"/>
        <v>11</v>
      </c>
      <c r="C2663" s="182">
        <f t="shared" ref="C2663:C2714" si="134">E2663</f>
        <v>42699</v>
      </c>
      <c r="D2663" s="182" t="s">
        <v>1547</v>
      </c>
      <c r="E2663" s="691">
        <v>42699</v>
      </c>
      <c r="F2663" s="286" t="s">
        <v>1408</v>
      </c>
      <c r="G2663" s="451" t="s">
        <v>1407</v>
      </c>
      <c r="H2663" s="7" t="s">
        <v>1549</v>
      </c>
      <c r="I2663" s="251">
        <v>23</v>
      </c>
      <c r="J2663" s="251">
        <v>10208.129179600704</v>
      </c>
      <c r="K2663" s="38">
        <f t="shared" si="132"/>
        <v>234787</v>
      </c>
      <c r="L2663" s="561" t="s">
        <v>166</v>
      </c>
      <c r="M2663" s="561" t="s">
        <v>164</v>
      </c>
      <c r="N2663" s="52" t="str">
        <f>IF(AND('331-CT'!$E$7=TH!H2663,OR(L2663="331",M2663="331")),"331",IF(AND(OR(L2663="131",M2663="131"),H2663='131-CT'!$E$7),"131",""))</f>
        <v/>
      </c>
      <c r="O2663" s="818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751"/>
      <c r="AB2663" s="552"/>
    </row>
    <row r="2664" spans="1:29" s="209" customFormat="1" ht="15.75" customHeight="1">
      <c r="A2664" s="202" t="str">
        <f>IF(B2664&lt;&gt;"",IF(AND(B2664&gt;=_TM1,B2664&lt;=_TM2,OR(TH!L2664="1111",TH!M2664="1111")),TH!D2664,""),"")</f>
        <v/>
      </c>
      <c r="B2664" s="36">
        <f t="shared" si="133"/>
        <v>11</v>
      </c>
      <c r="C2664" s="182">
        <f t="shared" si="134"/>
        <v>42699</v>
      </c>
      <c r="D2664" s="182" t="s">
        <v>1547</v>
      </c>
      <c r="E2664" s="691">
        <v>42699</v>
      </c>
      <c r="F2664" s="286" t="s">
        <v>1409</v>
      </c>
      <c r="G2664" s="451" t="s">
        <v>1407</v>
      </c>
      <c r="H2664" s="7" t="s">
        <v>1549</v>
      </c>
      <c r="I2664" s="251">
        <v>500</v>
      </c>
      <c r="J2664" s="251">
        <v>8942.6586201460723</v>
      </c>
      <c r="K2664" s="38">
        <f t="shared" si="132"/>
        <v>4471329</v>
      </c>
      <c r="L2664" s="561" t="s">
        <v>166</v>
      </c>
      <c r="M2664" s="561" t="s">
        <v>164</v>
      </c>
      <c r="N2664" s="52" t="str">
        <f>IF(AND('331-CT'!$E$7=TH!H2664,OR(L2664="331",M2664="331")),"331",IF(AND(OR(L2664="131",M2664="131"),H2664='131-CT'!$E$7),"131",""))</f>
        <v/>
      </c>
      <c r="O2664" s="818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751"/>
      <c r="AB2664" s="552"/>
      <c r="AC2664" s="552"/>
    </row>
    <row r="2665" spans="1:29" s="209" customFormat="1" ht="15.75" customHeight="1">
      <c r="A2665" s="202" t="str">
        <f>IF(B2665&lt;&gt;"",IF(AND(B2665&gt;=_TM1,B2665&lt;=_TM2,OR(TH!L2665="1111",TH!M2665="1111")),TH!D2665,""),"")</f>
        <v/>
      </c>
      <c r="B2665" s="36">
        <f t="shared" si="133"/>
        <v>11</v>
      </c>
      <c r="C2665" s="182">
        <f t="shared" si="134"/>
        <v>42700</v>
      </c>
      <c r="D2665" s="182" t="s">
        <v>1547</v>
      </c>
      <c r="E2665" s="691">
        <v>42700</v>
      </c>
      <c r="F2665" s="286" t="s">
        <v>1446</v>
      </c>
      <c r="G2665" s="451" t="s">
        <v>1414</v>
      </c>
      <c r="H2665" s="7" t="s">
        <v>1549</v>
      </c>
      <c r="I2665" s="251">
        <v>200</v>
      </c>
      <c r="J2665" s="251">
        <v>17632.223128401216</v>
      </c>
      <c r="K2665" s="38">
        <f t="shared" si="132"/>
        <v>3526445</v>
      </c>
      <c r="L2665" s="561" t="s">
        <v>166</v>
      </c>
      <c r="M2665" s="561" t="s">
        <v>164</v>
      </c>
      <c r="N2665" s="52" t="str">
        <f>IF(AND('331-CT'!$E$7=TH!H2665,OR(L2665="331",M2665="331")),"331",IF(AND(OR(L2665="131",M2665="131"),H2665='131-CT'!$E$7),"131",""))</f>
        <v/>
      </c>
      <c r="O2665" s="818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751"/>
      <c r="AB2665" s="552"/>
    </row>
    <row r="2666" spans="1:29" s="209" customFormat="1" ht="15.75" customHeight="1">
      <c r="A2666" s="202" t="str">
        <f>IF(B2666&lt;&gt;"",IF(AND(B2666&gt;=_TM1,B2666&lt;=_TM2,OR(TH!L2666="1111",TH!M2666="1111")),TH!D2666,""),"")</f>
        <v/>
      </c>
      <c r="B2666" s="36">
        <f t="shared" si="133"/>
        <v>11</v>
      </c>
      <c r="C2666" s="182">
        <f t="shared" si="134"/>
        <v>42700</v>
      </c>
      <c r="D2666" s="182" t="s">
        <v>1547</v>
      </c>
      <c r="E2666" s="691">
        <v>42700</v>
      </c>
      <c r="F2666" s="286" t="s">
        <v>1335</v>
      </c>
      <c r="G2666" s="451" t="s">
        <v>810</v>
      </c>
      <c r="H2666" s="7" t="s">
        <v>1549</v>
      </c>
      <c r="I2666" s="251">
        <v>259</v>
      </c>
      <c r="J2666" s="251">
        <v>7845.9174686187234</v>
      </c>
      <c r="K2666" s="38">
        <f t="shared" si="132"/>
        <v>2032093</v>
      </c>
      <c r="L2666" s="561" t="s">
        <v>166</v>
      </c>
      <c r="M2666" s="561" t="s">
        <v>164</v>
      </c>
      <c r="N2666" s="52" t="str">
        <f>IF(AND('331-CT'!$E$7=TH!H2666,OR(L2666="331",M2666="331")),"331",IF(AND(OR(L2666="131",M2666="131"),H2666='131-CT'!$E$7),"131",""))</f>
        <v/>
      </c>
      <c r="O2666" s="818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751"/>
      <c r="AB2666" s="552"/>
    </row>
    <row r="2667" spans="1:29" s="209" customFormat="1" ht="15.75" customHeight="1">
      <c r="A2667" s="202" t="str">
        <f>IF(B2667&lt;&gt;"",IF(AND(B2667&gt;=_TM1,B2667&lt;=_TM2,OR(TH!L2667="1111",TH!M2667="1111")),TH!D2667,""),"")</f>
        <v/>
      </c>
      <c r="B2667" s="36">
        <f t="shared" si="133"/>
        <v>11</v>
      </c>
      <c r="C2667" s="182">
        <f t="shared" si="134"/>
        <v>42700</v>
      </c>
      <c r="D2667" s="182" t="s">
        <v>1547</v>
      </c>
      <c r="E2667" s="691">
        <v>42700</v>
      </c>
      <c r="F2667" s="286" t="s">
        <v>1415</v>
      </c>
      <c r="G2667" s="451" t="s">
        <v>810</v>
      </c>
      <c r="H2667" s="7" t="s">
        <v>1549</v>
      </c>
      <c r="I2667" s="251">
        <v>286</v>
      </c>
      <c r="J2667" s="251">
        <v>12401.611482655402</v>
      </c>
      <c r="K2667" s="38">
        <f t="shared" si="132"/>
        <v>3546861</v>
      </c>
      <c r="L2667" s="561" t="s">
        <v>166</v>
      </c>
      <c r="M2667" s="561" t="s">
        <v>164</v>
      </c>
      <c r="N2667" s="52" t="str">
        <f>IF(AND('331-CT'!$E$7=TH!H2667,OR(L2667="331",M2667="331")),"331",IF(AND(OR(L2667="131",M2667="131"),H2667='131-CT'!$E$7),"131",""))</f>
        <v/>
      </c>
      <c r="O2667" s="818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751"/>
    </row>
    <row r="2668" spans="1:29" s="209" customFormat="1" ht="15.75" customHeight="1">
      <c r="A2668" s="202" t="str">
        <f>IF(B2668&lt;&gt;"",IF(AND(B2668&gt;=_TM1,B2668&lt;=_TM2,OR(TH!L2668="1111",TH!M2668="1111")),TH!D2668,""),"")</f>
        <v/>
      </c>
      <c r="B2668" s="36">
        <f t="shared" si="133"/>
        <v>11</v>
      </c>
      <c r="C2668" s="182">
        <f t="shared" si="134"/>
        <v>42700</v>
      </c>
      <c r="D2668" s="182" t="s">
        <v>1547</v>
      </c>
      <c r="E2668" s="691">
        <v>42700</v>
      </c>
      <c r="F2668" s="286" t="s">
        <v>1416</v>
      </c>
      <c r="G2668" s="451" t="s">
        <v>810</v>
      </c>
      <c r="H2668" s="7" t="s">
        <v>1549</v>
      </c>
      <c r="I2668" s="251">
        <v>308</v>
      </c>
      <c r="J2668" s="251">
        <v>7930.2821725823651</v>
      </c>
      <c r="K2668" s="38">
        <f t="shared" si="132"/>
        <v>2442527</v>
      </c>
      <c r="L2668" s="561" t="s">
        <v>166</v>
      </c>
      <c r="M2668" s="561" t="s">
        <v>164</v>
      </c>
      <c r="N2668" s="52" t="str">
        <f>IF(AND('331-CT'!$E$7=TH!H2668,OR(L2668="331",M2668="331")),"331",IF(AND(OR(L2668="131",M2668="131"),H2668='131-CT'!$E$7),"131",""))</f>
        <v/>
      </c>
      <c r="O2668" s="818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751"/>
    </row>
    <row r="2669" spans="1:29" s="209" customFormat="1" ht="15.75" customHeight="1">
      <c r="A2669" s="202" t="str">
        <f>IF(B2669&lt;&gt;"",IF(AND(B2669&gt;=_TM1,B2669&lt;=_TM2,OR(TH!L2669="1111",TH!M2669="1111")),TH!D2669,""),"")</f>
        <v/>
      </c>
      <c r="B2669" s="36">
        <f t="shared" si="133"/>
        <v>11</v>
      </c>
      <c r="C2669" s="182">
        <f t="shared" si="134"/>
        <v>42701</v>
      </c>
      <c r="D2669" s="182" t="s">
        <v>1547</v>
      </c>
      <c r="E2669" s="691">
        <v>42701</v>
      </c>
      <c r="F2669" s="190" t="s">
        <v>1418</v>
      </c>
      <c r="G2669" s="451" t="s">
        <v>1417</v>
      </c>
      <c r="H2669" s="7" t="s">
        <v>1549</v>
      </c>
      <c r="I2669" s="251">
        <v>48</v>
      </c>
      <c r="J2669" s="251">
        <v>9786.3056597824925</v>
      </c>
      <c r="K2669" s="38">
        <f t="shared" si="132"/>
        <v>469743</v>
      </c>
      <c r="L2669" s="561" t="s">
        <v>166</v>
      </c>
      <c r="M2669" s="561" t="s">
        <v>164</v>
      </c>
      <c r="N2669" s="52" t="str">
        <f>IF(AND('331-CT'!$E$7=TH!H2669,OR(L2669="331",M2669="331")),"331",IF(AND(OR(L2669="131",M2669="131"),H2669='131-CT'!$E$7),"131",""))</f>
        <v/>
      </c>
      <c r="O2669" s="818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751"/>
      <c r="AB2669" s="552"/>
      <c r="AC2669" s="552"/>
    </row>
    <row r="2670" spans="1:29" s="209" customFormat="1" ht="15.75" customHeight="1">
      <c r="A2670" s="202" t="str">
        <f>IF(B2670&lt;&gt;"",IF(AND(B2670&gt;=_TM1,B2670&lt;=_TM2,OR(TH!L2670="1111",TH!M2670="1111")),TH!D2670,""),"")</f>
        <v/>
      </c>
      <c r="B2670" s="36">
        <f t="shared" si="133"/>
        <v>11</v>
      </c>
      <c r="C2670" s="182">
        <f t="shared" si="134"/>
        <v>42701</v>
      </c>
      <c r="D2670" s="182" t="s">
        <v>1547</v>
      </c>
      <c r="E2670" s="691">
        <v>42701</v>
      </c>
      <c r="F2670" s="190" t="s">
        <v>1473</v>
      </c>
      <c r="G2670" s="451" t="s">
        <v>1470</v>
      </c>
      <c r="H2670" s="7" t="s">
        <v>1549</v>
      </c>
      <c r="I2670" s="668">
        <v>4000</v>
      </c>
      <c r="J2670" s="668">
        <v>7086.635132945943</v>
      </c>
      <c r="K2670" s="38">
        <f t="shared" si="132"/>
        <v>28346541</v>
      </c>
      <c r="L2670" s="561" t="s">
        <v>166</v>
      </c>
      <c r="M2670" s="561" t="s">
        <v>164</v>
      </c>
      <c r="N2670" s="52" t="str">
        <f>IF(AND('331-CT'!$E$7=TH!H2670,OR(L2670="331",M2670="331")),"331",IF(AND(OR(L2670="131",M2670="131"),H2670='131-CT'!$E$7),"131",""))</f>
        <v/>
      </c>
      <c r="O2670" s="818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751"/>
      <c r="AB2670" s="552"/>
      <c r="AC2670" s="552"/>
    </row>
    <row r="2671" spans="1:29" s="209" customFormat="1" ht="15.75" customHeight="1">
      <c r="A2671" s="202" t="str">
        <f>IF(B2671&lt;&gt;"",IF(AND(B2671&gt;=_TM1,B2671&lt;=_TM2,OR(TH!L2671="1111",TH!M2671="1111")),TH!D2671,""),"")</f>
        <v/>
      </c>
      <c r="B2671" s="36">
        <f t="shared" si="133"/>
        <v>11</v>
      </c>
      <c r="C2671" s="182">
        <f t="shared" si="134"/>
        <v>42702</v>
      </c>
      <c r="D2671" s="182" t="s">
        <v>1547</v>
      </c>
      <c r="E2671" s="691">
        <v>42702</v>
      </c>
      <c r="F2671" s="190" t="s">
        <v>1473</v>
      </c>
      <c r="G2671" s="451" t="s">
        <v>1474</v>
      </c>
      <c r="H2671" s="7" t="s">
        <v>1549</v>
      </c>
      <c r="I2671" s="668">
        <v>1700</v>
      </c>
      <c r="J2671" s="668">
        <v>7086.635132945943</v>
      </c>
      <c r="K2671" s="38">
        <f t="shared" ref="K2671:K2691" si="135">ROUND(I2671*J2671,0)</f>
        <v>12047280</v>
      </c>
      <c r="L2671" s="561" t="s">
        <v>166</v>
      </c>
      <c r="M2671" s="561" t="s">
        <v>164</v>
      </c>
      <c r="N2671" s="52" t="str">
        <f>IF(AND('331-CT'!$E$7=TH!H2671,OR(L2671="331",M2671="331")),"331",IF(AND(OR(L2671="131",M2671="131"),H2671='131-CT'!$E$7),"131",""))</f>
        <v/>
      </c>
      <c r="O2671" s="818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751"/>
      <c r="AB2671" s="552"/>
    </row>
    <row r="2672" spans="1:29" s="209" customFormat="1" ht="15.75" customHeight="1">
      <c r="A2672" s="202" t="str">
        <f>IF(B2672&lt;&gt;"",IF(AND(B2672&gt;=_TM1,B2672&lt;=_TM2,OR(TH!L2672="1111",TH!M2672="1111")),TH!D2672,""),"")</f>
        <v/>
      </c>
      <c r="B2672" s="36">
        <f t="shared" si="133"/>
        <v>11</v>
      </c>
      <c r="C2672" s="182">
        <f t="shared" si="134"/>
        <v>42703</v>
      </c>
      <c r="D2672" s="182" t="s">
        <v>1547</v>
      </c>
      <c r="E2672" s="691">
        <v>42703</v>
      </c>
      <c r="F2672" s="190" t="s">
        <v>1473</v>
      </c>
      <c r="G2672" s="451" t="s">
        <v>1475</v>
      </c>
      <c r="H2672" s="7" t="s">
        <v>1549</v>
      </c>
      <c r="I2672" s="251">
        <v>4000</v>
      </c>
      <c r="J2672" s="251">
        <v>7086.635132945943</v>
      </c>
      <c r="K2672" s="38">
        <f t="shared" si="135"/>
        <v>28346541</v>
      </c>
      <c r="L2672" s="561" t="s">
        <v>166</v>
      </c>
      <c r="M2672" s="561" t="s">
        <v>164</v>
      </c>
      <c r="N2672" s="52" t="str">
        <f>IF(AND('331-CT'!$E$7=TH!H2672,OR(L2672="331",M2672="331")),"331",IF(AND(OR(L2672="131",M2672="131"),H2672='131-CT'!$E$7),"131",""))</f>
        <v/>
      </c>
      <c r="O2672" s="818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751"/>
      <c r="AB2672" s="552"/>
      <c r="AC2672" s="552"/>
    </row>
    <row r="2673" spans="1:29" s="209" customFormat="1" ht="15.75" customHeight="1">
      <c r="A2673" s="202" t="str">
        <f>IF(B2673&lt;&gt;"",IF(AND(B2673&gt;=_TM1,B2673&lt;=_TM2,OR(TH!L2673="1111",TH!M2673="1111")),TH!D2673,""),"")</f>
        <v/>
      </c>
      <c r="B2673" s="36">
        <f t="shared" si="133"/>
        <v>12</v>
      </c>
      <c r="C2673" s="182">
        <f t="shared" si="134"/>
        <v>42705</v>
      </c>
      <c r="D2673" s="182" t="s">
        <v>1547</v>
      </c>
      <c r="E2673" s="691">
        <v>42705</v>
      </c>
      <c r="F2673" s="190" t="s">
        <v>1473</v>
      </c>
      <c r="G2673" s="451" t="s">
        <v>1476</v>
      </c>
      <c r="H2673" s="7" t="s">
        <v>1549</v>
      </c>
      <c r="I2673" s="251">
        <v>4000</v>
      </c>
      <c r="J2673" s="251">
        <v>7086.635132945943</v>
      </c>
      <c r="K2673" s="38">
        <f t="shared" si="135"/>
        <v>28346541</v>
      </c>
      <c r="L2673" s="561" t="s">
        <v>166</v>
      </c>
      <c r="M2673" s="561" t="s">
        <v>164</v>
      </c>
      <c r="N2673" s="52" t="str">
        <f>IF(AND('331-CT'!$E$7=TH!H2673,OR(L2673="331",M2673="331")),"331",IF(AND(OR(L2673="131",M2673="131"),H2673='131-CT'!$E$7),"131",""))</f>
        <v/>
      </c>
      <c r="O2673" s="818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751"/>
      <c r="AB2673" s="552"/>
      <c r="AC2673" s="552"/>
    </row>
    <row r="2674" spans="1:29" s="209" customFormat="1" ht="15.75" customHeight="1">
      <c r="A2674" s="202" t="str">
        <f>IF(B2674&lt;&gt;"",IF(AND(B2674&gt;=_TM1,B2674&lt;=_TM2,OR(TH!L2674="1111",TH!M2674="1111")),TH!D2674,""),"")</f>
        <v/>
      </c>
      <c r="B2674" s="36">
        <f t="shared" si="133"/>
        <v>12</v>
      </c>
      <c r="C2674" s="182">
        <f t="shared" si="134"/>
        <v>42709</v>
      </c>
      <c r="D2674" s="182" t="s">
        <v>1547</v>
      </c>
      <c r="E2674" s="691">
        <v>42709</v>
      </c>
      <c r="F2674" s="190" t="s">
        <v>1255</v>
      </c>
      <c r="G2674" s="451" t="s">
        <v>1478</v>
      </c>
      <c r="H2674" s="7" t="s">
        <v>1549</v>
      </c>
      <c r="I2674" s="251">
        <v>1870</v>
      </c>
      <c r="J2674" s="251">
        <v>6917.9057250186588</v>
      </c>
      <c r="K2674" s="38">
        <f t="shared" si="135"/>
        <v>12936484</v>
      </c>
      <c r="L2674" s="561" t="s">
        <v>166</v>
      </c>
      <c r="M2674" s="561" t="s">
        <v>164</v>
      </c>
      <c r="N2674" s="52" t="str">
        <f>IF(AND('331-CT'!$E$7=TH!H2674,OR(L2674="331",M2674="331")),"331",IF(AND(OR(L2674="131",M2674="131"),H2674='131-CT'!$E$7),"131",""))</f>
        <v/>
      </c>
      <c r="O2674" s="818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751"/>
      <c r="AB2674" s="552"/>
    </row>
    <row r="2675" spans="1:29" s="209" customFormat="1" ht="15.75" customHeight="1">
      <c r="A2675" s="202" t="str">
        <f>IF(B2675&lt;&gt;"",IF(AND(B2675&gt;=_TM1,B2675&lt;=_TM2,OR(TH!L2675="1111",TH!M2675="1111")),TH!D2675,""),"")</f>
        <v/>
      </c>
      <c r="B2675" s="36">
        <f t="shared" si="133"/>
        <v>12</v>
      </c>
      <c r="C2675" s="182">
        <f t="shared" si="134"/>
        <v>42709</v>
      </c>
      <c r="D2675" s="182" t="s">
        <v>1547</v>
      </c>
      <c r="E2675" s="691">
        <v>42709</v>
      </c>
      <c r="F2675" s="286" t="s">
        <v>441</v>
      </c>
      <c r="G2675" s="451" t="s">
        <v>1478</v>
      </c>
      <c r="H2675" s="7" t="s">
        <v>1549</v>
      </c>
      <c r="I2675" s="251">
        <v>535</v>
      </c>
      <c r="J2675" s="251">
        <v>13329.623226255466</v>
      </c>
      <c r="K2675" s="38">
        <f t="shared" si="135"/>
        <v>7131348</v>
      </c>
      <c r="L2675" s="561" t="s">
        <v>166</v>
      </c>
      <c r="M2675" s="561" t="s">
        <v>164</v>
      </c>
      <c r="N2675" s="52" t="str">
        <f>IF(AND('331-CT'!$E$7=TH!H2675,OR(L2675="331",M2675="331")),"331",IF(AND(OR(L2675="131",M2675="131"),H2675='131-CT'!$E$7),"131",""))</f>
        <v/>
      </c>
      <c r="O2675" s="818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751"/>
      <c r="AB2675" s="552"/>
      <c r="AC2675" s="552"/>
    </row>
    <row r="2676" spans="1:29" s="209" customFormat="1" ht="15.75" customHeight="1">
      <c r="A2676" s="202" t="str">
        <f>IF(B2676&lt;&gt;"",IF(AND(B2676&gt;=_TM1,B2676&lt;=_TM2,OR(TH!L2676="1111",TH!M2676="1111")),TH!D2676,""),"")</f>
        <v/>
      </c>
      <c r="B2676" s="36">
        <f t="shared" si="133"/>
        <v>12</v>
      </c>
      <c r="C2676" s="182">
        <f t="shared" si="134"/>
        <v>42709</v>
      </c>
      <c r="D2676" s="182" t="s">
        <v>1547</v>
      </c>
      <c r="E2676" s="691">
        <v>42709</v>
      </c>
      <c r="F2676" s="286" t="s">
        <v>1256</v>
      </c>
      <c r="G2676" s="451" t="s">
        <v>1478</v>
      </c>
      <c r="H2676" s="7" t="s">
        <v>1549</v>
      </c>
      <c r="I2676" s="251">
        <v>520</v>
      </c>
      <c r="J2676" s="251">
        <v>7930.2821725823651</v>
      </c>
      <c r="K2676" s="38">
        <f t="shared" si="135"/>
        <v>4123747</v>
      </c>
      <c r="L2676" s="561" t="s">
        <v>166</v>
      </c>
      <c r="M2676" s="561" t="s">
        <v>164</v>
      </c>
      <c r="N2676" s="52" t="str">
        <f>IF(AND('331-CT'!$E$7=TH!H2676,OR(L2676="331",M2676="331")),"331",IF(AND(OR(L2676="131",M2676="131"),H2676='131-CT'!$E$7),"131",""))</f>
        <v/>
      </c>
      <c r="O2676" s="818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751"/>
      <c r="AB2676" s="552"/>
    </row>
    <row r="2677" spans="1:29" s="209" customFormat="1" ht="15.75" customHeight="1">
      <c r="A2677" s="202" t="str">
        <f>IF(B2677&lt;&gt;"",IF(AND(B2677&gt;=_TM1,B2677&lt;=_TM2,OR(TH!L2677="1111",TH!M2677="1111")),TH!D2677,""),"")</f>
        <v/>
      </c>
      <c r="B2677" s="36">
        <f t="shared" si="133"/>
        <v>12</v>
      </c>
      <c r="C2677" s="182">
        <f t="shared" si="134"/>
        <v>42710</v>
      </c>
      <c r="D2677" s="182" t="s">
        <v>1547</v>
      </c>
      <c r="E2677" s="691">
        <v>42710</v>
      </c>
      <c r="F2677" s="190" t="s">
        <v>1480</v>
      </c>
      <c r="G2677" s="451" t="s">
        <v>1479</v>
      </c>
      <c r="H2677" s="7" t="s">
        <v>1549</v>
      </c>
      <c r="I2677" s="251">
        <v>52</v>
      </c>
      <c r="J2677" s="251">
        <v>9955.0350677097776</v>
      </c>
      <c r="K2677" s="38">
        <f t="shared" si="135"/>
        <v>517662</v>
      </c>
      <c r="L2677" s="561" t="s">
        <v>166</v>
      </c>
      <c r="M2677" s="561" t="s">
        <v>164</v>
      </c>
      <c r="N2677" s="52" t="str">
        <f>IF(AND('331-CT'!$E$7=TH!H2677,OR(L2677="331",M2677="331")),"331",IF(AND(OR(L2677="131",M2677="131"),H2677='131-CT'!$E$7),"131",""))</f>
        <v/>
      </c>
      <c r="O2677" s="818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751"/>
      <c r="AB2677" s="552"/>
      <c r="AC2677" s="552"/>
    </row>
    <row r="2678" spans="1:29" s="209" customFormat="1" ht="15.75" customHeight="1">
      <c r="A2678" s="202" t="str">
        <f>IF(B2678&lt;&gt;"",IF(AND(B2678&gt;=_TM1,B2678&lt;=_TM2,OR(TH!L2678="1111",TH!M2678="1111")),TH!D2678,""),"")</f>
        <v/>
      </c>
      <c r="B2678" s="36">
        <f t="shared" si="133"/>
        <v>12</v>
      </c>
      <c r="C2678" s="182">
        <f t="shared" si="134"/>
        <v>42710</v>
      </c>
      <c r="D2678" s="182" t="s">
        <v>1547</v>
      </c>
      <c r="E2678" s="691">
        <v>42710</v>
      </c>
      <c r="F2678" s="190" t="s">
        <v>1481</v>
      </c>
      <c r="G2678" s="451" t="s">
        <v>1479</v>
      </c>
      <c r="H2678" s="7" t="s">
        <v>1549</v>
      </c>
      <c r="I2678" s="251">
        <v>114</v>
      </c>
      <c r="J2678" s="251">
        <v>9280.1174360006407</v>
      </c>
      <c r="K2678" s="38">
        <f t="shared" si="135"/>
        <v>1057933</v>
      </c>
      <c r="L2678" s="561" t="s">
        <v>166</v>
      </c>
      <c r="M2678" s="561" t="s">
        <v>164</v>
      </c>
      <c r="N2678" s="52" t="str">
        <f>IF(AND('331-CT'!$E$7=TH!H2678,OR(L2678="331",M2678="331")),"331",IF(AND(OR(L2678="131",M2678="131"),H2678='131-CT'!$E$7),"131",""))</f>
        <v/>
      </c>
      <c r="O2678" s="818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751"/>
      <c r="AB2678" s="552"/>
      <c r="AC2678" s="552"/>
    </row>
    <row r="2679" spans="1:29" s="209" customFormat="1" ht="15.75" customHeight="1">
      <c r="A2679" s="202" t="str">
        <f>IF(B2679&lt;&gt;"",IF(AND(B2679&gt;=_TM1,B2679&lt;=_TM2,OR(TH!L2679="1111",TH!M2679="1111")),TH!D2679,""),"")</f>
        <v/>
      </c>
      <c r="B2679" s="36">
        <f t="shared" si="133"/>
        <v>12</v>
      </c>
      <c r="C2679" s="182">
        <f t="shared" si="134"/>
        <v>42710</v>
      </c>
      <c r="D2679" s="182" t="s">
        <v>1547</v>
      </c>
      <c r="E2679" s="691">
        <v>42710</v>
      </c>
      <c r="F2679" s="190" t="s">
        <v>1484</v>
      </c>
      <c r="G2679" s="451" t="s">
        <v>1482</v>
      </c>
      <c r="H2679" s="7" t="s">
        <v>1549</v>
      </c>
      <c r="I2679" s="251">
        <v>879</v>
      </c>
      <c r="J2679" s="251">
        <v>2952.7646387274763</v>
      </c>
      <c r="K2679" s="38">
        <f t="shared" si="135"/>
        <v>2595480</v>
      </c>
      <c r="L2679" s="561" t="s">
        <v>166</v>
      </c>
      <c r="M2679" s="561" t="s">
        <v>164</v>
      </c>
      <c r="N2679" s="52" t="str">
        <f>IF(AND('331-CT'!$E$7=TH!H2679,OR(L2679="331",M2679="331")),"331",IF(AND(OR(L2679="131",M2679="131"),H2679='131-CT'!$E$7),"131",""))</f>
        <v/>
      </c>
      <c r="O2679" s="818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751"/>
      <c r="AB2679" s="552"/>
    </row>
    <row r="2680" spans="1:29" s="209" customFormat="1" ht="15.75" customHeight="1">
      <c r="A2680" s="202" t="str">
        <f>IF(B2680&lt;&gt;"",IF(AND(B2680&gt;=_TM1,B2680&lt;=_TM2,OR(TH!L2680="1111",TH!M2680="1111")),TH!D2680,""),"")</f>
        <v/>
      </c>
      <c r="B2680" s="36">
        <f t="shared" si="133"/>
        <v>12</v>
      </c>
      <c r="C2680" s="182">
        <f t="shared" si="134"/>
        <v>42710</v>
      </c>
      <c r="D2680" s="182" t="s">
        <v>1547</v>
      </c>
      <c r="E2680" s="691">
        <v>42710</v>
      </c>
      <c r="F2680" s="190" t="s">
        <v>1485</v>
      </c>
      <c r="G2680" s="451" t="s">
        <v>1482</v>
      </c>
      <c r="H2680" s="7" t="s">
        <v>1549</v>
      </c>
      <c r="I2680" s="251">
        <v>523</v>
      </c>
      <c r="J2680" s="251">
        <v>4133.8704942184668</v>
      </c>
      <c r="K2680" s="38">
        <f t="shared" si="135"/>
        <v>2162014</v>
      </c>
      <c r="L2680" s="561" t="s">
        <v>166</v>
      </c>
      <c r="M2680" s="561" t="s">
        <v>164</v>
      </c>
      <c r="N2680" s="52" t="str">
        <f>IF(AND('331-CT'!$E$7=TH!H2680,OR(L2680="331",M2680="331")),"331",IF(AND(OR(L2680="131",M2680="131"),H2680='131-CT'!$E$7),"131",""))</f>
        <v/>
      </c>
      <c r="O2680" s="818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751"/>
      <c r="AB2680" s="552"/>
      <c r="AC2680" s="552"/>
    </row>
    <row r="2681" spans="1:29" s="209" customFormat="1" ht="15.75" customHeight="1">
      <c r="A2681" s="202" t="str">
        <f>IF(B2681&lt;&gt;"",IF(AND(B2681&gt;=_TM1,B2681&lt;=_TM2,OR(TH!L2681="1111",TH!M2681="1111")),TH!D2681,""),"")</f>
        <v/>
      </c>
      <c r="B2681" s="36">
        <f t="shared" si="133"/>
        <v>12</v>
      </c>
      <c r="C2681" s="182">
        <f t="shared" si="134"/>
        <v>42710</v>
      </c>
      <c r="D2681" s="182" t="s">
        <v>1547</v>
      </c>
      <c r="E2681" s="691">
        <v>42710</v>
      </c>
      <c r="F2681" s="190" t="s">
        <v>1473</v>
      </c>
      <c r="G2681" s="451" t="s">
        <v>1486</v>
      </c>
      <c r="H2681" s="7" t="s">
        <v>1549</v>
      </c>
      <c r="I2681" s="251">
        <v>2400</v>
      </c>
      <c r="J2681" s="251">
        <v>7086.635132945943</v>
      </c>
      <c r="K2681" s="38">
        <f t="shared" si="135"/>
        <v>17007924</v>
      </c>
      <c r="L2681" s="561" t="s">
        <v>166</v>
      </c>
      <c r="M2681" s="561" t="s">
        <v>164</v>
      </c>
      <c r="N2681" s="52" t="str">
        <f>IF(AND('331-CT'!$E$7=TH!H2681,OR(L2681="331",M2681="331")),"331",IF(AND(OR(L2681="131",M2681="131"),H2681='131-CT'!$E$7),"131",""))</f>
        <v/>
      </c>
      <c r="O2681" s="818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751"/>
      <c r="AB2681" s="552"/>
      <c r="AC2681" s="552"/>
    </row>
    <row r="2682" spans="1:29" s="209" customFormat="1" ht="15.75" customHeight="1">
      <c r="A2682" s="202" t="str">
        <f>IF(B2682&lt;&gt;"",IF(AND(B2682&gt;=_TM1,B2682&lt;=_TM2,OR(TH!L2682="1111",TH!M2682="1111")),TH!D2682,""),"")</f>
        <v/>
      </c>
      <c r="B2682" s="36">
        <f t="shared" si="133"/>
        <v>12</v>
      </c>
      <c r="C2682" s="182">
        <f t="shared" si="134"/>
        <v>42711</v>
      </c>
      <c r="D2682" s="182" t="s">
        <v>1547</v>
      </c>
      <c r="E2682" s="691">
        <v>42711</v>
      </c>
      <c r="F2682" s="190" t="s">
        <v>1473</v>
      </c>
      <c r="G2682" s="451" t="s">
        <v>1487</v>
      </c>
      <c r="H2682" s="7" t="s">
        <v>1549</v>
      </c>
      <c r="I2682" s="251">
        <v>2400</v>
      </c>
      <c r="J2682" s="251">
        <v>7086.635132945943</v>
      </c>
      <c r="K2682" s="38">
        <f t="shared" si="135"/>
        <v>17007924</v>
      </c>
      <c r="L2682" s="561" t="s">
        <v>166</v>
      </c>
      <c r="M2682" s="561" t="s">
        <v>164</v>
      </c>
      <c r="N2682" s="52" t="str">
        <f>IF(AND('331-CT'!$E$7=TH!H2682,OR(L2682="331",M2682="331")),"331",IF(AND(OR(L2682="131",M2682="131"),H2682='131-CT'!$E$7),"131",""))</f>
        <v/>
      </c>
      <c r="O2682" s="818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751"/>
      <c r="AB2682" s="552"/>
    </row>
    <row r="2683" spans="1:29" s="209" customFormat="1" ht="15.75" customHeight="1">
      <c r="A2683" s="202" t="str">
        <f>IF(B2683&lt;&gt;"",IF(AND(B2683&gt;=_TM1,B2683&lt;=_TM2,OR(TH!L2683="1111",TH!M2683="1111")),TH!D2683,""),"")</f>
        <v/>
      </c>
      <c r="B2683" s="36">
        <f t="shared" si="133"/>
        <v>12</v>
      </c>
      <c r="C2683" s="182">
        <f t="shared" si="134"/>
        <v>42713</v>
      </c>
      <c r="D2683" s="182" t="s">
        <v>1547</v>
      </c>
      <c r="E2683" s="691">
        <v>42713</v>
      </c>
      <c r="F2683" s="187" t="s">
        <v>1303</v>
      </c>
      <c r="G2683" s="451" t="s">
        <v>1488</v>
      </c>
      <c r="H2683" s="7" t="s">
        <v>1549</v>
      </c>
      <c r="I2683" s="668">
        <v>1510</v>
      </c>
      <c r="J2683" s="668">
        <v>6074.2586853822377</v>
      </c>
      <c r="K2683" s="38">
        <f t="shared" si="135"/>
        <v>9172131</v>
      </c>
      <c r="L2683" s="561" t="s">
        <v>166</v>
      </c>
      <c r="M2683" s="561" t="s">
        <v>164</v>
      </c>
      <c r="N2683" s="52" t="str">
        <f>IF(AND('331-CT'!$E$7=TH!H2683,OR(L2683="331",M2683="331")),"331",IF(AND(OR(L2683="131",M2683="131"),H2683='131-CT'!$E$7),"131",""))</f>
        <v/>
      </c>
      <c r="O2683" s="818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751"/>
    </row>
    <row r="2684" spans="1:29" s="209" customFormat="1" ht="15.75" customHeight="1">
      <c r="A2684" s="202" t="str">
        <f>IF(B2684&lt;&gt;"",IF(AND(B2684&gt;=_TM1,B2684&lt;=_TM2,OR(TH!L2684="1111",TH!M2684="1111")),TH!D2684,""),"")</f>
        <v/>
      </c>
      <c r="B2684" s="36">
        <f t="shared" si="133"/>
        <v>12</v>
      </c>
      <c r="C2684" s="182">
        <f t="shared" si="134"/>
        <v>42713</v>
      </c>
      <c r="D2684" s="182" t="s">
        <v>1547</v>
      </c>
      <c r="E2684" s="691">
        <v>42713</v>
      </c>
      <c r="F2684" s="187" t="s">
        <v>1315</v>
      </c>
      <c r="G2684" s="451" t="s">
        <v>1488</v>
      </c>
      <c r="H2684" s="7" t="s">
        <v>1549</v>
      </c>
      <c r="I2684" s="251">
        <v>1500</v>
      </c>
      <c r="J2684" s="251">
        <v>4724.4234219639629</v>
      </c>
      <c r="K2684" s="38">
        <f t="shared" si="135"/>
        <v>7086635</v>
      </c>
      <c r="L2684" s="561" t="s">
        <v>166</v>
      </c>
      <c r="M2684" s="561" t="s">
        <v>164</v>
      </c>
      <c r="N2684" s="52" t="str">
        <f>IF(AND('331-CT'!$E$7=TH!H2684,OR(L2684="331",M2684="331")),"331",IF(AND(OR(L2684="131",M2684="131"),H2684='131-CT'!$E$7),"131",""))</f>
        <v/>
      </c>
      <c r="O2684" s="818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751"/>
    </row>
    <row r="2685" spans="1:29" s="209" customFormat="1" ht="15.75" customHeight="1">
      <c r="A2685" s="202" t="str">
        <f>IF(B2685&lt;&gt;"",IF(AND(B2685&gt;=_TM1,B2685&lt;=_TM2,OR(TH!L2685="1111",TH!M2685="1111")),TH!D2685,""),"")</f>
        <v/>
      </c>
      <c r="B2685" s="36">
        <f t="shared" si="133"/>
        <v>12</v>
      </c>
      <c r="C2685" s="182">
        <f t="shared" si="134"/>
        <v>42713</v>
      </c>
      <c r="D2685" s="182" t="s">
        <v>1547</v>
      </c>
      <c r="E2685" s="691">
        <v>42713</v>
      </c>
      <c r="F2685" s="286" t="s">
        <v>1355</v>
      </c>
      <c r="G2685" s="451" t="s">
        <v>1489</v>
      </c>
      <c r="H2685" s="7" t="s">
        <v>1549</v>
      </c>
      <c r="I2685" s="251">
        <v>535</v>
      </c>
      <c r="J2685" s="251">
        <v>6327.3527972731645</v>
      </c>
      <c r="K2685" s="38">
        <f t="shared" si="135"/>
        <v>3385134</v>
      </c>
      <c r="L2685" s="561" t="s">
        <v>166</v>
      </c>
      <c r="M2685" s="561" t="s">
        <v>164</v>
      </c>
      <c r="N2685" s="52" t="str">
        <f>IF(AND('331-CT'!$E$7=TH!H2685,OR(L2685="331",M2685="331")),"331",IF(AND(OR(L2685="131",M2685="131"),H2685='131-CT'!$E$7),"131",""))</f>
        <v/>
      </c>
      <c r="O2685" s="818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751"/>
      <c r="AB2685" s="552"/>
      <c r="AC2685" s="552"/>
    </row>
    <row r="2686" spans="1:29" s="209" customFormat="1" ht="15.75" customHeight="1">
      <c r="A2686" s="202" t="str">
        <f>IF(B2686&lt;&gt;"",IF(AND(B2686&gt;=_TM1,B2686&lt;=_TM2,OR(TH!L2686="1111",TH!M2686="1111")),TH!D2686,""),"")</f>
        <v/>
      </c>
      <c r="B2686" s="36">
        <f t="shared" si="133"/>
        <v>12</v>
      </c>
      <c r="C2686" s="182">
        <f t="shared" si="134"/>
        <v>42713</v>
      </c>
      <c r="D2686" s="182" t="s">
        <v>1547</v>
      </c>
      <c r="E2686" s="691">
        <v>42713</v>
      </c>
      <c r="F2686" s="286" t="s">
        <v>954</v>
      </c>
      <c r="G2686" s="451" t="s">
        <v>1489</v>
      </c>
      <c r="H2686" s="7" t="s">
        <v>1549</v>
      </c>
      <c r="I2686" s="251">
        <v>46</v>
      </c>
      <c r="J2686" s="251">
        <v>5905.5292774549525</v>
      </c>
      <c r="K2686" s="38">
        <f t="shared" si="135"/>
        <v>271654</v>
      </c>
      <c r="L2686" s="561" t="s">
        <v>166</v>
      </c>
      <c r="M2686" s="561" t="s">
        <v>164</v>
      </c>
      <c r="N2686" s="52" t="str">
        <f>IF(AND('331-CT'!$E$7=TH!H2686,OR(L2686="331",M2686="331")),"331",IF(AND(OR(L2686="131",M2686="131"),H2686='131-CT'!$E$7),"131",""))</f>
        <v/>
      </c>
      <c r="O2686" s="818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751"/>
      <c r="AB2686" s="552"/>
    </row>
    <row r="2687" spans="1:29" s="209" customFormat="1" ht="15.75" customHeight="1">
      <c r="A2687" s="202" t="str">
        <f>IF(B2687&lt;&gt;"",IF(AND(B2687&gt;=_TM1,B2687&lt;=_TM2,OR(TH!L2687="1111",TH!M2687="1111")),TH!D2687,""),"")</f>
        <v/>
      </c>
      <c r="B2687" s="36">
        <f t="shared" si="133"/>
        <v>12</v>
      </c>
      <c r="C2687" s="182">
        <f t="shared" si="134"/>
        <v>42716</v>
      </c>
      <c r="D2687" s="182" t="s">
        <v>1547</v>
      </c>
      <c r="E2687" s="691">
        <v>42716</v>
      </c>
      <c r="F2687" s="286" t="s">
        <v>1434</v>
      </c>
      <c r="G2687" s="451" t="s">
        <v>1490</v>
      </c>
      <c r="H2687" s="7" t="s">
        <v>1549</v>
      </c>
      <c r="I2687" s="251">
        <v>600</v>
      </c>
      <c r="J2687" s="251">
        <v>8605.1998042915038</v>
      </c>
      <c r="K2687" s="38">
        <f t="shared" si="135"/>
        <v>5163120</v>
      </c>
      <c r="L2687" s="561" t="s">
        <v>166</v>
      </c>
      <c r="M2687" s="561" t="s">
        <v>164</v>
      </c>
      <c r="N2687" s="52" t="str">
        <f>IF(AND('331-CT'!$E$7=TH!H2687,OR(L2687="331",M2687="331")),"331",IF(AND(OR(L2687="131",M2687="131"),H2687='131-CT'!$E$7),"131",""))</f>
        <v/>
      </c>
      <c r="O2687" s="818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751"/>
      <c r="AB2687" s="552"/>
    </row>
    <row r="2688" spans="1:29" s="209" customFormat="1" ht="15.75" customHeight="1">
      <c r="A2688" s="202" t="str">
        <f>IF(B2688&lt;&gt;"",IF(AND(B2688&gt;=_TM1,B2688&lt;=_TM2,OR(TH!L2688="1111",TH!M2688="1111")),TH!D2688,""),"")</f>
        <v/>
      </c>
      <c r="B2688" s="36">
        <f t="shared" si="133"/>
        <v>12</v>
      </c>
      <c r="C2688" s="182">
        <f t="shared" si="134"/>
        <v>42716</v>
      </c>
      <c r="D2688" s="182" t="s">
        <v>1547</v>
      </c>
      <c r="E2688" s="691">
        <v>42716</v>
      </c>
      <c r="F2688" s="190" t="s">
        <v>1473</v>
      </c>
      <c r="G2688" s="451" t="s">
        <v>1491</v>
      </c>
      <c r="H2688" s="7" t="s">
        <v>1549</v>
      </c>
      <c r="I2688" s="251">
        <v>800</v>
      </c>
      <c r="J2688" s="251">
        <v>7086.635132945943</v>
      </c>
      <c r="K2688" s="38">
        <f t="shared" si="135"/>
        <v>5669308</v>
      </c>
      <c r="L2688" s="561" t="s">
        <v>166</v>
      </c>
      <c r="M2688" s="561" t="s">
        <v>164</v>
      </c>
      <c r="N2688" s="52" t="str">
        <f>IF(AND('331-CT'!$E$7=TH!H2688,OR(L2688="331",M2688="331")),"331",IF(AND(OR(L2688="131",M2688="131"),H2688='131-CT'!$E$7),"131",""))</f>
        <v/>
      </c>
      <c r="O2688" s="818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751"/>
      <c r="AB2688" s="552"/>
      <c r="AC2688" s="552"/>
    </row>
    <row r="2689" spans="1:29" s="209" customFormat="1" ht="15.75" customHeight="1">
      <c r="A2689" s="202" t="str">
        <f>IF(B2689&lt;&gt;"",IF(AND(B2689&gt;=_TM1,B2689&lt;=_TM2,OR(TH!L2689="1111",TH!M2689="1111")),TH!D2689,""),"")</f>
        <v/>
      </c>
      <c r="B2689" s="36">
        <f t="shared" si="133"/>
        <v>12</v>
      </c>
      <c r="C2689" s="182">
        <f t="shared" si="134"/>
        <v>42716</v>
      </c>
      <c r="D2689" s="182" t="s">
        <v>1547</v>
      </c>
      <c r="E2689" s="691">
        <v>42716</v>
      </c>
      <c r="F2689" s="190" t="s">
        <v>1473</v>
      </c>
      <c r="G2689" s="451" t="s">
        <v>1492</v>
      </c>
      <c r="H2689" s="7" t="s">
        <v>1549</v>
      </c>
      <c r="I2689" s="251">
        <v>2400</v>
      </c>
      <c r="J2689" s="251">
        <v>7086.635132945943</v>
      </c>
      <c r="K2689" s="38">
        <f t="shared" si="135"/>
        <v>17007924</v>
      </c>
      <c r="L2689" s="561" t="s">
        <v>166</v>
      </c>
      <c r="M2689" s="561" t="s">
        <v>164</v>
      </c>
      <c r="N2689" s="52" t="str">
        <f>IF(AND('331-CT'!$E$7=TH!H2689,OR(L2689="331",M2689="331")),"331",IF(AND(OR(L2689="131",M2689="131"),H2689='131-CT'!$E$7),"131",""))</f>
        <v/>
      </c>
      <c r="O2689" s="818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751"/>
      <c r="AB2689" s="552"/>
    </row>
    <row r="2690" spans="1:29" s="209" customFormat="1" ht="15.75" customHeight="1">
      <c r="A2690" s="202" t="str">
        <f>IF(B2690&lt;&gt;"",IF(AND(B2690&gt;=_TM1,B2690&lt;=_TM2,OR(TH!L2690="1111",TH!M2690="1111")),TH!D2690,""),"")</f>
        <v/>
      </c>
      <c r="B2690" s="36">
        <f t="shared" si="133"/>
        <v>12</v>
      </c>
      <c r="C2690" s="182">
        <f t="shared" si="134"/>
        <v>42717</v>
      </c>
      <c r="D2690" s="182" t="s">
        <v>1547</v>
      </c>
      <c r="E2690" s="189">
        <v>42717</v>
      </c>
      <c r="F2690" s="286" t="s">
        <v>1473</v>
      </c>
      <c r="G2690" s="451" t="s">
        <v>1493</v>
      </c>
      <c r="H2690" s="7" t="s">
        <v>1549</v>
      </c>
      <c r="I2690" s="251">
        <v>2400</v>
      </c>
      <c r="J2690" s="251">
        <v>7086.635132945943</v>
      </c>
      <c r="K2690" s="38">
        <f t="shared" si="135"/>
        <v>17007924</v>
      </c>
      <c r="L2690" s="561" t="s">
        <v>166</v>
      </c>
      <c r="M2690" s="561" t="s">
        <v>164</v>
      </c>
      <c r="N2690" s="52" t="str">
        <f>IF(AND('331-CT'!$E$7=TH!H2690,OR(L2690="331",M2690="331")),"331",IF(AND(OR(L2690="131",M2690="131"),H2690='131-CT'!$E$7),"131",""))</f>
        <v/>
      </c>
      <c r="O2690" s="818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751"/>
      <c r="AB2690" s="552"/>
      <c r="AC2690" s="552"/>
    </row>
    <row r="2691" spans="1:29" s="209" customFormat="1" ht="15.75" customHeight="1">
      <c r="A2691" s="202" t="str">
        <f>IF(B2691&lt;&gt;"",IF(AND(B2691&gt;=_TM1,B2691&lt;=_TM2,OR(TH!L2691="1111",TH!M2691="1111")),TH!D2691,""),"")</f>
        <v/>
      </c>
      <c r="B2691" s="36">
        <f t="shared" si="133"/>
        <v>12</v>
      </c>
      <c r="C2691" s="182">
        <f t="shared" si="134"/>
        <v>42718</v>
      </c>
      <c r="D2691" s="182" t="s">
        <v>1547</v>
      </c>
      <c r="E2691" s="189">
        <v>42718</v>
      </c>
      <c r="F2691" s="286" t="s">
        <v>1473</v>
      </c>
      <c r="G2691" s="451" t="s">
        <v>1494</v>
      </c>
      <c r="H2691" s="7" t="s">
        <v>1549</v>
      </c>
      <c r="I2691" s="251">
        <v>2400</v>
      </c>
      <c r="J2691" s="251">
        <v>7086.635132945943</v>
      </c>
      <c r="K2691" s="38">
        <f t="shared" si="135"/>
        <v>17007924</v>
      </c>
      <c r="L2691" s="561" t="s">
        <v>166</v>
      </c>
      <c r="M2691" s="561" t="s">
        <v>164</v>
      </c>
      <c r="N2691" s="52" t="str">
        <f>IF(AND('331-CT'!$E$7=TH!H2691,OR(L2691="331",M2691="331")),"331",IF(AND(OR(L2691="131",M2691="131"),H2691='131-CT'!$E$7),"131",""))</f>
        <v/>
      </c>
      <c r="O2691" s="818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751"/>
      <c r="AB2691" s="552"/>
    </row>
    <row r="2692" spans="1:29" s="209" customFormat="1" ht="15.75" customHeight="1">
      <c r="A2692" s="202" t="str">
        <f>IF(B2692&lt;&gt;"",IF(AND(B2692&gt;=_TM1,B2692&lt;=_TM2,OR(TH!L2692="1111",TH!M2692="1111")),TH!D2692,""),"")</f>
        <v/>
      </c>
      <c r="B2692" s="36">
        <f t="shared" si="133"/>
        <v>12</v>
      </c>
      <c r="C2692" s="182">
        <f t="shared" si="134"/>
        <v>42719</v>
      </c>
      <c r="D2692" s="182" t="s">
        <v>1547</v>
      </c>
      <c r="E2692" s="189">
        <v>42719</v>
      </c>
      <c r="F2692" s="286" t="s">
        <v>1473</v>
      </c>
      <c r="G2692" s="451" t="s">
        <v>1495</v>
      </c>
      <c r="H2692" s="7" t="s">
        <v>1549</v>
      </c>
      <c r="I2692" s="251">
        <v>2400</v>
      </c>
      <c r="J2692" s="251">
        <v>7086.635132945943</v>
      </c>
      <c r="K2692" s="38">
        <f t="shared" ref="K2692:K2715" si="136">ROUND(I2692*J2692,0)</f>
        <v>17007924</v>
      </c>
      <c r="L2692" s="561" t="s">
        <v>166</v>
      </c>
      <c r="M2692" s="561" t="s">
        <v>164</v>
      </c>
      <c r="N2692" s="52" t="str">
        <f>IF(AND('331-CT'!$E$7=TH!H2692,OR(L2692="331",M2692="331")),"331",IF(AND(OR(L2692="131",M2692="131"),H2692='131-CT'!$E$7),"131",""))</f>
        <v/>
      </c>
      <c r="O2692" s="818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751"/>
      <c r="AB2692" s="552"/>
    </row>
    <row r="2693" spans="1:29" s="209" customFormat="1" ht="15.75" customHeight="1">
      <c r="A2693" s="202" t="str">
        <f>IF(B2693&lt;&gt;"",IF(AND(B2693&gt;=_TM1,B2693&lt;=_TM2,OR(TH!L2693="1111",TH!M2693="1111")),TH!D2693,""),"")</f>
        <v/>
      </c>
      <c r="B2693" s="36">
        <f t="shared" si="133"/>
        <v>12</v>
      </c>
      <c r="C2693" s="182">
        <f t="shared" si="134"/>
        <v>42720</v>
      </c>
      <c r="D2693" s="182" t="s">
        <v>1547</v>
      </c>
      <c r="E2693" s="691">
        <v>42720</v>
      </c>
      <c r="F2693" s="187" t="s">
        <v>1473</v>
      </c>
      <c r="G2693" s="451" t="s">
        <v>1496</v>
      </c>
      <c r="H2693" s="7" t="s">
        <v>1549</v>
      </c>
      <c r="I2693" s="251">
        <v>2400</v>
      </c>
      <c r="J2693" s="251">
        <v>7086.635132945943</v>
      </c>
      <c r="K2693" s="38">
        <f t="shared" si="136"/>
        <v>17007924</v>
      </c>
      <c r="L2693" s="561" t="s">
        <v>166</v>
      </c>
      <c r="M2693" s="561" t="s">
        <v>164</v>
      </c>
      <c r="N2693" s="52" t="str">
        <f>IF(AND('331-CT'!$E$7=TH!H2693,OR(L2693="331",M2693="331")),"331",IF(AND(OR(L2693="131",M2693="131"),H2693='131-CT'!$E$7),"131",""))</f>
        <v/>
      </c>
      <c r="O2693" s="818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751"/>
    </row>
    <row r="2694" spans="1:29" s="209" customFormat="1" ht="15.75" customHeight="1">
      <c r="A2694" s="202" t="str">
        <f>IF(B2694&lt;&gt;"",IF(AND(B2694&gt;=_TM1,B2694&lt;=_TM2,OR(TH!L2694="1111",TH!M2694="1111")),TH!D2694,""),"")</f>
        <v/>
      </c>
      <c r="B2694" s="36">
        <f t="shared" ref="B2694:B2773" si="137">IF(C2694&lt;&gt;"",MONTH(C2694),"")</f>
        <v>12</v>
      </c>
      <c r="C2694" s="182">
        <f t="shared" si="134"/>
        <v>42721</v>
      </c>
      <c r="D2694" s="182" t="s">
        <v>1547</v>
      </c>
      <c r="E2694" s="691">
        <v>42721</v>
      </c>
      <c r="F2694" s="187" t="s">
        <v>1473</v>
      </c>
      <c r="G2694" s="451" t="s">
        <v>1497</v>
      </c>
      <c r="H2694" s="7" t="s">
        <v>1549</v>
      </c>
      <c r="I2694" s="251">
        <v>180</v>
      </c>
      <c r="J2694" s="251">
        <v>7086.635132945943</v>
      </c>
      <c r="K2694" s="38">
        <f t="shared" si="136"/>
        <v>1275594</v>
      </c>
      <c r="L2694" s="561" t="s">
        <v>166</v>
      </c>
      <c r="M2694" s="561" t="s">
        <v>164</v>
      </c>
      <c r="N2694" s="52" t="str">
        <f>IF(AND('331-CT'!$E$7=TH!H2694,OR(L2694="331",M2694="331")),"331",IF(AND(OR(L2694="131",M2694="131"),H2694='131-CT'!$E$7),"131",""))</f>
        <v/>
      </c>
      <c r="O2694" s="818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751"/>
    </row>
    <row r="2695" spans="1:29" s="209" customFormat="1" ht="15.75" customHeight="1">
      <c r="A2695" s="202" t="str">
        <f>IF(B2695&lt;&gt;"",IF(AND(B2695&gt;=_TM1,B2695&lt;=_TM2,OR(TH!L2695="1111",TH!M2695="1111")),TH!D2695,""),"")</f>
        <v/>
      </c>
      <c r="B2695" s="36">
        <f t="shared" si="137"/>
        <v>12</v>
      </c>
      <c r="C2695" s="182">
        <f t="shared" si="134"/>
        <v>42724</v>
      </c>
      <c r="D2695" s="182" t="s">
        <v>1547</v>
      </c>
      <c r="E2695" s="189">
        <v>42724</v>
      </c>
      <c r="F2695" s="190" t="s">
        <v>1499</v>
      </c>
      <c r="G2695" s="451" t="s">
        <v>1498</v>
      </c>
      <c r="H2695" s="7" t="s">
        <v>1549</v>
      </c>
      <c r="I2695" s="251">
        <v>397</v>
      </c>
      <c r="J2695" s="251">
        <v>8183.3762844732919</v>
      </c>
      <c r="K2695" s="38">
        <f t="shared" si="136"/>
        <v>3248800</v>
      </c>
      <c r="L2695" s="561" t="s">
        <v>166</v>
      </c>
      <c r="M2695" s="561" t="s">
        <v>164</v>
      </c>
      <c r="N2695" s="52" t="str">
        <f>IF(AND('331-CT'!$E$7=TH!H2695,OR(L2695="331",M2695="331")),"331",IF(AND(OR(L2695="131",M2695="131"),H2695='131-CT'!$E$7),"131",""))</f>
        <v/>
      </c>
      <c r="O2695" s="818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751"/>
      <c r="AB2695" s="552"/>
      <c r="AC2695" s="552"/>
    </row>
    <row r="2696" spans="1:29" s="209" customFormat="1" ht="15.75" customHeight="1">
      <c r="A2696" s="202" t="str">
        <f>IF(B2696&lt;&gt;"",IF(AND(B2696&gt;=_TM1,B2696&lt;=_TM2,OR(TH!L2696="1111",TH!M2696="1111")),TH!D2696,""),"")</f>
        <v/>
      </c>
      <c r="B2696" s="36">
        <f t="shared" si="137"/>
        <v>12</v>
      </c>
      <c r="C2696" s="182">
        <f t="shared" si="134"/>
        <v>42724</v>
      </c>
      <c r="D2696" s="182" t="s">
        <v>1547</v>
      </c>
      <c r="E2696" s="189">
        <v>42724</v>
      </c>
      <c r="F2696" s="190" t="s">
        <v>400</v>
      </c>
      <c r="G2696" s="451" t="s">
        <v>1498</v>
      </c>
      <c r="H2696" s="7" t="s">
        <v>1549</v>
      </c>
      <c r="I2696" s="251">
        <v>200</v>
      </c>
      <c r="J2696" s="251">
        <v>8014.6468765460077</v>
      </c>
      <c r="K2696" s="38">
        <f t="shared" si="136"/>
        <v>1602929</v>
      </c>
      <c r="L2696" s="561" t="s">
        <v>166</v>
      </c>
      <c r="M2696" s="561" t="s">
        <v>164</v>
      </c>
      <c r="N2696" s="52" t="str">
        <f>IF(AND('331-CT'!$E$7=TH!H2696,OR(L2696="331",M2696="331")),"331",IF(AND(OR(L2696="131",M2696="131"),H2696='131-CT'!$E$7),"131",""))</f>
        <v/>
      </c>
      <c r="O2696" s="818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751"/>
      <c r="AB2696" s="552"/>
    </row>
    <row r="2697" spans="1:29" s="209" customFormat="1" ht="15.75" customHeight="1">
      <c r="A2697" s="202" t="str">
        <f>IF(B2697&lt;&gt;"",IF(AND(B2697&gt;=_TM1,B2697&lt;=_TM2,OR(TH!L2697="1111",TH!M2697="1111")),TH!D2697,""),"")</f>
        <v/>
      </c>
      <c r="B2697" s="36">
        <f t="shared" si="137"/>
        <v>12</v>
      </c>
      <c r="C2697" s="182">
        <f t="shared" si="134"/>
        <v>42724</v>
      </c>
      <c r="D2697" s="182" t="s">
        <v>1547</v>
      </c>
      <c r="E2697" s="189">
        <v>42724</v>
      </c>
      <c r="F2697" s="286" t="s">
        <v>400</v>
      </c>
      <c r="G2697" s="451" t="s">
        <v>1498</v>
      </c>
      <c r="H2697" s="7" t="s">
        <v>1549</v>
      </c>
      <c r="I2697" s="251">
        <v>389</v>
      </c>
      <c r="J2697" s="251">
        <v>8014.6468765460077</v>
      </c>
      <c r="K2697" s="38">
        <f t="shared" si="136"/>
        <v>3117698</v>
      </c>
      <c r="L2697" s="561" t="s">
        <v>166</v>
      </c>
      <c r="M2697" s="561" t="s">
        <v>164</v>
      </c>
      <c r="N2697" s="52" t="str">
        <f>IF(AND('331-CT'!$E$7=TH!H2697,OR(L2697="331",M2697="331")),"331",IF(AND(OR(L2697="131",M2697="131"),H2697='131-CT'!$E$7),"131",""))</f>
        <v/>
      </c>
      <c r="O2697" s="818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751"/>
      <c r="AB2697" s="552"/>
    </row>
    <row r="2698" spans="1:29" s="209" customFormat="1" ht="15.75" customHeight="1">
      <c r="A2698" s="202" t="str">
        <f>IF(B2698&lt;&gt;"",IF(AND(B2698&gt;=_TM1,B2698&lt;=_TM2,OR(TH!L2698="1111",TH!M2698="1111")),TH!D2698,""),"")</f>
        <v/>
      </c>
      <c r="B2698" s="36">
        <f t="shared" si="137"/>
        <v>12</v>
      </c>
      <c r="C2698" s="182">
        <f t="shared" si="134"/>
        <v>42724</v>
      </c>
      <c r="D2698" s="182" t="s">
        <v>1547</v>
      </c>
      <c r="E2698" s="189">
        <v>42724</v>
      </c>
      <c r="F2698" s="187" t="s">
        <v>954</v>
      </c>
      <c r="G2698" s="451" t="s">
        <v>1498</v>
      </c>
      <c r="H2698" s="7" t="s">
        <v>1549</v>
      </c>
      <c r="I2698" s="251">
        <v>566</v>
      </c>
      <c r="J2698" s="251">
        <v>5905.5292774549525</v>
      </c>
      <c r="K2698" s="38">
        <f t="shared" si="136"/>
        <v>3342530</v>
      </c>
      <c r="L2698" s="561" t="s">
        <v>166</v>
      </c>
      <c r="M2698" s="561" t="s">
        <v>164</v>
      </c>
      <c r="N2698" s="52" t="str">
        <f>IF(AND('331-CT'!$E$7=TH!H2698,OR(L2698="331",M2698="331")),"331",IF(AND(OR(L2698="131",M2698="131"),H2698='131-CT'!$E$7),"131",""))</f>
        <v/>
      </c>
      <c r="O2698" s="818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751"/>
      <c r="AB2698" s="552"/>
      <c r="AC2698" s="552"/>
    </row>
    <row r="2699" spans="1:29" s="209" customFormat="1" ht="15.75" customHeight="1">
      <c r="A2699" s="202" t="str">
        <f>IF(B2699&lt;&gt;"",IF(AND(B2699&gt;=_TM1,B2699&lt;=_TM2,OR(TH!L2699="1111",TH!M2699="1111")),TH!D2699,""),"")</f>
        <v/>
      </c>
      <c r="B2699" s="36">
        <f t="shared" si="137"/>
        <v>12</v>
      </c>
      <c r="C2699" s="182">
        <f t="shared" si="134"/>
        <v>42724</v>
      </c>
      <c r="D2699" s="182" t="s">
        <v>1547</v>
      </c>
      <c r="E2699" s="189">
        <v>42724</v>
      </c>
      <c r="F2699" s="187" t="s">
        <v>1473</v>
      </c>
      <c r="G2699" s="451" t="s">
        <v>1500</v>
      </c>
      <c r="H2699" s="7" t="s">
        <v>1549</v>
      </c>
      <c r="I2699" s="251">
        <v>2400</v>
      </c>
      <c r="J2699" s="251">
        <v>7086.635132945943</v>
      </c>
      <c r="K2699" s="38">
        <f t="shared" si="136"/>
        <v>17007924</v>
      </c>
      <c r="L2699" s="561" t="s">
        <v>166</v>
      </c>
      <c r="M2699" s="561" t="s">
        <v>164</v>
      </c>
      <c r="N2699" s="52" t="str">
        <f>IF(AND('331-CT'!$E$7=TH!H2699,OR(L2699="331",M2699="331")),"331",IF(AND(OR(L2699="131",M2699="131"),H2699='131-CT'!$E$7),"131",""))</f>
        <v/>
      </c>
      <c r="O2699" s="818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751"/>
      <c r="AB2699" s="552"/>
    </row>
    <row r="2700" spans="1:29" s="209" customFormat="1" ht="15.75" customHeight="1">
      <c r="A2700" s="202" t="str">
        <f>IF(B2700&lt;&gt;"",IF(AND(B2700&gt;=_TM1,B2700&lt;=_TM2,OR(TH!L2700="1111",TH!M2700="1111")),TH!D2700,""),"")</f>
        <v/>
      </c>
      <c r="B2700" s="36">
        <f t="shared" si="137"/>
        <v>12</v>
      </c>
      <c r="C2700" s="182">
        <f t="shared" si="134"/>
        <v>42725</v>
      </c>
      <c r="D2700" s="182" t="s">
        <v>1547</v>
      </c>
      <c r="E2700" s="189">
        <v>42725</v>
      </c>
      <c r="F2700" s="187" t="s">
        <v>1473</v>
      </c>
      <c r="G2700" s="451" t="s">
        <v>1501</v>
      </c>
      <c r="H2700" s="7" t="s">
        <v>1549</v>
      </c>
      <c r="I2700" s="251">
        <v>2400</v>
      </c>
      <c r="J2700" s="251">
        <v>7086.635132945943</v>
      </c>
      <c r="K2700" s="38">
        <f t="shared" si="136"/>
        <v>17007924</v>
      </c>
      <c r="L2700" s="561" t="s">
        <v>166</v>
      </c>
      <c r="M2700" s="561" t="s">
        <v>164</v>
      </c>
      <c r="N2700" s="52" t="str">
        <f>IF(AND('331-CT'!$E$7=TH!H2700,OR(L2700="331",M2700="331")),"331",IF(AND(OR(L2700="131",M2700="131"),H2700='131-CT'!$E$7),"131",""))</f>
        <v/>
      </c>
      <c r="O2700" s="818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751"/>
      <c r="AB2700" s="552"/>
    </row>
    <row r="2701" spans="1:29" s="209" customFormat="1" ht="15.75" customHeight="1">
      <c r="A2701" s="202" t="str">
        <f>IF(B2701&lt;&gt;"",IF(AND(B2701&gt;=_TM1,B2701&lt;=_TM2,OR(TH!L2701="1111",TH!M2701="1111")),TH!D2701,""),"")</f>
        <v/>
      </c>
      <c r="B2701" s="36">
        <f t="shared" si="137"/>
        <v>12</v>
      </c>
      <c r="C2701" s="182">
        <f t="shared" si="134"/>
        <v>42725</v>
      </c>
      <c r="D2701" s="182" t="s">
        <v>1547</v>
      </c>
      <c r="E2701" s="189">
        <v>42725</v>
      </c>
      <c r="F2701" s="286" t="s">
        <v>1504</v>
      </c>
      <c r="G2701" s="451" t="s">
        <v>1502</v>
      </c>
      <c r="H2701" s="7" t="s">
        <v>1549</v>
      </c>
      <c r="I2701" s="251">
        <v>66</v>
      </c>
      <c r="J2701" s="251">
        <v>17294.764312546646</v>
      </c>
      <c r="K2701" s="38">
        <f t="shared" si="136"/>
        <v>1141454</v>
      </c>
      <c r="L2701" s="561" t="s">
        <v>166</v>
      </c>
      <c r="M2701" s="561" t="s">
        <v>164</v>
      </c>
      <c r="N2701" s="52" t="str">
        <f>IF(AND('331-CT'!$E$7=TH!H2701,OR(L2701="331",M2701="331")),"331",IF(AND(OR(L2701="131",M2701="131"),H2701='131-CT'!$E$7),"131",""))</f>
        <v/>
      </c>
      <c r="O2701" s="818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751"/>
      <c r="AB2701" s="552"/>
      <c r="AC2701" s="552"/>
    </row>
    <row r="2702" spans="1:29" s="209" customFormat="1" ht="15.75" customHeight="1">
      <c r="A2702" s="202" t="str">
        <f>IF(B2702&lt;&gt;"",IF(AND(B2702&gt;=_TM1,B2702&lt;=_TM2,OR(TH!L2702="1111",TH!M2702="1111")),TH!D2702,""),"")</f>
        <v/>
      </c>
      <c r="B2702" s="36">
        <f t="shared" si="137"/>
        <v>12</v>
      </c>
      <c r="C2702" s="182">
        <f t="shared" si="134"/>
        <v>42725</v>
      </c>
      <c r="D2702" s="182" t="s">
        <v>1547</v>
      </c>
      <c r="E2702" s="189">
        <v>42725</v>
      </c>
      <c r="F2702" s="286" t="s">
        <v>1503</v>
      </c>
      <c r="G2702" s="451" t="s">
        <v>1502</v>
      </c>
      <c r="H2702" s="7" t="s">
        <v>1549</v>
      </c>
      <c r="I2702" s="251">
        <v>64</v>
      </c>
      <c r="J2702" s="251">
        <v>9195.7527320369991</v>
      </c>
      <c r="K2702" s="38">
        <f t="shared" si="136"/>
        <v>588528</v>
      </c>
      <c r="L2702" s="561" t="s">
        <v>166</v>
      </c>
      <c r="M2702" s="561" t="s">
        <v>164</v>
      </c>
      <c r="N2702" s="52" t="str">
        <f>IF(AND('331-CT'!$E$7=TH!H2702,OR(L2702="331",M2702="331")),"331",IF(AND(OR(L2702="131",M2702="131"),H2702='131-CT'!$E$7),"131",""))</f>
        <v/>
      </c>
      <c r="O2702" s="818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751"/>
      <c r="AB2702" s="552"/>
    </row>
    <row r="2703" spans="1:29" s="209" customFormat="1" ht="15.75" customHeight="1">
      <c r="A2703" s="202" t="str">
        <f>IF(B2703&lt;&gt;"",IF(AND(B2703&gt;=_TM1,B2703&lt;=_TM2,OR(TH!L2703="1111",TH!M2703="1111")),TH!D2703,""),"")</f>
        <v/>
      </c>
      <c r="B2703" s="36">
        <f t="shared" si="137"/>
        <v>12</v>
      </c>
      <c r="C2703" s="182">
        <f t="shared" si="134"/>
        <v>42726</v>
      </c>
      <c r="D2703" s="182" t="s">
        <v>1547</v>
      </c>
      <c r="E2703" s="189">
        <v>42726</v>
      </c>
      <c r="F2703" s="286" t="s">
        <v>1473</v>
      </c>
      <c r="G2703" s="451" t="s">
        <v>1505</v>
      </c>
      <c r="H2703" s="7" t="s">
        <v>1549</v>
      </c>
      <c r="I2703" s="251">
        <v>1939</v>
      </c>
      <c r="J2703" s="251">
        <v>7086.635132945943</v>
      </c>
      <c r="K2703" s="38">
        <f t="shared" si="136"/>
        <v>13740986</v>
      </c>
      <c r="L2703" s="561" t="s">
        <v>166</v>
      </c>
      <c r="M2703" s="561" t="s">
        <v>164</v>
      </c>
      <c r="N2703" s="52" t="str">
        <f>IF(AND('331-CT'!$E$7=TH!H2703,OR(L2703="331",M2703="331")),"331",IF(AND(OR(L2703="131",M2703="131"),H2703='131-CT'!$E$7),"131",""))</f>
        <v/>
      </c>
      <c r="O2703" s="818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751"/>
      <c r="AB2703" s="552"/>
      <c r="AC2703" s="552"/>
    </row>
    <row r="2704" spans="1:29" s="209" customFormat="1" ht="15.75" customHeight="1">
      <c r="A2704" s="202" t="str">
        <f>IF(B2704&lt;&gt;"",IF(AND(B2704&gt;=_TM1,B2704&lt;=_TM2,OR(TH!L2704="1111",TH!M2704="1111")),TH!D2704,""),"")</f>
        <v/>
      </c>
      <c r="B2704" s="36">
        <f t="shared" si="137"/>
        <v>12</v>
      </c>
      <c r="C2704" s="182">
        <f t="shared" si="134"/>
        <v>42726</v>
      </c>
      <c r="D2704" s="182" t="s">
        <v>1547</v>
      </c>
      <c r="E2704" s="189">
        <v>42726</v>
      </c>
      <c r="F2704" s="286" t="s">
        <v>1409</v>
      </c>
      <c r="G2704" s="451" t="s">
        <v>1506</v>
      </c>
      <c r="H2704" s="7" t="s">
        <v>1549</v>
      </c>
      <c r="I2704" s="251">
        <v>208</v>
      </c>
      <c r="J2704" s="251">
        <v>8689.5645082551455</v>
      </c>
      <c r="K2704" s="38">
        <f t="shared" si="136"/>
        <v>1807429</v>
      </c>
      <c r="L2704" s="561" t="s">
        <v>166</v>
      </c>
      <c r="M2704" s="561" t="s">
        <v>164</v>
      </c>
      <c r="N2704" s="52" t="str">
        <f>IF(AND('331-CT'!$E$7=TH!H2704,OR(L2704="331",M2704="331")),"331",IF(AND(OR(L2704="131",M2704="131"),H2704='131-CT'!$E$7),"131",""))</f>
        <v/>
      </c>
      <c r="O2704" s="818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751"/>
      <c r="AB2704" s="552"/>
    </row>
    <row r="2705" spans="1:29" s="209" customFormat="1" ht="15.75" customHeight="1">
      <c r="A2705" s="202" t="str">
        <f>IF(B2705&lt;&gt;"",IF(AND(B2705&gt;=_TM1,B2705&lt;=_TM2,OR(TH!L2705="1111",TH!M2705="1111")),TH!D2705,""),"")</f>
        <v/>
      </c>
      <c r="B2705" s="36">
        <f t="shared" si="137"/>
        <v>12</v>
      </c>
      <c r="C2705" s="182">
        <f t="shared" si="134"/>
        <v>42726</v>
      </c>
      <c r="D2705" s="182" t="s">
        <v>1547</v>
      </c>
      <c r="E2705" s="189">
        <v>42726</v>
      </c>
      <c r="F2705" s="286" t="s">
        <v>1406</v>
      </c>
      <c r="G2705" s="451" t="s">
        <v>1506</v>
      </c>
      <c r="H2705" s="7" t="s">
        <v>1549</v>
      </c>
      <c r="I2705" s="251">
        <v>205</v>
      </c>
      <c r="J2705" s="251">
        <v>7845.9174686187234</v>
      </c>
      <c r="K2705" s="38">
        <f t="shared" si="136"/>
        <v>1608413</v>
      </c>
      <c r="L2705" s="561" t="s">
        <v>166</v>
      </c>
      <c r="M2705" s="561" t="s">
        <v>164</v>
      </c>
      <c r="N2705" s="52" t="str">
        <f>IF(AND('331-CT'!$E$7=TH!H2705,OR(L2705="331",M2705="331")),"331",IF(AND(OR(L2705="131",M2705="131"),H2705='131-CT'!$E$7),"131",""))</f>
        <v/>
      </c>
      <c r="O2705" s="818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751"/>
      <c r="AB2705" s="552"/>
    </row>
    <row r="2706" spans="1:29" s="209" customFormat="1" ht="15.75" customHeight="1">
      <c r="A2706" s="202" t="str">
        <f>IF(B2706&lt;&gt;"",IF(AND(B2706&gt;=_TM1,B2706&lt;=_TM2,OR(TH!L2706="1111",TH!M2706="1111")),TH!D2706,""),"")</f>
        <v/>
      </c>
      <c r="B2706" s="36">
        <f t="shared" si="137"/>
        <v>12</v>
      </c>
      <c r="C2706" s="182">
        <f t="shared" si="134"/>
        <v>42726</v>
      </c>
      <c r="D2706" s="182" t="s">
        <v>1547</v>
      </c>
      <c r="E2706" s="189">
        <v>42726</v>
      </c>
      <c r="F2706" s="286" t="s">
        <v>1507</v>
      </c>
      <c r="G2706" s="451" t="s">
        <v>1506</v>
      </c>
      <c r="H2706" s="7" t="s">
        <v>1549</v>
      </c>
      <c r="I2706" s="251">
        <v>25</v>
      </c>
      <c r="J2706" s="251">
        <v>11389.235035091697</v>
      </c>
      <c r="K2706" s="38">
        <f t="shared" si="136"/>
        <v>284731</v>
      </c>
      <c r="L2706" s="561" t="s">
        <v>166</v>
      </c>
      <c r="M2706" s="561" t="s">
        <v>164</v>
      </c>
      <c r="N2706" s="52" t="str">
        <f>IF(AND('331-CT'!$E$7=TH!H2706,OR(L2706="331",M2706="331")),"331",IF(AND(OR(L2706="131",M2706="131"),H2706='131-CT'!$E$7),"131",""))</f>
        <v/>
      </c>
      <c r="O2706" s="818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751"/>
      <c r="AB2706" s="552"/>
      <c r="AC2706" s="552"/>
    </row>
    <row r="2707" spans="1:29" s="209" customFormat="1" ht="15.75" customHeight="1">
      <c r="A2707" s="202" t="str">
        <f>IF(B2707&lt;&gt;"",IF(AND(B2707&gt;=_TM1,B2707&lt;=_TM2,OR(TH!L2707="1111",TH!M2707="1111")),TH!D2707,""),"")</f>
        <v/>
      </c>
      <c r="B2707" s="36">
        <f t="shared" si="137"/>
        <v>12</v>
      </c>
      <c r="C2707" s="182">
        <f t="shared" si="134"/>
        <v>42728</v>
      </c>
      <c r="D2707" s="182" t="s">
        <v>1547</v>
      </c>
      <c r="E2707" s="189">
        <v>42728</v>
      </c>
      <c r="F2707" s="286" t="s">
        <v>1473</v>
      </c>
      <c r="G2707" s="451" t="s">
        <v>1508</v>
      </c>
      <c r="H2707" s="7" t="s">
        <v>1549</v>
      </c>
      <c r="I2707" s="251">
        <v>2400</v>
      </c>
      <c r="J2707" s="251">
        <v>7086.635132945943</v>
      </c>
      <c r="K2707" s="38">
        <f t="shared" si="136"/>
        <v>17007924</v>
      </c>
      <c r="L2707" s="561" t="s">
        <v>166</v>
      </c>
      <c r="M2707" s="561" t="s">
        <v>164</v>
      </c>
      <c r="N2707" s="52" t="str">
        <f>IF(AND('331-CT'!$E$7=TH!H2707,OR(L2707="331",M2707="331")),"331",IF(AND(OR(L2707="131",M2707="131"),H2707='131-CT'!$E$7),"131",""))</f>
        <v/>
      </c>
      <c r="O2707" s="818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751"/>
      <c r="AB2707" s="552"/>
    </row>
    <row r="2708" spans="1:29" s="209" customFormat="1" ht="15.75" customHeight="1">
      <c r="A2708" s="202" t="str">
        <f>IF(B2708&lt;&gt;"",IF(AND(B2708&gt;=_TM1,B2708&lt;=_TM2,OR(TH!L2708="1111",TH!M2708="1111")),TH!D2708,""),"")</f>
        <v/>
      </c>
      <c r="B2708" s="36">
        <f t="shared" si="137"/>
        <v>12</v>
      </c>
      <c r="C2708" s="182">
        <f t="shared" si="134"/>
        <v>42731</v>
      </c>
      <c r="D2708" s="182" t="s">
        <v>1547</v>
      </c>
      <c r="E2708" s="189">
        <v>42731</v>
      </c>
      <c r="F2708" s="286" t="s">
        <v>1473</v>
      </c>
      <c r="G2708" s="451" t="s">
        <v>1509</v>
      </c>
      <c r="H2708" s="7" t="s">
        <v>1549</v>
      </c>
      <c r="I2708" s="251">
        <v>2030</v>
      </c>
      <c r="J2708" s="251">
        <v>7086.635132945943</v>
      </c>
      <c r="K2708" s="38">
        <f t="shared" si="136"/>
        <v>14385869</v>
      </c>
      <c r="L2708" s="561" t="s">
        <v>166</v>
      </c>
      <c r="M2708" s="561" t="s">
        <v>164</v>
      </c>
      <c r="N2708" s="52" t="str">
        <f>IF(AND('331-CT'!$E$7=TH!H2708,OR(L2708="331",M2708="331")),"331",IF(AND(OR(L2708="131",M2708="131"),H2708='131-CT'!$E$7),"131",""))</f>
        <v/>
      </c>
      <c r="O2708" s="818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751"/>
    </row>
    <row r="2709" spans="1:29" s="209" customFormat="1" ht="15.75" customHeight="1">
      <c r="A2709" s="202" t="str">
        <f>IF(B2709&lt;&gt;"",IF(AND(B2709&gt;=_TM1,B2709&lt;=_TM2,OR(TH!L2709="1111",TH!M2709="1111")),TH!D2709,""),"")</f>
        <v/>
      </c>
      <c r="B2709" s="36">
        <f t="shared" si="137"/>
        <v>12</v>
      </c>
      <c r="C2709" s="182">
        <f t="shared" si="134"/>
        <v>42732</v>
      </c>
      <c r="D2709" s="182" t="s">
        <v>1547</v>
      </c>
      <c r="E2709" s="189">
        <v>42732</v>
      </c>
      <c r="F2709" s="286" t="s">
        <v>1388</v>
      </c>
      <c r="G2709" s="451" t="s">
        <v>1510</v>
      </c>
      <c r="H2709" s="7" t="s">
        <v>1549</v>
      </c>
      <c r="I2709" s="251">
        <v>509</v>
      </c>
      <c r="J2709" s="251">
        <v>8099.0115805096493</v>
      </c>
      <c r="K2709" s="38">
        <f t="shared" si="136"/>
        <v>4122397</v>
      </c>
      <c r="L2709" s="561" t="s">
        <v>166</v>
      </c>
      <c r="M2709" s="561" t="s">
        <v>164</v>
      </c>
      <c r="N2709" s="52" t="str">
        <f>IF(AND('331-CT'!$E$7=TH!H2709,OR(L2709="331",M2709="331")),"331",IF(AND(OR(L2709="131",M2709="131"),H2709='131-CT'!$E$7),"131",""))</f>
        <v/>
      </c>
      <c r="O2709" s="818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751"/>
    </row>
    <row r="2710" spans="1:29" s="209" customFormat="1" ht="15.75" customHeight="1">
      <c r="A2710" s="202" t="str">
        <f>IF(B2710&lt;&gt;"",IF(AND(B2710&gt;=_TM1,B2710&lt;=_TM2,OR(TH!L2710="1111",TH!M2710="1111")),TH!D2710,""),"")</f>
        <v/>
      </c>
      <c r="B2710" s="36">
        <f t="shared" si="137"/>
        <v>12</v>
      </c>
      <c r="C2710" s="182">
        <f t="shared" si="134"/>
        <v>42732</v>
      </c>
      <c r="D2710" s="182" t="s">
        <v>1547</v>
      </c>
      <c r="E2710" s="189">
        <v>42732</v>
      </c>
      <c r="F2710" s="286" t="s">
        <v>1255</v>
      </c>
      <c r="G2710" s="451" t="s">
        <v>1511</v>
      </c>
      <c r="H2710" s="7" t="s">
        <v>1549</v>
      </c>
      <c r="I2710" s="251">
        <v>1049</v>
      </c>
      <c r="J2710" s="251">
        <v>6917.9057250186588</v>
      </c>
      <c r="K2710" s="38">
        <f t="shared" si="136"/>
        <v>7256883</v>
      </c>
      <c r="L2710" s="561" t="s">
        <v>166</v>
      </c>
      <c r="M2710" s="561" t="s">
        <v>164</v>
      </c>
      <c r="N2710" s="52" t="str">
        <f>IF(AND('331-CT'!$E$7=TH!H2710,OR(L2710="331",M2710="331")),"331",IF(AND(OR(L2710="131",M2710="131"),H2710='131-CT'!$E$7),"131",""))</f>
        <v/>
      </c>
      <c r="O2710" s="818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751"/>
    </row>
    <row r="2711" spans="1:29" s="209" customFormat="1" ht="15.75" customHeight="1">
      <c r="A2711" s="202" t="str">
        <f>IF(B2711&lt;&gt;"",IF(AND(B2711&gt;=_TM1,B2711&lt;=_TM2,OR(TH!L2711="1111",TH!M2711="1111")),TH!D2711,""),"")</f>
        <v/>
      </c>
      <c r="B2711" s="36">
        <f t="shared" si="137"/>
        <v>12</v>
      </c>
      <c r="C2711" s="182">
        <f t="shared" si="134"/>
        <v>42732</v>
      </c>
      <c r="D2711" s="182" t="s">
        <v>1547</v>
      </c>
      <c r="E2711" s="189">
        <v>42732</v>
      </c>
      <c r="F2711" s="286" t="s">
        <v>1256</v>
      </c>
      <c r="G2711" s="451" t="s">
        <v>1511</v>
      </c>
      <c r="H2711" s="7" t="s">
        <v>1549</v>
      </c>
      <c r="I2711" s="251">
        <v>504</v>
      </c>
      <c r="J2711" s="251">
        <v>7677.1880606914392</v>
      </c>
      <c r="K2711" s="38">
        <f t="shared" si="136"/>
        <v>3869303</v>
      </c>
      <c r="L2711" s="561" t="s">
        <v>166</v>
      </c>
      <c r="M2711" s="561" t="s">
        <v>164</v>
      </c>
      <c r="N2711" s="52" t="str">
        <f>IF(AND('331-CT'!$E$7=TH!H2711,OR(L2711="331",M2711="331")),"331",IF(AND(OR(L2711="131",M2711="131"),H2711='131-CT'!$E$7),"131",""))</f>
        <v/>
      </c>
      <c r="O2711" s="818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751"/>
    </row>
    <row r="2712" spans="1:29" s="209" customFormat="1" ht="15.75" customHeight="1">
      <c r="A2712" s="202" t="str">
        <f>IF(B2712&lt;&gt;"",IF(AND(B2712&gt;=_TM1,B2712&lt;=_TM2,OR(TH!L2712="1111",TH!M2712="1111")),TH!D2712,""),"")</f>
        <v/>
      </c>
      <c r="B2712" s="36">
        <f t="shared" si="137"/>
        <v>12</v>
      </c>
      <c r="C2712" s="182">
        <f t="shared" si="134"/>
        <v>42734</v>
      </c>
      <c r="D2712" s="182" t="s">
        <v>1547</v>
      </c>
      <c r="E2712" s="189">
        <v>42734</v>
      </c>
      <c r="F2712" s="187" t="s">
        <v>400</v>
      </c>
      <c r="G2712" s="451" t="s">
        <v>1512</v>
      </c>
      <c r="H2712" s="7" t="s">
        <v>1549</v>
      </c>
      <c r="I2712" s="251">
        <v>540</v>
      </c>
      <c r="J2712" s="251">
        <v>8014.6468765460077</v>
      </c>
      <c r="K2712" s="38">
        <f t="shared" si="136"/>
        <v>4327909</v>
      </c>
      <c r="L2712" s="561" t="s">
        <v>166</v>
      </c>
      <c r="M2712" s="561" t="s">
        <v>164</v>
      </c>
      <c r="N2712" s="52" t="str">
        <f>IF(AND('331-CT'!$E$7=TH!H2712,OR(L2712="331",M2712="331")),"331",IF(AND(OR(L2712="131",M2712="131"),H2712='131-CT'!$E$7),"131",""))</f>
        <v/>
      </c>
      <c r="O2712" s="818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751"/>
      <c r="AB2712" s="552"/>
      <c r="AC2712" s="552"/>
    </row>
    <row r="2713" spans="1:29" s="788" customFormat="1" ht="15.75" customHeight="1">
      <c r="A2713" s="202" t="str">
        <f>IF(B2713&lt;&gt;"",IF(AND(B2713&gt;=_TM1,B2713&lt;=_TM2,OR(TH!L2713="1111",TH!M2713="1111")),TH!D2713,""),"")</f>
        <v/>
      </c>
      <c r="B2713" s="779">
        <f t="shared" si="137"/>
        <v>1</v>
      </c>
      <c r="C2713" s="780">
        <f t="shared" si="134"/>
        <v>42373</v>
      </c>
      <c r="D2713" s="780" t="s">
        <v>1548</v>
      </c>
      <c r="E2713" s="851">
        <v>42373</v>
      </c>
      <c r="F2713" s="893" t="s">
        <v>482</v>
      </c>
      <c r="G2713" s="885" t="s">
        <v>828</v>
      </c>
      <c r="H2713" s="784" t="s">
        <v>1297</v>
      </c>
      <c r="I2713" s="785">
        <v>695</v>
      </c>
      <c r="J2713" s="785">
        <v>10512.108116819038</v>
      </c>
      <c r="K2713" s="829">
        <f t="shared" si="136"/>
        <v>7305915</v>
      </c>
      <c r="L2713" s="891" t="s">
        <v>171</v>
      </c>
      <c r="M2713" s="891" t="s">
        <v>166</v>
      </c>
      <c r="N2713" s="52" t="str">
        <f>IF(AND('331-CT'!$E$7=TH!H2713,OR(L2713="331",M2713="331")),"331",IF(AND(OR(L2713="131",M2713="131"),H2713='131-CT'!$E$7),"131",""))</f>
        <v/>
      </c>
      <c r="O2713" s="818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88"/>
      <c r="AB2713" s="787"/>
      <c r="AC2713" s="787"/>
    </row>
    <row r="2714" spans="1:29" s="861" customFormat="1" ht="15.75" customHeight="1">
      <c r="A2714" s="202" t="str">
        <f>IF(B2714&lt;&gt;"",IF(AND(B2714&gt;=_TM1,B2714&lt;=_TM2,OR(TH!L2714="1111",TH!M2714="1111")),TH!D2714,""),"")</f>
        <v/>
      </c>
      <c r="B2714" s="857">
        <f t="shared" si="137"/>
        <v>1</v>
      </c>
      <c r="C2714" s="858">
        <f t="shared" si="134"/>
        <v>42373</v>
      </c>
      <c r="D2714" s="858" t="s">
        <v>1548</v>
      </c>
      <c r="E2714" s="921">
        <v>42373</v>
      </c>
      <c r="F2714" s="49" t="s">
        <v>404</v>
      </c>
      <c r="G2714" s="49" t="s">
        <v>828</v>
      </c>
      <c r="H2714" s="923" t="s">
        <v>1297</v>
      </c>
      <c r="I2714" s="249">
        <v>2840</v>
      </c>
      <c r="J2714" s="249">
        <v>8760.0904929577464</v>
      </c>
      <c r="K2714" s="51">
        <f t="shared" si="136"/>
        <v>24878657</v>
      </c>
      <c r="L2714" s="924" t="s">
        <v>171</v>
      </c>
      <c r="M2714" s="924" t="s">
        <v>166</v>
      </c>
      <c r="N2714" s="52" t="str">
        <f>IF(AND('331-CT'!$E$7=TH!H2714,OR(L2714="331",M2714="331")),"331",IF(AND(OR(L2714="131",M2714="131"),H2714='131-CT'!$E$7),"131",""))</f>
        <v/>
      </c>
      <c r="O2714" s="818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726"/>
      <c r="AB2714" s="860"/>
    </row>
    <row r="2715" spans="1:29" s="861" customFormat="1" ht="15.75" customHeight="1">
      <c r="A2715" s="202" t="str">
        <f>IF(B2715&lt;&gt;"",IF(AND(B2715&gt;=_TM1,B2715&lt;=_TM2,OR(TH!L2715="1111",TH!M2715="1111")),TH!D2715,""),"")</f>
        <v/>
      </c>
      <c r="B2715" s="857">
        <f t="shared" si="137"/>
        <v>1</v>
      </c>
      <c r="C2715" s="858">
        <f t="shared" ref="C2715:C2778" si="138">E2715</f>
        <v>42373</v>
      </c>
      <c r="D2715" s="858" t="s">
        <v>1548</v>
      </c>
      <c r="E2715" s="921">
        <v>42373</v>
      </c>
      <c r="F2715" s="925" t="s">
        <v>863</v>
      </c>
      <c r="G2715" s="49" t="s">
        <v>864</v>
      </c>
      <c r="H2715" s="923" t="s">
        <v>1297</v>
      </c>
      <c r="I2715" s="926">
        <v>500</v>
      </c>
      <c r="J2715" s="249">
        <v>7425.2219999999998</v>
      </c>
      <c r="K2715" s="51">
        <f t="shared" si="136"/>
        <v>3712611</v>
      </c>
      <c r="L2715" s="924" t="s">
        <v>171</v>
      </c>
      <c r="M2715" s="924" t="s">
        <v>166</v>
      </c>
      <c r="N2715" s="52" t="str">
        <f>IF(AND('331-CT'!$E$7=TH!H2715,OR(L2715="331",M2715="331")),"331",IF(AND(OR(L2715="131",M2715="131"),H2715='131-CT'!$E$7),"131",""))</f>
        <v/>
      </c>
      <c r="O2715" s="818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726"/>
      <c r="AB2715" s="860"/>
      <c r="AC2715" s="860"/>
    </row>
    <row r="2716" spans="1:29" s="861" customFormat="1" ht="15.75" customHeight="1">
      <c r="A2716" s="202" t="str">
        <f>IF(B2716&lt;&gt;"",IF(AND(B2716&gt;=_TM1,B2716&lt;=_TM2,OR(TH!L2716="1111",TH!M2716="1111")),TH!D2716,""),"")</f>
        <v/>
      </c>
      <c r="B2716" s="857">
        <f t="shared" si="137"/>
        <v>1</v>
      </c>
      <c r="C2716" s="858">
        <f t="shared" si="138"/>
        <v>42374</v>
      </c>
      <c r="D2716" s="858" t="s">
        <v>1548</v>
      </c>
      <c r="E2716" s="921">
        <v>42374</v>
      </c>
      <c r="F2716" s="49" t="s">
        <v>1443</v>
      </c>
      <c r="G2716" s="49" t="s">
        <v>865</v>
      </c>
      <c r="H2716" s="923" t="s">
        <v>1297</v>
      </c>
      <c r="I2716" s="926">
        <v>716</v>
      </c>
      <c r="J2716" s="249">
        <v>7925.7974860335198</v>
      </c>
      <c r="K2716" s="51">
        <f t="shared" ref="K2716:K2779" si="139">ROUND(I2716*J2716,0)</f>
        <v>5674871</v>
      </c>
      <c r="L2716" s="924" t="s">
        <v>171</v>
      </c>
      <c r="M2716" s="924" t="s">
        <v>166</v>
      </c>
      <c r="N2716" s="52" t="str">
        <f>IF(AND('331-CT'!$E$7=TH!H2716,OR(L2716="331",M2716="331")),"331",IF(AND(OR(L2716="131",M2716="131"),H2716='131-CT'!$E$7),"131",""))</f>
        <v/>
      </c>
      <c r="O2716" s="818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726"/>
      <c r="AB2716" s="860"/>
    </row>
    <row r="2717" spans="1:29" s="861" customFormat="1" ht="15.75" customHeight="1">
      <c r="A2717" s="202" t="str">
        <f>IF(B2717&lt;&gt;"",IF(AND(B2717&gt;=_TM1,B2717&lt;=_TM2,OR(TH!L2717="1111",TH!M2717="1111")),TH!D2717,""),"")</f>
        <v/>
      </c>
      <c r="B2717" s="857">
        <f t="shared" si="137"/>
        <v>1</v>
      </c>
      <c r="C2717" s="858">
        <f t="shared" si="138"/>
        <v>42374</v>
      </c>
      <c r="D2717" s="858" t="s">
        <v>1548</v>
      </c>
      <c r="E2717" s="921">
        <v>42374</v>
      </c>
      <c r="F2717" s="925" t="s">
        <v>1443</v>
      </c>
      <c r="G2717" s="49" t="s">
        <v>865</v>
      </c>
      <c r="H2717" s="923" t="s">
        <v>1297</v>
      </c>
      <c r="I2717" s="249">
        <v>732</v>
      </c>
      <c r="J2717" s="249">
        <v>8092.654661360687</v>
      </c>
      <c r="K2717" s="51">
        <f t="shared" si="139"/>
        <v>5923823</v>
      </c>
      <c r="L2717" s="924" t="s">
        <v>171</v>
      </c>
      <c r="M2717" s="924" t="s">
        <v>166</v>
      </c>
      <c r="N2717" s="52" t="str">
        <f>IF(AND('331-CT'!$E$7=TH!H2717,OR(L2717="331",M2717="331")),"331",IF(AND(OR(L2717="131",M2717="131"),H2717='131-CT'!$E$7),"131",""))</f>
        <v/>
      </c>
      <c r="O2717" s="818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726"/>
      <c r="AB2717" s="860"/>
    </row>
    <row r="2718" spans="1:29" s="861" customFormat="1" ht="15.75" customHeight="1">
      <c r="A2718" s="202" t="str">
        <f>IF(B2718&lt;&gt;"",IF(AND(B2718&gt;=_TM1,B2718&lt;=_TM2,OR(TH!L2718="1111",TH!M2718="1111")),TH!D2718,""),"")</f>
        <v/>
      </c>
      <c r="B2718" s="857">
        <f t="shared" si="137"/>
        <v>1</v>
      </c>
      <c r="C2718" s="858">
        <f t="shared" si="138"/>
        <v>42374</v>
      </c>
      <c r="D2718" s="858" t="s">
        <v>1548</v>
      </c>
      <c r="E2718" s="921">
        <v>42374</v>
      </c>
      <c r="F2718" s="925" t="s">
        <v>389</v>
      </c>
      <c r="G2718" s="49" t="s">
        <v>866</v>
      </c>
      <c r="H2718" s="923" t="s">
        <v>1297</v>
      </c>
      <c r="I2718" s="249">
        <v>626</v>
      </c>
      <c r="J2718" s="249">
        <v>6841.2132188822297</v>
      </c>
      <c r="K2718" s="51">
        <f t="shared" si="139"/>
        <v>4282599</v>
      </c>
      <c r="L2718" s="924" t="s">
        <v>171</v>
      </c>
      <c r="M2718" s="924" t="s">
        <v>166</v>
      </c>
      <c r="N2718" s="52" t="str">
        <f>IF(AND('331-CT'!$E$7=TH!H2718,OR(L2718="331",M2718="331")),"331",IF(AND(OR(L2718="131",M2718="131"),H2718='131-CT'!$E$7),"131",""))</f>
        <v/>
      </c>
      <c r="O2718" s="818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726"/>
      <c r="AB2718" s="860"/>
      <c r="AC2718" s="860"/>
    </row>
    <row r="2719" spans="1:29" s="861" customFormat="1" ht="15.75" customHeight="1">
      <c r="A2719" s="202" t="str">
        <f>IF(B2719&lt;&gt;"",IF(AND(B2719&gt;=_TM1,B2719&lt;=_TM2,OR(TH!L2719="1111",TH!M2719="1111")),TH!D2719,""),"")</f>
        <v/>
      </c>
      <c r="B2719" s="857">
        <f t="shared" si="137"/>
        <v>1</v>
      </c>
      <c r="C2719" s="858">
        <f t="shared" si="138"/>
        <v>42374</v>
      </c>
      <c r="D2719" s="858" t="s">
        <v>1548</v>
      </c>
      <c r="E2719" s="858">
        <v>42374</v>
      </c>
      <c r="F2719" s="925" t="s">
        <v>392</v>
      </c>
      <c r="G2719" s="927" t="s">
        <v>866</v>
      </c>
      <c r="H2719" s="923" t="s">
        <v>1297</v>
      </c>
      <c r="I2719" s="249">
        <v>613</v>
      </c>
      <c r="J2719" s="249">
        <v>8092.654661360687</v>
      </c>
      <c r="K2719" s="51">
        <f t="shared" si="139"/>
        <v>4960797</v>
      </c>
      <c r="L2719" s="924" t="s">
        <v>171</v>
      </c>
      <c r="M2719" s="924" t="s">
        <v>166</v>
      </c>
      <c r="N2719" s="52" t="str">
        <f>IF(AND('331-CT'!$E$7=TH!H2719,OR(L2719="331",M2719="331")),"331",IF(AND(OR(L2719="131",M2719="131"),H2719='131-CT'!$E$7),"131",""))</f>
        <v/>
      </c>
      <c r="O2719" s="818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726"/>
      <c r="AB2719" s="860"/>
    </row>
    <row r="2720" spans="1:29" s="861" customFormat="1" ht="15.75" customHeight="1">
      <c r="A2720" s="202" t="str">
        <f>IF(B2720&lt;&gt;"",IF(AND(B2720&gt;=_TM1,B2720&lt;=_TM2,OR(TH!L2720="1111",TH!M2720="1111")),TH!D2720,""),"")</f>
        <v/>
      </c>
      <c r="B2720" s="857">
        <f t="shared" si="137"/>
        <v>1</v>
      </c>
      <c r="C2720" s="858">
        <f t="shared" si="138"/>
        <v>42374</v>
      </c>
      <c r="D2720" s="858" t="s">
        <v>1548</v>
      </c>
      <c r="E2720" s="921">
        <v>42374</v>
      </c>
      <c r="F2720" s="49" t="s">
        <v>594</v>
      </c>
      <c r="G2720" s="49" t="s">
        <v>866</v>
      </c>
      <c r="H2720" s="923" t="s">
        <v>1297</v>
      </c>
      <c r="I2720" s="249">
        <v>612</v>
      </c>
      <c r="J2720" s="249">
        <v>7508.6486548707408</v>
      </c>
      <c r="K2720" s="51">
        <f t="shared" si="139"/>
        <v>4595293</v>
      </c>
      <c r="L2720" s="924" t="s">
        <v>171</v>
      </c>
      <c r="M2720" s="924" t="s">
        <v>166</v>
      </c>
      <c r="N2720" s="52" t="str">
        <f>IF(AND('331-CT'!$E$7=TH!H2720,OR(L2720="331",M2720="331")),"331",IF(AND(OR(L2720="131",M2720="131"),H2720='131-CT'!$E$7),"131",""))</f>
        <v/>
      </c>
      <c r="O2720" s="818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726"/>
      <c r="AB2720" s="860"/>
    </row>
    <row r="2721" spans="1:29" s="861" customFormat="1" ht="15.75" customHeight="1">
      <c r="A2721" s="202" t="str">
        <f>IF(B2721&lt;&gt;"",IF(AND(B2721&gt;=_TM1,B2721&lt;=_TM2,OR(TH!L2721="1111",TH!M2721="1111")),TH!D2721,""),"")</f>
        <v/>
      </c>
      <c r="B2721" s="857">
        <f t="shared" si="137"/>
        <v>1</v>
      </c>
      <c r="C2721" s="858">
        <f t="shared" si="138"/>
        <v>42374</v>
      </c>
      <c r="D2721" s="858" t="s">
        <v>1548</v>
      </c>
      <c r="E2721" s="921">
        <v>42374</v>
      </c>
      <c r="F2721" s="925" t="s">
        <v>389</v>
      </c>
      <c r="G2721" s="49" t="s">
        <v>866</v>
      </c>
      <c r="H2721" s="923" t="s">
        <v>1297</v>
      </c>
      <c r="I2721" s="249">
        <v>905</v>
      </c>
      <c r="J2721" s="249">
        <v>6841.2132188822297</v>
      </c>
      <c r="K2721" s="51">
        <f t="shared" si="139"/>
        <v>6191298</v>
      </c>
      <c r="L2721" s="924" t="s">
        <v>171</v>
      </c>
      <c r="M2721" s="924" t="s">
        <v>166</v>
      </c>
      <c r="N2721" s="52" t="str">
        <f>IF(AND('331-CT'!$E$7=TH!H2721,OR(L2721="331",M2721="331")),"331",IF(AND(OR(L2721="131",M2721="131"),H2721='131-CT'!$E$7),"131",""))</f>
        <v/>
      </c>
      <c r="O2721" s="818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726"/>
      <c r="AB2721" s="860"/>
      <c r="AC2721" s="860"/>
    </row>
    <row r="2722" spans="1:29" s="861" customFormat="1" ht="15.75" customHeight="1">
      <c r="A2722" s="202" t="str">
        <f>IF(B2722&lt;&gt;"",IF(AND(B2722&gt;=_TM1,B2722&lt;=_TM2,OR(TH!L2722="1111",TH!M2722="1111")),TH!D2722,""),"")</f>
        <v/>
      </c>
      <c r="B2722" s="857">
        <f t="shared" ref="B2722:B2737" si="140">IF(C2722&lt;&gt;"",MONTH(C2722),"")</f>
        <v>1</v>
      </c>
      <c r="C2722" s="858">
        <f t="shared" si="138"/>
        <v>42374</v>
      </c>
      <c r="D2722" s="858" t="s">
        <v>1548</v>
      </c>
      <c r="E2722" s="921">
        <v>42374</v>
      </c>
      <c r="F2722" s="925" t="s">
        <v>414</v>
      </c>
      <c r="G2722" s="49" t="s">
        <v>866</v>
      </c>
      <c r="H2722" s="923" t="s">
        <v>1297</v>
      </c>
      <c r="I2722" s="249">
        <v>642</v>
      </c>
      <c r="J2722" s="249">
        <v>7592.0780843693046</v>
      </c>
      <c r="K2722" s="51">
        <f t="shared" si="139"/>
        <v>4874114</v>
      </c>
      <c r="L2722" s="924" t="s">
        <v>171</v>
      </c>
      <c r="M2722" s="924" t="s">
        <v>166</v>
      </c>
      <c r="N2722" s="52" t="str">
        <f>IF(AND('331-CT'!$E$7=TH!H2722,OR(L2722="331",M2722="331")),"331",IF(AND(OR(L2722="131",M2722="131"),H2722='131-CT'!$E$7),"131",""))</f>
        <v/>
      </c>
      <c r="O2722" s="818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726"/>
      <c r="AB2722" s="860"/>
    </row>
    <row r="2723" spans="1:29" s="861" customFormat="1" ht="15.75" customHeight="1">
      <c r="A2723" s="202" t="str">
        <f>IF(B2723&lt;&gt;"",IF(AND(B2723&gt;=_TM1,B2723&lt;=_TM2,OR(TH!L2723="1111",TH!M2723="1111")),TH!D2723,""),"")</f>
        <v/>
      </c>
      <c r="B2723" s="857">
        <f t="shared" si="140"/>
        <v>1</v>
      </c>
      <c r="C2723" s="858">
        <f t="shared" si="138"/>
        <v>42375</v>
      </c>
      <c r="D2723" s="858" t="s">
        <v>1548</v>
      </c>
      <c r="E2723" s="921">
        <v>42375</v>
      </c>
      <c r="F2723" s="925" t="s">
        <v>436</v>
      </c>
      <c r="G2723" s="49" t="s">
        <v>867</v>
      </c>
      <c r="H2723" s="923" t="s">
        <v>1297</v>
      </c>
      <c r="I2723" s="926">
        <v>1580</v>
      </c>
      <c r="J2723" s="249">
        <v>5673.2012059023382</v>
      </c>
      <c r="K2723" s="51">
        <f t="shared" si="139"/>
        <v>8963658</v>
      </c>
      <c r="L2723" s="924" t="s">
        <v>171</v>
      </c>
      <c r="M2723" s="924" t="s">
        <v>166</v>
      </c>
      <c r="N2723" s="52" t="str">
        <f>IF(AND('331-CT'!$E$7=TH!H2723,OR(L2723="331",M2723="331")),"331",IF(AND(OR(L2723="131",M2723="131"),H2723='131-CT'!$E$7),"131",""))</f>
        <v/>
      </c>
      <c r="O2723" s="818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726"/>
      <c r="AB2723" s="860"/>
    </row>
    <row r="2724" spans="1:29" s="861" customFormat="1" ht="15.75" customHeight="1">
      <c r="A2724" s="202" t="str">
        <f>IF(B2724&lt;&gt;"",IF(AND(B2724&gt;=_TM1,B2724&lt;=_TM2,OR(TH!L2724="1111",TH!M2724="1111")),TH!D2724,""),"")</f>
        <v/>
      </c>
      <c r="B2724" s="857">
        <f t="shared" si="140"/>
        <v>1</v>
      </c>
      <c r="C2724" s="858">
        <f t="shared" si="138"/>
        <v>42376</v>
      </c>
      <c r="D2724" s="858" t="s">
        <v>1548</v>
      </c>
      <c r="E2724" s="921">
        <v>42376</v>
      </c>
      <c r="F2724" s="925" t="s">
        <v>512</v>
      </c>
      <c r="G2724" s="49" t="s">
        <v>868</v>
      </c>
      <c r="H2724" s="923" t="s">
        <v>1297</v>
      </c>
      <c r="I2724" s="249">
        <v>358</v>
      </c>
      <c r="J2724" s="249">
        <v>4421.7597634238809</v>
      </c>
      <c r="K2724" s="51">
        <f t="shared" si="139"/>
        <v>1582990</v>
      </c>
      <c r="L2724" s="924" t="s">
        <v>171</v>
      </c>
      <c r="M2724" s="924" t="s">
        <v>166</v>
      </c>
      <c r="N2724" s="52" t="str">
        <f>IF(AND('331-CT'!$E$7=TH!H2724,OR(L2724="331",M2724="331")),"331",IF(AND(OR(L2724="131",M2724="131"),H2724='131-CT'!$E$7),"131",""))</f>
        <v/>
      </c>
      <c r="O2724" s="818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726"/>
    </row>
    <row r="2725" spans="1:29" s="861" customFormat="1" ht="15.75" customHeight="1">
      <c r="A2725" s="202" t="str">
        <f>IF(B2725&lt;&gt;"",IF(AND(B2725&gt;=_TM1,B2725&lt;=_TM2,OR(TH!L2725="1111",TH!M2725="1111")),TH!D2725,""),"")</f>
        <v/>
      </c>
      <c r="B2725" s="857">
        <f t="shared" si="140"/>
        <v>1</v>
      </c>
      <c r="C2725" s="858">
        <f t="shared" si="138"/>
        <v>42376</v>
      </c>
      <c r="D2725" s="858" t="s">
        <v>1548</v>
      </c>
      <c r="E2725" s="921">
        <v>42376</v>
      </c>
      <c r="F2725" s="925" t="s">
        <v>649</v>
      </c>
      <c r="G2725" s="49" t="s">
        <v>869</v>
      </c>
      <c r="H2725" s="923" t="s">
        <v>1297</v>
      </c>
      <c r="I2725" s="249">
        <v>203</v>
      </c>
      <c r="J2725" s="249">
        <v>13598.997008265897</v>
      </c>
      <c r="K2725" s="51">
        <f t="shared" si="139"/>
        <v>2760596</v>
      </c>
      <c r="L2725" s="924" t="s">
        <v>171</v>
      </c>
      <c r="M2725" s="924" t="s">
        <v>166</v>
      </c>
      <c r="N2725" s="52" t="str">
        <f>IF(AND('331-CT'!$E$7=TH!H2725,OR(L2725="331",M2725="331")),"331",IF(AND(OR(L2725="131",M2725="131"),H2725='131-CT'!$E$7),"131",""))</f>
        <v/>
      </c>
      <c r="O2725" s="818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726"/>
    </row>
    <row r="2726" spans="1:29" s="861" customFormat="1" ht="15.75" customHeight="1">
      <c r="A2726" s="202" t="str">
        <f>IF(B2726&lt;&gt;"",IF(AND(B2726&gt;=_TM1,B2726&lt;=_TM2,OR(TH!L2726="1111",TH!M2726="1111")),TH!D2726,""),"")</f>
        <v/>
      </c>
      <c r="B2726" s="857">
        <f t="shared" si="140"/>
        <v>1</v>
      </c>
      <c r="C2726" s="858">
        <f t="shared" si="138"/>
        <v>42376</v>
      </c>
      <c r="D2726" s="858" t="s">
        <v>1548</v>
      </c>
      <c r="E2726" s="921">
        <v>42376</v>
      </c>
      <c r="F2726" s="925" t="s">
        <v>650</v>
      </c>
      <c r="G2726" s="49" t="s">
        <v>869</v>
      </c>
      <c r="H2726" s="923" t="s">
        <v>1297</v>
      </c>
      <c r="I2726" s="249">
        <v>104</v>
      </c>
      <c r="J2726" s="249">
        <v>18604.762778179724</v>
      </c>
      <c r="K2726" s="51">
        <f t="shared" si="139"/>
        <v>1934895</v>
      </c>
      <c r="L2726" s="924" t="s">
        <v>171</v>
      </c>
      <c r="M2726" s="924" t="s">
        <v>166</v>
      </c>
      <c r="N2726" s="52" t="str">
        <f>IF(AND('331-CT'!$E$7=TH!H2726,OR(L2726="331",M2726="331")),"331",IF(AND(OR(L2726="131",M2726="131"),H2726='131-CT'!$E$7),"131",""))</f>
        <v/>
      </c>
      <c r="O2726" s="818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726"/>
    </row>
    <row r="2727" spans="1:29" s="861" customFormat="1" ht="15.75" customHeight="1">
      <c r="A2727" s="202" t="str">
        <f>IF(B2727&lt;&gt;"",IF(AND(B2727&gt;=_TM1,B2727&lt;=_TM2,OR(TH!L2727="1111",TH!M2727="1111")),TH!D2727,""),"")</f>
        <v/>
      </c>
      <c r="B2727" s="857">
        <f t="shared" si="140"/>
        <v>1</v>
      </c>
      <c r="C2727" s="858">
        <f t="shared" si="138"/>
        <v>42376</v>
      </c>
      <c r="D2727" s="858" t="s">
        <v>1548</v>
      </c>
      <c r="E2727" s="921">
        <v>42376</v>
      </c>
      <c r="F2727" s="925" t="s">
        <v>870</v>
      </c>
      <c r="G2727" s="49" t="s">
        <v>869</v>
      </c>
      <c r="H2727" s="923" t="s">
        <v>1297</v>
      </c>
      <c r="I2727" s="249">
        <v>20</v>
      </c>
      <c r="J2727" s="249">
        <v>12097.267277291749</v>
      </c>
      <c r="K2727" s="51">
        <f t="shared" si="139"/>
        <v>241945</v>
      </c>
      <c r="L2727" s="924" t="s">
        <v>171</v>
      </c>
      <c r="M2727" s="924" t="s">
        <v>166</v>
      </c>
      <c r="N2727" s="52" t="str">
        <f>IF(AND('331-CT'!$E$7=TH!H2727,OR(L2727="331",M2727="331")),"331",IF(AND(OR(L2727="131",M2727="131"),H2727='131-CT'!$E$7),"131",""))</f>
        <v/>
      </c>
      <c r="O2727" s="818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726"/>
    </row>
    <row r="2728" spans="1:29" s="861" customFormat="1" ht="15.75" customHeight="1">
      <c r="A2728" s="202" t="str">
        <f>IF(B2728&lt;&gt;"",IF(AND(B2728&gt;=_TM1,B2728&lt;=_TM2,OR(TH!L2728="1111",TH!M2728="1111")),TH!D2728,""),"")</f>
        <v/>
      </c>
      <c r="B2728" s="857">
        <f t="shared" si="140"/>
        <v>1</v>
      </c>
      <c r="C2728" s="858">
        <f t="shared" si="138"/>
        <v>42376</v>
      </c>
      <c r="D2728" s="858" t="s">
        <v>1548</v>
      </c>
      <c r="E2728" s="921">
        <v>42376</v>
      </c>
      <c r="F2728" s="925" t="s">
        <v>871</v>
      </c>
      <c r="G2728" s="49" t="s">
        <v>869</v>
      </c>
      <c r="H2728" s="923" t="s">
        <v>1297</v>
      </c>
      <c r="I2728" s="249">
        <v>23</v>
      </c>
      <c r="J2728" s="249">
        <v>13598.997008265897</v>
      </c>
      <c r="K2728" s="51">
        <f t="shared" si="139"/>
        <v>312777</v>
      </c>
      <c r="L2728" s="924" t="s">
        <v>171</v>
      </c>
      <c r="M2728" s="924" t="s">
        <v>166</v>
      </c>
      <c r="N2728" s="52" t="str">
        <f>IF(AND('331-CT'!$E$7=TH!H2728,OR(L2728="331",M2728="331")),"331",IF(AND(OR(L2728="131",M2728="131"),H2728='131-CT'!$E$7),"131",""))</f>
        <v/>
      </c>
      <c r="O2728" s="818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726"/>
      <c r="AB2728" s="860"/>
      <c r="AC2728" s="860"/>
    </row>
    <row r="2729" spans="1:29" s="861" customFormat="1" ht="15.75" customHeight="1">
      <c r="A2729" s="202" t="str">
        <f>IF(B2729&lt;&gt;"",IF(AND(B2729&gt;=_TM1,B2729&lt;=_TM2,OR(TH!L2729="1111",TH!M2729="1111")),TH!D2729,""),"")</f>
        <v/>
      </c>
      <c r="B2729" s="857">
        <f t="shared" si="140"/>
        <v>1</v>
      </c>
      <c r="C2729" s="858">
        <f t="shared" si="138"/>
        <v>42376</v>
      </c>
      <c r="D2729" s="858" t="s">
        <v>1548</v>
      </c>
      <c r="E2729" s="921">
        <v>42376</v>
      </c>
      <c r="F2729" s="925" t="s">
        <v>872</v>
      </c>
      <c r="G2729" s="49" t="s">
        <v>869</v>
      </c>
      <c r="H2729" s="923" t="s">
        <v>1297</v>
      </c>
      <c r="I2729" s="249">
        <v>22</v>
      </c>
      <c r="J2729" s="249">
        <v>15768.162175228555</v>
      </c>
      <c r="K2729" s="51">
        <f t="shared" si="139"/>
        <v>346900</v>
      </c>
      <c r="L2729" s="924" t="s">
        <v>171</v>
      </c>
      <c r="M2729" s="924" t="s">
        <v>166</v>
      </c>
      <c r="N2729" s="52" t="str">
        <f>IF(AND('331-CT'!$E$7=TH!H2729,OR(L2729="331",M2729="331")),"331",IF(AND(OR(L2729="131",M2729="131"),H2729='131-CT'!$E$7),"131",""))</f>
        <v/>
      </c>
      <c r="O2729" s="818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726"/>
      <c r="AB2729" s="860"/>
    </row>
    <row r="2730" spans="1:29" s="861" customFormat="1" ht="15.75" customHeight="1">
      <c r="A2730" s="202" t="str">
        <f>IF(B2730&lt;&gt;"",IF(AND(B2730&gt;=_TM1,B2730&lt;=_TM2,OR(TH!L2730="1111",TH!M2730="1111")),TH!D2730,""),"")</f>
        <v/>
      </c>
      <c r="B2730" s="857">
        <f t="shared" si="140"/>
        <v>1</v>
      </c>
      <c r="C2730" s="858">
        <f t="shared" si="138"/>
        <v>42376</v>
      </c>
      <c r="D2730" s="858" t="s">
        <v>1548</v>
      </c>
      <c r="E2730" s="921">
        <v>42376</v>
      </c>
      <c r="F2730" s="925" t="s">
        <v>873</v>
      </c>
      <c r="G2730" s="49" t="s">
        <v>869</v>
      </c>
      <c r="H2730" s="923" t="s">
        <v>1297</v>
      </c>
      <c r="I2730" s="249">
        <v>22</v>
      </c>
      <c r="J2730" s="249">
        <v>18771.621637176853</v>
      </c>
      <c r="K2730" s="51">
        <f t="shared" si="139"/>
        <v>412976</v>
      </c>
      <c r="L2730" s="924" t="s">
        <v>171</v>
      </c>
      <c r="M2730" s="924" t="s">
        <v>166</v>
      </c>
      <c r="N2730" s="52" t="str">
        <f>IF(AND('331-CT'!$E$7=TH!H2730,OR(L2730="331",M2730="331")),"331",IF(AND(OR(L2730="131",M2730="131"),H2730='131-CT'!$E$7),"131",""))</f>
        <v/>
      </c>
      <c r="O2730" s="818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726"/>
      <c r="AB2730" s="860"/>
    </row>
    <row r="2731" spans="1:29" s="861" customFormat="1" ht="15.75" customHeight="1">
      <c r="A2731" s="202" t="str">
        <f>IF(B2731&lt;&gt;"",IF(AND(B2731&gt;=_TM1,B2731&lt;=_TM2,OR(TH!L2731="1111",TH!M2731="1111")),TH!D2731,""),"")</f>
        <v/>
      </c>
      <c r="B2731" s="857">
        <f t="shared" si="140"/>
        <v>1</v>
      </c>
      <c r="C2731" s="858">
        <f t="shared" si="138"/>
        <v>42376</v>
      </c>
      <c r="D2731" s="858" t="s">
        <v>1548</v>
      </c>
      <c r="E2731" s="858">
        <v>42376</v>
      </c>
      <c r="F2731" s="925" t="s">
        <v>874</v>
      </c>
      <c r="G2731" s="927" t="s">
        <v>869</v>
      </c>
      <c r="H2731" s="923" t="s">
        <v>1297</v>
      </c>
      <c r="I2731" s="249">
        <v>21</v>
      </c>
      <c r="J2731" s="249">
        <v>23109.951971102168</v>
      </c>
      <c r="K2731" s="51">
        <f t="shared" si="139"/>
        <v>485309</v>
      </c>
      <c r="L2731" s="924" t="s">
        <v>171</v>
      </c>
      <c r="M2731" s="924" t="s">
        <v>166</v>
      </c>
      <c r="N2731" s="52" t="str">
        <f>IF(AND('331-CT'!$E$7=TH!H2731,OR(L2731="331",M2731="331")),"331",IF(AND(OR(L2731="131",M2731="131"),H2731='131-CT'!$E$7),"131",""))</f>
        <v/>
      </c>
      <c r="O2731" s="818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726"/>
      <c r="AB2731" s="860"/>
      <c r="AC2731" s="860"/>
    </row>
    <row r="2732" spans="1:29" s="861" customFormat="1" ht="15.75" customHeight="1">
      <c r="A2732" s="202" t="str">
        <f>IF(B2732&lt;&gt;"",IF(AND(B2732&gt;=_TM1,B2732&lt;=_TM2,OR(TH!L2732="1111",TH!M2732="1111")),TH!D2732,""),"")</f>
        <v/>
      </c>
      <c r="B2732" s="857">
        <f t="shared" si="140"/>
        <v>1</v>
      </c>
      <c r="C2732" s="858">
        <f t="shared" si="138"/>
        <v>42376</v>
      </c>
      <c r="D2732" s="858" t="s">
        <v>1548</v>
      </c>
      <c r="E2732" s="830">
        <v>42376</v>
      </c>
      <c r="F2732" s="831" t="s">
        <v>875</v>
      </c>
      <c r="G2732" s="832" t="s">
        <v>869</v>
      </c>
      <c r="H2732" s="923" t="s">
        <v>1297</v>
      </c>
      <c r="I2732" s="249">
        <v>22</v>
      </c>
      <c r="J2732" s="249">
        <v>25946.552574053338</v>
      </c>
      <c r="K2732" s="51">
        <f t="shared" si="139"/>
        <v>570824</v>
      </c>
      <c r="L2732" s="924" t="s">
        <v>171</v>
      </c>
      <c r="M2732" s="924" t="s">
        <v>166</v>
      </c>
      <c r="N2732" s="52" t="str">
        <f>IF(AND('331-CT'!$E$7=TH!H2732,OR(L2732="331",M2732="331")),"331",IF(AND(OR(L2732="131",M2732="131"),H2732='131-CT'!$E$7),"131",""))</f>
        <v/>
      </c>
      <c r="O2732" s="818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726"/>
      <c r="AB2732" s="860"/>
    </row>
    <row r="2733" spans="1:29" s="861" customFormat="1" ht="15.75" customHeight="1">
      <c r="A2733" s="202" t="str">
        <f>IF(B2733&lt;&gt;"",IF(AND(B2733&gt;=_TM1,B2733&lt;=_TM2,OR(TH!L2733="1111",TH!M2733="1111")),TH!D2733,""),"")</f>
        <v/>
      </c>
      <c r="B2733" s="857">
        <f t="shared" si="140"/>
        <v>1</v>
      </c>
      <c r="C2733" s="858">
        <f t="shared" si="138"/>
        <v>42376</v>
      </c>
      <c r="D2733" s="858" t="s">
        <v>1548</v>
      </c>
      <c r="E2733" s="830">
        <v>42376</v>
      </c>
      <c r="F2733" s="831" t="s">
        <v>876</v>
      </c>
      <c r="G2733" s="832" t="s">
        <v>869</v>
      </c>
      <c r="H2733" s="923" t="s">
        <v>1297</v>
      </c>
      <c r="I2733" s="249">
        <v>21</v>
      </c>
      <c r="J2733" s="249">
        <v>27197.994016531793</v>
      </c>
      <c r="K2733" s="51">
        <f t="shared" si="139"/>
        <v>571158</v>
      </c>
      <c r="L2733" s="924" t="s">
        <v>171</v>
      </c>
      <c r="M2733" s="924" t="s">
        <v>166</v>
      </c>
      <c r="N2733" s="52" t="str">
        <f>IF(AND('331-CT'!$E$7=TH!H2733,OR(L2733="331",M2733="331")),"331",IF(AND(OR(L2733="131",M2733="131"),H2733='131-CT'!$E$7),"131",""))</f>
        <v/>
      </c>
      <c r="O2733" s="818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726"/>
      <c r="AB2733" s="860"/>
    </row>
    <row r="2734" spans="1:29" s="861" customFormat="1" ht="15.75" customHeight="1">
      <c r="A2734" s="202" t="str">
        <f>IF(B2734&lt;&gt;"",IF(AND(B2734&gt;=_TM1,B2734&lt;=_TM2,OR(TH!L2734="1111",TH!M2734="1111")),TH!D2734,""),"")</f>
        <v/>
      </c>
      <c r="B2734" s="857">
        <f t="shared" si="140"/>
        <v>1</v>
      </c>
      <c r="C2734" s="858">
        <f t="shared" si="138"/>
        <v>42376</v>
      </c>
      <c r="D2734" s="858" t="s">
        <v>1548</v>
      </c>
      <c r="E2734" s="830">
        <v>42376</v>
      </c>
      <c r="F2734" s="831" t="s">
        <v>877</v>
      </c>
      <c r="G2734" s="832" t="s">
        <v>869</v>
      </c>
      <c r="H2734" s="923" t="s">
        <v>1297</v>
      </c>
      <c r="I2734" s="249">
        <v>24</v>
      </c>
      <c r="J2734" s="249">
        <v>34039.207235414025</v>
      </c>
      <c r="K2734" s="51">
        <f t="shared" si="139"/>
        <v>816941</v>
      </c>
      <c r="L2734" s="924" t="s">
        <v>171</v>
      </c>
      <c r="M2734" s="924" t="s">
        <v>166</v>
      </c>
      <c r="N2734" s="52" t="str">
        <f>IF(AND('331-CT'!$E$7=TH!H2734,OR(L2734="331",M2734="331")),"331",IF(AND(OR(L2734="131",M2734="131"),H2734='131-CT'!$E$7),"131",""))</f>
        <v/>
      </c>
      <c r="O2734" s="818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726"/>
      <c r="AB2734" s="860"/>
      <c r="AC2734" s="860"/>
    </row>
    <row r="2735" spans="1:29" s="861" customFormat="1" ht="15.75" customHeight="1">
      <c r="A2735" s="202" t="str">
        <f>IF(B2735&lt;&gt;"",IF(AND(B2735&gt;=_TM1,B2735&lt;=_TM2,OR(TH!L2735="1111",TH!M2735="1111")),TH!D2735,""),"")</f>
        <v/>
      </c>
      <c r="B2735" s="857">
        <f t="shared" si="140"/>
        <v>1</v>
      </c>
      <c r="C2735" s="858">
        <f t="shared" si="138"/>
        <v>42376</v>
      </c>
      <c r="D2735" s="858" t="s">
        <v>1548</v>
      </c>
      <c r="E2735" s="830">
        <v>42376</v>
      </c>
      <c r="F2735" s="831" t="s">
        <v>1205</v>
      </c>
      <c r="G2735" s="832" t="s">
        <v>878</v>
      </c>
      <c r="H2735" s="923" t="s">
        <v>1297</v>
      </c>
      <c r="I2735" s="249">
        <v>320</v>
      </c>
      <c r="J2735" s="249">
        <v>13098.420431274515</v>
      </c>
      <c r="K2735" s="51">
        <f t="shared" si="139"/>
        <v>4191495</v>
      </c>
      <c r="L2735" s="924" t="s">
        <v>171</v>
      </c>
      <c r="M2735" s="924" t="s">
        <v>166</v>
      </c>
      <c r="N2735" s="52" t="str">
        <f>IF(AND('331-CT'!$E$7=TH!H2735,OR(L2735="331",M2735="331")),"331",IF(AND(OR(L2735="131",M2735="131"),H2735='131-CT'!$E$7),"131",""))</f>
        <v/>
      </c>
      <c r="O2735" s="818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726"/>
      <c r="AB2735" s="860"/>
    </row>
    <row r="2736" spans="1:29" s="861" customFormat="1" ht="15.75" customHeight="1">
      <c r="A2736" s="202" t="str">
        <f>IF(B2736&lt;&gt;"",IF(AND(B2736&gt;=_TM1,B2736&lt;=_TM2,OR(TH!L2736="1111",TH!M2736="1111")),TH!D2736,""),"")</f>
        <v/>
      </c>
      <c r="B2736" s="857">
        <f t="shared" si="140"/>
        <v>1</v>
      </c>
      <c r="C2736" s="858">
        <f t="shared" si="138"/>
        <v>42376</v>
      </c>
      <c r="D2736" s="858" t="s">
        <v>1548</v>
      </c>
      <c r="E2736" s="830">
        <v>42376</v>
      </c>
      <c r="F2736" s="831" t="s">
        <v>1206</v>
      </c>
      <c r="G2736" s="832" t="s">
        <v>878</v>
      </c>
      <c r="H2736" s="923" t="s">
        <v>1297</v>
      </c>
      <c r="I2736" s="249">
        <v>280</v>
      </c>
      <c r="J2736" s="249">
        <v>7091.5015073779214</v>
      </c>
      <c r="K2736" s="51">
        <f t="shared" si="139"/>
        <v>1985620</v>
      </c>
      <c r="L2736" s="924" t="s">
        <v>171</v>
      </c>
      <c r="M2736" s="924" t="s">
        <v>166</v>
      </c>
      <c r="N2736" s="52" t="str">
        <f>IF(AND('331-CT'!$E$7=TH!H2736,OR(L2736="331",M2736="331")),"331",IF(AND(OR(L2736="131",M2736="131"),H2736='131-CT'!$E$7),"131",""))</f>
        <v/>
      </c>
      <c r="O2736" s="818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726"/>
      <c r="AB2736" s="860"/>
    </row>
    <row r="2737" spans="1:29" s="861" customFormat="1" ht="15.75" customHeight="1">
      <c r="A2737" s="202" t="str">
        <f>IF(B2737&lt;&gt;"",IF(AND(B2737&gt;=_TM1,B2737&lt;=_TM2,OR(TH!L2737="1111",TH!M2737="1111")),TH!D2737,""),"")</f>
        <v/>
      </c>
      <c r="B2737" s="857">
        <f t="shared" si="140"/>
        <v>1</v>
      </c>
      <c r="C2737" s="858">
        <f t="shared" si="138"/>
        <v>42376</v>
      </c>
      <c r="D2737" s="858" t="s">
        <v>1548</v>
      </c>
      <c r="E2737" s="48">
        <v>42376</v>
      </c>
      <c r="F2737" s="49" t="s">
        <v>1207</v>
      </c>
      <c r="G2737" s="49" t="s">
        <v>878</v>
      </c>
      <c r="H2737" s="923" t="s">
        <v>1297</v>
      </c>
      <c r="I2737" s="249">
        <v>211</v>
      </c>
      <c r="J2737" s="249">
        <v>7842.3663728649954</v>
      </c>
      <c r="K2737" s="51">
        <f t="shared" si="139"/>
        <v>1654739</v>
      </c>
      <c r="L2737" s="924" t="s">
        <v>171</v>
      </c>
      <c r="M2737" s="924" t="s">
        <v>166</v>
      </c>
      <c r="N2737" s="52" t="str">
        <f>IF(AND('331-CT'!$E$7=TH!H2737,OR(L2737="331",M2737="331")),"331",IF(AND(OR(L2737="131",M2737="131"),H2737='131-CT'!$E$7),"131",""))</f>
        <v/>
      </c>
      <c r="O2737" s="818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726"/>
      <c r="AB2737" s="860"/>
      <c r="AC2737" s="860"/>
    </row>
    <row r="2738" spans="1:29" s="861" customFormat="1" ht="15.75" customHeight="1">
      <c r="A2738" s="202" t="str">
        <f>IF(B2738&lt;&gt;"",IF(AND(B2738&gt;=_TM1,B2738&lt;=_TM2,OR(TH!L2738="1111",TH!M2738="1111")),TH!D2738,""),"")</f>
        <v/>
      </c>
      <c r="B2738" s="857">
        <f t="shared" si="137"/>
        <v>1</v>
      </c>
      <c r="C2738" s="858">
        <f t="shared" si="138"/>
        <v>42376</v>
      </c>
      <c r="D2738" s="858" t="s">
        <v>1548</v>
      </c>
      <c r="E2738" s="48">
        <v>42376</v>
      </c>
      <c r="F2738" s="49" t="s">
        <v>1208</v>
      </c>
      <c r="G2738" s="49" t="s">
        <v>878</v>
      </c>
      <c r="H2738" s="923" t="s">
        <v>1297</v>
      </c>
      <c r="I2738" s="249">
        <v>75</v>
      </c>
      <c r="J2738" s="249">
        <v>8259.5135203578157</v>
      </c>
      <c r="K2738" s="51">
        <f t="shared" si="139"/>
        <v>619464</v>
      </c>
      <c r="L2738" s="924" t="s">
        <v>171</v>
      </c>
      <c r="M2738" s="924" t="s">
        <v>166</v>
      </c>
      <c r="N2738" s="52" t="str">
        <f>IF(AND('331-CT'!$E$7=TH!H2738,OR(L2738="331",M2738="331")),"331",IF(AND(OR(L2738="131",M2738="131"),H2738='131-CT'!$E$7),"131",""))</f>
        <v/>
      </c>
      <c r="O2738" s="818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726"/>
      <c r="AB2738" s="860"/>
    </row>
    <row r="2739" spans="1:29" s="861" customFormat="1" ht="15.75" customHeight="1">
      <c r="A2739" s="202" t="str">
        <f>IF(B2739&lt;&gt;"",IF(AND(B2739&gt;=_TM1,B2739&lt;=_TM2,OR(TH!L2739="1111",TH!M2739="1111")),TH!D2739,""),"")</f>
        <v/>
      </c>
      <c r="B2739" s="857">
        <f t="shared" si="137"/>
        <v>1</v>
      </c>
      <c r="C2739" s="858">
        <f t="shared" si="138"/>
        <v>42376</v>
      </c>
      <c r="D2739" s="858" t="s">
        <v>1548</v>
      </c>
      <c r="E2739" s="858">
        <v>42376</v>
      </c>
      <c r="F2739" s="925" t="s">
        <v>1209</v>
      </c>
      <c r="G2739" s="927" t="s">
        <v>878</v>
      </c>
      <c r="H2739" s="923" t="s">
        <v>1297</v>
      </c>
      <c r="I2739" s="249">
        <v>70</v>
      </c>
      <c r="J2739" s="249">
        <v>5840.060064899465</v>
      </c>
      <c r="K2739" s="51">
        <f t="shared" si="139"/>
        <v>408804</v>
      </c>
      <c r="L2739" s="924" t="s">
        <v>171</v>
      </c>
      <c r="M2739" s="924" t="s">
        <v>166</v>
      </c>
      <c r="N2739" s="52" t="str">
        <f>IF(AND('331-CT'!$E$7=TH!H2739,OR(L2739="331",M2739="331")),"331",IF(AND(OR(L2739="131",M2739="131"),H2739='131-CT'!$E$7),"131",""))</f>
        <v/>
      </c>
      <c r="O2739" s="818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726"/>
      <c r="AB2739" s="860"/>
    </row>
    <row r="2740" spans="1:29" s="861" customFormat="1" ht="15.75" customHeight="1">
      <c r="A2740" s="202" t="str">
        <f>IF(B2740&lt;&gt;"",IF(AND(B2740&gt;=_TM1,B2740&lt;=_TM2,OR(TH!L2740="1111",TH!M2740="1111")),TH!D2740,""),"")</f>
        <v/>
      </c>
      <c r="B2740" s="857">
        <f t="shared" si="137"/>
        <v>1</v>
      </c>
      <c r="C2740" s="858">
        <f t="shared" si="138"/>
        <v>42376</v>
      </c>
      <c r="D2740" s="858" t="s">
        <v>1548</v>
      </c>
      <c r="E2740" s="858">
        <v>42376</v>
      </c>
      <c r="F2740" s="925" t="s">
        <v>1210</v>
      </c>
      <c r="G2740" s="927" t="s">
        <v>878</v>
      </c>
      <c r="H2740" s="923" t="s">
        <v>1297</v>
      </c>
      <c r="I2740" s="249">
        <v>120</v>
      </c>
      <c r="J2740" s="249">
        <v>9010.3783858448896</v>
      </c>
      <c r="K2740" s="51">
        <f t="shared" si="139"/>
        <v>1081245</v>
      </c>
      <c r="L2740" s="924" t="s">
        <v>171</v>
      </c>
      <c r="M2740" s="924" t="s">
        <v>166</v>
      </c>
      <c r="N2740" s="52" t="str">
        <f>IF(AND('331-CT'!$E$7=TH!H2740,OR(L2740="331",M2740="331")),"331",IF(AND(OR(L2740="131",M2740="131"),H2740='131-CT'!$E$7),"131",""))</f>
        <v/>
      </c>
      <c r="O2740" s="818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726"/>
    </row>
    <row r="2741" spans="1:29" s="861" customFormat="1" ht="15.75" customHeight="1">
      <c r="A2741" s="202" t="str">
        <f>IF(B2741&lt;&gt;"",IF(AND(B2741&gt;=_TM1,B2741&lt;=_TM2,OR(TH!L2741="1111",TH!M2741="1111")),TH!D2741,""),"")</f>
        <v/>
      </c>
      <c r="B2741" s="857">
        <f t="shared" si="137"/>
        <v>1</v>
      </c>
      <c r="C2741" s="858">
        <f t="shared" si="138"/>
        <v>42376</v>
      </c>
      <c r="D2741" s="858" t="s">
        <v>1548</v>
      </c>
      <c r="E2741" s="858">
        <v>42376</v>
      </c>
      <c r="F2741" s="925" t="s">
        <v>1211</v>
      </c>
      <c r="G2741" s="927" t="s">
        <v>878</v>
      </c>
      <c r="H2741" s="923" t="s">
        <v>1297</v>
      </c>
      <c r="I2741" s="249">
        <v>110</v>
      </c>
      <c r="J2741" s="249">
        <v>14850.438450744354</v>
      </c>
      <c r="K2741" s="51">
        <f t="shared" si="139"/>
        <v>1633548</v>
      </c>
      <c r="L2741" s="924" t="s">
        <v>171</v>
      </c>
      <c r="M2741" s="924" t="s">
        <v>166</v>
      </c>
      <c r="N2741" s="52" t="str">
        <f>IF(AND('331-CT'!$E$7=TH!H2741,OR(L2741="331",M2741="331")),"331",IF(AND(OR(L2741="131",M2741="131"),H2741='131-CT'!$E$7),"131",""))</f>
        <v/>
      </c>
      <c r="O2741" s="818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726"/>
    </row>
    <row r="2742" spans="1:29" s="861" customFormat="1" ht="15.75" customHeight="1">
      <c r="A2742" s="202" t="str">
        <f>IF(B2742&lt;&gt;"",IF(AND(B2742&gt;=_TM1,B2742&lt;=_TM2,OR(TH!L2742="1111",TH!M2742="1111")),TH!D2742,""),"")</f>
        <v/>
      </c>
      <c r="B2742" s="857">
        <f t="shared" si="137"/>
        <v>1</v>
      </c>
      <c r="C2742" s="858">
        <f t="shared" si="138"/>
        <v>42376</v>
      </c>
      <c r="D2742" s="858" t="s">
        <v>1548</v>
      </c>
      <c r="E2742" s="858">
        <v>42376</v>
      </c>
      <c r="F2742" s="925" t="s">
        <v>1212</v>
      </c>
      <c r="G2742" s="927" t="s">
        <v>878</v>
      </c>
      <c r="H2742" s="923" t="s">
        <v>1297</v>
      </c>
      <c r="I2742" s="249">
        <v>96</v>
      </c>
      <c r="J2742" s="249">
        <v>14767.009021245791</v>
      </c>
      <c r="K2742" s="51">
        <f t="shared" si="139"/>
        <v>1417633</v>
      </c>
      <c r="L2742" s="924" t="s">
        <v>171</v>
      </c>
      <c r="M2742" s="924" t="s">
        <v>166</v>
      </c>
      <c r="N2742" s="52" t="str">
        <f>IF(AND('331-CT'!$E$7=TH!H2742,OR(L2742="331",M2742="331")),"331",IF(AND(OR(L2742="131",M2742="131"),H2742='131-CT'!$E$7),"131",""))</f>
        <v/>
      </c>
      <c r="O2742" s="818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726"/>
    </row>
    <row r="2743" spans="1:29" s="861" customFormat="1" ht="15.75" customHeight="1">
      <c r="A2743" s="202" t="str">
        <f>IF(B2743&lt;&gt;"",IF(AND(B2743&gt;=_TM1,B2743&lt;=_TM2,OR(TH!L2743="1111",TH!M2743="1111")),TH!D2743,""),"")</f>
        <v/>
      </c>
      <c r="B2743" s="857">
        <f t="shared" si="137"/>
        <v>1</v>
      </c>
      <c r="C2743" s="858">
        <f t="shared" si="138"/>
        <v>42376</v>
      </c>
      <c r="D2743" s="858" t="s">
        <v>1548</v>
      </c>
      <c r="E2743" s="858">
        <v>42376</v>
      </c>
      <c r="F2743" s="925" t="s">
        <v>1213</v>
      </c>
      <c r="G2743" s="927" t="s">
        <v>878</v>
      </c>
      <c r="H2743" s="923" t="s">
        <v>1297</v>
      </c>
      <c r="I2743" s="249">
        <v>500</v>
      </c>
      <c r="J2743" s="249">
        <v>13765.855867263024</v>
      </c>
      <c r="K2743" s="51">
        <f t="shared" si="139"/>
        <v>6882928</v>
      </c>
      <c r="L2743" s="924" t="s">
        <v>171</v>
      </c>
      <c r="M2743" s="924" t="s">
        <v>166</v>
      </c>
      <c r="N2743" s="52" t="str">
        <f>IF(AND('331-CT'!$E$7=TH!H2743,OR(L2743="331",M2743="331")),"331",IF(AND(OR(L2743="131",M2743="131"),H2743='131-CT'!$E$7),"131",""))</f>
        <v/>
      </c>
      <c r="O2743" s="818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726"/>
    </row>
    <row r="2744" spans="1:29" s="861" customFormat="1" ht="15.75" customHeight="1">
      <c r="A2744" s="202" t="str">
        <f>IF(B2744&lt;&gt;"",IF(AND(B2744&gt;=_TM1,B2744&lt;=_TM2,OR(TH!L2744="1111",TH!M2744="1111")),TH!D2744,""),"")</f>
        <v/>
      </c>
      <c r="B2744" s="857">
        <f t="shared" si="137"/>
        <v>1</v>
      </c>
      <c r="C2744" s="858">
        <f t="shared" si="138"/>
        <v>42376</v>
      </c>
      <c r="D2744" s="858" t="s">
        <v>1548</v>
      </c>
      <c r="E2744" s="858">
        <v>42376</v>
      </c>
      <c r="F2744" s="925" t="s">
        <v>1214</v>
      </c>
      <c r="G2744" s="927" t="s">
        <v>878</v>
      </c>
      <c r="H2744" s="923" t="s">
        <v>1297</v>
      </c>
      <c r="I2744" s="249">
        <v>86</v>
      </c>
      <c r="J2744" s="249">
        <v>9093.8078153434526</v>
      </c>
      <c r="K2744" s="51">
        <f t="shared" si="139"/>
        <v>782067</v>
      </c>
      <c r="L2744" s="924" t="s">
        <v>171</v>
      </c>
      <c r="M2744" s="924" t="s">
        <v>166</v>
      </c>
      <c r="N2744" s="52" t="str">
        <f>IF(AND('331-CT'!$E$7=TH!H2744,OR(L2744="331",M2744="331")),"331",IF(AND(OR(L2744="131",M2744="131"),H2744='131-CT'!$E$7),"131",""))</f>
        <v/>
      </c>
      <c r="O2744" s="818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726"/>
      <c r="AB2744" s="860"/>
      <c r="AC2744" s="860"/>
    </row>
    <row r="2745" spans="1:29" s="861" customFormat="1" ht="15.75" customHeight="1">
      <c r="A2745" s="202" t="str">
        <f>IF(B2745&lt;&gt;"",IF(AND(B2745&gt;=_TM1,B2745&lt;=_TM2,OR(TH!L2745="1111",TH!M2745="1111")),TH!D2745,""),"")</f>
        <v/>
      </c>
      <c r="B2745" s="857">
        <f t="shared" si="137"/>
        <v>1</v>
      </c>
      <c r="C2745" s="858">
        <f t="shared" si="138"/>
        <v>42376</v>
      </c>
      <c r="D2745" s="858" t="s">
        <v>1548</v>
      </c>
      <c r="E2745" s="858">
        <v>42376</v>
      </c>
      <c r="F2745" s="925" t="s">
        <v>879</v>
      </c>
      <c r="G2745" s="927" t="s">
        <v>880</v>
      </c>
      <c r="H2745" s="923" t="s">
        <v>1297</v>
      </c>
      <c r="I2745" s="249">
        <v>22</v>
      </c>
      <c r="J2745" s="249">
        <v>38460.96699883791</v>
      </c>
      <c r="K2745" s="51">
        <f t="shared" si="139"/>
        <v>846141</v>
      </c>
      <c r="L2745" s="924" t="s">
        <v>171</v>
      </c>
      <c r="M2745" s="924" t="s">
        <v>166</v>
      </c>
      <c r="N2745" s="52" t="str">
        <f>IF(AND('331-CT'!$E$7=TH!H2745,OR(L2745="331",M2745="331")),"331",IF(AND(OR(L2745="131",M2745="131"),H2745='131-CT'!$E$7),"131",""))</f>
        <v/>
      </c>
      <c r="O2745" s="818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726"/>
      <c r="AB2745" s="860"/>
    </row>
    <row r="2746" spans="1:29" s="861" customFormat="1" ht="15.75" customHeight="1">
      <c r="A2746" s="202" t="str">
        <f>IF(B2746&lt;&gt;"",IF(AND(B2746&gt;=_TM1,B2746&lt;=_TM2,OR(TH!L2746="1111",TH!M2746="1111")),TH!D2746,""),"")</f>
        <v/>
      </c>
      <c r="B2746" s="857">
        <f t="shared" si="137"/>
        <v>1</v>
      </c>
      <c r="C2746" s="858">
        <f t="shared" si="138"/>
        <v>42376</v>
      </c>
      <c r="D2746" s="858" t="s">
        <v>1548</v>
      </c>
      <c r="E2746" s="830">
        <v>42376</v>
      </c>
      <c r="F2746" s="831" t="s">
        <v>881</v>
      </c>
      <c r="G2746" s="832" t="s">
        <v>880</v>
      </c>
      <c r="H2746" s="923" t="s">
        <v>1297</v>
      </c>
      <c r="I2746" s="249">
        <v>10</v>
      </c>
      <c r="J2746" s="249">
        <v>40963.849883794821</v>
      </c>
      <c r="K2746" s="51">
        <f t="shared" si="139"/>
        <v>409638</v>
      </c>
      <c r="L2746" s="924" t="s">
        <v>171</v>
      </c>
      <c r="M2746" s="924" t="s">
        <v>166</v>
      </c>
      <c r="N2746" s="52" t="str">
        <f>IF(AND('331-CT'!$E$7=TH!H2746,OR(L2746="331",M2746="331")),"331",IF(AND(OR(L2746="131",M2746="131"),H2746='131-CT'!$E$7),"131",""))</f>
        <v/>
      </c>
      <c r="O2746" s="818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726"/>
      <c r="AB2746" s="860"/>
    </row>
    <row r="2747" spans="1:29" s="861" customFormat="1" ht="15.75" customHeight="1">
      <c r="A2747" s="202" t="str">
        <f>IF(B2747&lt;&gt;"",IF(AND(B2747&gt;=_TM1,B2747&lt;=_TM2,OR(TH!L2747="1111",TH!M2747="1111")),TH!D2747,""),"")</f>
        <v/>
      </c>
      <c r="B2747" s="857">
        <f t="shared" si="137"/>
        <v>1</v>
      </c>
      <c r="C2747" s="858">
        <f t="shared" si="138"/>
        <v>42376</v>
      </c>
      <c r="D2747" s="858" t="s">
        <v>1548</v>
      </c>
      <c r="E2747" s="830">
        <v>42376</v>
      </c>
      <c r="F2747" s="831" t="s">
        <v>882</v>
      </c>
      <c r="G2747" s="832" t="s">
        <v>880</v>
      </c>
      <c r="H2747" s="923" t="s">
        <v>1297</v>
      </c>
      <c r="I2747" s="249">
        <v>10</v>
      </c>
      <c r="J2747" s="249">
        <v>54229.12917406646</v>
      </c>
      <c r="K2747" s="51">
        <f t="shared" si="139"/>
        <v>542291</v>
      </c>
      <c r="L2747" s="924" t="s">
        <v>171</v>
      </c>
      <c r="M2747" s="924" t="s">
        <v>166</v>
      </c>
      <c r="N2747" s="52" t="str">
        <f>IF(AND('331-CT'!$E$7=TH!H2747,OR(L2747="331",M2747="331")),"331",IF(AND(OR(L2747="131",M2747="131"),H2747='131-CT'!$E$7),"131",""))</f>
        <v/>
      </c>
      <c r="O2747" s="818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726"/>
      <c r="AB2747" s="860"/>
      <c r="AC2747" s="860"/>
    </row>
    <row r="2748" spans="1:29" s="861" customFormat="1" ht="15.75" customHeight="1">
      <c r="A2748" s="202" t="str">
        <f>IF(B2748&lt;&gt;"",IF(AND(B2748&gt;=_TM1,B2748&lt;=_TM2,OR(TH!L2748="1111",TH!M2748="1111")),TH!D2748,""),"")</f>
        <v/>
      </c>
      <c r="B2748" s="857">
        <f t="shared" si="137"/>
        <v>1</v>
      </c>
      <c r="C2748" s="858">
        <f t="shared" si="138"/>
        <v>42377</v>
      </c>
      <c r="D2748" s="858" t="s">
        <v>1548</v>
      </c>
      <c r="E2748" s="921">
        <v>42377</v>
      </c>
      <c r="F2748" s="925" t="s">
        <v>610</v>
      </c>
      <c r="G2748" s="49" t="s">
        <v>884</v>
      </c>
      <c r="H2748" s="923" t="s">
        <v>1297</v>
      </c>
      <c r="I2748" s="249">
        <v>153</v>
      </c>
      <c r="J2748" s="249">
        <v>26864.276298537541</v>
      </c>
      <c r="K2748" s="51">
        <f t="shared" si="139"/>
        <v>4110234</v>
      </c>
      <c r="L2748" s="924" t="s">
        <v>171</v>
      </c>
      <c r="M2748" s="924" t="s">
        <v>166</v>
      </c>
      <c r="N2748" s="52" t="str">
        <f>IF(AND('331-CT'!$E$7=TH!H2748,OR(L2748="331",M2748="331")),"331",IF(AND(OR(L2748="131",M2748="131"),H2748='131-CT'!$E$7),"131",""))</f>
        <v/>
      </c>
      <c r="O2748" s="818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726"/>
      <c r="AB2748" s="860"/>
    </row>
    <row r="2749" spans="1:29" s="861" customFormat="1" ht="15.75" customHeight="1">
      <c r="A2749" s="202" t="str">
        <f>IF(B2749&lt;&gt;"",IF(AND(B2749&gt;=_TM1,B2749&lt;=_TM2,OR(TH!L2749="1111",TH!M2749="1111")),TH!D2749,""),"")</f>
        <v/>
      </c>
      <c r="B2749" s="857">
        <f t="shared" si="137"/>
        <v>1</v>
      </c>
      <c r="C2749" s="858">
        <f t="shared" si="138"/>
        <v>42381</v>
      </c>
      <c r="D2749" s="858" t="s">
        <v>1548</v>
      </c>
      <c r="E2749" s="921">
        <v>42381</v>
      </c>
      <c r="F2749" s="922" t="s">
        <v>454</v>
      </c>
      <c r="G2749" s="49" t="s">
        <v>885</v>
      </c>
      <c r="H2749" s="923" t="s">
        <v>1297</v>
      </c>
      <c r="I2749" s="249">
        <v>287</v>
      </c>
      <c r="J2749" s="249">
        <v>16018.450463724246</v>
      </c>
      <c r="K2749" s="51">
        <f t="shared" si="139"/>
        <v>4597295</v>
      </c>
      <c r="L2749" s="924" t="s">
        <v>171</v>
      </c>
      <c r="M2749" s="924" t="s">
        <v>166</v>
      </c>
      <c r="N2749" s="52" t="str">
        <f>IF(AND('331-CT'!$E$7=TH!H2749,OR(L2749="331",M2749="331")),"331",IF(AND(OR(L2749="131",M2749="131"),H2749='131-CT'!$E$7),"131",""))</f>
        <v/>
      </c>
      <c r="O2749" s="818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726"/>
      <c r="AB2749" s="860"/>
    </row>
    <row r="2750" spans="1:29" s="861" customFormat="1" ht="15.75" customHeight="1">
      <c r="A2750" s="202" t="str">
        <f>IF(B2750&lt;&gt;"",IF(AND(B2750&gt;=_TM1,B2750&lt;=_TM2,OR(TH!L2750="1111",TH!M2750="1111")),TH!D2750,""),"")</f>
        <v/>
      </c>
      <c r="B2750" s="857">
        <f t="shared" si="137"/>
        <v>1</v>
      </c>
      <c r="C2750" s="858">
        <f t="shared" si="138"/>
        <v>42382</v>
      </c>
      <c r="D2750" s="858" t="s">
        <v>1548</v>
      </c>
      <c r="E2750" s="921">
        <v>42382</v>
      </c>
      <c r="F2750" s="925" t="s">
        <v>540</v>
      </c>
      <c r="G2750" s="49" t="s">
        <v>886</v>
      </c>
      <c r="H2750" s="923" t="s">
        <v>1297</v>
      </c>
      <c r="I2750" s="926">
        <v>504</v>
      </c>
      <c r="J2750" s="249">
        <v>8092.654661360687</v>
      </c>
      <c r="K2750" s="51">
        <f t="shared" si="139"/>
        <v>4078698</v>
      </c>
      <c r="L2750" s="924" t="s">
        <v>171</v>
      </c>
      <c r="M2750" s="924" t="s">
        <v>166</v>
      </c>
      <c r="N2750" s="52" t="str">
        <f>IF(AND('331-CT'!$E$7=TH!H2750,OR(L2750="331",M2750="331")),"331",IF(AND(OR(L2750="131",M2750="131"),H2750='131-CT'!$E$7),"131",""))</f>
        <v/>
      </c>
      <c r="O2750" s="818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726"/>
      <c r="AB2750" s="860"/>
      <c r="AC2750" s="860"/>
    </row>
    <row r="2751" spans="1:29" s="861" customFormat="1" ht="15.75" customHeight="1">
      <c r="A2751" s="202" t="str">
        <f>IF(B2751&lt;&gt;"",IF(AND(B2751&gt;=_TM1,B2751&lt;=_TM2,OR(TH!L2751="1111",TH!M2751="1111")),TH!D2751,""),"")</f>
        <v/>
      </c>
      <c r="B2751" s="857">
        <f t="shared" si="137"/>
        <v>1</v>
      </c>
      <c r="C2751" s="858">
        <f t="shared" si="138"/>
        <v>42382</v>
      </c>
      <c r="D2751" s="858" t="s">
        <v>1548</v>
      </c>
      <c r="E2751" s="921">
        <v>42382</v>
      </c>
      <c r="F2751" s="49" t="s">
        <v>415</v>
      </c>
      <c r="G2751" s="49" t="s">
        <v>887</v>
      </c>
      <c r="H2751" s="923" t="s">
        <v>1297</v>
      </c>
      <c r="I2751" s="249">
        <v>132</v>
      </c>
      <c r="J2751" s="249">
        <v>11179.543552807549</v>
      </c>
      <c r="K2751" s="51">
        <f t="shared" si="139"/>
        <v>1475700</v>
      </c>
      <c r="L2751" s="924" t="s">
        <v>171</v>
      </c>
      <c r="M2751" s="924" t="s">
        <v>166</v>
      </c>
      <c r="N2751" s="52" t="str">
        <f>IF(AND('331-CT'!$E$7=TH!H2751,OR(L2751="331",M2751="331")),"331",IF(AND(OR(L2751="131",M2751="131"),H2751='131-CT'!$E$7),"131",""))</f>
        <v/>
      </c>
      <c r="O2751" s="818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726"/>
      <c r="AB2751" s="860"/>
    </row>
    <row r="2752" spans="1:29" s="861" customFormat="1" ht="15.75" customHeight="1">
      <c r="A2752" s="202" t="str">
        <f>IF(B2752&lt;&gt;"",IF(AND(B2752&gt;=_TM1,B2752&lt;=_TM2,OR(TH!L2752="1111",TH!M2752="1111")),TH!D2752,""),"")</f>
        <v/>
      </c>
      <c r="B2752" s="857">
        <f t="shared" si="137"/>
        <v>1</v>
      </c>
      <c r="C2752" s="858">
        <f t="shared" si="138"/>
        <v>42382</v>
      </c>
      <c r="D2752" s="858" t="s">
        <v>1548</v>
      </c>
      <c r="E2752" s="921">
        <v>42382</v>
      </c>
      <c r="F2752" s="925" t="s">
        <v>477</v>
      </c>
      <c r="G2752" s="49" t="s">
        <v>887</v>
      </c>
      <c r="H2752" s="923" t="s">
        <v>1297</v>
      </c>
      <c r="I2752" s="249">
        <v>222</v>
      </c>
      <c r="J2752" s="249">
        <v>7758.9369433664324</v>
      </c>
      <c r="K2752" s="51">
        <f t="shared" si="139"/>
        <v>1722484</v>
      </c>
      <c r="L2752" s="924" t="s">
        <v>171</v>
      </c>
      <c r="M2752" s="924" t="s">
        <v>166</v>
      </c>
      <c r="N2752" s="52" t="str">
        <f>IF(AND('331-CT'!$E$7=TH!H2752,OR(L2752="331",M2752="331")),"331",IF(AND(OR(L2752="131",M2752="131"),H2752='131-CT'!$E$7),"131",""))</f>
        <v/>
      </c>
      <c r="O2752" s="818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726"/>
      <c r="AB2752" s="860"/>
    </row>
    <row r="2753" spans="1:29" s="861" customFormat="1" ht="15.75" customHeight="1">
      <c r="A2753" s="202" t="str">
        <f>IF(B2753&lt;&gt;"",IF(AND(B2753&gt;=_TM1,B2753&lt;=_TM2,OR(TH!L2753="1111",TH!M2753="1111")),TH!D2753,""),"")</f>
        <v/>
      </c>
      <c r="B2753" s="857">
        <f t="shared" si="137"/>
        <v>1</v>
      </c>
      <c r="C2753" s="858">
        <f t="shared" si="138"/>
        <v>42383</v>
      </c>
      <c r="D2753" s="858" t="s">
        <v>1548</v>
      </c>
      <c r="E2753" s="921">
        <v>42383</v>
      </c>
      <c r="F2753" s="925" t="s">
        <v>415</v>
      </c>
      <c r="G2753" s="49" t="s">
        <v>832</v>
      </c>
      <c r="H2753" s="923" t="s">
        <v>1297</v>
      </c>
      <c r="I2753" s="926">
        <v>273</v>
      </c>
      <c r="J2753" s="249">
        <v>11096.114123308984</v>
      </c>
      <c r="K2753" s="51">
        <f t="shared" si="139"/>
        <v>3029239</v>
      </c>
      <c r="L2753" s="924" t="s">
        <v>171</v>
      </c>
      <c r="M2753" s="924" t="s">
        <v>166</v>
      </c>
      <c r="N2753" s="52" t="str">
        <f>IF(AND('331-CT'!$E$7=TH!H2753,OR(L2753="331",M2753="331")),"331",IF(AND(OR(L2753="131",M2753="131"),H2753='131-CT'!$E$7),"131",""))</f>
        <v/>
      </c>
      <c r="O2753" s="818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726"/>
      <c r="AB2753" s="860"/>
      <c r="AC2753" s="860"/>
    </row>
    <row r="2754" spans="1:29" s="861" customFormat="1" ht="15.75" customHeight="1">
      <c r="A2754" s="202" t="str">
        <f>IF(B2754&lt;&gt;"",IF(AND(B2754&gt;=_TM1,B2754&lt;=_TM2,OR(TH!L2754="1111",TH!M2754="1111")),TH!D2754,""),"")</f>
        <v/>
      </c>
      <c r="B2754" s="857">
        <f t="shared" si="137"/>
        <v>1</v>
      </c>
      <c r="C2754" s="858">
        <f t="shared" si="138"/>
        <v>42383</v>
      </c>
      <c r="D2754" s="858" t="s">
        <v>1548</v>
      </c>
      <c r="E2754" s="921">
        <v>42383</v>
      </c>
      <c r="F2754" s="925" t="s">
        <v>962</v>
      </c>
      <c r="G2754" s="49" t="s">
        <v>832</v>
      </c>
      <c r="H2754" s="923" t="s">
        <v>1297</v>
      </c>
      <c r="I2754" s="926">
        <v>500</v>
      </c>
      <c r="J2754" s="249">
        <v>19856.204220658179</v>
      </c>
      <c r="K2754" s="51">
        <f t="shared" si="139"/>
        <v>9928102</v>
      </c>
      <c r="L2754" s="924" t="s">
        <v>171</v>
      </c>
      <c r="M2754" s="924" t="s">
        <v>166</v>
      </c>
      <c r="N2754" s="52" t="str">
        <f>IF(AND('331-CT'!$E$7=TH!H2754,OR(L2754="331",M2754="331")),"331",IF(AND(OR(L2754="131",M2754="131"),H2754='131-CT'!$E$7),"131",""))</f>
        <v/>
      </c>
      <c r="O2754" s="818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726"/>
      <c r="AB2754" s="860"/>
      <c r="AC2754" s="860"/>
    </row>
    <row r="2755" spans="1:29" s="861" customFormat="1" ht="15.75" customHeight="1">
      <c r="A2755" s="202" t="str">
        <f>IF(B2755&lt;&gt;"",IF(AND(B2755&gt;=_TM1,B2755&lt;=_TM2,OR(TH!L2755="1111",TH!M2755="1111")),TH!D2755,""),"")</f>
        <v/>
      </c>
      <c r="B2755" s="857">
        <f t="shared" si="137"/>
        <v>1</v>
      </c>
      <c r="C2755" s="858">
        <f t="shared" si="138"/>
        <v>42383</v>
      </c>
      <c r="D2755" s="858" t="s">
        <v>1548</v>
      </c>
      <c r="E2755" s="921">
        <v>42383</v>
      </c>
      <c r="F2755" s="925" t="s">
        <v>646</v>
      </c>
      <c r="G2755" s="49" t="s">
        <v>833</v>
      </c>
      <c r="H2755" s="923" t="s">
        <v>1297</v>
      </c>
      <c r="I2755" s="926">
        <v>1000</v>
      </c>
      <c r="J2755" s="249">
        <v>6590.924930386539</v>
      </c>
      <c r="K2755" s="51">
        <f t="shared" si="139"/>
        <v>6590925</v>
      </c>
      <c r="L2755" s="924" t="s">
        <v>171</v>
      </c>
      <c r="M2755" s="924" t="s">
        <v>166</v>
      </c>
      <c r="N2755" s="52" t="str">
        <f>IF(AND('331-CT'!$E$7=TH!H2755,OR(L2755="331",M2755="331")),"331",IF(AND(OR(L2755="131",M2755="131"),H2755='131-CT'!$E$7),"131",""))</f>
        <v/>
      </c>
      <c r="O2755" s="818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726"/>
      <c r="AB2755" s="860"/>
      <c r="AC2755" s="860"/>
    </row>
    <row r="2756" spans="1:29" s="861" customFormat="1" ht="15.75" customHeight="1">
      <c r="A2756" s="202" t="str">
        <f>IF(B2756&lt;&gt;"",IF(AND(B2756&gt;=_TM1,B2756&lt;=_TM2,OR(TH!L2756="1111",TH!M2756="1111")),TH!D2756,""),"")</f>
        <v/>
      </c>
      <c r="B2756" s="857">
        <f t="shared" si="137"/>
        <v>1</v>
      </c>
      <c r="C2756" s="858">
        <f t="shared" si="138"/>
        <v>42383</v>
      </c>
      <c r="D2756" s="858" t="s">
        <v>1548</v>
      </c>
      <c r="E2756" s="830">
        <v>42383</v>
      </c>
      <c r="F2756" s="831" t="s">
        <v>1434</v>
      </c>
      <c r="G2756" s="832" t="s">
        <v>888</v>
      </c>
      <c r="H2756" s="923" t="s">
        <v>1297</v>
      </c>
      <c r="I2756" s="249">
        <v>100</v>
      </c>
      <c r="J2756" s="249">
        <v>8509.8018088535064</v>
      </c>
      <c r="K2756" s="51">
        <f t="shared" si="139"/>
        <v>850980</v>
      </c>
      <c r="L2756" s="924" t="s">
        <v>171</v>
      </c>
      <c r="M2756" s="924" t="s">
        <v>166</v>
      </c>
      <c r="N2756" s="52" t="str">
        <f>IF(AND('331-CT'!$E$7=TH!H2756,OR(L2756="331",M2756="331")),"331",IF(AND(OR(L2756="131",M2756="131"),H2756='131-CT'!$E$7),"131",""))</f>
        <v/>
      </c>
      <c r="O2756" s="818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726"/>
      <c r="AB2756" s="860"/>
    </row>
    <row r="2757" spans="1:29" s="861" customFormat="1" ht="15.75" customHeight="1">
      <c r="A2757" s="202" t="str">
        <f>IF(B2757&lt;&gt;"",IF(AND(B2757&gt;=_TM1,B2757&lt;=_TM2,OR(TH!L2757="1111",TH!M2757="1111")),TH!D2757,""),"")</f>
        <v/>
      </c>
      <c r="B2757" s="857">
        <f t="shared" si="137"/>
        <v>1</v>
      </c>
      <c r="C2757" s="858">
        <f t="shared" si="138"/>
        <v>42383</v>
      </c>
      <c r="D2757" s="858" t="s">
        <v>1548</v>
      </c>
      <c r="E2757" s="830">
        <v>42383</v>
      </c>
      <c r="F2757" s="831" t="s">
        <v>1435</v>
      </c>
      <c r="G2757" s="832" t="s">
        <v>888</v>
      </c>
      <c r="H2757" s="923" t="s">
        <v>1297</v>
      </c>
      <c r="I2757" s="249">
        <v>20</v>
      </c>
      <c r="J2757" s="249">
        <v>9761.2432513319618</v>
      </c>
      <c r="K2757" s="51">
        <f t="shared" si="139"/>
        <v>195225</v>
      </c>
      <c r="L2757" s="924" t="s">
        <v>171</v>
      </c>
      <c r="M2757" s="924" t="s">
        <v>166</v>
      </c>
      <c r="N2757" s="52" t="str">
        <f>IF(AND('331-CT'!$E$7=TH!H2757,OR(L2757="331",M2757="331")),"331",IF(AND(OR(L2757="131",M2757="131"),H2757='131-CT'!$E$7),"131",""))</f>
        <v/>
      </c>
      <c r="O2757" s="818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726"/>
      <c r="AB2757" s="860"/>
      <c r="AC2757" s="860"/>
    </row>
    <row r="2758" spans="1:29" s="861" customFormat="1" ht="15.75" customHeight="1">
      <c r="A2758" s="202" t="str">
        <f>IF(B2758&lt;&gt;"",IF(AND(B2758&gt;=_TM1,B2758&lt;=_TM2,OR(TH!L2758="1111",TH!M2758="1111")),TH!D2758,""),"")</f>
        <v/>
      </c>
      <c r="B2758" s="857">
        <f t="shared" si="137"/>
        <v>1</v>
      </c>
      <c r="C2758" s="858">
        <f t="shared" si="138"/>
        <v>42383</v>
      </c>
      <c r="D2758" s="858" t="s">
        <v>1548</v>
      </c>
      <c r="E2758" s="830">
        <v>42383</v>
      </c>
      <c r="F2758" s="831" t="s">
        <v>1306</v>
      </c>
      <c r="G2758" s="832" t="s">
        <v>888</v>
      </c>
      <c r="H2758" s="923" t="s">
        <v>1297</v>
      </c>
      <c r="I2758" s="249">
        <v>20</v>
      </c>
      <c r="J2758" s="249">
        <v>10345.24925782191</v>
      </c>
      <c r="K2758" s="51">
        <f t="shared" si="139"/>
        <v>206905</v>
      </c>
      <c r="L2758" s="924" t="s">
        <v>171</v>
      </c>
      <c r="M2758" s="924" t="s">
        <v>166</v>
      </c>
      <c r="N2758" s="52" t="str">
        <f>IF(AND('331-CT'!$E$7=TH!H2758,OR(L2758="331",M2758="331")),"331",IF(AND(OR(L2758="131",M2758="131"),H2758='131-CT'!$E$7),"131",""))</f>
        <v/>
      </c>
      <c r="O2758" s="818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726"/>
      <c r="AB2758" s="860"/>
    </row>
    <row r="2759" spans="1:29" s="861" customFormat="1" ht="15.75" customHeight="1">
      <c r="A2759" s="202" t="str">
        <f>IF(B2759&lt;&gt;"",IF(AND(B2759&gt;=_TM1,B2759&lt;=_TM2,OR(TH!L2759="1111",TH!M2759="1111")),TH!D2759,""),"")</f>
        <v/>
      </c>
      <c r="B2759" s="857">
        <f t="shared" si="137"/>
        <v>1</v>
      </c>
      <c r="C2759" s="858">
        <f t="shared" si="138"/>
        <v>42383</v>
      </c>
      <c r="D2759" s="858" t="s">
        <v>1548</v>
      </c>
      <c r="E2759" s="830">
        <v>42383</v>
      </c>
      <c r="F2759" s="831" t="s">
        <v>1310</v>
      </c>
      <c r="G2759" s="832" t="s">
        <v>888</v>
      </c>
      <c r="H2759" s="923" t="s">
        <v>1297</v>
      </c>
      <c r="I2759" s="249">
        <v>20</v>
      </c>
      <c r="J2759" s="249">
        <v>9093.8078153434526</v>
      </c>
      <c r="K2759" s="51">
        <f t="shared" si="139"/>
        <v>181876</v>
      </c>
      <c r="L2759" s="924" t="s">
        <v>171</v>
      </c>
      <c r="M2759" s="924" t="s">
        <v>166</v>
      </c>
      <c r="N2759" s="52" t="str">
        <f>IF(AND('331-CT'!$E$7=TH!H2759,OR(L2759="331",M2759="331")),"331",IF(AND(OR(L2759="131",M2759="131"),H2759='131-CT'!$E$7),"131",""))</f>
        <v/>
      </c>
      <c r="O2759" s="818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726"/>
      <c r="AB2759" s="860"/>
    </row>
    <row r="2760" spans="1:29" s="861" customFormat="1" ht="15.75" customHeight="1">
      <c r="A2760" s="202" t="str">
        <f>IF(B2760&lt;&gt;"",IF(AND(B2760&gt;=_TM1,B2760&lt;=_TM2,OR(TH!L2760="1111",TH!M2760="1111")),TH!D2760,""),"")</f>
        <v/>
      </c>
      <c r="B2760" s="857">
        <f t="shared" si="137"/>
        <v>1</v>
      </c>
      <c r="C2760" s="858">
        <f t="shared" si="138"/>
        <v>42383</v>
      </c>
      <c r="D2760" s="858" t="s">
        <v>1548</v>
      </c>
      <c r="E2760" s="830">
        <v>42383</v>
      </c>
      <c r="F2760" s="831" t="s">
        <v>1443</v>
      </c>
      <c r="G2760" s="832" t="s">
        <v>889</v>
      </c>
      <c r="H2760" s="923" t="s">
        <v>1297</v>
      </c>
      <c r="I2760" s="249">
        <v>314</v>
      </c>
      <c r="J2760" s="249">
        <v>11012.684693810421</v>
      </c>
      <c r="K2760" s="51">
        <f t="shared" si="139"/>
        <v>3457983</v>
      </c>
      <c r="L2760" s="924" t="s">
        <v>171</v>
      </c>
      <c r="M2760" s="924" t="s">
        <v>166</v>
      </c>
      <c r="N2760" s="52" t="str">
        <f>IF(AND('331-CT'!$E$7=TH!H2760,OR(L2760="331",M2760="331")),"331",IF(AND(OR(L2760="131",M2760="131"),H2760='131-CT'!$E$7),"131",""))</f>
        <v/>
      </c>
      <c r="O2760" s="818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726"/>
      <c r="AB2760" s="860"/>
      <c r="AC2760" s="860"/>
    </row>
    <row r="2761" spans="1:29" s="861" customFormat="1" ht="15.75" customHeight="1">
      <c r="A2761" s="202" t="str">
        <f>IF(B2761&lt;&gt;"",IF(AND(B2761&gt;=_TM1,B2761&lt;=_TM2,OR(TH!L2761="1111",TH!M2761="1111")),TH!D2761,""),"")</f>
        <v/>
      </c>
      <c r="B2761" s="857">
        <f t="shared" si="137"/>
        <v>1</v>
      </c>
      <c r="C2761" s="858">
        <f t="shared" si="138"/>
        <v>42383</v>
      </c>
      <c r="D2761" s="858" t="s">
        <v>1548</v>
      </c>
      <c r="E2761" s="830">
        <v>42383</v>
      </c>
      <c r="F2761" s="831" t="s">
        <v>659</v>
      </c>
      <c r="G2761" s="832" t="s">
        <v>890</v>
      </c>
      <c r="H2761" s="923" t="s">
        <v>1297</v>
      </c>
      <c r="I2761" s="249">
        <v>214</v>
      </c>
      <c r="J2761" s="249">
        <v>12013.837847793186</v>
      </c>
      <c r="K2761" s="51">
        <f t="shared" si="139"/>
        <v>2570961</v>
      </c>
      <c r="L2761" s="924" t="s">
        <v>171</v>
      </c>
      <c r="M2761" s="924" t="s">
        <v>166</v>
      </c>
      <c r="N2761" s="52" t="str">
        <f>IF(AND('331-CT'!$E$7=TH!H2761,OR(L2761="331",M2761="331")),"331",IF(AND(OR(L2761="131",M2761="131"),H2761='131-CT'!$E$7),"131",""))</f>
        <v/>
      </c>
      <c r="O2761" s="818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726"/>
      <c r="AB2761" s="860"/>
    </row>
    <row r="2762" spans="1:29" s="861" customFormat="1" ht="15.75" customHeight="1">
      <c r="A2762" s="202" t="str">
        <f>IF(B2762&lt;&gt;"",IF(AND(B2762&gt;=_TM1,B2762&lt;=_TM2,OR(TH!L2762="1111",TH!M2762="1111")),TH!D2762,""),"")</f>
        <v/>
      </c>
      <c r="B2762" s="857">
        <f t="shared" si="137"/>
        <v>1</v>
      </c>
      <c r="C2762" s="858">
        <f t="shared" si="138"/>
        <v>42383</v>
      </c>
      <c r="D2762" s="858" t="s">
        <v>1548</v>
      </c>
      <c r="E2762" s="830">
        <v>42383</v>
      </c>
      <c r="F2762" s="831" t="s">
        <v>658</v>
      </c>
      <c r="G2762" s="832" t="s">
        <v>890</v>
      </c>
      <c r="H2762" s="923" t="s">
        <v>1297</v>
      </c>
      <c r="I2762" s="249">
        <v>621</v>
      </c>
      <c r="J2762" s="249">
        <v>6424.0660713894113</v>
      </c>
      <c r="K2762" s="51">
        <f t="shared" si="139"/>
        <v>3989345</v>
      </c>
      <c r="L2762" s="924" t="s">
        <v>171</v>
      </c>
      <c r="M2762" s="924" t="s">
        <v>166</v>
      </c>
      <c r="N2762" s="52" t="str">
        <f>IF(AND('331-CT'!$E$7=TH!H2762,OR(L2762="331",M2762="331")),"331",IF(AND(OR(L2762="131",M2762="131"),H2762='131-CT'!$E$7),"131",""))</f>
        <v/>
      </c>
      <c r="O2762" s="818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726"/>
      <c r="AB2762" s="860"/>
    </row>
    <row r="2763" spans="1:29" s="861" customFormat="1" ht="15.75" customHeight="1">
      <c r="A2763" s="202" t="str">
        <f>IF(B2763&lt;&gt;"",IF(AND(B2763&gt;=_TM1,B2763&lt;=_TM2,OR(TH!L2763="1111",TH!M2763="1111")),TH!D2763,""),"")</f>
        <v/>
      </c>
      <c r="B2763" s="857">
        <f t="shared" si="137"/>
        <v>1</v>
      </c>
      <c r="C2763" s="858">
        <f t="shared" si="138"/>
        <v>42383</v>
      </c>
      <c r="D2763" s="858" t="s">
        <v>1548</v>
      </c>
      <c r="E2763" s="830">
        <v>42383</v>
      </c>
      <c r="F2763" s="831" t="s">
        <v>698</v>
      </c>
      <c r="G2763" s="832" t="s">
        <v>891</v>
      </c>
      <c r="H2763" s="923" t="s">
        <v>1297</v>
      </c>
      <c r="I2763" s="249">
        <v>170</v>
      </c>
      <c r="J2763" s="249">
        <v>11012.684693810421</v>
      </c>
      <c r="K2763" s="51">
        <f t="shared" si="139"/>
        <v>1872156</v>
      </c>
      <c r="L2763" s="924" t="s">
        <v>171</v>
      </c>
      <c r="M2763" s="924" t="s">
        <v>166</v>
      </c>
      <c r="N2763" s="52" t="str">
        <f>IF(AND('331-CT'!$E$7=TH!H2763,OR(L2763="331",M2763="331")),"331",IF(AND(OR(L2763="131",M2763="131"),H2763='131-CT'!$E$7),"131",""))</f>
        <v/>
      </c>
      <c r="O2763" s="818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726"/>
    </row>
    <row r="2764" spans="1:29" s="861" customFormat="1" ht="15.75" customHeight="1">
      <c r="A2764" s="202" t="str">
        <f>IF(B2764&lt;&gt;"",IF(AND(B2764&gt;=_TM1,B2764&lt;=_TM2,OR(TH!L2764="1111",TH!M2764="1111")),TH!D2764,""),"")</f>
        <v/>
      </c>
      <c r="B2764" s="857">
        <f t="shared" si="137"/>
        <v>1</v>
      </c>
      <c r="C2764" s="858">
        <f t="shared" si="138"/>
        <v>42383</v>
      </c>
      <c r="D2764" s="858" t="s">
        <v>1548</v>
      </c>
      <c r="E2764" s="830">
        <v>42383</v>
      </c>
      <c r="F2764" s="831" t="s">
        <v>706</v>
      </c>
      <c r="G2764" s="832" t="s">
        <v>891</v>
      </c>
      <c r="H2764" s="923" t="s">
        <v>1297</v>
      </c>
      <c r="I2764" s="249">
        <v>40</v>
      </c>
      <c r="J2764" s="249">
        <v>8092.654661360687</v>
      </c>
      <c r="K2764" s="51">
        <f t="shared" si="139"/>
        <v>323706</v>
      </c>
      <c r="L2764" s="924" t="s">
        <v>171</v>
      </c>
      <c r="M2764" s="924" t="s">
        <v>166</v>
      </c>
      <c r="N2764" s="52" t="str">
        <f>IF(AND('331-CT'!$E$7=TH!H2764,OR(L2764="331",M2764="331")),"331",IF(AND(OR(L2764="131",M2764="131"),H2764='131-CT'!$E$7),"131",""))</f>
        <v/>
      </c>
      <c r="O2764" s="818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726"/>
    </row>
    <row r="2765" spans="1:29" s="861" customFormat="1" ht="15.75" customHeight="1">
      <c r="A2765" s="202" t="str">
        <f>IF(B2765&lt;&gt;"",IF(AND(B2765&gt;=_TM1,B2765&lt;=_TM2,OR(TH!L2765="1111",TH!M2765="1111")),TH!D2765,""),"")</f>
        <v/>
      </c>
      <c r="B2765" s="857">
        <f t="shared" si="137"/>
        <v>1</v>
      </c>
      <c r="C2765" s="858">
        <f t="shared" si="138"/>
        <v>42383</v>
      </c>
      <c r="D2765" s="858" t="s">
        <v>1548</v>
      </c>
      <c r="E2765" s="48">
        <v>42383</v>
      </c>
      <c r="F2765" s="49" t="s">
        <v>1215</v>
      </c>
      <c r="G2765" s="49" t="s">
        <v>891</v>
      </c>
      <c r="H2765" s="923" t="s">
        <v>1297</v>
      </c>
      <c r="I2765" s="249">
        <v>25</v>
      </c>
      <c r="J2765" s="249">
        <v>7174.9309368764852</v>
      </c>
      <c r="K2765" s="51">
        <f t="shared" si="139"/>
        <v>179373</v>
      </c>
      <c r="L2765" s="924" t="s">
        <v>171</v>
      </c>
      <c r="M2765" s="924" t="s">
        <v>166</v>
      </c>
      <c r="N2765" s="52" t="str">
        <f>IF(AND('331-CT'!$E$7=TH!H2765,OR(L2765="331",M2765="331")),"331",IF(AND(OR(L2765="131",M2765="131"),H2765='131-CT'!$E$7),"131",""))</f>
        <v/>
      </c>
      <c r="O2765" s="818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726"/>
    </row>
    <row r="2766" spans="1:29" s="861" customFormat="1" ht="15.75" customHeight="1">
      <c r="A2766" s="202" t="str">
        <f>IF(B2766&lt;&gt;"",IF(AND(B2766&gt;=_TM1,B2766&lt;=_TM2,OR(TH!L2766="1111",TH!M2766="1111")),TH!D2766,""),"")</f>
        <v/>
      </c>
      <c r="B2766" s="857">
        <f t="shared" si="137"/>
        <v>1</v>
      </c>
      <c r="C2766" s="858">
        <f t="shared" si="138"/>
        <v>42383</v>
      </c>
      <c r="D2766" s="858" t="s">
        <v>1548</v>
      </c>
      <c r="E2766" s="48">
        <v>42383</v>
      </c>
      <c r="F2766" s="49" t="s">
        <v>1216</v>
      </c>
      <c r="G2766" s="49" t="s">
        <v>891</v>
      </c>
      <c r="H2766" s="923" t="s">
        <v>1297</v>
      </c>
      <c r="I2766" s="249">
        <v>10</v>
      </c>
      <c r="J2766" s="249">
        <v>9344.0961038391451</v>
      </c>
      <c r="K2766" s="51">
        <f t="shared" si="139"/>
        <v>93441</v>
      </c>
      <c r="L2766" s="924" t="s">
        <v>171</v>
      </c>
      <c r="M2766" s="924" t="s">
        <v>166</v>
      </c>
      <c r="N2766" s="52" t="str">
        <f>IF(AND('331-CT'!$E$7=TH!H2766,OR(L2766="331",M2766="331")),"331",IF(AND(OR(L2766="131",M2766="131"),H2766='131-CT'!$E$7),"131",""))</f>
        <v/>
      </c>
      <c r="O2766" s="818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726"/>
    </row>
    <row r="2767" spans="1:29" s="861" customFormat="1" ht="15.75" customHeight="1">
      <c r="A2767" s="202" t="str">
        <f>IF(B2767&lt;&gt;"",IF(AND(B2767&gt;=_TM1,B2767&lt;=_TM2,OR(TH!L2767="1111",TH!M2767="1111")),TH!D2767,""),"")</f>
        <v/>
      </c>
      <c r="B2767" s="857">
        <f t="shared" si="137"/>
        <v>1</v>
      </c>
      <c r="C2767" s="858">
        <f t="shared" si="138"/>
        <v>42383</v>
      </c>
      <c r="D2767" s="858" t="s">
        <v>1548</v>
      </c>
      <c r="E2767" s="48">
        <v>42383</v>
      </c>
      <c r="F2767" s="831" t="s">
        <v>1217</v>
      </c>
      <c r="G2767" s="49" t="s">
        <v>891</v>
      </c>
      <c r="H2767" s="923" t="s">
        <v>1297</v>
      </c>
      <c r="I2767" s="249">
        <v>580</v>
      </c>
      <c r="J2767" s="249">
        <v>8843.5195268477619</v>
      </c>
      <c r="K2767" s="51">
        <f t="shared" si="139"/>
        <v>5129241</v>
      </c>
      <c r="L2767" s="924" t="s">
        <v>171</v>
      </c>
      <c r="M2767" s="924" t="s">
        <v>166</v>
      </c>
      <c r="N2767" s="52" t="str">
        <f>IF(AND('331-CT'!$E$7=TH!H2767,OR(L2767="331",M2767="331")),"331",IF(AND(OR(L2767="131",M2767="131"),H2767='131-CT'!$E$7),"131",""))</f>
        <v/>
      </c>
      <c r="O2767" s="818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726"/>
      <c r="AB2767" s="860"/>
      <c r="AC2767" s="860"/>
    </row>
    <row r="2768" spans="1:29" s="861" customFormat="1" ht="15.75" customHeight="1">
      <c r="A2768" s="202" t="str">
        <f>IF(B2768&lt;&gt;"",IF(AND(B2768&gt;=_TM1,B2768&lt;=_TM2,OR(TH!L2768="1111",TH!M2768="1111")),TH!D2768,""),"")</f>
        <v/>
      </c>
      <c r="B2768" s="857">
        <f t="shared" si="137"/>
        <v>1</v>
      </c>
      <c r="C2768" s="858">
        <f t="shared" si="138"/>
        <v>42383</v>
      </c>
      <c r="D2768" s="858" t="s">
        <v>1548</v>
      </c>
      <c r="E2768" s="48">
        <v>42383</v>
      </c>
      <c r="F2768" s="49" t="s">
        <v>1218</v>
      </c>
      <c r="G2768" s="49" t="s">
        <v>891</v>
      </c>
      <c r="H2768" s="923" t="s">
        <v>1297</v>
      </c>
      <c r="I2768" s="249">
        <v>900</v>
      </c>
      <c r="J2768" s="249">
        <v>7925.7958023635592</v>
      </c>
      <c r="K2768" s="51">
        <f t="shared" si="139"/>
        <v>7133216</v>
      </c>
      <c r="L2768" s="924" t="s">
        <v>171</v>
      </c>
      <c r="M2768" s="924" t="s">
        <v>166</v>
      </c>
      <c r="N2768" s="52" t="str">
        <f>IF(AND('331-CT'!$E$7=TH!H2768,OR(L2768="331",M2768="331")),"331",IF(AND(OR(L2768="131",M2768="131"),H2768='131-CT'!$E$7),"131",""))</f>
        <v/>
      </c>
      <c r="O2768" s="818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726"/>
      <c r="AB2768" s="860"/>
    </row>
    <row r="2769" spans="1:29" s="861" customFormat="1" ht="15.75" customHeight="1">
      <c r="A2769" s="202" t="str">
        <f>IF(B2769&lt;&gt;"",IF(AND(B2769&gt;=_TM1,B2769&lt;=_TM2,OR(TH!L2769="1111",TH!M2769="1111")),TH!D2769,""),"")</f>
        <v/>
      </c>
      <c r="B2769" s="857">
        <f t="shared" si="137"/>
        <v>1</v>
      </c>
      <c r="C2769" s="858">
        <f t="shared" si="138"/>
        <v>42383</v>
      </c>
      <c r="D2769" s="858" t="s">
        <v>1548</v>
      </c>
      <c r="E2769" s="48">
        <v>42383</v>
      </c>
      <c r="F2769" s="831" t="s">
        <v>1219</v>
      </c>
      <c r="G2769" s="49" t="s">
        <v>891</v>
      </c>
      <c r="H2769" s="923" t="s">
        <v>1297</v>
      </c>
      <c r="I2769" s="249">
        <v>12</v>
      </c>
      <c r="J2769" s="249">
        <v>6006.9189238965928</v>
      </c>
      <c r="K2769" s="51">
        <f t="shared" si="139"/>
        <v>72083</v>
      </c>
      <c r="L2769" s="924" t="s">
        <v>171</v>
      </c>
      <c r="M2769" s="924" t="s">
        <v>166</v>
      </c>
      <c r="N2769" s="52" t="str">
        <f>IF(AND('331-CT'!$E$7=TH!H2769,OR(L2769="331",M2769="331")),"331",IF(AND(OR(L2769="131",M2769="131"),H2769='131-CT'!$E$7),"131",""))</f>
        <v/>
      </c>
      <c r="O2769" s="818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726"/>
      <c r="AB2769" s="860"/>
    </row>
    <row r="2770" spans="1:29" s="861" customFormat="1" ht="15.75" customHeight="1">
      <c r="A2770" s="202" t="str">
        <f>IF(B2770&lt;&gt;"",IF(AND(B2770&gt;=_TM1,B2770&lt;=_TM2,OR(TH!L2770="1111",TH!M2770="1111")),TH!D2770,""),"")</f>
        <v/>
      </c>
      <c r="B2770" s="857">
        <f t="shared" si="137"/>
        <v>1</v>
      </c>
      <c r="C2770" s="858">
        <f t="shared" si="138"/>
        <v>42383</v>
      </c>
      <c r="D2770" s="858" t="s">
        <v>1548</v>
      </c>
      <c r="E2770" s="48">
        <v>42383</v>
      </c>
      <c r="F2770" s="49" t="s">
        <v>1220</v>
      </c>
      <c r="G2770" s="49" t="s">
        <v>891</v>
      </c>
      <c r="H2770" s="923" t="s">
        <v>1297</v>
      </c>
      <c r="I2770" s="249">
        <v>13</v>
      </c>
      <c r="J2770" s="249">
        <v>7675.5075138678685</v>
      </c>
      <c r="K2770" s="51">
        <f t="shared" si="139"/>
        <v>99782</v>
      </c>
      <c r="L2770" s="924" t="s">
        <v>171</v>
      </c>
      <c r="M2770" s="924" t="s">
        <v>166</v>
      </c>
      <c r="N2770" s="52" t="str">
        <f>IF(AND('331-CT'!$E$7=TH!H2770,OR(L2770="331",M2770="331")),"331",IF(AND(OR(L2770="131",M2770="131"),H2770='131-CT'!$E$7),"131",""))</f>
        <v/>
      </c>
      <c r="O2770" s="818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726"/>
      <c r="AB2770" s="860"/>
      <c r="AC2770" s="860"/>
    </row>
    <row r="2771" spans="1:29" s="861" customFormat="1" ht="15.75" customHeight="1">
      <c r="A2771" s="202" t="str">
        <f>IF(B2771&lt;&gt;"",IF(AND(B2771&gt;=_TM1,B2771&lt;=_TM2,OR(TH!L2771="1111",TH!M2771="1111")),TH!D2771,""),"")</f>
        <v/>
      </c>
      <c r="B2771" s="857">
        <f t="shared" si="137"/>
        <v>1</v>
      </c>
      <c r="C2771" s="858">
        <f t="shared" si="138"/>
        <v>42385</v>
      </c>
      <c r="D2771" s="858" t="s">
        <v>1548</v>
      </c>
      <c r="E2771" s="48">
        <v>42385</v>
      </c>
      <c r="F2771" s="49" t="s">
        <v>441</v>
      </c>
      <c r="G2771" s="49" t="s">
        <v>892</v>
      </c>
      <c r="H2771" s="923" t="s">
        <v>1297</v>
      </c>
      <c r="I2771" s="249">
        <v>619</v>
      </c>
      <c r="J2771" s="249">
        <v>13181.849860773078</v>
      </c>
      <c r="K2771" s="51">
        <f t="shared" si="139"/>
        <v>8159565</v>
      </c>
      <c r="L2771" s="924" t="s">
        <v>171</v>
      </c>
      <c r="M2771" s="924" t="s">
        <v>166</v>
      </c>
      <c r="N2771" s="52" t="str">
        <f>IF(AND('331-CT'!$E$7=TH!H2771,OR(L2771="331",M2771="331")),"331",IF(AND(OR(L2771="131",M2771="131"),H2771='131-CT'!$E$7),"131",""))</f>
        <v/>
      </c>
      <c r="O2771" s="818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726"/>
      <c r="AB2771" s="860"/>
      <c r="AC2771" s="860"/>
    </row>
    <row r="2772" spans="1:29" s="861" customFormat="1" ht="15.75" customHeight="1">
      <c r="A2772" s="202" t="str">
        <f>IF(B2772&lt;&gt;"",IF(AND(B2772&gt;=_TM1,B2772&lt;=_TM2,OR(TH!L2772="1111",TH!M2772="1111")),TH!D2772,""),"")</f>
        <v/>
      </c>
      <c r="B2772" s="857">
        <f t="shared" si="137"/>
        <v>1</v>
      </c>
      <c r="C2772" s="858">
        <f t="shared" si="138"/>
        <v>42385</v>
      </c>
      <c r="D2772" s="858" t="s">
        <v>1548</v>
      </c>
      <c r="E2772" s="48">
        <v>42385</v>
      </c>
      <c r="F2772" s="49" t="s">
        <v>893</v>
      </c>
      <c r="G2772" s="49" t="s">
        <v>894</v>
      </c>
      <c r="H2772" s="923" t="s">
        <v>1297</v>
      </c>
      <c r="I2772" s="249">
        <v>200</v>
      </c>
      <c r="J2772" s="249">
        <v>5256.0540584095188</v>
      </c>
      <c r="K2772" s="51">
        <f t="shared" si="139"/>
        <v>1051211</v>
      </c>
      <c r="L2772" s="924" t="s">
        <v>171</v>
      </c>
      <c r="M2772" s="924" t="s">
        <v>166</v>
      </c>
      <c r="N2772" s="52" t="str">
        <f>IF(AND('331-CT'!$E$7=TH!H2772,OR(L2772="331",M2772="331")),"331",IF(AND(OR(L2772="131",M2772="131"),H2772='131-CT'!$E$7),"131",""))</f>
        <v/>
      </c>
      <c r="O2772" s="818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726"/>
      <c r="AB2772" s="860"/>
    </row>
    <row r="2773" spans="1:29" s="861" customFormat="1" ht="15.75" customHeight="1">
      <c r="A2773" s="202" t="str">
        <f>IF(B2773&lt;&gt;"",IF(AND(B2773&gt;=_TM1,B2773&lt;=_TM2,OR(TH!L2773="1111",TH!M2773="1111")),TH!D2773,""),"")</f>
        <v/>
      </c>
      <c r="B2773" s="857">
        <f t="shared" si="137"/>
        <v>1</v>
      </c>
      <c r="C2773" s="858">
        <f t="shared" si="138"/>
        <v>42385</v>
      </c>
      <c r="D2773" s="858" t="s">
        <v>1548</v>
      </c>
      <c r="E2773" s="48">
        <v>42385</v>
      </c>
      <c r="F2773" s="49" t="s">
        <v>895</v>
      </c>
      <c r="G2773" s="49" t="s">
        <v>894</v>
      </c>
      <c r="H2773" s="923" t="s">
        <v>1297</v>
      </c>
      <c r="I2773" s="249">
        <v>200</v>
      </c>
      <c r="J2773" s="249">
        <v>5506.3423469052104</v>
      </c>
      <c r="K2773" s="51">
        <f t="shared" si="139"/>
        <v>1101268</v>
      </c>
      <c r="L2773" s="924" t="s">
        <v>171</v>
      </c>
      <c r="M2773" s="924" t="s">
        <v>166</v>
      </c>
      <c r="N2773" s="52" t="str">
        <f>IF(AND('331-CT'!$E$7=TH!H2773,OR(L2773="331",M2773="331")),"331",IF(AND(OR(L2773="131",M2773="131"),H2773='131-CT'!$E$7),"131",""))</f>
        <v/>
      </c>
      <c r="O2773" s="818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726"/>
    </row>
    <row r="2774" spans="1:29" s="861" customFormat="1" ht="15.75" customHeight="1">
      <c r="A2774" s="202" t="str">
        <f>IF(B2774&lt;&gt;"",IF(AND(B2774&gt;=_TM1,B2774&lt;=_TM2,OR(TH!L2774="1111",TH!M2774="1111")),TH!D2774,""),"")</f>
        <v/>
      </c>
      <c r="B2774" s="857">
        <f t="shared" ref="B2774:B2837" si="141">IF(C2774&lt;&gt;"",MONTH(C2774),"")</f>
        <v>1</v>
      </c>
      <c r="C2774" s="858">
        <f t="shared" si="138"/>
        <v>42385</v>
      </c>
      <c r="D2774" s="858" t="s">
        <v>1548</v>
      </c>
      <c r="E2774" s="48">
        <v>42385</v>
      </c>
      <c r="F2774" s="49" t="s">
        <v>896</v>
      </c>
      <c r="G2774" s="49" t="s">
        <v>894</v>
      </c>
      <c r="H2774" s="923" t="s">
        <v>1297</v>
      </c>
      <c r="I2774" s="249">
        <v>200</v>
      </c>
      <c r="J2774" s="249">
        <v>5339.4834879080827</v>
      </c>
      <c r="K2774" s="51">
        <f t="shared" si="139"/>
        <v>1067897</v>
      </c>
      <c r="L2774" s="924" t="s">
        <v>171</v>
      </c>
      <c r="M2774" s="924" t="s">
        <v>166</v>
      </c>
      <c r="N2774" s="52" t="str">
        <f>IF(AND('331-CT'!$E$7=TH!H2774,OR(L2774="331",M2774="331")),"331",IF(AND(OR(L2774="131",M2774="131"),H2774='131-CT'!$E$7),"131",""))</f>
        <v/>
      </c>
      <c r="O2774" s="818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726"/>
      <c r="AB2774" s="860"/>
      <c r="AC2774" s="860"/>
    </row>
    <row r="2775" spans="1:29" s="861" customFormat="1" ht="15.75" customHeight="1">
      <c r="A2775" s="202" t="str">
        <f>IF(B2775&lt;&gt;"",IF(AND(B2775&gt;=_TM1,B2775&lt;=_TM2,OR(TH!L2775="1111",TH!M2775="1111")),TH!D2775,""),"")</f>
        <v/>
      </c>
      <c r="B2775" s="857">
        <f t="shared" si="141"/>
        <v>1</v>
      </c>
      <c r="C2775" s="858">
        <f t="shared" si="138"/>
        <v>42388</v>
      </c>
      <c r="D2775" s="858" t="s">
        <v>1548</v>
      </c>
      <c r="E2775" s="48">
        <v>42388</v>
      </c>
      <c r="F2775" s="831" t="s">
        <v>897</v>
      </c>
      <c r="G2775" s="49" t="s">
        <v>898</v>
      </c>
      <c r="H2775" s="923" t="s">
        <v>1297</v>
      </c>
      <c r="I2775" s="249">
        <v>35</v>
      </c>
      <c r="J2775" s="249">
        <v>12097.267277291749</v>
      </c>
      <c r="K2775" s="51">
        <f t="shared" si="139"/>
        <v>423404</v>
      </c>
      <c r="L2775" s="924" t="s">
        <v>171</v>
      </c>
      <c r="M2775" s="924" t="s">
        <v>166</v>
      </c>
      <c r="N2775" s="52" t="str">
        <f>IF(AND('331-CT'!$E$7=TH!H2775,OR(L2775="331",M2775="331")),"331",IF(AND(OR(L2775="131",M2775="131"),H2775='131-CT'!$E$7),"131",""))</f>
        <v/>
      </c>
      <c r="O2775" s="818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726"/>
      <c r="AB2775" s="860"/>
    </row>
    <row r="2776" spans="1:29" s="861" customFormat="1" ht="15.75" customHeight="1">
      <c r="A2776" s="202" t="str">
        <f>IF(B2776&lt;&gt;"",IF(AND(B2776&gt;=_TM1,B2776&lt;=_TM2,OR(TH!L2776="1111",TH!M2776="1111")),TH!D2776,""),"")</f>
        <v/>
      </c>
      <c r="B2776" s="857">
        <f t="shared" si="141"/>
        <v>1</v>
      </c>
      <c r="C2776" s="858">
        <f t="shared" si="138"/>
        <v>42388</v>
      </c>
      <c r="D2776" s="858" t="s">
        <v>1548</v>
      </c>
      <c r="E2776" s="48">
        <v>42388</v>
      </c>
      <c r="F2776" s="49" t="s">
        <v>899</v>
      </c>
      <c r="G2776" s="49" t="s">
        <v>898</v>
      </c>
      <c r="H2776" s="923" t="s">
        <v>1297</v>
      </c>
      <c r="I2776" s="249">
        <v>55</v>
      </c>
      <c r="J2776" s="249">
        <v>10595.537546317601</v>
      </c>
      <c r="K2776" s="51">
        <f t="shared" si="139"/>
        <v>582755</v>
      </c>
      <c r="L2776" s="924" t="s">
        <v>171</v>
      </c>
      <c r="M2776" s="924" t="s">
        <v>166</v>
      </c>
      <c r="N2776" s="52" t="str">
        <f>IF(AND('331-CT'!$E$7=TH!H2776,OR(L2776="331",M2776="331")),"331",IF(AND(OR(L2776="131",M2776="131"),H2776='131-CT'!$E$7),"131",""))</f>
        <v/>
      </c>
      <c r="O2776" s="818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726"/>
      <c r="AB2776" s="860"/>
    </row>
    <row r="2777" spans="1:29" s="861" customFormat="1" ht="15.75" customHeight="1">
      <c r="A2777" s="202" t="str">
        <f>IF(B2777&lt;&gt;"",IF(AND(B2777&gt;=_TM1,B2777&lt;=_TM2,OR(TH!L2777="1111",TH!M2777="1111")),TH!D2777,""),"")</f>
        <v/>
      </c>
      <c r="B2777" s="857">
        <f t="shared" si="141"/>
        <v>1</v>
      </c>
      <c r="C2777" s="858">
        <f t="shared" si="138"/>
        <v>42388</v>
      </c>
      <c r="D2777" s="858" t="s">
        <v>1548</v>
      </c>
      <c r="E2777" s="48">
        <v>42388</v>
      </c>
      <c r="F2777" s="831" t="s">
        <v>900</v>
      </c>
      <c r="G2777" s="49" t="s">
        <v>898</v>
      </c>
      <c r="H2777" s="923" t="s">
        <v>1297</v>
      </c>
      <c r="I2777" s="249">
        <v>50</v>
      </c>
      <c r="J2777" s="249">
        <v>11429.831841303239</v>
      </c>
      <c r="K2777" s="51">
        <f t="shared" si="139"/>
        <v>571492</v>
      </c>
      <c r="L2777" s="924" t="s">
        <v>171</v>
      </c>
      <c r="M2777" s="924" t="s">
        <v>166</v>
      </c>
      <c r="N2777" s="52" t="str">
        <f>IF(AND('331-CT'!$E$7=TH!H2777,OR(L2777="331",M2777="331")),"331",IF(AND(OR(L2777="131",M2777="131"),H2777='131-CT'!$E$7),"131",""))</f>
        <v/>
      </c>
      <c r="O2777" s="818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726"/>
      <c r="AB2777" s="860"/>
      <c r="AC2777" s="860"/>
    </row>
    <row r="2778" spans="1:29" s="861" customFormat="1" ht="15.75" customHeight="1">
      <c r="A2778" s="202" t="str">
        <f>IF(B2778&lt;&gt;"",IF(AND(B2778&gt;=_TM1,B2778&lt;=_TM2,OR(TH!L2778="1111",TH!M2778="1111")),TH!D2778,""),"")</f>
        <v/>
      </c>
      <c r="B2778" s="857">
        <f t="shared" si="141"/>
        <v>1</v>
      </c>
      <c r="C2778" s="858">
        <f t="shared" si="138"/>
        <v>42388</v>
      </c>
      <c r="D2778" s="858" t="s">
        <v>1548</v>
      </c>
      <c r="E2778" s="48">
        <v>42388</v>
      </c>
      <c r="F2778" s="49" t="s">
        <v>480</v>
      </c>
      <c r="G2778" s="49" t="s">
        <v>898</v>
      </c>
      <c r="H2778" s="923" t="s">
        <v>1297</v>
      </c>
      <c r="I2778" s="249">
        <v>510</v>
      </c>
      <c r="J2778" s="249">
        <v>10595.537546317601</v>
      </c>
      <c r="K2778" s="51">
        <f t="shared" si="139"/>
        <v>5403724</v>
      </c>
      <c r="L2778" s="924" t="s">
        <v>171</v>
      </c>
      <c r="M2778" s="924" t="s">
        <v>166</v>
      </c>
      <c r="N2778" s="52" t="str">
        <f>IF(AND('331-CT'!$E$7=TH!H2778,OR(L2778="331",M2778="331")),"331",IF(AND(OR(L2778="131",M2778="131"),H2778='131-CT'!$E$7),"131",""))</f>
        <v/>
      </c>
      <c r="O2778" s="818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726"/>
      <c r="AB2778" s="860"/>
    </row>
    <row r="2779" spans="1:29" s="861" customFormat="1" ht="15.75" customHeight="1">
      <c r="A2779" s="202" t="str">
        <f>IF(B2779&lt;&gt;"",IF(AND(B2779&gt;=_TM1,B2779&lt;=_TM2,OR(TH!L2779="1111",TH!M2779="1111")),TH!D2779,""),"")</f>
        <v/>
      </c>
      <c r="B2779" s="857">
        <f t="shared" si="141"/>
        <v>1</v>
      </c>
      <c r="C2779" s="858">
        <f t="shared" ref="C2779:C2842" si="142">E2779</f>
        <v>42388</v>
      </c>
      <c r="D2779" s="858" t="s">
        <v>1548</v>
      </c>
      <c r="E2779" s="48">
        <v>42388</v>
      </c>
      <c r="F2779" s="49" t="s">
        <v>901</v>
      </c>
      <c r="G2779" s="49" t="s">
        <v>898</v>
      </c>
      <c r="H2779" s="923" t="s">
        <v>1297</v>
      </c>
      <c r="I2779" s="249">
        <v>235</v>
      </c>
      <c r="J2779" s="249">
        <v>10178.390398824782</v>
      </c>
      <c r="K2779" s="51">
        <f t="shared" si="139"/>
        <v>2391922</v>
      </c>
      <c r="L2779" s="924" t="s">
        <v>171</v>
      </c>
      <c r="M2779" s="924" t="s">
        <v>166</v>
      </c>
      <c r="N2779" s="52" t="str">
        <f>IF(AND('331-CT'!$E$7=TH!H2779,OR(L2779="331",M2779="331")),"331",IF(AND(OR(L2779="131",M2779="131"),H2779='131-CT'!$E$7),"131",""))</f>
        <v/>
      </c>
      <c r="O2779" s="818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726"/>
      <c r="AB2779" s="860"/>
      <c r="AC2779" s="860"/>
    </row>
    <row r="2780" spans="1:29" s="861" customFormat="1" ht="15.75" customHeight="1">
      <c r="A2780" s="202" t="str">
        <f>IF(B2780&lt;&gt;"",IF(AND(B2780&gt;=_TM1,B2780&lt;=_TM2,OR(TH!L2780="1111",TH!M2780="1111")),TH!D2780,""),"")</f>
        <v/>
      </c>
      <c r="B2780" s="857">
        <f t="shared" si="141"/>
        <v>1</v>
      </c>
      <c r="C2780" s="858">
        <f t="shared" si="142"/>
        <v>42388</v>
      </c>
      <c r="D2780" s="858" t="s">
        <v>1548</v>
      </c>
      <c r="E2780" s="48">
        <v>42388</v>
      </c>
      <c r="F2780" s="49" t="s">
        <v>481</v>
      </c>
      <c r="G2780" s="49" t="s">
        <v>898</v>
      </c>
      <c r="H2780" s="923" t="s">
        <v>1297</v>
      </c>
      <c r="I2780" s="249">
        <v>110</v>
      </c>
      <c r="J2780" s="249">
        <v>6924.6426483807936</v>
      </c>
      <c r="K2780" s="51">
        <f t="shared" ref="K2780:K2843" si="143">ROUND(I2780*J2780,0)</f>
        <v>761711</v>
      </c>
      <c r="L2780" s="924" t="s">
        <v>171</v>
      </c>
      <c r="M2780" s="924" t="s">
        <v>166</v>
      </c>
      <c r="N2780" s="52" t="str">
        <f>IF(AND('331-CT'!$E$7=TH!H2780,OR(L2780="331",M2780="331")),"331",IF(AND(OR(L2780="131",M2780="131"),H2780='131-CT'!$E$7),"131",""))</f>
        <v/>
      </c>
      <c r="O2780" s="818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726"/>
      <c r="AB2780" s="860"/>
    </row>
    <row r="2781" spans="1:29" s="861" customFormat="1" ht="15.75" customHeight="1">
      <c r="A2781" s="202" t="str">
        <f>IF(B2781&lt;&gt;"",IF(AND(B2781&gt;=_TM1,B2781&lt;=_TM2,OR(TH!L2781="1111",TH!M2781="1111")),TH!D2781,""),"")</f>
        <v/>
      </c>
      <c r="B2781" s="857">
        <f t="shared" si="141"/>
        <v>1</v>
      </c>
      <c r="C2781" s="858">
        <f t="shared" si="142"/>
        <v>42388</v>
      </c>
      <c r="D2781" s="858" t="s">
        <v>1548</v>
      </c>
      <c r="E2781" s="830">
        <v>42388</v>
      </c>
      <c r="F2781" s="831" t="s">
        <v>902</v>
      </c>
      <c r="G2781" s="832" t="s">
        <v>898</v>
      </c>
      <c r="H2781" s="923" t="s">
        <v>1297</v>
      </c>
      <c r="I2781" s="249">
        <v>24</v>
      </c>
      <c r="J2781" s="249">
        <v>8926.9489563463248</v>
      </c>
      <c r="K2781" s="51">
        <f t="shared" si="143"/>
        <v>214247</v>
      </c>
      <c r="L2781" s="924" t="s">
        <v>171</v>
      </c>
      <c r="M2781" s="924" t="s">
        <v>166</v>
      </c>
      <c r="N2781" s="52" t="str">
        <f>IF(AND('331-CT'!$E$7=TH!H2781,OR(L2781="331",M2781="331")),"331",IF(AND(OR(L2781="131",M2781="131"),H2781='131-CT'!$E$7),"131",""))</f>
        <v/>
      </c>
      <c r="O2781" s="818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726"/>
      <c r="AB2781" s="860"/>
    </row>
    <row r="2782" spans="1:29" s="861" customFormat="1" ht="15.75" customHeight="1">
      <c r="A2782" s="202" t="str">
        <f>IF(B2782&lt;&gt;"",IF(AND(B2782&gt;=_TM1,B2782&lt;=_TM2,OR(TH!L2782="1111",TH!M2782="1111")),TH!D2782,""),"")</f>
        <v/>
      </c>
      <c r="B2782" s="857">
        <f t="shared" si="141"/>
        <v>1</v>
      </c>
      <c r="C2782" s="858">
        <f t="shared" si="142"/>
        <v>42388</v>
      </c>
      <c r="D2782" s="858" t="s">
        <v>1548</v>
      </c>
      <c r="E2782" s="830">
        <v>42388</v>
      </c>
      <c r="F2782" s="831" t="s">
        <v>473</v>
      </c>
      <c r="G2782" s="832" t="s">
        <v>898</v>
      </c>
      <c r="H2782" s="923" t="s">
        <v>1297</v>
      </c>
      <c r="I2782" s="249">
        <v>55</v>
      </c>
      <c r="J2782" s="249">
        <v>8259.5135203578157</v>
      </c>
      <c r="K2782" s="51">
        <f t="shared" si="143"/>
        <v>454273</v>
      </c>
      <c r="L2782" s="924" t="s">
        <v>171</v>
      </c>
      <c r="M2782" s="924" t="s">
        <v>166</v>
      </c>
      <c r="N2782" s="52" t="str">
        <f>IF(AND('331-CT'!$E$7=TH!H2782,OR(L2782="331",M2782="331")),"331",IF(AND(OR(L2782="131",M2782="131"),H2782='131-CT'!$E$7),"131",""))</f>
        <v/>
      </c>
      <c r="O2782" s="818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726"/>
    </row>
    <row r="2783" spans="1:29" s="861" customFormat="1" ht="15.75" customHeight="1">
      <c r="A2783" s="202" t="str">
        <f>IF(B2783&lt;&gt;"",IF(AND(B2783&gt;=_TM1,B2783&lt;=_TM2,OR(TH!L2783="1111",TH!M2783="1111")),TH!D2783,""),"")</f>
        <v/>
      </c>
      <c r="B2783" s="857">
        <f t="shared" si="141"/>
        <v>1</v>
      </c>
      <c r="C2783" s="858">
        <f t="shared" si="142"/>
        <v>42388</v>
      </c>
      <c r="D2783" s="858" t="s">
        <v>1548</v>
      </c>
      <c r="E2783" s="830">
        <v>42388</v>
      </c>
      <c r="F2783" s="831" t="s">
        <v>1435</v>
      </c>
      <c r="G2783" s="928" t="s">
        <v>903</v>
      </c>
      <c r="H2783" s="923" t="s">
        <v>1297</v>
      </c>
      <c r="I2783" s="884">
        <v>2000</v>
      </c>
      <c r="J2783" s="249">
        <v>9761.2432513319618</v>
      </c>
      <c r="K2783" s="51">
        <f t="shared" si="143"/>
        <v>19522487</v>
      </c>
      <c r="L2783" s="924" t="s">
        <v>171</v>
      </c>
      <c r="M2783" s="924" t="s">
        <v>166</v>
      </c>
      <c r="N2783" s="52" t="str">
        <f>IF(AND('331-CT'!$E$7=TH!H2783,OR(L2783="331",M2783="331")),"331",IF(AND(OR(L2783="131",M2783="131"),H2783='131-CT'!$E$7),"131",""))</f>
        <v/>
      </c>
      <c r="O2783" s="818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726"/>
    </row>
    <row r="2784" spans="1:29" s="861" customFormat="1" ht="15.75" customHeight="1">
      <c r="A2784" s="202" t="str">
        <f>IF(B2784&lt;&gt;"",IF(AND(B2784&gt;=_TM1,B2784&lt;=_TM2,OR(TH!L2784="1111",TH!M2784="1111")),TH!D2784,""),"")</f>
        <v/>
      </c>
      <c r="B2784" s="857">
        <f t="shared" si="141"/>
        <v>1</v>
      </c>
      <c r="C2784" s="858">
        <f t="shared" si="142"/>
        <v>42388</v>
      </c>
      <c r="D2784" s="858" t="s">
        <v>1548</v>
      </c>
      <c r="E2784" s="830">
        <v>42388</v>
      </c>
      <c r="F2784" s="831" t="s">
        <v>870</v>
      </c>
      <c r="G2784" s="928" t="s">
        <v>904</v>
      </c>
      <c r="H2784" s="923" t="s">
        <v>1297</v>
      </c>
      <c r="I2784" s="884">
        <v>2539</v>
      </c>
      <c r="J2784" s="249">
        <v>12097.267277291749</v>
      </c>
      <c r="K2784" s="51">
        <f t="shared" si="143"/>
        <v>30714962</v>
      </c>
      <c r="L2784" s="924" t="s">
        <v>171</v>
      </c>
      <c r="M2784" s="924" t="s">
        <v>166</v>
      </c>
      <c r="N2784" s="52" t="str">
        <f>IF(AND('331-CT'!$E$7=TH!H2784,OR(L2784="331",M2784="331")),"331",IF(AND(OR(L2784="131",M2784="131"),H2784='131-CT'!$E$7),"131",""))</f>
        <v/>
      </c>
      <c r="O2784" s="818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726"/>
      <c r="AB2784" s="860"/>
      <c r="AC2784" s="860"/>
    </row>
    <row r="2785" spans="1:29" s="861" customFormat="1" ht="15.75" customHeight="1">
      <c r="A2785" s="202" t="str">
        <f>IF(B2785&lt;&gt;"",IF(AND(B2785&gt;=_TM1,B2785&lt;=_TM2,OR(TH!L2785="1111",TH!M2785="1111")),TH!D2785,""),"")</f>
        <v/>
      </c>
      <c r="B2785" s="857">
        <f t="shared" si="141"/>
        <v>1</v>
      </c>
      <c r="C2785" s="858">
        <f t="shared" si="142"/>
        <v>42389</v>
      </c>
      <c r="D2785" s="858" t="s">
        <v>1548</v>
      </c>
      <c r="E2785" s="921">
        <v>42389</v>
      </c>
      <c r="F2785" s="925" t="s">
        <v>627</v>
      </c>
      <c r="G2785" s="49" t="s">
        <v>906</v>
      </c>
      <c r="H2785" s="923" t="s">
        <v>1297</v>
      </c>
      <c r="I2785" s="249">
        <v>313</v>
      </c>
      <c r="J2785" s="249">
        <v>6257.2072123922844</v>
      </c>
      <c r="K2785" s="51">
        <f t="shared" si="143"/>
        <v>1958506</v>
      </c>
      <c r="L2785" s="924" t="s">
        <v>171</v>
      </c>
      <c r="M2785" s="924" t="s">
        <v>166</v>
      </c>
      <c r="N2785" s="52" t="str">
        <f>IF(AND('331-CT'!$E$7=TH!H2785,OR(L2785="331",M2785="331")),"331",IF(AND(OR(L2785="131",M2785="131"),H2785='131-CT'!$E$7),"131",""))</f>
        <v/>
      </c>
      <c r="O2785" s="818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726"/>
      <c r="AB2785" s="860"/>
      <c r="AC2785" s="860"/>
    </row>
    <row r="2786" spans="1:29" s="861" customFormat="1" ht="15.75" customHeight="1">
      <c r="A2786" s="202" t="str">
        <f>IF(B2786&lt;&gt;"",IF(AND(B2786&gt;=_TM1,B2786&lt;=_TM2,OR(TH!L2786="1111",TH!M2786="1111")),TH!D2786,""),"")</f>
        <v/>
      </c>
      <c r="B2786" s="857">
        <f t="shared" si="141"/>
        <v>1</v>
      </c>
      <c r="C2786" s="858">
        <f t="shared" si="142"/>
        <v>42389</v>
      </c>
      <c r="D2786" s="858" t="s">
        <v>1548</v>
      </c>
      <c r="E2786" s="921">
        <v>42389</v>
      </c>
      <c r="F2786" s="49" t="s">
        <v>1443</v>
      </c>
      <c r="G2786" s="49" t="s">
        <v>906</v>
      </c>
      <c r="H2786" s="923" t="s">
        <v>1297</v>
      </c>
      <c r="I2786" s="249">
        <v>321</v>
      </c>
      <c r="J2786" s="249">
        <v>7925.7958023635592</v>
      </c>
      <c r="K2786" s="51">
        <f t="shared" si="143"/>
        <v>2544180</v>
      </c>
      <c r="L2786" s="924" t="s">
        <v>171</v>
      </c>
      <c r="M2786" s="924" t="s">
        <v>166</v>
      </c>
      <c r="N2786" s="52" t="str">
        <f>IF(AND('331-CT'!$E$7=TH!H2786,OR(L2786="331",M2786="331")),"331",IF(AND(OR(L2786="131",M2786="131"),H2786='131-CT'!$E$7),"131",""))</f>
        <v/>
      </c>
      <c r="O2786" s="818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726"/>
      <c r="AB2786" s="860"/>
      <c r="AC2786" s="860"/>
    </row>
    <row r="2787" spans="1:29" s="861" customFormat="1" ht="15.75" customHeight="1">
      <c r="A2787" s="202" t="str">
        <f>IF(B2787&lt;&gt;"",IF(AND(B2787&gt;=_TM1,B2787&lt;=_TM2,OR(TH!L2787="1111",TH!M2787="1111")),TH!D2787,""),"")</f>
        <v/>
      </c>
      <c r="B2787" s="857">
        <f t="shared" si="141"/>
        <v>1</v>
      </c>
      <c r="C2787" s="858">
        <f t="shared" si="142"/>
        <v>42389</v>
      </c>
      <c r="D2787" s="858" t="s">
        <v>1548</v>
      </c>
      <c r="E2787" s="921">
        <v>42389</v>
      </c>
      <c r="F2787" s="925" t="s">
        <v>1443</v>
      </c>
      <c r="G2787" s="49" t="s">
        <v>906</v>
      </c>
      <c r="H2787" s="923" t="s">
        <v>1297</v>
      </c>
      <c r="I2787" s="249">
        <v>105</v>
      </c>
      <c r="J2787" s="249">
        <v>7925.7958023635592</v>
      </c>
      <c r="K2787" s="51">
        <f t="shared" si="143"/>
        <v>832209</v>
      </c>
      <c r="L2787" s="924" t="s">
        <v>171</v>
      </c>
      <c r="M2787" s="924" t="s">
        <v>166</v>
      </c>
      <c r="N2787" s="52" t="str">
        <f>IF(AND('331-CT'!$E$7=TH!H2787,OR(L2787="331",M2787="331")),"331",IF(AND(OR(L2787="131",M2787="131"),H2787='131-CT'!$E$7),"131",""))</f>
        <v/>
      </c>
      <c r="O2787" s="818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726"/>
      <c r="AB2787" s="860"/>
    </row>
    <row r="2788" spans="1:29" s="861" customFormat="1" ht="15.75" customHeight="1">
      <c r="A2788" s="202" t="str">
        <f>IF(B2788&lt;&gt;"",IF(AND(B2788&gt;=_TM1,B2788&lt;=_TM2,OR(TH!L2788="1111",TH!M2788="1111")),TH!D2788,""),"")</f>
        <v/>
      </c>
      <c r="B2788" s="857">
        <f t="shared" si="141"/>
        <v>1</v>
      </c>
      <c r="C2788" s="858">
        <f t="shared" si="142"/>
        <v>42389</v>
      </c>
      <c r="D2788" s="858" t="s">
        <v>1548</v>
      </c>
      <c r="E2788" s="921">
        <v>42389</v>
      </c>
      <c r="F2788" s="922" t="s">
        <v>1443</v>
      </c>
      <c r="G2788" s="49" t="s">
        <v>906</v>
      </c>
      <c r="H2788" s="923" t="s">
        <v>1297</v>
      </c>
      <c r="I2788" s="249">
        <v>203</v>
      </c>
      <c r="J2788" s="249">
        <v>8092.654661360687</v>
      </c>
      <c r="K2788" s="51">
        <f t="shared" si="143"/>
        <v>1642809</v>
      </c>
      <c r="L2788" s="924" t="s">
        <v>171</v>
      </c>
      <c r="M2788" s="924" t="s">
        <v>166</v>
      </c>
      <c r="N2788" s="52" t="str">
        <f>IF(AND('331-CT'!$E$7=TH!H2788,OR(L2788="331",M2788="331")),"331",IF(AND(OR(L2788="131",M2788="131"),H2788='131-CT'!$E$7),"131",""))</f>
        <v/>
      </c>
      <c r="O2788" s="818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726"/>
      <c r="AB2788" s="860"/>
      <c r="AC2788" s="860"/>
    </row>
    <row r="2789" spans="1:29" s="861" customFormat="1" ht="15.75" customHeight="1">
      <c r="A2789" s="202" t="str">
        <f>IF(B2789&lt;&gt;"",IF(AND(B2789&gt;=_TM1,B2789&lt;=_TM2,OR(TH!L2789="1111",TH!M2789="1111")),TH!D2789,""),"")</f>
        <v/>
      </c>
      <c r="B2789" s="857">
        <f t="shared" si="141"/>
        <v>1</v>
      </c>
      <c r="C2789" s="858">
        <f t="shared" si="142"/>
        <v>42389</v>
      </c>
      <c r="D2789" s="858" t="s">
        <v>1548</v>
      </c>
      <c r="E2789" s="921">
        <v>42389</v>
      </c>
      <c r="F2789" s="922" t="s">
        <v>1309</v>
      </c>
      <c r="G2789" s="49" t="s">
        <v>390</v>
      </c>
      <c r="H2789" s="923" t="s">
        <v>1297</v>
      </c>
      <c r="I2789" s="249">
        <v>100</v>
      </c>
      <c r="J2789" s="249">
        <v>11096.114123308984</v>
      </c>
      <c r="K2789" s="51">
        <f t="shared" si="143"/>
        <v>1109611</v>
      </c>
      <c r="L2789" s="924" t="s">
        <v>171</v>
      </c>
      <c r="M2789" s="924" t="s">
        <v>166</v>
      </c>
      <c r="N2789" s="52" t="str">
        <f>IF(AND('331-CT'!$E$7=TH!H2789,OR(L2789="331",M2789="331")),"331",IF(AND(OR(L2789="131",M2789="131"),H2789='131-CT'!$E$7),"131",""))</f>
        <v/>
      </c>
      <c r="O2789" s="818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726"/>
      <c r="AB2789" s="860"/>
    </row>
    <row r="2790" spans="1:29" s="861" customFormat="1" ht="15.75" customHeight="1">
      <c r="A2790" s="202" t="str">
        <f>IF(B2790&lt;&gt;"",IF(AND(B2790&gt;=_TM1,B2790&lt;=_TM2,OR(TH!L2790="1111",TH!M2790="1111")),TH!D2790,""),"")</f>
        <v/>
      </c>
      <c r="B2790" s="857">
        <f t="shared" si="141"/>
        <v>1</v>
      </c>
      <c r="C2790" s="858">
        <f t="shared" si="142"/>
        <v>42390</v>
      </c>
      <c r="D2790" s="858" t="s">
        <v>1548</v>
      </c>
      <c r="E2790" s="921">
        <v>42390</v>
      </c>
      <c r="F2790" s="925" t="s">
        <v>389</v>
      </c>
      <c r="G2790" s="49" t="s">
        <v>394</v>
      </c>
      <c r="H2790" s="923" t="s">
        <v>1297</v>
      </c>
      <c r="I2790" s="926">
        <v>951</v>
      </c>
      <c r="J2790" s="249">
        <v>6841.2132188822297</v>
      </c>
      <c r="K2790" s="51">
        <f t="shared" si="143"/>
        <v>6505994</v>
      </c>
      <c r="L2790" s="924" t="s">
        <v>171</v>
      </c>
      <c r="M2790" s="924" t="s">
        <v>166</v>
      </c>
      <c r="N2790" s="52" t="str">
        <f>IF(AND('331-CT'!$E$7=TH!H2790,OR(L2790="331",M2790="331")),"331",IF(AND(OR(L2790="131",M2790="131"),H2790='131-CT'!$E$7),"131",""))</f>
        <v/>
      </c>
      <c r="O2790" s="818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726"/>
      <c r="AB2790" s="860"/>
      <c r="AC2790" s="860"/>
    </row>
    <row r="2791" spans="1:29" s="861" customFormat="1" ht="15.75" customHeight="1">
      <c r="A2791" s="202" t="str">
        <f>IF(B2791&lt;&gt;"",IF(AND(B2791&gt;=_TM1,B2791&lt;=_TM2,OR(TH!L2791="1111",TH!M2791="1111")),TH!D2791,""),"")</f>
        <v/>
      </c>
      <c r="B2791" s="857">
        <f t="shared" si="141"/>
        <v>1</v>
      </c>
      <c r="C2791" s="858">
        <f t="shared" si="142"/>
        <v>42391</v>
      </c>
      <c r="D2791" s="858" t="s">
        <v>1548</v>
      </c>
      <c r="E2791" s="921">
        <v>42391</v>
      </c>
      <c r="F2791" s="925" t="s">
        <v>660</v>
      </c>
      <c r="G2791" s="49" t="s">
        <v>395</v>
      </c>
      <c r="H2791" s="923" t="s">
        <v>1297</v>
      </c>
      <c r="I2791" s="249">
        <v>312</v>
      </c>
      <c r="J2791" s="249">
        <v>4755.4774814181355</v>
      </c>
      <c r="K2791" s="51">
        <f t="shared" si="143"/>
        <v>1483709</v>
      </c>
      <c r="L2791" s="924" t="s">
        <v>171</v>
      </c>
      <c r="M2791" s="924" t="s">
        <v>166</v>
      </c>
      <c r="N2791" s="52" t="str">
        <f>IF(AND('331-CT'!$E$7=TH!H2791,OR(L2791="331",M2791="331")),"331",IF(AND(OR(L2791="131",M2791="131"),H2791='131-CT'!$E$7),"131",""))</f>
        <v/>
      </c>
      <c r="O2791" s="818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726"/>
      <c r="AB2791" s="860"/>
    </row>
    <row r="2792" spans="1:29" s="861" customFormat="1" ht="15.75" customHeight="1">
      <c r="A2792" s="202" t="str">
        <f>IF(B2792&lt;&gt;"",IF(AND(B2792&gt;=_TM1,B2792&lt;=_TM2,OR(TH!L2792="1111",TH!M2792="1111")),TH!D2792,""),"")</f>
        <v/>
      </c>
      <c r="B2792" s="857">
        <f t="shared" si="141"/>
        <v>1</v>
      </c>
      <c r="C2792" s="858">
        <f t="shared" si="142"/>
        <v>42391</v>
      </c>
      <c r="D2792" s="858" t="s">
        <v>1548</v>
      </c>
      <c r="E2792" s="921">
        <v>42391</v>
      </c>
      <c r="F2792" s="925" t="s">
        <v>907</v>
      </c>
      <c r="G2792" s="49" t="s">
        <v>395</v>
      </c>
      <c r="H2792" s="923" t="s">
        <v>1297</v>
      </c>
      <c r="I2792" s="926">
        <v>500</v>
      </c>
      <c r="J2792" s="249">
        <v>5589.7717764037743</v>
      </c>
      <c r="K2792" s="51">
        <f t="shared" si="143"/>
        <v>2794886</v>
      </c>
      <c r="L2792" s="924" t="s">
        <v>171</v>
      </c>
      <c r="M2792" s="924" t="s">
        <v>166</v>
      </c>
      <c r="N2792" s="52" t="str">
        <f>IF(AND('331-CT'!$E$7=TH!H2792,OR(L2792="331",M2792="331")),"331",IF(AND(OR(L2792="131",M2792="131"),H2792='131-CT'!$E$7),"131",""))</f>
        <v/>
      </c>
      <c r="O2792" s="818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726"/>
      <c r="AB2792" s="860"/>
    </row>
    <row r="2793" spans="1:29" s="861" customFormat="1" ht="15.75" customHeight="1">
      <c r="A2793" s="202" t="str">
        <f>IF(B2793&lt;&gt;"",IF(AND(B2793&gt;=_TM1,B2793&lt;=_TM2,OR(TH!L2793="1111",TH!M2793="1111")),TH!D2793,""),"")</f>
        <v/>
      </c>
      <c r="B2793" s="857">
        <f t="shared" si="141"/>
        <v>1</v>
      </c>
      <c r="C2793" s="858">
        <f t="shared" si="142"/>
        <v>42391</v>
      </c>
      <c r="D2793" s="858" t="s">
        <v>1548</v>
      </c>
      <c r="E2793" s="830">
        <v>42391</v>
      </c>
      <c r="F2793" s="831" t="s">
        <v>908</v>
      </c>
      <c r="G2793" s="832" t="s">
        <v>395</v>
      </c>
      <c r="H2793" s="923" t="s">
        <v>1297</v>
      </c>
      <c r="I2793" s="884">
        <v>348</v>
      </c>
      <c r="J2793" s="884">
        <v>3837.7537569339343</v>
      </c>
      <c r="K2793" s="51">
        <f t="shared" si="143"/>
        <v>1335538</v>
      </c>
      <c r="L2793" s="924" t="s">
        <v>171</v>
      </c>
      <c r="M2793" s="924" t="s">
        <v>166</v>
      </c>
      <c r="N2793" s="52" t="str">
        <f>IF(AND('331-CT'!$E$7=TH!H2793,OR(L2793="331",M2793="331")),"331",IF(AND(OR(L2793="131",M2793="131"),H2793='131-CT'!$E$7),"131",""))</f>
        <v/>
      </c>
      <c r="O2793" s="818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726"/>
      <c r="AB2793" s="860"/>
      <c r="AC2793" s="860"/>
    </row>
    <row r="2794" spans="1:29" s="861" customFormat="1" ht="15.75" customHeight="1">
      <c r="A2794" s="202" t="str">
        <f>IF(B2794&lt;&gt;"",IF(AND(B2794&gt;=_TM1,B2794&lt;=_TM2,OR(TH!L2794="1111",TH!M2794="1111")),TH!D2794,""),"")</f>
        <v/>
      </c>
      <c r="B2794" s="857">
        <f t="shared" si="141"/>
        <v>1</v>
      </c>
      <c r="C2794" s="858">
        <f t="shared" si="142"/>
        <v>42391</v>
      </c>
      <c r="D2794" s="858" t="s">
        <v>1548</v>
      </c>
      <c r="E2794" s="830">
        <v>42391</v>
      </c>
      <c r="F2794" s="831" t="s">
        <v>1221</v>
      </c>
      <c r="G2794" s="832" t="s">
        <v>397</v>
      </c>
      <c r="H2794" s="923" t="s">
        <v>1297</v>
      </c>
      <c r="I2794" s="249">
        <v>22</v>
      </c>
      <c r="J2794" s="249">
        <v>10929.255264311856</v>
      </c>
      <c r="K2794" s="51">
        <f t="shared" si="143"/>
        <v>240444</v>
      </c>
      <c r="L2794" s="924" t="s">
        <v>171</v>
      </c>
      <c r="M2794" s="924" t="s">
        <v>166</v>
      </c>
      <c r="N2794" s="52" t="str">
        <f>IF(AND('331-CT'!$E$7=TH!H2794,OR(L2794="331",M2794="331")),"331",IF(AND(OR(L2794="131",M2794="131"),H2794='131-CT'!$E$7),"131",""))</f>
        <v/>
      </c>
      <c r="O2794" s="818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726"/>
      <c r="AB2794" s="860"/>
    </row>
    <row r="2795" spans="1:29" s="861" customFormat="1" ht="15.75" customHeight="1">
      <c r="A2795" s="202" t="str">
        <f>IF(B2795&lt;&gt;"",IF(AND(B2795&gt;=_TM1,B2795&lt;=_TM2,OR(TH!L2795="1111",TH!M2795="1111")),TH!D2795,""),"")</f>
        <v/>
      </c>
      <c r="B2795" s="857">
        <f t="shared" si="141"/>
        <v>1</v>
      </c>
      <c r="C2795" s="858">
        <f t="shared" si="142"/>
        <v>42391</v>
      </c>
      <c r="D2795" s="858" t="s">
        <v>1548</v>
      </c>
      <c r="E2795" s="830">
        <v>42391</v>
      </c>
      <c r="F2795" s="925" t="s">
        <v>1222</v>
      </c>
      <c r="G2795" s="832" t="s">
        <v>397</v>
      </c>
      <c r="H2795" s="923" t="s">
        <v>1297</v>
      </c>
      <c r="I2795" s="249">
        <v>50</v>
      </c>
      <c r="J2795" s="249">
        <v>7842.3663728649954</v>
      </c>
      <c r="K2795" s="51">
        <f t="shared" si="143"/>
        <v>392118</v>
      </c>
      <c r="L2795" s="924" t="s">
        <v>171</v>
      </c>
      <c r="M2795" s="924" t="s">
        <v>166</v>
      </c>
      <c r="N2795" s="52" t="str">
        <f>IF(AND('331-CT'!$E$7=TH!H2795,OR(L2795="331",M2795="331")),"331",IF(AND(OR(L2795="131",M2795="131"),H2795='131-CT'!$E$7),"131",""))</f>
        <v/>
      </c>
      <c r="O2795" s="818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726"/>
      <c r="AB2795" s="860"/>
    </row>
    <row r="2796" spans="1:29" s="861" customFormat="1" ht="15.75" customHeight="1">
      <c r="A2796" s="202" t="str">
        <f>IF(B2796&lt;&gt;"",IF(AND(B2796&gt;=_TM1,B2796&lt;=_TM2,OR(TH!L2796="1111",TH!M2796="1111")),TH!D2796,""),"")</f>
        <v/>
      </c>
      <c r="B2796" s="857">
        <f t="shared" si="141"/>
        <v>1</v>
      </c>
      <c r="C2796" s="858">
        <f t="shared" si="142"/>
        <v>42391</v>
      </c>
      <c r="D2796" s="858" t="s">
        <v>1548</v>
      </c>
      <c r="E2796" s="830">
        <v>42391</v>
      </c>
      <c r="F2796" s="925" t="s">
        <v>1207</v>
      </c>
      <c r="G2796" s="832" t="s">
        <v>397</v>
      </c>
      <c r="H2796" s="923" t="s">
        <v>1297</v>
      </c>
      <c r="I2796" s="249">
        <v>70</v>
      </c>
      <c r="J2796" s="249">
        <v>7842.3663728649954</v>
      </c>
      <c r="K2796" s="51">
        <f t="shared" si="143"/>
        <v>548966</v>
      </c>
      <c r="L2796" s="924" t="s">
        <v>171</v>
      </c>
      <c r="M2796" s="924" t="s">
        <v>166</v>
      </c>
      <c r="N2796" s="52" t="str">
        <f>IF(AND('331-CT'!$E$7=TH!H2796,OR(L2796="331",M2796="331")),"331",IF(AND(OR(L2796="131",M2796="131"),H2796='131-CT'!$E$7),"131",""))</f>
        <v/>
      </c>
      <c r="O2796" s="818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726"/>
      <c r="AB2796" s="860"/>
      <c r="AC2796" s="860"/>
    </row>
    <row r="2797" spans="1:29" s="861" customFormat="1" ht="15.75" customHeight="1">
      <c r="A2797" s="202" t="str">
        <f>IF(B2797&lt;&gt;"",IF(AND(B2797&gt;=_TM1,B2797&lt;=_TM2,OR(TH!L2797="1111",TH!M2797="1111")),TH!D2797,""),"")</f>
        <v/>
      </c>
      <c r="B2797" s="857">
        <f t="shared" si="141"/>
        <v>1</v>
      </c>
      <c r="C2797" s="858">
        <f t="shared" si="142"/>
        <v>42391</v>
      </c>
      <c r="D2797" s="858" t="s">
        <v>1548</v>
      </c>
      <c r="E2797" s="830">
        <v>42391</v>
      </c>
      <c r="F2797" s="49" t="s">
        <v>711</v>
      </c>
      <c r="G2797" s="832" t="s">
        <v>397</v>
      </c>
      <c r="H2797" s="923" t="s">
        <v>1297</v>
      </c>
      <c r="I2797" s="249">
        <v>297</v>
      </c>
      <c r="J2797" s="249">
        <v>7008.0720778793575</v>
      </c>
      <c r="K2797" s="51">
        <f t="shared" si="143"/>
        <v>2081397</v>
      </c>
      <c r="L2797" s="924" t="s">
        <v>171</v>
      </c>
      <c r="M2797" s="924" t="s">
        <v>166</v>
      </c>
      <c r="N2797" s="52" t="str">
        <f>IF(AND('331-CT'!$E$7=TH!H2797,OR(L2797="331",M2797="331")),"331",IF(AND(OR(L2797="131",M2797="131"),H2797='131-CT'!$E$7),"131",""))</f>
        <v/>
      </c>
      <c r="O2797" s="818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726"/>
      <c r="AB2797" s="860"/>
    </row>
    <row r="2798" spans="1:29" s="861" customFormat="1" ht="15.75" customHeight="1">
      <c r="A2798" s="202" t="str">
        <f>IF(B2798&lt;&gt;"",IF(AND(B2798&gt;=_TM1,B2798&lt;=_TM2,OR(TH!L2798="1111",TH!M2798="1111")),TH!D2798,""),"")</f>
        <v/>
      </c>
      <c r="B2798" s="857">
        <f t="shared" si="141"/>
        <v>1</v>
      </c>
      <c r="C2798" s="858">
        <f t="shared" si="142"/>
        <v>42391</v>
      </c>
      <c r="D2798" s="858" t="s">
        <v>1548</v>
      </c>
      <c r="E2798" s="830">
        <v>42391</v>
      </c>
      <c r="F2798" s="831" t="s">
        <v>1223</v>
      </c>
      <c r="G2798" s="832" t="s">
        <v>397</v>
      </c>
      <c r="H2798" s="923" t="s">
        <v>1297</v>
      </c>
      <c r="I2798" s="249">
        <v>900</v>
      </c>
      <c r="J2798" s="249">
        <v>8009.2252318621231</v>
      </c>
      <c r="K2798" s="51">
        <f t="shared" si="143"/>
        <v>7208303</v>
      </c>
      <c r="L2798" s="924" t="s">
        <v>171</v>
      </c>
      <c r="M2798" s="924" t="s">
        <v>166</v>
      </c>
      <c r="N2798" s="52" t="str">
        <f>IF(AND('331-CT'!$E$7=TH!H2798,OR(L2798="331",M2798="331")),"331",IF(AND(OR(L2798="131",M2798="131"),H2798='131-CT'!$E$7),"131",""))</f>
        <v/>
      </c>
      <c r="O2798" s="818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726"/>
      <c r="AB2798" s="860"/>
      <c r="AC2798" s="860"/>
    </row>
    <row r="2799" spans="1:29" s="861" customFormat="1" ht="15.75" customHeight="1">
      <c r="A2799" s="202" t="str">
        <f>IF(B2799&lt;&gt;"",IF(AND(B2799&gt;=_TM1,B2799&lt;=_TM2,OR(TH!L2799="1111",TH!M2799="1111")),TH!D2799,""),"")</f>
        <v/>
      </c>
      <c r="B2799" s="857">
        <f t="shared" si="141"/>
        <v>1</v>
      </c>
      <c r="C2799" s="858">
        <f t="shared" si="142"/>
        <v>42391</v>
      </c>
      <c r="D2799" s="858" t="s">
        <v>1548</v>
      </c>
      <c r="E2799" s="830">
        <v>42391</v>
      </c>
      <c r="F2799" s="831" t="s">
        <v>709</v>
      </c>
      <c r="G2799" s="832" t="s">
        <v>397</v>
      </c>
      <c r="H2799" s="923" t="s">
        <v>1297</v>
      </c>
      <c r="I2799" s="249">
        <v>300</v>
      </c>
      <c r="J2799" s="249">
        <v>13181.849860773078</v>
      </c>
      <c r="K2799" s="51">
        <f t="shared" si="143"/>
        <v>3954555</v>
      </c>
      <c r="L2799" s="924" t="s">
        <v>171</v>
      </c>
      <c r="M2799" s="924" t="s">
        <v>166</v>
      </c>
      <c r="N2799" s="52" t="str">
        <f>IF(AND('331-CT'!$E$7=TH!H2799,OR(L2799="331",M2799="331")),"331",IF(AND(OR(L2799="131",M2799="131"),H2799='131-CT'!$E$7),"131",""))</f>
        <v/>
      </c>
      <c r="O2799" s="818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726"/>
      <c r="AB2799" s="860"/>
    </row>
    <row r="2800" spans="1:29" s="861" customFormat="1" ht="15.75" customHeight="1">
      <c r="A2800" s="202" t="str">
        <f>IF(B2800&lt;&gt;"",IF(AND(B2800&gt;=_TM1,B2800&lt;=_TM2,OR(TH!L2800="1111",TH!M2800="1111")),TH!D2800,""),"")</f>
        <v/>
      </c>
      <c r="B2800" s="857">
        <f t="shared" si="141"/>
        <v>1</v>
      </c>
      <c r="C2800" s="858">
        <f t="shared" si="142"/>
        <v>42391</v>
      </c>
      <c r="D2800" s="858" t="s">
        <v>1548</v>
      </c>
      <c r="E2800" s="921">
        <v>42391</v>
      </c>
      <c r="F2800" s="49" t="s">
        <v>713</v>
      </c>
      <c r="G2800" s="49" t="s">
        <v>397</v>
      </c>
      <c r="H2800" s="923" t="s">
        <v>1297</v>
      </c>
      <c r="I2800" s="249">
        <v>10</v>
      </c>
      <c r="J2800" s="249">
        <v>16685.885899712757</v>
      </c>
      <c r="K2800" s="51">
        <f t="shared" si="143"/>
        <v>166859</v>
      </c>
      <c r="L2800" s="924" t="s">
        <v>171</v>
      </c>
      <c r="M2800" s="924" t="s">
        <v>166</v>
      </c>
      <c r="N2800" s="52" t="str">
        <f>IF(AND('331-CT'!$E$7=TH!H2800,OR(L2800="331",M2800="331")),"331",IF(AND(OR(L2800="131",M2800="131"),H2800='131-CT'!$E$7),"131",""))</f>
        <v/>
      </c>
      <c r="O2800" s="818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726"/>
      <c r="AB2800" s="860"/>
      <c r="AC2800" s="860"/>
    </row>
    <row r="2801" spans="1:29" s="861" customFormat="1" ht="15.75" customHeight="1">
      <c r="A2801" s="202" t="str">
        <f>IF(B2801&lt;&gt;"",IF(AND(B2801&gt;=_TM1,B2801&lt;=_TM2,OR(TH!L2801="1111",TH!M2801="1111")),TH!D2801,""),"")</f>
        <v/>
      </c>
      <c r="B2801" s="857">
        <f t="shared" si="141"/>
        <v>1</v>
      </c>
      <c r="C2801" s="858">
        <f t="shared" si="142"/>
        <v>42391</v>
      </c>
      <c r="D2801" s="858" t="s">
        <v>1548</v>
      </c>
      <c r="E2801" s="921">
        <v>42391</v>
      </c>
      <c r="F2801" s="925" t="s">
        <v>1224</v>
      </c>
      <c r="G2801" s="49" t="s">
        <v>397</v>
      </c>
      <c r="H2801" s="923" t="s">
        <v>1297</v>
      </c>
      <c r="I2801" s="249">
        <v>10</v>
      </c>
      <c r="J2801" s="249">
        <v>14600.150162248663</v>
      </c>
      <c r="K2801" s="51">
        <f t="shared" si="143"/>
        <v>146002</v>
      </c>
      <c r="L2801" s="924" t="s">
        <v>171</v>
      </c>
      <c r="M2801" s="924" t="s">
        <v>166</v>
      </c>
      <c r="N2801" s="52" t="str">
        <f>IF(AND('331-CT'!$E$7=TH!H2801,OR(L2801="331",M2801="331")),"331",IF(AND(OR(L2801="131",M2801="131"),H2801='131-CT'!$E$7),"131",""))</f>
        <v/>
      </c>
      <c r="O2801" s="818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726"/>
      <c r="AB2801" s="860"/>
    </row>
    <row r="2802" spans="1:29" s="861" customFormat="1" ht="15.75" customHeight="1">
      <c r="A2802" s="202" t="str">
        <f>IF(B2802&lt;&gt;"",IF(AND(B2802&gt;=_TM1,B2802&lt;=_TM2,OR(TH!L2802="1111",TH!M2802="1111")),TH!D2802,""),"")</f>
        <v/>
      </c>
      <c r="B2802" s="857">
        <f t="shared" si="141"/>
        <v>1</v>
      </c>
      <c r="C2802" s="858">
        <f t="shared" si="142"/>
        <v>42391</v>
      </c>
      <c r="D2802" s="858" t="s">
        <v>1548</v>
      </c>
      <c r="E2802" s="921">
        <v>42391</v>
      </c>
      <c r="F2802" s="49" t="s">
        <v>712</v>
      </c>
      <c r="G2802" s="49" t="s">
        <v>397</v>
      </c>
      <c r="H2802" s="923" t="s">
        <v>1297</v>
      </c>
      <c r="I2802" s="249">
        <v>10</v>
      </c>
      <c r="J2802" s="249">
        <v>8176.0840908592509</v>
      </c>
      <c r="K2802" s="51">
        <f t="shared" si="143"/>
        <v>81761</v>
      </c>
      <c r="L2802" s="924" t="s">
        <v>171</v>
      </c>
      <c r="M2802" s="924" t="s">
        <v>166</v>
      </c>
      <c r="N2802" s="52" t="str">
        <f>IF(AND('331-CT'!$E$7=TH!H2802,OR(L2802="331",M2802="331")),"331",IF(AND(OR(L2802="131",M2802="131"),H2802='131-CT'!$E$7),"131",""))</f>
        <v/>
      </c>
      <c r="O2802" s="818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726"/>
      <c r="AB2802" s="860"/>
    </row>
    <row r="2803" spans="1:29" s="861" customFormat="1" ht="15.75" customHeight="1">
      <c r="A2803" s="202" t="str">
        <f>IF(B2803&lt;&gt;"",IF(AND(B2803&gt;=_TM1,B2803&lt;=_TM2,OR(TH!L2803="1111",TH!M2803="1111")),TH!D2803,""),"")</f>
        <v/>
      </c>
      <c r="B2803" s="857">
        <f t="shared" si="141"/>
        <v>1</v>
      </c>
      <c r="C2803" s="858">
        <f t="shared" si="142"/>
        <v>42391</v>
      </c>
      <c r="D2803" s="858" t="s">
        <v>1548</v>
      </c>
      <c r="E2803" s="921">
        <v>42391</v>
      </c>
      <c r="F2803" s="49" t="s">
        <v>1210</v>
      </c>
      <c r="G2803" s="49" t="s">
        <v>397</v>
      </c>
      <c r="H2803" s="923" t="s">
        <v>1297</v>
      </c>
      <c r="I2803" s="249">
        <v>10</v>
      </c>
      <c r="J2803" s="249">
        <v>9010.3783858448896</v>
      </c>
      <c r="K2803" s="51">
        <f t="shared" si="143"/>
        <v>90104</v>
      </c>
      <c r="L2803" s="924" t="s">
        <v>171</v>
      </c>
      <c r="M2803" s="924" t="s">
        <v>166</v>
      </c>
      <c r="N2803" s="52" t="str">
        <f>IF(AND('331-CT'!$E$7=TH!H2803,OR(L2803="331",M2803="331")),"331",IF(AND(OR(L2803="131",M2803="131"),H2803='131-CT'!$E$7),"131",""))</f>
        <v/>
      </c>
      <c r="O2803" s="818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726"/>
      <c r="AB2803" s="860"/>
      <c r="AC2803" s="860"/>
    </row>
    <row r="2804" spans="1:29" s="861" customFormat="1" ht="15.75" customHeight="1">
      <c r="A2804" s="202" t="str">
        <f>IF(B2804&lt;&gt;"",IF(AND(B2804&gt;=_TM1,B2804&lt;=_TM2,OR(TH!L2804="1111",TH!M2804="1111")),TH!D2804,""),"")</f>
        <v/>
      </c>
      <c r="B2804" s="857">
        <f t="shared" si="141"/>
        <v>1</v>
      </c>
      <c r="C2804" s="858">
        <f t="shared" si="142"/>
        <v>42394</v>
      </c>
      <c r="D2804" s="858" t="s">
        <v>1548</v>
      </c>
      <c r="E2804" s="921">
        <v>42394</v>
      </c>
      <c r="F2804" s="925" t="s">
        <v>1309</v>
      </c>
      <c r="G2804" s="49" t="s">
        <v>398</v>
      </c>
      <c r="H2804" s="923" t="s">
        <v>1297</v>
      </c>
      <c r="I2804" s="249">
        <v>100</v>
      </c>
      <c r="J2804" s="249">
        <v>11096.114123308984</v>
      </c>
      <c r="K2804" s="51">
        <f t="shared" si="143"/>
        <v>1109611</v>
      </c>
      <c r="L2804" s="924" t="s">
        <v>171</v>
      </c>
      <c r="M2804" s="924" t="s">
        <v>166</v>
      </c>
      <c r="N2804" s="52" t="str">
        <f>IF(AND('331-CT'!$E$7=TH!H2804,OR(L2804="331",M2804="331")),"331",IF(AND(OR(L2804="131",M2804="131"),H2804='131-CT'!$E$7),"131",""))</f>
        <v/>
      </c>
      <c r="O2804" s="818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726"/>
      <c r="AB2804" s="860"/>
    </row>
    <row r="2805" spans="1:29" s="861" customFormat="1" ht="15.75" customHeight="1">
      <c r="A2805" s="202" t="str">
        <f>IF(B2805&lt;&gt;"",IF(AND(B2805&gt;=_TM1,B2805&lt;=_TM2,OR(TH!L2805="1111",TH!M2805="1111")),TH!D2805,""),"")</f>
        <v/>
      </c>
      <c r="B2805" s="857">
        <f t="shared" si="141"/>
        <v>1</v>
      </c>
      <c r="C2805" s="858">
        <f t="shared" si="142"/>
        <v>42395</v>
      </c>
      <c r="D2805" s="858" t="s">
        <v>1548</v>
      </c>
      <c r="E2805" s="921">
        <v>42395</v>
      </c>
      <c r="F2805" s="49" t="s">
        <v>1435</v>
      </c>
      <c r="G2805" s="49" t="s">
        <v>909</v>
      </c>
      <c r="H2805" s="923" t="s">
        <v>1297</v>
      </c>
      <c r="I2805" s="249">
        <v>1500</v>
      </c>
      <c r="J2805" s="249">
        <v>9761.2432513319618</v>
      </c>
      <c r="K2805" s="51">
        <f t="shared" si="143"/>
        <v>14641865</v>
      </c>
      <c r="L2805" s="924" t="s">
        <v>171</v>
      </c>
      <c r="M2805" s="924" t="s">
        <v>166</v>
      </c>
      <c r="N2805" s="52" t="str">
        <f>IF(AND('331-CT'!$E$7=TH!H2805,OR(L2805="331",M2805="331")),"331",IF(AND(OR(L2805="131",M2805="131"),H2805='131-CT'!$E$7),"131",""))</f>
        <v/>
      </c>
      <c r="O2805" s="818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726"/>
    </row>
    <row r="2806" spans="1:29" s="861" customFormat="1" ht="15.75" customHeight="1">
      <c r="A2806" s="202" t="str">
        <f>IF(B2806&lt;&gt;"",IF(AND(B2806&gt;=_TM1,B2806&lt;=_TM2,OR(TH!L2806="1111",TH!M2806="1111")),TH!D2806,""),"")</f>
        <v/>
      </c>
      <c r="B2806" s="857">
        <f t="shared" si="141"/>
        <v>1</v>
      </c>
      <c r="C2806" s="858">
        <f t="shared" si="142"/>
        <v>42395</v>
      </c>
      <c r="D2806" s="858" t="s">
        <v>1548</v>
      </c>
      <c r="E2806" s="921">
        <v>42395</v>
      </c>
      <c r="F2806" s="925" t="s">
        <v>1306</v>
      </c>
      <c r="G2806" s="49" t="s">
        <v>909</v>
      </c>
      <c r="H2806" s="923" t="s">
        <v>1297</v>
      </c>
      <c r="I2806" s="249">
        <v>1300</v>
      </c>
      <c r="J2806" s="249">
        <v>10345.24925782191</v>
      </c>
      <c r="K2806" s="51">
        <f t="shared" si="143"/>
        <v>13448824</v>
      </c>
      <c r="L2806" s="924" t="s">
        <v>171</v>
      </c>
      <c r="M2806" s="924" t="s">
        <v>166</v>
      </c>
      <c r="N2806" s="52" t="str">
        <f>IF(AND('331-CT'!$E$7=TH!H2806,OR(L2806="331",M2806="331")),"331",IF(AND(OR(L2806="131",M2806="131"),H2806='131-CT'!$E$7),"131",""))</f>
        <v/>
      </c>
      <c r="O2806" s="818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726"/>
    </row>
    <row r="2807" spans="1:29" s="861" customFormat="1" ht="15.75" customHeight="1">
      <c r="A2807" s="202" t="str">
        <f>IF(B2807&lt;&gt;"",IF(AND(B2807&gt;=_TM1,B2807&lt;=_TM2,OR(TH!L2807="1111",TH!M2807="1111")),TH!D2807,""),"")</f>
        <v/>
      </c>
      <c r="B2807" s="857">
        <f t="shared" si="141"/>
        <v>1</v>
      </c>
      <c r="C2807" s="858">
        <f t="shared" si="142"/>
        <v>42395</v>
      </c>
      <c r="D2807" s="858" t="s">
        <v>1548</v>
      </c>
      <c r="E2807" s="48">
        <v>42395</v>
      </c>
      <c r="F2807" s="925" t="s">
        <v>653</v>
      </c>
      <c r="G2807" s="49" t="s">
        <v>401</v>
      </c>
      <c r="H2807" s="923" t="s">
        <v>1297</v>
      </c>
      <c r="I2807" s="249">
        <v>50</v>
      </c>
      <c r="J2807" s="249">
        <v>23109.951971102168</v>
      </c>
      <c r="K2807" s="51">
        <f t="shared" si="143"/>
        <v>1155498</v>
      </c>
      <c r="L2807" s="924" t="s">
        <v>171</v>
      </c>
      <c r="M2807" s="924" t="s">
        <v>166</v>
      </c>
      <c r="N2807" s="52" t="str">
        <f>IF(AND('331-CT'!$E$7=TH!H2807,OR(L2807="331",M2807="331")),"331",IF(AND(OR(L2807="131",M2807="131"),H2807='131-CT'!$E$7),"131",""))</f>
        <v/>
      </c>
      <c r="O2807" s="818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726"/>
    </row>
    <row r="2808" spans="1:29" s="861" customFormat="1" ht="15.75" customHeight="1">
      <c r="A2808" s="202" t="str">
        <f>IF(B2808&lt;&gt;"",IF(AND(B2808&gt;=_TM1,B2808&lt;=_TM2,OR(TH!L2808="1111",TH!M2808="1111")),TH!D2808,""),"")</f>
        <v/>
      </c>
      <c r="B2808" s="857">
        <f t="shared" si="141"/>
        <v>1</v>
      </c>
      <c r="C2808" s="858">
        <f t="shared" si="142"/>
        <v>42395</v>
      </c>
      <c r="D2808" s="858" t="s">
        <v>1548</v>
      </c>
      <c r="E2808" s="48">
        <v>42395</v>
      </c>
      <c r="F2808" s="831" t="s">
        <v>656</v>
      </c>
      <c r="G2808" s="49" t="s">
        <v>401</v>
      </c>
      <c r="H2808" s="923" t="s">
        <v>1297</v>
      </c>
      <c r="I2808" s="249">
        <v>98</v>
      </c>
      <c r="J2808" s="249">
        <v>18855.051066675413</v>
      </c>
      <c r="K2808" s="51">
        <f t="shared" si="143"/>
        <v>1847795</v>
      </c>
      <c r="L2808" s="924" t="s">
        <v>171</v>
      </c>
      <c r="M2808" s="924" t="s">
        <v>166</v>
      </c>
      <c r="N2808" s="52" t="str">
        <f>IF(AND('331-CT'!$E$7=TH!H2808,OR(L2808="331",M2808="331")),"331",IF(AND(OR(L2808="131",M2808="131"),H2808='131-CT'!$E$7),"131",""))</f>
        <v/>
      </c>
      <c r="O2808" s="818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726"/>
    </row>
    <row r="2809" spans="1:29" s="861" customFormat="1" ht="15.75" customHeight="1">
      <c r="A2809" s="202" t="str">
        <f>IF(B2809&lt;&gt;"",IF(AND(B2809&gt;=_TM1,B2809&lt;=_TM2,OR(TH!L2809="1111",TH!M2809="1111")),TH!D2809,""),"")</f>
        <v/>
      </c>
      <c r="B2809" s="857">
        <f t="shared" si="141"/>
        <v>1</v>
      </c>
      <c r="C2809" s="858">
        <f t="shared" si="142"/>
        <v>42395</v>
      </c>
      <c r="D2809" s="858" t="s">
        <v>1548</v>
      </c>
      <c r="E2809" s="858">
        <v>42395</v>
      </c>
      <c r="F2809" s="831" t="s">
        <v>655</v>
      </c>
      <c r="G2809" s="927" t="s">
        <v>401</v>
      </c>
      <c r="H2809" s="923" t="s">
        <v>1297</v>
      </c>
      <c r="I2809" s="249">
        <v>55</v>
      </c>
      <c r="J2809" s="249">
        <v>23193.381400600731</v>
      </c>
      <c r="K2809" s="51">
        <f t="shared" si="143"/>
        <v>1275636</v>
      </c>
      <c r="L2809" s="924" t="s">
        <v>171</v>
      </c>
      <c r="M2809" s="924" t="s">
        <v>166</v>
      </c>
      <c r="N2809" s="52" t="str">
        <f>IF(AND('331-CT'!$E$7=TH!H2809,OR(L2809="331",M2809="331")),"331",IF(AND(OR(L2809="131",M2809="131"),H2809='131-CT'!$E$7),"131",""))</f>
        <v/>
      </c>
      <c r="O2809" s="818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726"/>
      <c r="AB2809" s="860"/>
      <c r="AC2809" s="860"/>
    </row>
    <row r="2810" spans="1:29" s="861" customFormat="1" ht="15.75" customHeight="1">
      <c r="A2810" s="202" t="str">
        <f>IF(B2810&lt;&gt;"",IF(AND(B2810&gt;=_TM1,B2810&lt;=_TM2,OR(TH!L2810="1111",TH!M2810="1111")),TH!D2810,""),"")</f>
        <v/>
      </c>
      <c r="B2810" s="857">
        <f t="shared" si="141"/>
        <v>1</v>
      </c>
      <c r="C2810" s="858">
        <f t="shared" si="142"/>
        <v>42395</v>
      </c>
      <c r="D2810" s="858" t="s">
        <v>1548</v>
      </c>
      <c r="E2810" s="830">
        <v>42395</v>
      </c>
      <c r="F2810" s="925" t="s">
        <v>1233</v>
      </c>
      <c r="G2810" s="832" t="s">
        <v>402</v>
      </c>
      <c r="H2810" s="923" t="s">
        <v>1297</v>
      </c>
      <c r="I2810" s="249">
        <v>196</v>
      </c>
      <c r="J2810" s="249">
        <v>2669.7417439540413</v>
      </c>
      <c r="K2810" s="51">
        <f t="shared" si="143"/>
        <v>523269</v>
      </c>
      <c r="L2810" s="924" t="s">
        <v>171</v>
      </c>
      <c r="M2810" s="924" t="s">
        <v>166</v>
      </c>
      <c r="N2810" s="52" t="str">
        <f>IF(AND('331-CT'!$E$7=TH!H2810,OR(L2810="331",M2810="331")),"331",IF(AND(OR(L2810="131",M2810="131"),H2810='131-CT'!$E$7),"131",""))</f>
        <v/>
      </c>
      <c r="O2810" s="818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726"/>
      <c r="AB2810" s="860"/>
    </row>
    <row r="2811" spans="1:29" s="861" customFormat="1" ht="15.75" customHeight="1">
      <c r="A2811" s="202" t="str">
        <f>IF(B2811&lt;&gt;"",IF(AND(B2811&gt;=_TM1,B2811&lt;=_TM2,OR(TH!L2811="1111",TH!M2811="1111")),TH!D2811,""),"")</f>
        <v/>
      </c>
      <c r="B2811" s="857">
        <f t="shared" si="141"/>
        <v>1</v>
      </c>
      <c r="C2811" s="858">
        <f t="shared" si="142"/>
        <v>42395</v>
      </c>
      <c r="D2811" s="858" t="s">
        <v>1548</v>
      </c>
      <c r="E2811" s="830">
        <v>42395</v>
      </c>
      <c r="F2811" s="925" t="s">
        <v>1234</v>
      </c>
      <c r="G2811" s="832" t="s">
        <v>402</v>
      </c>
      <c r="H2811" s="923" t="s">
        <v>1297</v>
      </c>
      <c r="I2811" s="249">
        <v>500</v>
      </c>
      <c r="J2811" s="249">
        <v>1334.8708719770207</v>
      </c>
      <c r="K2811" s="51">
        <f t="shared" si="143"/>
        <v>667435</v>
      </c>
      <c r="L2811" s="924" t="s">
        <v>171</v>
      </c>
      <c r="M2811" s="924" t="s">
        <v>166</v>
      </c>
      <c r="N2811" s="52" t="str">
        <f>IF(AND('331-CT'!$E$7=TH!H2811,OR(L2811="331",M2811="331")),"331",IF(AND(OR(L2811="131",M2811="131"),H2811='131-CT'!$E$7),"131",""))</f>
        <v/>
      </c>
      <c r="O2811" s="818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726"/>
    </row>
    <row r="2812" spans="1:29" s="861" customFormat="1" ht="15.75" customHeight="1">
      <c r="A2812" s="202" t="str">
        <f>IF(B2812&lt;&gt;"",IF(AND(B2812&gt;=_TM1,B2812&lt;=_TM2,OR(TH!L2812="1111",TH!M2812="1111")),TH!D2812,""),"")</f>
        <v/>
      </c>
      <c r="B2812" s="857">
        <f t="shared" si="141"/>
        <v>1</v>
      </c>
      <c r="C2812" s="858">
        <f t="shared" si="142"/>
        <v>42395</v>
      </c>
      <c r="D2812" s="858" t="s">
        <v>1548</v>
      </c>
      <c r="E2812" s="830">
        <v>42395</v>
      </c>
      <c r="F2812" s="925" t="s">
        <v>1235</v>
      </c>
      <c r="G2812" s="832" t="s">
        <v>402</v>
      </c>
      <c r="H2812" s="923" t="s">
        <v>1297</v>
      </c>
      <c r="I2812" s="249">
        <v>100</v>
      </c>
      <c r="J2812" s="249">
        <v>3504.0360389396787</v>
      </c>
      <c r="K2812" s="51">
        <f t="shared" si="143"/>
        <v>350404</v>
      </c>
      <c r="L2812" s="924" t="s">
        <v>171</v>
      </c>
      <c r="M2812" s="924" t="s">
        <v>166</v>
      </c>
      <c r="N2812" s="52" t="str">
        <f>IF(AND('331-CT'!$E$7=TH!H2812,OR(L2812="331",M2812="331")),"331",IF(AND(OR(L2812="131",M2812="131"),H2812='131-CT'!$E$7),"131",""))</f>
        <v/>
      </c>
      <c r="O2812" s="818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726"/>
    </row>
    <row r="2813" spans="1:29" s="861" customFormat="1" ht="15.75" customHeight="1">
      <c r="A2813" s="202" t="str">
        <f>IF(B2813&lt;&gt;"",IF(AND(B2813&gt;=_TM1,B2813&lt;=_TM2,OR(TH!L2813="1111",TH!M2813="1111")),TH!D2813,""),"")</f>
        <v/>
      </c>
      <c r="B2813" s="857">
        <f t="shared" si="141"/>
        <v>1</v>
      </c>
      <c r="C2813" s="858">
        <f t="shared" si="142"/>
        <v>42395</v>
      </c>
      <c r="D2813" s="858" t="s">
        <v>1548</v>
      </c>
      <c r="E2813" s="830">
        <v>42395</v>
      </c>
      <c r="F2813" s="831" t="s">
        <v>1236</v>
      </c>
      <c r="G2813" s="832" t="s">
        <v>402</v>
      </c>
      <c r="H2813" s="923" t="s">
        <v>1297</v>
      </c>
      <c r="I2813" s="249">
        <v>50</v>
      </c>
      <c r="J2813" s="249">
        <v>1418.3003014755845</v>
      </c>
      <c r="K2813" s="51">
        <f t="shared" si="143"/>
        <v>70915</v>
      </c>
      <c r="L2813" s="924" t="s">
        <v>171</v>
      </c>
      <c r="M2813" s="924" t="s">
        <v>166</v>
      </c>
      <c r="N2813" s="52" t="str">
        <f>IF(AND('331-CT'!$E$7=TH!H2813,OR(L2813="331",M2813="331")),"331",IF(AND(OR(L2813="131",M2813="131"),H2813='131-CT'!$E$7),"131",""))</f>
        <v/>
      </c>
      <c r="O2813" s="818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726"/>
      <c r="AB2813" s="860"/>
      <c r="AC2813" s="860"/>
    </row>
    <row r="2814" spans="1:29" s="861" customFormat="1" ht="15.75" customHeight="1">
      <c r="A2814" s="202" t="str">
        <f>IF(B2814&lt;&gt;"",IF(AND(B2814&gt;=_TM1,B2814&lt;=_TM2,OR(TH!L2814="1111",TH!M2814="1111")),TH!D2814,""),"")</f>
        <v/>
      </c>
      <c r="B2814" s="857">
        <f t="shared" si="141"/>
        <v>1</v>
      </c>
      <c r="C2814" s="858">
        <f t="shared" si="142"/>
        <v>42395</v>
      </c>
      <c r="D2814" s="858" t="s">
        <v>1548</v>
      </c>
      <c r="E2814" s="830">
        <v>42395</v>
      </c>
      <c r="F2814" s="831" t="s">
        <v>1237</v>
      </c>
      <c r="G2814" s="832" t="s">
        <v>402</v>
      </c>
      <c r="H2814" s="923" t="s">
        <v>1297</v>
      </c>
      <c r="I2814" s="249">
        <v>400</v>
      </c>
      <c r="J2814" s="249">
        <v>750.8648654870741</v>
      </c>
      <c r="K2814" s="51">
        <f t="shared" si="143"/>
        <v>300346</v>
      </c>
      <c r="L2814" s="924" t="s">
        <v>171</v>
      </c>
      <c r="M2814" s="924" t="s">
        <v>166</v>
      </c>
      <c r="N2814" s="52" t="str">
        <f>IF(AND('331-CT'!$E$7=TH!H2814,OR(L2814="331",M2814="331")),"331",IF(AND(OR(L2814="131",M2814="131"),H2814='131-CT'!$E$7),"131",""))</f>
        <v/>
      </c>
      <c r="O2814" s="818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726"/>
      <c r="AB2814" s="860"/>
    </row>
    <row r="2815" spans="1:29" s="861" customFormat="1" ht="15.75" customHeight="1">
      <c r="A2815" s="202" t="str">
        <f>IF(B2815&lt;&gt;"",IF(AND(B2815&gt;=_TM1,B2815&lt;=_TM2,OR(TH!L2815="1111",TH!M2815="1111")),TH!D2815,""),"")</f>
        <v/>
      </c>
      <c r="B2815" s="857">
        <f t="shared" si="141"/>
        <v>1</v>
      </c>
      <c r="C2815" s="858">
        <f t="shared" si="142"/>
        <v>42395</v>
      </c>
      <c r="D2815" s="858" t="s">
        <v>1548</v>
      </c>
      <c r="E2815" s="830">
        <v>42395</v>
      </c>
      <c r="F2815" s="831" t="s">
        <v>1238</v>
      </c>
      <c r="G2815" s="832" t="s">
        <v>402</v>
      </c>
      <c r="H2815" s="923" t="s">
        <v>1297</v>
      </c>
      <c r="I2815" s="249">
        <v>110</v>
      </c>
      <c r="J2815" s="249">
        <v>3754.3243274353704</v>
      </c>
      <c r="K2815" s="51">
        <f t="shared" si="143"/>
        <v>412976</v>
      </c>
      <c r="L2815" s="924" t="s">
        <v>171</v>
      </c>
      <c r="M2815" s="924" t="s">
        <v>166</v>
      </c>
      <c r="N2815" s="52" t="str">
        <f>IF(AND('331-CT'!$E$7=TH!H2815,OR(L2815="331",M2815="331")),"331",IF(AND(OR(L2815="131",M2815="131"),H2815='131-CT'!$E$7),"131",""))</f>
        <v/>
      </c>
      <c r="O2815" s="818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726"/>
      <c r="AB2815" s="860"/>
      <c r="AC2815" s="860"/>
    </row>
    <row r="2816" spans="1:29" s="861" customFormat="1" ht="15.75" customHeight="1">
      <c r="A2816" s="202" t="str">
        <f>IF(B2816&lt;&gt;"",IF(AND(B2816&gt;=_TM1,B2816&lt;=_TM2,OR(TH!L2816="1111",TH!M2816="1111")),TH!D2816,""),"")</f>
        <v/>
      </c>
      <c r="B2816" s="857">
        <f t="shared" si="141"/>
        <v>1</v>
      </c>
      <c r="C2816" s="858">
        <f t="shared" si="142"/>
        <v>42395</v>
      </c>
      <c r="D2816" s="858" t="s">
        <v>1548</v>
      </c>
      <c r="E2816" s="830">
        <v>42395</v>
      </c>
      <c r="F2816" s="831" t="s">
        <v>1239</v>
      </c>
      <c r="G2816" s="832" t="s">
        <v>402</v>
      </c>
      <c r="H2816" s="923" t="s">
        <v>1297</v>
      </c>
      <c r="I2816" s="249">
        <v>55</v>
      </c>
      <c r="J2816" s="249">
        <v>1418.3003014755845</v>
      </c>
      <c r="K2816" s="51">
        <f t="shared" si="143"/>
        <v>78007</v>
      </c>
      <c r="L2816" s="924" t="s">
        <v>171</v>
      </c>
      <c r="M2816" s="924" t="s">
        <v>166</v>
      </c>
      <c r="N2816" s="52" t="str">
        <f>IF(AND('331-CT'!$E$7=TH!H2816,OR(L2816="331",M2816="331")),"331",IF(AND(OR(L2816="131",M2816="131"),H2816='131-CT'!$E$7),"131",""))</f>
        <v/>
      </c>
      <c r="O2816" s="818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726"/>
      <c r="AB2816" s="860"/>
      <c r="AC2816" s="860"/>
    </row>
    <row r="2817" spans="1:29" s="861" customFormat="1" ht="15.75" customHeight="1">
      <c r="A2817" s="202" t="str">
        <f>IF(B2817&lt;&gt;"",IF(AND(B2817&gt;=_TM1,B2817&lt;=_TM2,OR(TH!L2817="1111",TH!M2817="1111")),TH!D2817,""),"")</f>
        <v/>
      </c>
      <c r="B2817" s="857">
        <f t="shared" si="141"/>
        <v>1</v>
      </c>
      <c r="C2817" s="858">
        <f t="shared" si="142"/>
        <v>42395</v>
      </c>
      <c r="D2817" s="858" t="s">
        <v>1548</v>
      </c>
      <c r="E2817" s="830">
        <v>42395</v>
      </c>
      <c r="F2817" s="831" t="s">
        <v>1240</v>
      </c>
      <c r="G2817" s="832" t="s">
        <v>402</v>
      </c>
      <c r="H2817" s="923" t="s">
        <v>1297</v>
      </c>
      <c r="I2817" s="249">
        <v>440</v>
      </c>
      <c r="J2817" s="249">
        <v>917.72372448420163</v>
      </c>
      <c r="K2817" s="51">
        <f t="shared" si="143"/>
        <v>403798</v>
      </c>
      <c r="L2817" s="924" t="s">
        <v>171</v>
      </c>
      <c r="M2817" s="924" t="s">
        <v>166</v>
      </c>
      <c r="N2817" s="52" t="str">
        <f>IF(AND('331-CT'!$E$7=TH!H2817,OR(L2817="331",M2817="331")),"331",IF(AND(OR(L2817="131",M2817="131"),H2817='131-CT'!$E$7),"131",""))</f>
        <v/>
      </c>
      <c r="O2817" s="818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726"/>
      <c r="AB2817" s="860"/>
    </row>
    <row r="2818" spans="1:29" s="861" customFormat="1" ht="15.75" customHeight="1">
      <c r="A2818" s="202" t="str">
        <f>IF(B2818&lt;&gt;"",IF(AND(B2818&gt;=_TM1,B2818&lt;=_TM2,OR(TH!L2818="1111",TH!M2818="1111")),TH!D2818,""),"")</f>
        <v/>
      </c>
      <c r="B2818" s="857">
        <f t="shared" si="141"/>
        <v>1</v>
      </c>
      <c r="C2818" s="858">
        <f t="shared" si="142"/>
        <v>42395</v>
      </c>
      <c r="D2818" s="858" t="s">
        <v>1548</v>
      </c>
      <c r="E2818" s="830">
        <v>42395</v>
      </c>
      <c r="F2818" s="831" t="s">
        <v>708</v>
      </c>
      <c r="G2818" s="832" t="s">
        <v>403</v>
      </c>
      <c r="H2818" s="923" t="s">
        <v>1297</v>
      </c>
      <c r="I2818" s="249">
        <v>50</v>
      </c>
      <c r="J2818" s="249">
        <v>12180.696706790313</v>
      </c>
      <c r="K2818" s="51">
        <f t="shared" si="143"/>
        <v>609035</v>
      </c>
      <c r="L2818" s="924" t="s">
        <v>171</v>
      </c>
      <c r="M2818" s="924" t="s">
        <v>166</v>
      </c>
      <c r="N2818" s="52" t="str">
        <f>IF(AND('331-CT'!$E$7=TH!H2818,OR(L2818="331",M2818="331")),"331",IF(AND(OR(L2818="131",M2818="131"),H2818='131-CT'!$E$7),"131",""))</f>
        <v/>
      </c>
      <c r="O2818" s="818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726"/>
      <c r="AB2818" s="860"/>
      <c r="AC2818" s="860"/>
    </row>
    <row r="2819" spans="1:29" s="861" customFormat="1" ht="15.75" customHeight="1">
      <c r="A2819" s="202" t="str">
        <f>IF(B2819&lt;&gt;"",IF(AND(B2819&gt;=_TM1,B2819&lt;=_TM2,OR(TH!L2819="1111",TH!M2819="1111")),TH!D2819,""),"")</f>
        <v/>
      </c>
      <c r="B2819" s="857">
        <f t="shared" si="141"/>
        <v>1</v>
      </c>
      <c r="C2819" s="858">
        <f t="shared" si="142"/>
        <v>42395</v>
      </c>
      <c r="D2819" s="858" t="s">
        <v>1548</v>
      </c>
      <c r="E2819" s="830">
        <v>42395</v>
      </c>
      <c r="F2819" s="831" t="s">
        <v>1225</v>
      </c>
      <c r="G2819" s="832" t="s">
        <v>403</v>
      </c>
      <c r="H2819" s="923" t="s">
        <v>1297</v>
      </c>
      <c r="I2819" s="249">
        <v>100</v>
      </c>
      <c r="J2819" s="249">
        <v>6507.4955008879751</v>
      </c>
      <c r="K2819" s="51">
        <f t="shared" si="143"/>
        <v>650750</v>
      </c>
      <c r="L2819" s="924" t="s">
        <v>171</v>
      </c>
      <c r="M2819" s="924" t="s">
        <v>166</v>
      </c>
      <c r="N2819" s="52" t="str">
        <f>IF(AND('331-CT'!$E$7=TH!H2819,OR(L2819="331",M2819="331")),"331",IF(AND(OR(L2819="131",M2819="131"),H2819='131-CT'!$E$7),"131",""))</f>
        <v/>
      </c>
      <c r="O2819" s="818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726"/>
      <c r="AB2819" s="860"/>
    </row>
    <row r="2820" spans="1:29" s="861" customFormat="1" ht="15.75" customHeight="1">
      <c r="A2820" s="202" t="str">
        <f>IF(B2820&lt;&gt;"",IF(AND(B2820&gt;=_TM1,B2820&lt;=_TM2,OR(TH!L2820="1111",TH!M2820="1111")),TH!D2820,""),"")</f>
        <v/>
      </c>
      <c r="B2820" s="857">
        <f t="shared" si="141"/>
        <v>1</v>
      </c>
      <c r="C2820" s="858">
        <f t="shared" si="142"/>
        <v>42395</v>
      </c>
      <c r="D2820" s="858" t="s">
        <v>1548</v>
      </c>
      <c r="E2820" s="830">
        <v>42395</v>
      </c>
      <c r="F2820" s="831" t="s">
        <v>1226</v>
      </c>
      <c r="G2820" s="832" t="s">
        <v>403</v>
      </c>
      <c r="H2820" s="923" t="s">
        <v>1297</v>
      </c>
      <c r="I2820" s="249">
        <v>1000</v>
      </c>
      <c r="J2820" s="249">
        <v>1334.8708719770207</v>
      </c>
      <c r="K2820" s="51">
        <f t="shared" si="143"/>
        <v>1334871</v>
      </c>
      <c r="L2820" s="924" t="s">
        <v>171</v>
      </c>
      <c r="M2820" s="924" t="s">
        <v>166</v>
      </c>
      <c r="N2820" s="52" t="str">
        <f>IF(AND('331-CT'!$E$7=TH!H2820,OR(L2820="331",M2820="331")),"331",IF(AND(OR(L2820="131",M2820="131"),H2820='131-CT'!$E$7),"131",""))</f>
        <v/>
      </c>
      <c r="O2820" s="818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726"/>
      <c r="AB2820" s="860"/>
      <c r="AC2820" s="860"/>
    </row>
    <row r="2821" spans="1:29" s="861" customFormat="1" ht="15.75" customHeight="1">
      <c r="A2821" s="202" t="str">
        <f>IF(B2821&lt;&gt;"",IF(AND(B2821&gt;=_TM1,B2821&lt;=_TM2,OR(TH!L2821="1111",TH!M2821="1111")),TH!D2821,""),"")</f>
        <v/>
      </c>
      <c r="B2821" s="857">
        <f t="shared" si="141"/>
        <v>1</v>
      </c>
      <c r="C2821" s="858">
        <f t="shared" si="142"/>
        <v>42395</v>
      </c>
      <c r="D2821" s="858" t="s">
        <v>1548</v>
      </c>
      <c r="E2821" s="830">
        <v>42395</v>
      </c>
      <c r="F2821" s="831" t="s">
        <v>700</v>
      </c>
      <c r="G2821" s="832" t="s">
        <v>403</v>
      </c>
      <c r="H2821" s="923" t="s">
        <v>1297</v>
      </c>
      <c r="I2821" s="249">
        <v>190</v>
      </c>
      <c r="J2821" s="249">
        <v>7174.9309368764852</v>
      </c>
      <c r="K2821" s="51">
        <f t="shared" si="143"/>
        <v>1363237</v>
      </c>
      <c r="L2821" s="924" t="s">
        <v>171</v>
      </c>
      <c r="M2821" s="924" t="s">
        <v>166</v>
      </c>
      <c r="N2821" s="52" t="str">
        <f>IF(AND('331-CT'!$E$7=TH!H2821,OR(L2821="331",M2821="331")),"331",IF(AND(OR(L2821="131",M2821="131"),H2821='131-CT'!$E$7),"131",""))</f>
        <v/>
      </c>
      <c r="O2821" s="818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726"/>
      <c r="AB2821" s="860"/>
    </row>
    <row r="2822" spans="1:29" s="861" customFormat="1" ht="15.75" customHeight="1">
      <c r="A2822" s="202" t="str">
        <f>IF(B2822&lt;&gt;"",IF(AND(B2822&gt;=_TM1,B2822&lt;=_TM2,OR(TH!L2822="1111",TH!M2822="1111")),TH!D2822,""),"")</f>
        <v/>
      </c>
      <c r="B2822" s="857">
        <f t="shared" si="141"/>
        <v>1</v>
      </c>
      <c r="C2822" s="858">
        <f t="shared" si="142"/>
        <v>42395</v>
      </c>
      <c r="D2822" s="858" t="s">
        <v>1548</v>
      </c>
      <c r="E2822" s="48">
        <v>42395</v>
      </c>
      <c r="F2822" s="49" t="s">
        <v>701</v>
      </c>
      <c r="G2822" s="49" t="s">
        <v>403</v>
      </c>
      <c r="H2822" s="923" t="s">
        <v>1297</v>
      </c>
      <c r="I2822" s="249">
        <v>195</v>
      </c>
      <c r="J2822" s="249">
        <v>6590.924930386539</v>
      </c>
      <c r="K2822" s="51">
        <f t="shared" si="143"/>
        <v>1285230</v>
      </c>
      <c r="L2822" s="924" t="s">
        <v>171</v>
      </c>
      <c r="M2822" s="924" t="s">
        <v>166</v>
      </c>
      <c r="N2822" s="52" t="str">
        <f>IF(AND('331-CT'!$E$7=TH!H2822,OR(L2822="331",M2822="331")),"331",IF(AND(OR(L2822="131",M2822="131"),H2822='131-CT'!$E$7),"131",""))</f>
        <v/>
      </c>
      <c r="O2822" s="818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726"/>
      <c r="AB2822" s="860"/>
      <c r="AC2822" s="860"/>
    </row>
    <row r="2823" spans="1:29" s="861" customFormat="1" ht="15.75" customHeight="1">
      <c r="A2823" s="202" t="str">
        <f>IF(B2823&lt;&gt;"",IF(AND(B2823&gt;=_TM1,B2823&lt;=_TM2,OR(TH!L2823="1111",TH!M2823="1111")),TH!D2823,""),"")</f>
        <v/>
      </c>
      <c r="B2823" s="857">
        <f t="shared" si="141"/>
        <v>1</v>
      </c>
      <c r="C2823" s="858">
        <f t="shared" si="142"/>
        <v>42395</v>
      </c>
      <c r="D2823" s="858" t="s">
        <v>1548</v>
      </c>
      <c r="E2823" s="48">
        <v>42395</v>
      </c>
      <c r="F2823" s="49" t="s">
        <v>702</v>
      </c>
      <c r="G2823" s="49" t="s">
        <v>403</v>
      </c>
      <c r="H2823" s="923" t="s">
        <v>1297</v>
      </c>
      <c r="I2823" s="249">
        <v>125</v>
      </c>
      <c r="J2823" s="249">
        <v>9677.8138218333988</v>
      </c>
      <c r="K2823" s="51">
        <f t="shared" si="143"/>
        <v>1209727</v>
      </c>
      <c r="L2823" s="924" t="s">
        <v>171</v>
      </c>
      <c r="M2823" s="924" t="s">
        <v>166</v>
      </c>
      <c r="N2823" s="52" t="str">
        <f>IF(AND('331-CT'!$E$7=TH!H2823,OR(L2823="331",M2823="331")),"331",IF(AND(OR(L2823="131",M2823="131"),H2823='131-CT'!$E$7),"131",""))</f>
        <v/>
      </c>
      <c r="O2823" s="818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726"/>
      <c r="AB2823" s="860"/>
    </row>
    <row r="2824" spans="1:29" s="861" customFormat="1" ht="15.75" customHeight="1">
      <c r="A2824" s="202" t="str">
        <f>IF(B2824&lt;&gt;"",IF(AND(B2824&gt;=_TM1,B2824&lt;=_TM2,OR(TH!L2824="1111",TH!M2824="1111")),TH!D2824,""),"")</f>
        <v/>
      </c>
      <c r="B2824" s="857">
        <f t="shared" si="141"/>
        <v>1</v>
      </c>
      <c r="C2824" s="858">
        <f t="shared" si="142"/>
        <v>42395</v>
      </c>
      <c r="D2824" s="858" t="s">
        <v>1548</v>
      </c>
      <c r="E2824" s="48">
        <v>42395</v>
      </c>
      <c r="F2824" s="49" t="s">
        <v>703</v>
      </c>
      <c r="G2824" s="49" t="s">
        <v>403</v>
      </c>
      <c r="H2824" s="923" t="s">
        <v>1297</v>
      </c>
      <c r="I2824" s="249">
        <v>125</v>
      </c>
      <c r="J2824" s="249">
        <v>8926.9489563463248</v>
      </c>
      <c r="K2824" s="51">
        <f t="shared" si="143"/>
        <v>1115869</v>
      </c>
      <c r="L2824" s="924" t="s">
        <v>171</v>
      </c>
      <c r="M2824" s="924" t="s">
        <v>166</v>
      </c>
      <c r="N2824" s="52" t="str">
        <f>IF(AND('331-CT'!$E$7=TH!H2824,OR(L2824="331",M2824="331")),"331",IF(AND(OR(L2824="131",M2824="131"),H2824='131-CT'!$E$7),"131",""))</f>
        <v/>
      </c>
      <c r="O2824" s="818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726"/>
      <c r="AB2824" s="860"/>
      <c r="AC2824" s="860"/>
    </row>
    <row r="2825" spans="1:29" s="861" customFormat="1" ht="15.75" customHeight="1">
      <c r="A2825" s="202" t="str">
        <f>IF(B2825&lt;&gt;"",IF(AND(B2825&gt;=_TM1,B2825&lt;=_TM2,OR(TH!L2825="1111",TH!M2825="1111")),TH!D2825,""),"")</f>
        <v/>
      </c>
      <c r="B2825" s="857">
        <f t="shared" si="141"/>
        <v>1</v>
      </c>
      <c r="C2825" s="858">
        <f t="shared" si="142"/>
        <v>42395</v>
      </c>
      <c r="D2825" s="858" t="s">
        <v>1548</v>
      </c>
      <c r="E2825" s="48">
        <v>42395</v>
      </c>
      <c r="F2825" s="49" t="s">
        <v>1227</v>
      </c>
      <c r="G2825" s="49" t="s">
        <v>403</v>
      </c>
      <c r="H2825" s="923" t="s">
        <v>1297</v>
      </c>
      <c r="I2825" s="249">
        <v>390</v>
      </c>
      <c r="J2825" s="249">
        <v>14850.438450744354</v>
      </c>
      <c r="K2825" s="51">
        <f t="shared" si="143"/>
        <v>5791671</v>
      </c>
      <c r="L2825" s="924" t="s">
        <v>171</v>
      </c>
      <c r="M2825" s="924" t="s">
        <v>166</v>
      </c>
      <c r="N2825" s="52" t="str">
        <f>IF(AND('331-CT'!$E$7=TH!H2825,OR(L2825="331",M2825="331")),"331",IF(AND(OR(L2825="131",M2825="131"),H2825='131-CT'!$E$7),"131",""))</f>
        <v/>
      </c>
      <c r="O2825" s="818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726"/>
      <c r="AB2825" s="860"/>
    </row>
    <row r="2826" spans="1:29" s="861" customFormat="1" ht="15.75" customHeight="1">
      <c r="A2826" s="202" t="str">
        <f>IF(B2826&lt;&gt;"",IF(AND(B2826&gt;=_TM1,B2826&lt;=_TM2,OR(TH!L2826="1111",TH!M2826="1111")),TH!D2826,""),"")</f>
        <v/>
      </c>
      <c r="B2826" s="857">
        <f t="shared" si="141"/>
        <v>1</v>
      </c>
      <c r="C2826" s="858">
        <f t="shared" si="142"/>
        <v>42395</v>
      </c>
      <c r="D2826" s="858" t="s">
        <v>1548</v>
      </c>
      <c r="E2826" s="48">
        <v>42395</v>
      </c>
      <c r="F2826" s="49" t="s">
        <v>1228</v>
      </c>
      <c r="G2826" s="49" t="s">
        <v>403</v>
      </c>
      <c r="H2826" s="923" t="s">
        <v>1297</v>
      </c>
      <c r="I2826" s="249">
        <v>420</v>
      </c>
      <c r="J2826" s="249">
        <v>8760.0900973491971</v>
      </c>
      <c r="K2826" s="51">
        <f t="shared" si="143"/>
        <v>3679238</v>
      </c>
      <c r="L2826" s="924" t="s">
        <v>171</v>
      </c>
      <c r="M2826" s="924" t="s">
        <v>166</v>
      </c>
      <c r="N2826" s="52" t="str">
        <f>IF(AND('331-CT'!$E$7=TH!H2826,OR(L2826="331",M2826="331")),"331",IF(AND(OR(L2826="131",M2826="131"),H2826='131-CT'!$E$7),"131",""))</f>
        <v/>
      </c>
      <c r="O2826" s="818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726"/>
      <c r="AB2826" s="860"/>
    </row>
    <row r="2827" spans="1:29" s="861" customFormat="1" ht="15.75" customHeight="1">
      <c r="A2827" s="202" t="str">
        <f>IF(B2827&lt;&gt;"",IF(AND(B2827&gt;=_TM1,B2827&lt;=_TM2,OR(TH!L2827="1111",TH!M2827="1111")),TH!D2827,""),"")</f>
        <v/>
      </c>
      <c r="B2827" s="857">
        <f t="shared" si="141"/>
        <v>1</v>
      </c>
      <c r="C2827" s="858">
        <f t="shared" si="142"/>
        <v>42397</v>
      </c>
      <c r="D2827" s="858" t="s">
        <v>1548</v>
      </c>
      <c r="E2827" s="48">
        <v>42397</v>
      </c>
      <c r="F2827" s="49" t="s">
        <v>710</v>
      </c>
      <c r="G2827" s="49" t="s">
        <v>405</v>
      </c>
      <c r="H2827" s="923" t="s">
        <v>1297</v>
      </c>
      <c r="I2827" s="249">
        <v>500</v>
      </c>
      <c r="J2827" s="249">
        <v>15601.30331623143</v>
      </c>
      <c r="K2827" s="51">
        <f t="shared" si="143"/>
        <v>7800652</v>
      </c>
      <c r="L2827" s="924" t="s">
        <v>171</v>
      </c>
      <c r="M2827" s="924" t="s">
        <v>166</v>
      </c>
      <c r="N2827" s="52" t="str">
        <f>IF(AND('331-CT'!$E$7=TH!H2827,OR(L2827="331",M2827="331")),"331",IF(AND(OR(L2827="131",M2827="131"),H2827='131-CT'!$E$7),"131",""))</f>
        <v/>
      </c>
      <c r="O2827" s="818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726"/>
      <c r="AB2827" s="860"/>
      <c r="AC2827" s="860"/>
    </row>
    <row r="2828" spans="1:29" s="861" customFormat="1" ht="15.75" customHeight="1">
      <c r="A2828" s="202" t="str">
        <f>IF(B2828&lt;&gt;"",IF(AND(B2828&gt;=_TM1,B2828&lt;=_TM2,OR(TH!L2828="1111",TH!M2828="1111")),TH!D2828,""),"")</f>
        <v/>
      </c>
      <c r="B2828" s="857">
        <f t="shared" si="141"/>
        <v>1</v>
      </c>
      <c r="C2828" s="858">
        <f t="shared" si="142"/>
        <v>42397</v>
      </c>
      <c r="D2828" s="858" t="s">
        <v>1548</v>
      </c>
      <c r="E2828" s="48">
        <v>42397</v>
      </c>
      <c r="F2828" s="49" t="s">
        <v>533</v>
      </c>
      <c r="G2828" s="49" t="s">
        <v>405</v>
      </c>
      <c r="H2828" s="923" t="s">
        <v>1297</v>
      </c>
      <c r="I2828" s="249">
        <v>2000</v>
      </c>
      <c r="J2828" s="249">
        <v>4421.7597634238809</v>
      </c>
      <c r="K2828" s="51">
        <f t="shared" si="143"/>
        <v>8843520</v>
      </c>
      <c r="L2828" s="924" t="s">
        <v>171</v>
      </c>
      <c r="M2828" s="924" t="s">
        <v>166</v>
      </c>
      <c r="N2828" s="52" t="str">
        <f>IF(AND('331-CT'!$E$7=TH!H2828,OR(L2828="331",M2828="331")),"331",IF(AND(OR(L2828="131",M2828="131"),H2828='131-CT'!$E$7),"131",""))</f>
        <v/>
      </c>
      <c r="O2828" s="818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726"/>
      <c r="AB2828" s="860"/>
    </row>
    <row r="2829" spans="1:29" s="861" customFormat="1" ht="15.75" customHeight="1">
      <c r="A2829" s="202" t="str">
        <f>IF(B2829&lt;&gt;"",IF(AND(B2829&gt;=_TM1,B2829&lt;=_TM2,OR(TH!L2829="1111",TH!M2829="1111")),TH!D2829,""),"")</f>
        <v/>
      </c>
      <c r="B2829" s="857">
        <f t="shared" si="141"/>
        <v>1</v>
      </c>
      <c r="C2829" s="858">
        <f t="shared" si="142"/>
        <v>42397</v>
      </c>
      <c r="D2829" s="858" t="s">
        <v>1548</v>
      </c>
      <c r="E2829" s="48">
        <v>42397</v>
      </c>
      <c r="F2829" s="49" t="s">
        <v>531</v>
      </c>
      <c r="G2829" s="49" t="s">
        <v>405</v>
      </c>
      <c r="H2829" s="923" t="s">
        <v>1297</v>
      </c>
      <c r="I2829" s="249">
        <v>300</v>
      </c>
      <c r="J2829" s="249">
        <v>8843.5195268477619</v>
      </c>
      <c r="K2829" s="51">
        <f t="shared" si="143"/>
        <v>2653056</v>
      </c>
      <c r="L2829" s="924" t="s">
        <v>171</v>
      </c>
      <c r="M2829" s="924" t="s">
        <v>166</v>
      </c>
      <c r="N2829" s="52" t="str">
        <f>IF(AND('331-CT'!$E$7=TH!H2829,OR(L2829="331",M2829="331")),"331",IF(AND(OR(L2829="131",M2829="131"),H2829='131-CT'!$E$7),"131",""))</f>
        <v/>
      </c>
      <c r="O2829" s="818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726"/>
      <c r="AB2829" s="860"/>
      <c r="AC2829" s="860"/>
    </row>
    <row r="2830" spans="1:29" s="861" customFormat="1" ht="15.75" customHeight="1">
      <c r="A2830" s="202" t="str">
        <f>IF(B2830&lt;&gt;"",IF(AND(B2830&gt;=_TM1,B2830&lt;=_TM2,OR(TH!L2830="1111",TH!M2830="1111")),TH!D2830,""),"")</f>
        <v/>
      </c>
      <c r="B2830" s="857">
        <f t="shared" si="141"/>
        <v>1</v>
      </c>
      <c r="C2830" s="858">
        <f t="shared" si="142"/>
        <v>42397</v>
      </c>
      <c r="D2830" s="858" t="s">
        <v>1548</v>
      </c>
      <c r="E2830" s="48">
        <v>42397</v>
      </c>
      <c r="F2830" s="49" t="s">
        <v>448</v>
      </c>
      <c r="G2830" s="49" t="s">
        <v>406</v>
      </c>
      <c r="H2830" s="923" t="s">
        <v>1297</v>
      </c>
      <c r="I2830" s="249">
        <v>1004</v>
      </c>
      <c r="J2830" s="249">
        <v>8676.6606678506341</v>
      </c>
      <c r="K2830" s="51">
        <f t="shared" si="143"/>
        <v>8711367</v>
      </c>
      <c r="L2830" s="924" t="s">
        <v>171</v>
      </c>
      <c r="M2830" s="924" t="s">
        <v>166</v>
      </c>
      <c r="N2830" s="52" t="str">
        <f>IF(AND('331-CT'!$E$7=TH!H2830,OR(L2830="331",M2830="331")),"331",IF(AND(OR(L2830="131",M2830="131"),H2830='131-CT'!$E$7),"131",""))</f>
        <v/>
      </c>
      <c r="O2830" s="818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726"/>
      <c r="AB2830" s="860"/>
    </row>
    <row r="2831" spans="1:29" s="861" customFormat="1" ht="15.75" customHeight="1">
      <c r="A2831" s="202" t="str">
        <f>IF(B2831&lt;&gt;"",IF(AND(B2831&gt;=_TM1,B2831&lt;=_TM2,OR(TH!L2831="1111",TH!M2831="1111")),TH!D2831,""),"")</f>
        <v/>
      </c>
      <c r="B2831" s="857">
        <f t="shared" si="141"/>
        <v>1</v>
      </c>
      <c r="C2831" s="858">
        <f t="shared" si="142"/>
        <v>42397</v>
      </c>
      <c r="D2831" s="858" t="s">
        <v>1548</v>
      </c>
      <c r="E2831" s="48">
        <v>42397</v>
      </c>
      <c r="F2831" s="49" t="s">
        <v>1241</v>
      </c>
      <c r="G2831" s="49" t="s">
        <v>406</v>
      </c>
      <c r="H2831" s="923" t="s">
        <v>1297</v>
      </c>
      <c r="I2831" s="249">
        <v>1004</v>
      </c>
      <c r="J2831" s="249">
        <v>1084.5825834813293</v>
      </c>
      <c r="K2831" s="51">
        <f t="shared" si="143"/>
        <v>1088921</v>
      </c>
      <c r="L2831" s="924" t="s">
        <v>171</v>
      </c>
      <c r="M2831" s="924" t="s">
        <v>166</v>
      </c>
      <c r="N2831" s="52" t="str">
        <f>IF(AND('331-CT'!$E$7=TH!H2831,OR(L2831="331",M2831="331")),"331",IF(AND(OR(L2831="131",M2831="131"),H2831='131-CT'!$E$7),"131",""))</f>
        <v/>
      </c>
      <c r="O2831" s="818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726"/>
      <c r="AB2831" s="860"/>
      <c r="AC2831" s="860"/>
    </row>
    <row r="2832" spans="1:29" s="861" customFormat="1" ht="15.75" customHeight="1">
      <c r="A2832" s="202" t="str">
        <f>IF(B2832&lt;&gt;"",IF(AND(B2832&gt;=_TM1,B2832&lt;=_TM2,OR(TH!L2832="1111",TH!M2832="1111")),TH!D2832,""),"")</f>
        <v/>
      </c>
      <c r="B2832" s="857">
        <f t="shared" si="141"/>
        <v>1</v>
      </c>
      <c r="C2832" s="858">
        <f t="shared" si="142"/>
        <v>42397</v>
      </c>
      <c r="D2832" s="858" t="s">
        <v>1548</v>
      </c>
      <c r="E2832" s="48">
        <v>42397</v>
      </c>
      <c r="F2832" s="49" t="s">
        <v>910</v>
      </c>
      <c r="G2832" s="49" t="s">
        <v>406</v>
      </c>
      <c r="H2832" s="923" t="s">
        <v>1297</v>
      </c>
      <c r="I2832" s="249">
        <v>502</v>
      </c>
      <c r="J2832" s="249">
        <v>6507.4955008879751</v>
      </c>
      <c r="K2832" s="51">
        <f t="shared" si="143"/>
        <v>3266763</v>
      </c>
      <c r="L2832" s="924" t="s">
        <v>171</v>
      </c>
      <c r="M2832" s="924" t="s">
        <v>166</v>
      </c>
      <c r="N2832" s="52" t="str">
        <f>IF(AND('331-CT'!$E$7=TH!H2832,OR(L2832="331",M2832="331")),"331",IF(AND(OR(L2832="131",M2832="131"),H2832='131-CT'!$E$7),"131",""))</f>
        <v/>
      </c>
      <c r="O2832" s="818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726"/>
      <c r="AB2832" s="860"/>
      <c r="AC2832" s="860"/>
    </row>
    <row r="2833" spans="1:29" s="861" customFormat="1" ht="15.75" customHeight="1">
      <c r="A2833" s="202" t="str">
        <f>IF(B2833&lt;&gt;"",IF(AND(B2833&gt;=_TM1,B2833&lt;=_TM2,OR(TH!L2833="1111",TH!M2833="1111")),TH!D2833,""),"")</f>
        <v/>
      </c>
      <c r="B2833" s="857">
        <f t="shared" si="141"/>
        <v>1</v>
      </c>
      <c r="C2833" s="858">
        <f t="shared" si="142"/>
        <v>42397</v>
      </c>
      <c r="D2833" s="858" t="s">
        <v>1548</v>
      </c>
      <c r="E2833" s="48">
        <v>42397</v>
      </c>
      <c r="F2833" s="49" t="s">
        <v>1237</v>
      </c>
      <c r="G2833" s="49" t="s">
        <v>406</v>
      </c>
      <c r="H2833" s="923" t="s">
        <v>1297</v>
      </c>
      <c r="I2833" s="249">
        <v>502</v>
      </c>
      <c r="J2833" s="249">
        <v>750.8648654870741</v>
      </c>
      <c r="K2833" s="51">
        <f t="shared" si="143"/>
        <v>376934</v>
      </c>
      <c r="L2833" s="924" t="s">
        <v>171</v>
      </c>
      <c r="M2833" s="924" t="s">
        <v>166</v>
      </c>
      <c r="N2833" s="52" t="str">
        <f>IF(AND('331-CT'!$E$7=TH!H2833,OR(L2833="331",M2833="331")),"331",IF(AND(OR(L2833="131",M2833="131"),H2833='131-CT'!$E$7),"131",""))</f>
        <v/>
      </c>
      <c r="O2833" s="818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726"/>
      <c r="AB2833" s="860"/>
    </row>
    <row r="2834" spans="1:29" s="861" customFormat="1" ht="15.75" customHeight="1">
      <c r="A2834" s="202" t="str">
        <f>IF(B2834&lt;&gt;"",IF(AND(B2834&gt;=_TM1,B2834&lt;=_TM2,OR(TH!L2834="1111",TH!M2834="1111")),TH!D2834,""),"")</f>
        <v/>
      </c>
      <c r="B2834" s="857">
        <f t="shared" si="141"/>
        <v>1</v>
      </c>
      <c r="C2834" s="858">
        <f t="shared" si="142"/>
        <v>42397</v>
      </c>
      <c r="D2834" s="858" t="s">
        <v>1548</v>
      </c>
      <c r="E2834" s="48">
        <v>42397</v>
      </c>
      <c r="F2834" s="49" t="s">
        <v>638</v>
      </c>
      <c r="G2834" s="49" t="s">
        <v>409</v>
      </c>
      <c r="H2834" s="923" t="s">
        <v>1297</v>
      </c>
      <c r="I2834" s="249">
        <v>210</v>
      </c>
      <c r="J2834" s="249">
        <v>6674.3543598851029</v>
      </c>
      <c r="K2834" s="51">
        <f t="shared" si="143"/>
        <v>1401614</v>
      </c>
      <c r="L2834" s="924" t="s">
        <v>171</v>
      </c>
      <c r="M2834" s="924" t="s">
        <v>166</v>
      </c>
      <c r="N2834" s="52" t="str">
        <f>IF(AND('331-CT'!$E$7=TH!H2834,OR(L2834="331",M2834="331")),"331",IF(AND(OR(L2834="131",M2834="131"),H2834='131-CT'!$E$7),"131",""))</f>
        <v/>
      </c>
      <c r="O2834" s="818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726"/>
      <c r="AB2834" s="860"/>
      <c r="AC2834" s="860"/>
    </row>
    <row r="2835" spans="1:29" s="861" customFormat="1" ht="15.75" customHeight="1">
      <c r="A2835" s="202" t="str">
        <f>IF(B2835&lt;&gt;"",IF(AND(B2835&gt;=_TM1,B2835&lt;=_TM2,OR(TH!L2835="1111",TH!M2835="1111")),TH!D2835,""),"")</f>
        <v/>
      </c>
      <c r="B2835" s="857">
        <f t="shared" si="141"/>
        <v>1</v>
      </c>
      <c r="C2835" s="858">
        <f t="shared" si="142"/>
        <v>42397</v>
      </c>
      <c r="D2835" s="858" t="s">
        <v>1548</v>
      </c>
      <c r="E2835" s="48">
        <v>42397</v>
      </c>
      <c r="F2835" s="49" t="s">
        <v>639</v>
      </c>
      <c r="G2835" s="49" t="s">
        <v>409</v>
      </c>
      <c r="H2835" s="923" t="s">
        <v>1297</v>
      </c>
      <c r="I2835" s="249">
        <v>309</v>
      </c>
      <c r="J2835" s="249">
        <v>7758.9369433664324</v>
      </c>
      <c r="K2835" s="51">
        <f t="shared" si="143"/>
        <v>2397512</v>
      </c>
      <c r="L2835" s="924" t="s">
        <v>171</v>
      </c>
      <c r="M2835" s="924" t="s">
        <v>166</v>
      </c>
      <c r="N2835" s="52" t="str">
        <f>IF(AND('331-CT'!$E$7=TH!H2835,OR(L2835="331",M2835="331")),"331",IF(AND(OR(L2835="131",M2835="131"),H2835='131-CT'!$E$7),"131",""))</f>
        <v/>
      </c>
      <c r="O2835" s="818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726"/>
      <c r="AB2835" s="860"/>
      <c r="AC2835" s="860"/>
    </row>
    <row r="2836" spans="1:29" s="861" customFormat="1" ht="15.75" customHeight="1">
      <c r="A2836" s="202" t="str">
        <f>IF(B2836&lt;&gt;"",IF(AND(B2836&gt;=_TM1,B2836&lt;=_TM2,OR(TH!L2836="1111",TH!M2836="1111")),TH!D2836,""),"")</f>
        <v/>
      </c>
      <c r="B2836" s="857">
        <f t="shared" si="141"/>
        <v>1</v>
      </c>
      <c r="C2836" s="858">
        <f t="shared" si="142"/>
        <v>42397</v>
      </c>
      <c r="D2836" s="858" t="s">
        <v>1548</v>
      </c>
      <c r="E2836" s="48">
        <v>42397</v>
      </c>
      <c r="F2836" s="925" t="s">
        <v>911</v>
      </c>
      <c r="G2836" s="49" t="s">
        <v>412</v>
      </c>
      <c r="H2836" s="923" t="s">
        <v>1297</v>
      </c>
      <c r="I2836" s="249">
        <v>206</v>
      </c>
      <c r="J2836" s="249">
        <v>19188.768784669668</v>
      </c>
      <c r="K2836" s="51">
        <f t="shared" si="143"/>
        <v>3952886</v>
      </c>
      <c r="L2836" s="924" t="s">
        <v>171</v>
      </c>
      <c r="M2836" s="924" t="s">
        <v>166</v>
      </c>
      <c r="N2836" s="52" t="str">
        <f>IF(AND('331-CT'!$E$7=TH!H2836,OR(L2836="331",M2836="331")),"331",IF(AND(OR(L2836="131",M2836="131"),H2836='131-CT'!$E$7),"131",""))</f>
        <v/>
      </c>
      <c r="O2836" s="818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726"/>
      <c r="AB2836" s="860"/>
    </row>
    <row r="2837" spans="1:29" s="861" customFormat="1" ht="15.75" customHeight="1">
      <c r="A2837" s="202" t="str">
        <f>IF(B2837&lt;&gt;"",IF(AND(B2837&gt;=_TM1,B2837&lt;=_TM2,OR(TH!L2837="1111",TH!M2837="1111")),TH!D2837,""),"")</f>
        <v/>
      </c>
      <c r="B2837" s="857">
        <f t="shared" si="141"/>
        <v>1</v>
      </c>
      <c r="C2837" s="858">
        <f t="shared" si="142"/>
        <v>42397</v>
      </c>
      <c r="D2837" s="858" t="s">
        <v>1548</v>
      </c>
      <c r="E2837" s="48">
        <v>42397</v>
      </c>
      <c r="F2837" s="49" t="s">
        <v>1242</v>
      </c>
      <c r="G2837" s="49" t="s">
        <v>412</v>
      </c>
      <c r="H2837" s="923" t="s">
        <v>1297</v>
      </c>
      <c r="I2837" s="249">
        <v>500</v>
      </c>
      <c r="J2837" s="249">
        <v>1835.4474489684033</v>
      </c>
      <c r="K2837" s="51">
        <f t="shared" si="143"/>
        <v>917724</v>
      </c>
      <c r="L2837" s="924" t="s">
        <v>171</v>
      </c>
      <c r="M2837" s="924" t="s">
        <v>166</v>
      </c>
      <c r="N2837" s="52" t="str">
        <f>IF(AND('331-CT'!$E$7=TH!H2837,OR(L2837="331",M2837="331")),"331",IF(AND(OR(L2837="131",M2837="131"),H2837='131-CT'!$E$7),"131",""))</f>
        <v/>
      </c>
      <c r="O2837" s="818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726"/>
      <c r="AB2837" s="860"/>
      <c r="AC2837" s="860"/>
    </row>
    <row r="2838" spans="1:29" s="861" customFormat="1" ht="15.75" customHeight="1">
      <c r="A2838" s="202" t="str">
        <f>IF(B2838&lt;&gt;"",IF(AND(B2838&gt;=_TM1,B2838&lt;=_TM2,OR(TH!L2838="1111",TH!M2838="1111")),TH!D2838,""),"")</f>
        <v/>
      </c>
      <c r="B2838" s="857">
        <f t="shared" ref="B2838:B2901" si="144">IF(C2838&lt;&gt;"",MONTH(C2838),"")</f>
        <v>1</v>
      </c>
      <c r="C2838" s="858">
        <f t="shared" si="142"/>
        <v>42397</v>
      </c>
      <c r="D2838" s="858" t="s">
        <v>1548</v>
      </c>
      <c r="E2838" s="48">
        <v>42397</v>
      </c>
      <c r="F2838" s="831" t="s">
        <v>1243</v>
      </c>
      <c r="G2838" s="49" t="s">
        <v>412</v>
      </c>
      <c r="H2838" s="923" t="s">
        <v>1297</v>
      </c>
      <c r="I2838" s="249">
        <v>1500</v>
      </c>
      <c r="J2838" s="249">
        <v>2669.7417439540413</v>
      </c>
      <c r="K2838" s="51">
        <f t="shared" si="143"/>
        <v>4004613</v>
      </c>
      <c r="L2838" s="924" t="s">
        <v>171</v>
      </c>
      <c r="M2838" s="924" t="s">
        <v>166</v>
      </c>
      <c r="N2838" s="52" t="str">
        <f>IF(AND('331-CT'!$E$7=TH!H2838,OR(L2838="331",M2838="331")),"331",IF(AND(OR(L2838="131",M2838="131"),H2838='131-CT'!$E$7),"131",""))</f>
        <v/>
      </c>
      <c r="O2838" s="818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726"/>
      <c r="AB2838" s="860"/>
    </row>
    <row r="2839" spans="1:29" s="861" customFormat="1" ht="15.75" customHeight="1">
      <c r="A2839" s="202" t="str">
        <f>IF(B2839&lt;&gt;"",IF(AND(B2839&gt;=_TM1,B2839&lt;=_TM2,OR(TH!L2839="1111",TH!M2839="1111")),TH!D2839,""),"")</f>
        <v/>
      </c>
      <c r="B2839" s="857">
        <f t="shared" si="144"/>
        <v>1</v>
      </c>
      <c r="C2839" s="858">
        <f t="shared" si="142"/>
        <v>42397</v>
      </c>
      <c r="D2839" s="858" t="s">
        <v>1548</v>
      </c>
      <c r="E2839" s="48">
        <v>42397</v>
      </c>
      <c r="F2839" s="49" t="s">
        <v>1237</v>
      </c>
      <c r="G2839" s="49" t="s">
        <v>413</v>
      </c>
      <c r="H2839" s="923" t="s">
        <v>1297</v>
      </c>
      <c r="I2839" s="249">
        <v>502</v>
      </c>
      <c r="J2839" s="249">
        <v>750.8648654870741</v>
      </c>
      <c r="K2839" s="51">
        <f t="shared" si="143"/>
        <v>376934</v>
      </c>
      <c r="L2839" s="924" t="s">
        <v>171</v>
      </c>
      <c r="M2839" s="924" t="s">
        <v>166</v>
      </c>
      <c r="N2839" s="52" t="str">
        <f>IF(AND('331-CT'!$E$7=TH!H2839,OR(L2839="331",M2839="331")),"331",IF(AND(OR(L2839="131",M2839="131"),H2839='131-CT'!$E$7),"131",""))</f>
        <v/>
      </c>
      <c r="O2839" s="818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726"/>
      <c r="AB2839" s="860"/>
      <c r="AC2839" s="860"/>
    </row>
    <row r="2840" spans="1:29" s="861" customFormat="1" ht="15.75" customHeight="1">
      <c r="A2840" s="202" t="str">
        <f>IF(B2840&lt;&gt;"",IF(AND(B2840&gt;=_TM1,B2840&lt;=_TM2,OR(TH!L2840="1111",TH!M2840="1111")),TH!D2840,""),"")</f>
        <v/>
      </c>
      <c r="B2840" s="857">
        <f t="shared" si="144"/>
        <v>1</v>
      </c>
      <c r="C2840" s="858">
        <f t="shared" si="142"/>
        <v>42397</v>
      </c>
      <c r="D2840" s="858" t="s">
        <v>1548</v>
      </c>
      <c r="E2840" s="830">
        <v>42397</v>
      </c>
      <c r="F2840" s="831" t="s">
        <v>1308</v>
      </c>
      <c r="G2840" s="832" t="s">
        <v>416</v>
      </c>
      <c r="H2840" s="923" t="s">
        <v>1297</v>
      </c>
      <c r="I2840" s="249">
        <v>50</v>
      </c>
      <c r="J2840" s="249">
        <v>10094.960969326217</v>
      </c>
      <c r="K2840" s="51">
        <f t="shared" si="143"/>
        <v>504748</v>
      </c>
      <c r="L2840" s="924" t="s">
        <v>171</v>
      </c>
      <c r="M2840" s="924" t="s">
        <v>166</v>
      </c>
      <c r="N2840" s="52" t="str">
        <f>IF(AND('331-CT'!$E$7=TH!H2840,OR(L2840="331",M2840="331")),"331",IF(AND(OR(L2840="131",M2840="131"),H2840='131-CT'!$E$7),"131",""))</f>
        <v/>
      </c>
      <c r="O2840" s="818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726"/>
      <c r="AB2840" s="860"/>
    </row>
    <row r="2841" spans="1:29" s="861" customFormat="1" ht="15.75" customHeight="1">
      <c r="A2841" s="202" t="str">
        <f>IF(B2841&lt;&gt;"",IF(AND(B2841&gt;=_TM1,B2841&lt;=_TM2,OR(TH!L2841="1111",TH!M2841="1111")),TH!D2841,""),"")</f>
        <v/>
      </c>
      <c r="B2841" s="857">
        <f t="shared" si="144"/>
        <v>1</v>
      </c>
      <c r="C2841" s="858">
        <f t="shared" si="142"/>
        <v>42397</v>
      </c>
      <c r="D2841" s="858" t="s">
        <v>1548</v>
      </c>
      <c r="E2841" s="830">
        <v>42397</v>
      </c>
      <c r="F2841" s="831" t="s">
        <v>912</v>
      </c>
      <c r="G2841" s="832" t="s">
        <v>689</v>
      </c>
      <c r="H2841" s="923" t="s">
        <v>1297</v>
      </c>
      <c r="I2841" s="249">
        <v>59</v>
      </c>
      <c r="J2841" s="249">
        <v>63072.648700914222</v>
      </c>
      <c r="K2841" s="51">
        <f t="shared" si="143"/>
        <v>3721286</v>
      </c>
      <c r="L2841" s="924" t="s">
        <v>171</v>
      </c>
      <c r="M2841" s="924" t="s">
        <v>166</v>
      </c>
      <c r="N2841" s="52" t="str">
        <f>IF(AND('331-CT'!$E$7=TH!H2841,OR(L2841="331",M2841="331")),"331",IF(AND(OR(L2841="131",M2841="131"),H2841='131-CT'!$E$7),"131",""))</f>
        <v/>
      </c>
      <c r="O2841" s="818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726"/>
    </row>
    <row r="2842" spans="1:29" s="861" customFormat="1" ht="15.75" customHeight="1">
      <c r="A2842" s="202" t="str">
        <f>IF(B2842&lt;&gt;"",IF(AND(B2842&gt;=_TM1,B2842&lt;=_TM2,OR(TH!L2842="1111",TH!M2842="1111")),TH!D2842,""),"")</f>
        <v/>
      </c>
      <c r="B2842" s="857">
        <f t="shared" si="144"/>
        <v>1</v>
      </c>
      <c r="C2842" s="858">
        <f t="shared" si="142"/>
        <v>42397</v>
      </c>
      <c r="D2842" s="858" t="s">
        <v>1548</v>
      </c>
      <c r="E2842" s="830">
        <v>42397</v>
      </c>
      <c r="F2842" s="831" t="s">
        <v>663</v>
      </c>
      <c r="G2842" s="832" t="s">
        <v>689</v>
      </c>
      <c r="H2842" s="923" t="s">
        <v>1297</v>
      </c>
      <c r="I2842" s="249">
        <v>100</v>
      </c>
      <c r="J2842" s="249">
        <v>36291.801831875244</v>
      </c>
      <c r="K2842" s="51">
        <f t="shared" si="143"/>
        <v>3629180</v>
      </c>
      <c r="L2842" s="924" t="s">
        <v>171</v>
      </c>
      <c r="M2842" s="924" t="s">
        <v>166</v>
      </c>
      <c r="N2842" s="52" t="str">
        <f>IF(AND('331-CT'!$E$7=TH!H2842,OR(L2842="331",M2842="331")),"331",IF(AND(OR(L2842="131",M2842="131"),H2842='131-CT'!$E$7),"131",""))</f>
        <v/>
      </c>
      <c r="O2842" s="818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726"/>
    </row>
    <row r="2843" spans="1:29" s="861" customFormat="1" ht="15.75" customHeight="1">
      <c r="A2843" s="202" t="str">
        <f>IF(B2843&lt;&gt;"",IF(AND(B2843&gt;=_TM1,B2843&lt;=_TM2,OR(TH!L2843="1111",TH!M2843="1111")),TH!D2843,""),"")</f>
        <v/>
      </c>
      <c r="B2843" s="857">
        <f t="shared" si="144"/>
        <v>1</v>
      </c>
      <c r="C2843" s="858">
        <f t="shared" ref="C2843:C2906" si="145">E2843</f>
        <v>42397</v>
      </c>
      <c r="D2843" s="858" t="s">
        <v>1548</v>
      </c>
      <c r="E2843" s="830">
        <v>42397</v>
      </c>
      <c r="F2843" s="831" t="s">
        <v>913</v>
      </c>
      <c r="G2843" s="832" t="s">
        <v>689</v>
      </c>
      <c r="H2843" s="923" t="s">
        <v>1297</v>
      </c>
      <c r="I2843" s="249">
        <v>37</v>
      </c>
      <c r="J2843" s="249">
        <v>22442.516535113657</v>
      </c>
      <c r="K2843" s="51">
        <f t="shared" si="143"/>
        <v>830373</v>
      </c>
      <c r="L2843" s="924" t="s">
        <v>171</v>
      </c>
      <c r="M2843" s="924" t="s">
        <v>166</v>
      </c>
      <c r="N2843" s="52" t="str">
        <f>IF(AND('331-CT'!$E$7=TH!H2843,OR(L2843="331",M2843="331")),"331",IF(AND(OR(L2843="131",M2843="131"),H2843='131-CT'!$E$7),"131",""))</f>
        <v/>
      </c>
      <c r="O2843" s="818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726"/>
      <c r="AB2843" s="860"/>
      <c r="AC2843" s="860"/>
    </row>
    <row r="2844" spans="1:29" s="861" customFormat="1" ht="15.75" customHeight="1">
      <c r="A2844" s="202" t="str">
        <f>IF(B2844&lt;&gt;"",IF(AND(B2844&gt;=_TM1,B2844&lt;=_TM2,OR(TH!L2844="1111",TH!M2844="1111")),TH!D2844,""),"")</f>
        <v/>
      </c>
      <c r="B2844" s="857">
        <f t="shared" si="144"/>
        <v>1</v>
      </c>
      <c r="C2844" s="858">
        <f t="shared" si="145"/>
        <v>42397</v>
      </c>
      <c r="D2844" s="858" t="s">
        <v>1548</v>
      </c>
      <c r="E2844" s="830">
        <v>42397</v>
      </c>
      <c r="F2844" s="831" t="s">
        <v>418</v>
      </c>
      <c r="G2844" s="832" t="s">
        <v>689</v>
      </c>
      <c r="H2844" s="923" t="s">
        <v>1297</v>
      </c>
      <c r="I2844" s="249">
        <v>131</v>
      </c>
      <c r="J2844" s="249">
        <v>60486.336386458745</v>
      </c>
      <c r="K2844" s="51">
        <f t="shared" ref="K2844:K2907" si="146">ROUND(I2844*J2844,0)</f>
        <v>7923710</v>
      </c>
      <c r="L2844" s="924" t="s">
        <v>171</v>
      </c>
      <c r="M2844" s="924" t="s">
        <v>166</v>
      </c>
      <c r="N2844" s="52" t="str">
        <f>IF(AND('331-CT'!$E$7=TH!H2844,OR(L2844="331",M2844="331")),"331",IF(AND(OR(L2844="131",M2844="131"),H2844='131-CT'!$E$7),"131",""))</f>
        <v/>
      </c>
      <c r="O2844" s="818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726"/>
      <c r="AB2844" s="860"/>
    </row>
    <row r="2845" spans="1:29" s="861" customFormat="1" ht="15.75" customHeight="1">
      <c r="A2845" s="202" t="str">
        <f>IF(B2845&lt;&gt;"",IF(AND(B2845&gt;=_TM1,B2845&lt;=_TM2,OR(TH!L2845="1111",TH!M2845="1111")),TH!D2845,""),"")</f>
        <v/>
      </c>
      <c r="B2845" s="857">
        <f t="shared" si="144"/>
        <v>1</v>
      </c>
      <c r="C2845" s="858">
        <f t="shared" si="145"/>
        <v>42399</v>
      </c>
      <c r="D2845" s="858" t="s">
        <v>1548</v>
      </c>
      <c r="E2845" s="830">
        <v>42399</v>
      </c>
      <c r="F2845" s="925" t="s">
        <v>914</v>
      </c>
      <c r="G2845" s="832" t="s">
        <v>419</v>
      </c>
      <c r="H2845" s="923" t="s">
        <v>1297</v>
      </c>
      <c r="I2845" s="249">
        <v>51</v>
      </c>
      <c r="J2845" s="249">
        <v>7008.0720778793575</v>
      </c>
      <c r="K2845" s="51">
        <f t="shared" si="146"/>
        <v>357412</v>
      </c>
      <c r="L2845" s="924" t="s">
        <v>171</v>
      </c>
      <c r="M2845" s="924" t="s">
        <v>166</v>
      </c>
      <c r="N2845" s="52" t="str">
        <f>IF(AND('331-CT'!$E$7=TH!H2845,OR(L2845="331",M2845="331")),"331",IF(AND(OR(L2845="131",M2845="131"),H2845='131-CT'!$E$7),"131",""))</f>
        <v/>
      </c>
      <c r="O2845" s="818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726"/>
      <c r="AB2845" s="860"/>
      <c r="AC2845" s="860"/>
    </row>
    <row r="2846" spans="1:29" s="861" customFormat="1" ht="15.75" customHeight="1">
      <c r="A2846" s="202" t="str">
        <f>IF(B2846&lt;&gt;"",IF(AND(B2846&gt;=_TM1,B2846&lt;=_TM2,OR(TH!L2846="1111",TH!M2846="1111")),TH!D2846,""),"")</f>
        <v/>
      </c>
      <c r="B2846" s="857">
        <f t="shared" si="144"/>
        <v>1</v>
      </c>
      <c r="C2846" s="858">
        <f t="shared" si="145"/>
        <v>42399</v>
      </c>
      <c r="D2846" s="858" t="s">
        <v>1548</v>
      </c>
      <c r="E2846" s="830">
        <v>42399</v>
      </c>
      <c r="F2846" s="831" t="s">
        <v>480</v>
      </c>
      <c r="G2846" s="832" t="s">
        <v>419</v>
      </c>
      <c r="H2846" s="923" t="s">
        <v>1297</v>
      </c>
      <c r="I2846" s="249">
        <v>978</v>
      </c>
      <c r="J2846" s="249">
        <v>10595.537546317601</v>
      </c>
      <c r="K2846" s="51">
        <f t="shared" si="146"/>
        <v>10362436</v>
      </c>
      <c r="L2846" s="924" t="s">
        <v>171</v>
      </c>
      <c r="M2846" s="924" t="s">
        <v>166</v>
      </c>
      <c r="N2846" s="52" t="str">
        <f>IF(AND('331-CT'!$E$7=TH!H2846,OR(L2846="331",M2846="331")),"331",IF(AND(OR(L2846="131",M2846="131"),H2846='131-CT'!$E$7),"131",""))</f>
        <v/>
      </c>
      <c r="O2846" s="818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726"/>
      <c r="AB2846" s="860"/>
    </row>
    <row r="2847" spans="1:29" s="861" customFormat="1" ht="15.75" customHeight="1">
      <c r="A2847" s="202" t="str">
        <f>IF(B2847&lt;&gt;"",IF(AND(B2847&gt;=_TM1,B2847&lt;=_TM2,OR(TH!L2847="1111",TH!M2847="1111")),TH!D2847,""),"")</f>
        <v/>
      </c>
      <c r="B2847" s="857">
        <f t="shared" si="144"/>
        <v>1</v>
      </c>
      <c r="C2847" s="858">
        <f t="shared" si="145"/>
        <v>42399</v>
      </c>
      <c r="D2847" s="858" t="s">
        <v>1548</v>
      </c>
      <c r="E2847" s="830">
        <v>42399</v>
      </c>
      <c r="F2847" s="831" t="s">
        <v>408</v>
      </c>
      <c r="G2847" s="832" t="s">
        <v>419</v>
      </c>
      <c r="H2847" s="923" t="s">
        <v>1297</v>
      </c>
      <c r="I2847" s="249">
        <v>53</v>
      </c>
      <c r="J2847" s="249">
        <v>11012.684693810421</v>
      </c>
      <c r="K2847" s="51">
        <f t="shared" si="146"/>
        <v>583672</v>
      </c>
      <c r="L2847" s="924" t="s">
        <v>171</v>
      </c>
      <c r="M2847" s="924" t="s">
        <v>166</v>
      </c>
      <c r="N2847" s="52" t="str">
        <f>IF(AND('331-CT'!$E$7=TH!H2847,OR(L2847="331",M2847="331")),"331",IF(AND(OR(L2847="131",M2847="131"),H2847='131-CT'!$E$7),"131",""))</f>
        <v/>
      </c>
      <c r="O2847" s="818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726"/>
      <c r="AB2847" s="860"/>
      <c r="AC2847" s="860"/>
    </row>
    <row r="2848" spans="1:29" s="861" customFormat="1" ht="15.75" customHeight="1">
      <c r="A2848" s="202" t="str">
        <f>IF(B2848&lt;&gt;"",IF(AND(B2848&gt;=_TM1,B2848&lt;=_TM2,OR(TH!L2848="1111",TH!M2848="1111")),TH!D2848,""),"")</f>
        <v/>
      </c>
      <c r="B2848" s="857">
        <f t="shared" si="144"/>
        <v>1</v>
      </c>
      <c r="C2848" s="858">
        <f t="shared" si="145"/>
        <v>42399</v>
      </c>
      <c r="D2848" s="858" t="s">
        <v>1548</v>
      </c>
      <c r="E2848" s="830">
        <v>42399</v>
      </c>
      <c r="F2848" s="831" t="s">
        <v>897</v>
      </c>
      <c r="G2848" s="832" t="s">
        <v>419</v>
      </c>
      <c r="H2848" s="923" t="s">
        <v>1297</v>
      </c>
      <c r="I2848" s="249">
        <v>1570</v>
      </c>
      <c r="J2848" s="249">
        <v>12097.267277291749</v>
      </c>
      <c r="K2848" s="51">
        <f t="shared" si="146"/>
        <v>18992710</v>
      </c>
      <c r="L2848" s="924" t="s">
        <v>171</v>
      </c>
      <c r="M2848" s="924" t="s">
        <v>166</v>
      </c>
      <c r="N2848" s="52" t="str">
        <f>IF(AND('331-CT'!$E$7=TH!H2848,OR(L2848="331",M2848="331")),"331",IF(AND(OR(L2848="131",M2848="131"),H2848='131-CT'!$E$7),"131",""))</f>
        <v/>
      </c>
      <c r="O2848" s="818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726"/>
      <c r="AB2848" s="860"/>
    </row>
    <row r="2849" spans="1:28" s="861" customFormat="1" ht="15.75" customHeight="1">
      <c r="A2849" s="202" t="str">
        <f>IF(B2849&lt;&gt;"",IF(AND(B2849&gt;=_TM1,B2849&lt;=_TM2,OR(TH!L2849="1111",TH!M2849="1111")),TH!D2849,""),"")</f>
        <v/>
      </c>
      <c r="B2849" s="857">
        <f t="shared" si="144"/>
        <v>1</v>
      </c>
      <c r="C2849" s="858">
        <f t="shared" si="145"/>
        <v>42399</v>
      </c>
      <c r="D2849" s="858" t="s">
        <v>1548</v>
      </c>
      <c r="E2849" s="921">
        <v>42399</v>
      </c>
      <c r="F2849" s="925" t="s">
        <v>480</v>
      </c>
      <c r="G2849" s="49" t="s">
        <v>915</v>
      </c>
      <c r="H2849" s="923" t="s">
        <v>1297</v>
      </c>
      <c r="I2849" s="249">
        <v>834</v>
      </c>
      <c r="J2849" s="249">
        <v>10595.537546317601</v>
      </c>
      <c r="K2849" s="51">
        <f t="shared" si="146"/>
        <v>8836678</v>
      </c>
      <c r="L2849" s="924" t="s">
        <v>171</v>
      </c>
      <c r="M2849" s="924" t="s">
        <v>166</v>
      </c>
      <c r="N2849" s="52" t="str">
        <f>IF(AND('331-CT'!$E$7=TH!H2849,OR(L2849="331",M2849="331")),"331",IF(AND(OR(L2849="131",M2849="131"),H2849='131-CT'!$E$7),"131",""))</f>
        <v/>
      </c>
      <c r="O2849" s="818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726"/>
      <c r="AB2849" s="860"/>
    </row>
    <row r="2850" spans="1:28" s="861" customFormat="1" ht="15.75" customHeight="1">
      <c r="A2850" s="202" t="str">
        <f>IF(B2850&lt;&gt;"",IF(AND(B2850&gt;=_TM1,B2850&lt;=_TM2,OR(TH!L2850="1111",TH!M2850="1111")),TH!D2850,""),"")</f>
        <v/>
      </c>
      <c r="B2850" s="857">
        <f t="shared" si="144"/>
        <v>1</v>
      </c>
      <c r="C2850" s="858">
        <f t="shared" si="145"/>
        <v>42399</v>
      </c>
      <c r="D2850" s="858" t="s">
        <v>1548</v>
      </c>
      <c r="E2850" s="921">
        <v>42399</v>
      </c>
      <c r="F2850" s="922" t="s">
        <v>916</v>
      </c>
      <c r="G2850" s="49" t="s">
        <v>915</v>
      </c>
      <c r="H2850" s="923" t="s">
        <v>1297</v>
      </c>
      <c r="I2850" s="249">
        <v>106</v>
      </c>
      <c r="J2850" s="249">
        <v>9427.5255333377063</v>
      </c>
      <c r="K2850" s="51">
        <f t="shared" si="146"/>
        <v>999318</v>
      </c>
      <c r="L2850" s="924" t="s">
        <v>171</v>
      </c>
      <c r="M2850" s="924" t="s">
        <v>166</v>
      </c>
      <c r="N2850" s="52" t="str">
        <f>IF(AND('331-CT'!$E$7=TH!H2850,OR(L2850="331",M2850="331")),"331",IF(AND(OR(L2850="131",M2850="131"),H2850='131-CT'!$E$7),"131",""))</f>
        <v/>
      </c>
      <c r="O2850" s="818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726"/>
    </row>
    <row r="2851" spans="1:28" s="861" customFormat="1" ht="15.75" customHeight="1">
      <c r="A2851" s="202" t="str">
        <f>IF(B2851&lt;&gt;"",IF(AND(B2851&gt;=_TM1,B2851&lt;=_TM2,OR(TH!L2851="1111",TH!M2851="1111")),TH!D2851,""),"")</f>
        <v/>
      </c>
      <c r="B2851" s="857">
        <f t="shared" si="144"/>
        <v>1</v>
      </c>
      <c r="C2851" s="858">
        <f t="shared" si="145"/>
        <v>42399</v>
      </c>
      <c r="D2851" s="858" t="s">
        <v>1548</v>
      </c>
      <c r="E2851" s="921">
        <v>42399</v>
      </c>
      <c r="F2851" s="49" t="s">
        <v>917</v>
      </c>
      <c r="G2851" s="49" t="s">
        <v>915</v>
      </c>
      <c r="H2851" s="923" t="s">
        <v>1297</v>
      </c>
      <c r="I2851" s="249">
        <v>70</v>
      </c>
      <c r="J2851" s="249">
        <v>11179.543552807549</v>
      </c>
      <c r="K2851" s="51">
        <f t="shared" si="146"/>
        <v>782568</v>
      </c>
      <c r="L2851" s="924" t="s">
        <v>171</v>
      </c>
      <c r="M2851" s="924" t="s">
        <v>166</v>
      </c>
      <c r="N2851" s="52" t="str">
        <f>IF(AND('331-CT'!$E$7=TH!H2851,OR(L2851="331",M2851="331")),"331",IF(AND(OR(L2851="131",M2851="131"),H2851='131-CT'!$E$7),"131",""))</f>
        <v/>
      </c>
      <c r="O2851" s="818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726"/>
    </row>
    <row r="2852" spans="1:28" s="861" customFormat="1" ht="15.75" customHeight="1">
      <c r="A2852" s="202" t="str">
        <f>IF(B2852&lt;&gt;"",IF(AND(B2852&gt;=_TM1,B2852&lt;=_TM2,OR(TH!L2852="1111",TH!M2852="1111")),TH!D2852,""),"")</f>
        <v/>
      </c>
      <c r="B2852" s="857">
        <f t="shared" si="144"/>
        <v>1</v>
      </c>
      <c r="C2852" s="858">
        <f t="shared" si="145"/>
        <v>42399</v>
      </c>
      <c r="D2852" s="858" t="s">
        <v>1548</v>
      </c>
      <c r="E2852" s="921">
        <v>42399</v>
      </c>
      <c r="F2852" s="925" t="s">
        <v>918</v>
      </c>
      <c r="G2852" s="49" t="s">
        <v>915</v>
      </c>
      <c r="H2852" s="923" t="s">
        <v>1297</v>
      </c>
      <c r="I2852" s="249">
        <v>23</v>
      </c>
      <c r="J2852" s="249">
        <v>10011.531539827654</v>
      </c>
      <c r="K2852" s="51">
        <f t="shared" si="146"/>
        <v>230265</v>
      </c>
      <c r="L2852" s="924" t="s">
        <v>171</v>
      </c>
      <c r="M2852" s="924" t="s">
        <v>166</v>
      </c>
      <c r="N2852" s="52" t="str">
        <f>IF(AND('331-CT'!$E$7=TH!H2852,OR(L2852="331",M2852="331")),"331",IF(AND(OR(L2852="131",M2852="131"),H2852='131-CT'!$E$7),"131",""))</f>
        <v/>
      </c>
      <c r="O2852" s="818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726"/>
    </row>
    <row r="2853" spans="1:28" s="861" customFormat="1" ht="15.75" customHeight="1">
      <c r="A2853" s="202" t="str">
        <f>IF(B2853&lt;&gt;"",IF(AND(B2853&gt;=_TM1,B2853&lt;=_TM2,OR(TH!L2853="1111",TH!M2853="1111")),TH!D2853,""),"")</f>
        <v/>
      </c>
      <c r="B2853" s="857">
        <f t="shared" si="144"/>
        <v>1</v>
      </c>
      <c r="C2853" s="858">
        <f t="shared" si="145"/>
        <v>42399</v>
      </c>
      <c r="D2853" s="858" t="s">
        <v>1548</v>
      </c>
      <c r="E2853" s="48">
        <v>42399</v>
      </c>
      <c r="F2853" s="831" t="s">
        <v>919</v>
      </c>
      <c r="G2853" s="49" t="s">
        <v>915</v>
      </c>
      <c r="H2853" s="923" t="s">
        <v>1297</v>
      </c>
      <c r="I2853" s="249">
        <v>55</v>
      </c>
      <c r="J2853" s="249">
        <v>10512.108116819038</v>
      </c>
      <c r="K2853" s="51">
        <f t="shared" si="146"/>
        <v>578166</v>
      </c>
      <c r="L2853" s="924" t="s">
        <v>171</v>
      </c>
      <c r="M2853" s="924" t="s">
        <v>166</v>
      </c>
      <c r="N2853" s="52" t="str">
        <f>IF(AND('331-CT'!$E$7=TH!H2853,OR(L2853="331",M2853="331")),"331",IF(AND(OR(L2853="131",M2853="131"),H2853='131-CT'!$E$7),"131",""))</f>
        <v/>
      </c>
      <c r="O2853" s="818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726"/>
    </row>
    <row r="2854" spans="1:28" s="861" customFormat="1" ht="15.75" customHeight="1">
      <c r="A2854" s="202" t="str">
        <f>IF(B2854&lt;&gt;"",IF(AND(B2854&gt;=_TM1,B2854&lt;=_TM2,OR(TH!L2854="1111",TH!M2854="1111")),TH!D2854,""),"")</f>
        <v/>
      </c>
      <c r="B2854" s="857">
        <f t="shared" si="144"/>
        <v>1</v>
      </c>
      <c r="C2854" s="858">
        <f t="shared" si="145"/>
        <v>42399</v>
      </c>
      <c r="D2854" s="858" t="s">
        <v>1548</v>
      </c>
      <c r="E2854" s="48">
        <v>42399</v>
      </c>
      <c r="F2854" s="831" t="s">
        <v>920</v>
      </c>
      <c r="G2854" s="49" t="s">
        <v>420</v>
      </c>
      <c r="H2854" s="923" t="s">
        <v>1297</v>
      </c>
      <c r="I2854" s="249">
        <v>209</v>
      </c>
      <c r="J2854" s="249">
        <v>7091.5015073779214</v>
      </c>
      <c r="K2854" s="51">
        <f t="shared" si="146"/>
        <v>1482124</v>
      </c>
      <c r="L2854" s="924" t="s">
        <v>171</v>
      </c>
      <c r="M2854" s="924" t="s">
        <v>166</v>
      </c>
      <c r="N2854" s="52" t="str">
        <f>IF(AND('331-CT'!$E$7=TH!H2854,OR(L2854="331",M2854="331")),"331",IF(AND(OR(L2854="131",M2854="131"),H2854='131-CT'!$E$7),"131",""))</f>
        <v/>
      </c>
      <c r="O2854" s="818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726"/>
    </row>
    <row r="2855" spans="1:28" s="861" customFormat="1" ht="15.75" customHeight="1">
      <c r="A2855" s="202" t="str">
        <f>IF(B2855&lt;&gt;"",IF(AND(B2855&gt;=_TM1,B2855&lt;=_TM2,OR(TH!L2855="1111",TH!M2855="1111")),TH!D2855,""),"")</f>
        <v/>
      </c>
      <c r="B2855" s="857">
        <f t="shared" si="144"/>
        <v>1</v>
      </c>
      <c r="C2855" s="858">
        <f t="shared" si="145"/>
        <v>42399</v>
      </c>
      <c r="D2855" s="858" t="s">
        <v>1548</v>
      </c>
      <c r="E2855" s="48">
        <v>42399</v>
      </c>
      <c r="F2855" s="925" t="s">
        <v>921</v>
      </c>
      <c r="G2855" s="49" t="s">
        <v>420</v>
      </c>
      <c r="H2855" s="923" t="s">
        <v>1297</v>
      </c>
      <c r="I2855" s="249">
        <v>10</v>
      </c>
      <c r="J2855" s="249">
        <v>6924.6426483807936</v>
      </c>
      <c r="K2855" s="51">
        <f t="shared" si="146"/>
        <v>69246</v>
      </c>
      <c r="L2855" s="924" t="s">
        <v>171</v>
      </c>
      <c r="M2855" s="924" t="s">
        <v>166</v>
      </c>
      <c r="N2855" s="52" t="str">
        <f>IF(AND('331-CT'!$E$7=TH!H2855,OR(L2855="331",M2855="331")),"331",IF(AND(OR(L2855="131",M2855="131"),H2855='131-CT'!$E$7),"131",""))</f>
        <v/>
      </c>
      <c r="O2855" s="818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726"/>
    </row>
    <row r="2856" spans="1:28" s="861" customFormat="1" ht="15.75" customHeight="1">
      <c r="A2856" s="202" t="str">
        <f>IF(B2856&lt;&gt;"",IF(AND(B2856&gt;=_TM1,B2856&lt;=_TM2,OR(TH!L2856="1111",TH!M2856="1111")),TH!D2856,""),"")</f>
        <v/>
      </c>
      <c r="B2856" s="857">
        <f t="shared" si="144"/>
        <v>1</v>
      </c>
      <c r="C2856" s="858">
        <f t="shared" si="145"/>
        <v>42399</v>
      </c>
      <c r="D2856" s="858" t="s">
        <v>1548</v>
      </c>
      <c r="E2856" s="48">
        <v>42399</v>
      </c>
      <c r="F2856" s="925" t="s">
        <v>922</v>
      </c>
      <c r="G2856" s="49" t="s">
        <v>421</v>
      </c>
      <c r="H2856" s="923" t="s">
        <v>1297</v>
      </c>
      <c r="I2856" s="249">
        <v>50</v>
      </c>
      <c r="J2856" s="249">
        <v>26363.699721546156</v>
      </c>
      <c r="K2856" s="51">
        <f t="shared" si="146"/>
        <v>1318185</v>
      </c>
      <c r="L2856" s="924" t="s">
        <v>171</v>
      </c>
      <c r="M2856" s="924" t="s">
        <v>166</v>
      </c>
      <c r="N2856" s="52" t="str">
        <f>IF(AND('331-CT'!$E$7=TH!H2856,OR(L2856="331",M2856="331")),"331",IF(AND(OR(L2856="131",M2856="131"),H2856='131-CT'!$E$7),"131",""))</f>
        <v/>
      </c>
      <c r="O2856" s="818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726"/>
    </row>
    <row r="2857" spans="1:28" s="861" customFormat="1" ht="15.75" customHeight="1">
      <c r="A2857" s="202" t="str">
        <f>IF(B2857&lt;&gt;"",IF(AND(B2857&gt;=_TM1,B2857&lt;=_TM2,OR(TH!L2857="1111",TH!M2857="1111")),TH!D2857,""),"")</f>
        <v/>
      </c>
      <c r="B2857" s="857">
        <f t="shared" si="144"/>
        <v>2</v>
      </c>
      <c r="C2857" s="858">
        <f t="shared" si="145"/>
        <v>42401</v>
      </c>
      <c r="D2857" s="858" t="s">
        <v>1548</v>
      </c>
      <c r="E2857" s="48">
        <v>42401</v>
      </c>
      <c r="F2857" s="925" t="s">
        <v>923</v>
      </c>
      <c r="G2857" s="49" t="s">
        <v>422</v>
      </c>
      <c r="H2857" s="923" t="s">
        <v>1297</v>
      </c>
      <c r="I2857" s="249">
        <v>103</v>
      </c>
      <c r="J2857" s="249">
        <v>11179.543552807549</v>
      </c>
      <c r="K2857" s="51">
        <f t="shared" si="146"/>
        <v>1151493</v>
      </c>
      <c r="L2857" s="924" t="s">
        <v>171</v>
      </c>
      <c r="M2857" s="924" t="s">
        <v>166</v>
      </c>
      <c r="N2857" s="52" t="str">
        <f>IF(AND('331-CT'!$E$7=TH!H2857,OR(L2857="331",M2857="331")),"331",IF(AND(OR(L2857="131",M2857="131"),H2857='131-CT'!$E$7),"131",""))</f>
        <v/>
      </c>
      <c r="O2857" s="818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726"/>
    </row>
    <row r="2858" spans="1:28" s="861" customFormat="1" ht="15.75" customHeight="1">
      <c r="A2858" s="202" t="str">
        <f>IF(B2858&lt;&gt;"",IF(AND(B2858&gt;=_TM1,B2858&lt;=_TM2,OR(TH!L2858="1111",TH!M2858="1111")),TH!D2858,""),"")</f>
        <v/>
      </c>
      <c r="B2858" s="857">
        <f t="shared" si="144"/>
        <v>2</v>
      </c>
      <c r="C2858" s="858">
        <f t="shared" si="145"/>
        <v>42401</v>
      </c>
      <c r="D2858" s="858" t="s">
        <v>1548</v>
      </c>
      <c r="E2858" s="48">
        <v>42401</v>
      </c>
      <c r="F2858" s="925" t="s">
        <v>962</v>
      </c>
      <c r="G2858" s="49" t="s">
        <v>423</v>
      </c>
      <c r="H2858" s="923" t="s">
        <v>1297</v>
      </c>
      <c r="I2858" s="249">
        <v>141</v>
      </c>
      <c r="J2858" s="249">
        <v>19856.204220658179</v>
      </c>
      <c r="K2858" s="51">
        <f t="shared" si="146"/>
        <v>2799725</v>
      </c>
      <c r="L2858" s="924" t="s">
        <v>171</v>
      </c>
      <c r="M2858" s="924" t="s">
        <v>166</v>
      </c>
      <c r="N2858" s="52" t="str">
        <f>IF(AND('331-CT'!$E$7=TH!H2858,OR(L2858="331",M2858="331")),"331",IF(AND(OR(L2858="131",M2858="131"),H2858='131-CT'!$E$7),"131",""))</f>
        <v/>
      </c>
      <c r="O2858" s="818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726"/>
    </row>
    <row r="2859" spans="1:28" s="861" customFormat="1" ht="15.75" customHeight="1">
      <c r="A2859" s="202" t="str">
        <f>IF(B2859&lt;&gt;"",IF(AND(B2859&gt;=_TM1,B2859&lt;=_TM2,OR(TH!L2859="1111",TH!M2859="1111")),TH!D2859,""),"")</f>
        <v/>
      </c>
      <c r="B2859" s="857">
        <f t="shared" si="144"/>
        <v>2</v>
      </c>
      <c r="C2859" s="858">
        <f t="shared" si="145"/>
        <v>42401</v>
      </c>
      <c r="D2859" s="858" t="s">
        <v>1548</v>
      </c>
      <c r="E2859" s="48">
        <v>42401</v>
      </c>
      <c r="F2859" s="49" t="s">
        <v>636</v>
      </c>
      <c r="G2859" s="49" t="s">
        <v>924</v>
      </c>
      <c r="H2859" s="923" t="s">
        <v>1297</v>
      </c>
      <c r="I2859" s="249">
        <v>250</v>
      </c>
      <c r="J2859" s="249">
        <v>9177.2372448420174</v>
      </c>
      <c r="K2859" s="51">
        <f t="shared" si="146"/>
        <v>2294309</v>
      </c>
      <c r="L2859" s="924" t="s">
        <v>171</v>
      </c>
      <c r="M2859" s="924" t="s">
        <v>166</v>
      </c>
      <c r="N2859" s="52" t="str">
        <f>IF(AND('331-CT'!$E$7=TH!H2859,OR(L2859="331",M2859="331")),"331",IF(AND(OR(L2859="131",M2859="131"),H2859='131-CT'!$E$7),"131",""))</f>
        <v/>
      </c>
      <c r="O2859" s="818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726"/>
    </row>
    <row r="2860" spans="1:28" s="861" customFormat="1" ht="15.75" customHeight="1">
      <c r="A2860" s="202" t="str">
        <f>IF(B2860&lt;&gt;"",IF(AND(B2860&gt;=_TM1,B2860&lt;=_TM2,OR(TH!L2860="1111",TH!M2860="1111")),TH!D2860,""),"")</f>
        <v/>
      </c>
      <c r="B2860" s="857">
        <f t="shared" si="144"/>
        <v>2</v>
      </c>
      <c r="C2860" s="858">
        <f t="shared" si="145"/>
        <v>42402</v>
      </c>
      <c r="D2860" s="858" t="s">
        <v>1548</v>
      </c>
      <c r="E2860" s="48">
        <v>42402</v>
      </c>
      <c r="F2860" s="49" t="s">
        <v>659</v>
      </c>
      <c r="G2860" s="49" t="s">
        <v>925</v>
      </c>
      <c r="H2860" s="923" t="s">
        <v>1297</v>
      </c>
      <c r="I2860" s="249">
        <v>100</v>
      </c>
      <c r="J2860" s="249">
        <v>12013.837847793186</v>
      </c>
      <c r="K2860" s="51">
        <f t="shared" si="146"/>
        <v>1201384</v>
      </c>
      <c r="L2860" s="924" t="s">
        <v>171</v>
      </c>
      <c r="M2860" s="924" t="s">
        <v>166</v>
      </c>
      <c r="N2860" s="52" t="str">
        <f>IF(AND('331-CT'!$E$7=TH!H2860,OR(L2860="331",M2860="331")),"331",IF(AND(OR(L2860="131",M2860="131"),H2860='131-CT'!$E$7),"131",""))</f>
        <v/>
      </c>
      <c r="O2860" s="818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726"/>
    </row>
    <row r="2861" spans="1:28" s="861" customFormat="1" ht="15.75" customHeight="1">
      <c r="A2861" s="202" t="str">
        <f>IF(B2861&lt;&gt;"",IF(AND(B2861&gt;=_TM1,B2861&lt;=_TM2,OR(TH!L2861="1111",TH!M2861="1111")),TH!D2861,""),"")</f>
        <v/>
      </c>
      <c r="B2861" s="857">
        <f t="shared" si="144"/>
        <v>2</v>
      </c>
      <c r="C2861" s="858">
        <f t="shared" si="145"/>
        <v>42402</v>
      </c>
      <c r="D2861" s="858" t="s">
        <v>1548</v>
      </c>
      <c r="E2861" s="48">
        <v>42402</v>
      </c>
      <c r="F2861" s="831" t="s">
        <v>658</v>
      </c>
      <c r="G2861" s="49" t="s">
        <v>925</v>
      </c>
      <c r="H2861" s="923" t="s">
        <v>1297</v>
      </c>
      <c r="I2861" s="249">
        <v>505</v>
      </c>
      <c r="J2861" s="249">
        <v>6424.0660713894113</v>
      </c>
      <c r="K2861" s="51">
        <f t="shared" si="146"/>
        <v>3244153</v>
      </c>
      <c r="L2861" s="924" t="s">
        <v>171</v>
      </c>
      <c r="M2861" s="924" t="s">
        <v>166</v>
      </c>
      <c r="N2861" s="52" t="str">
        <f>IF(AND('331-CT'!$E$7=TH!H2861,OR(L2861="331",M2861="331")),"331",IF(AND(OR(L2861="131",M2861="131"),H2861='131-CT'!$E$7),"131",""))</f>
        <v/>
      </c>
      <c r="O2861" s="818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726"/>
    </row>
    <row r="2862" spans="1:28" s="861" customFormat="1" ht="15.75" customHeight="1">
      <c r="A2862" s="202" t="str">
        <f>IF(B2862&lt;&gt;"",IF(AND(B2862&gt;=_TM1,B2862&lt;=_TM2,OR(TH!L2862="1111",TH!M2862="1111")),TH!D2862,""),"")</f>
        <v/>
      </c>
      <c r="B2862" s="857">
        <f t="shared" si="144"/>
        <v>2</v>
      </c>
      <c r="C2862" s="858">
        <f t="shared" si="145"/>
        <v>42402</v>
      </c>
      <c r="D2862" s="858" t="s">
        <v>1548</v>
      </c>
      <c r="E2862" s="48">
        <v>42402</v>
      </c>
      <c r="F2862" s="925" t="s">
        <v>389</v>
      </c>
      <c r="G2862" s="49" t="s">
        <v>425</v>
      </c>
      <c r="H2862" s="923" t="s">
        <v>1297</v>
      </c>
      <c r="I2862" s="249">
        <v>494</v>
      </c>
      <c r="J2862" s="249">
        <v>6841.2132188822297</v>
      </c>
      <c r="K2862" s="51">
        <f t="shared" si="146"/>
        <v>3379559</v>
      </c>
      <c r="L2862" s="924" t="s">
        <v>171</v>
      </c>
      <c r="M2862" s="924" t="s">
        <v>166</v>
      </c>
      <c r="N2862" s="52" t="str">
        <f>IF(AND('331-CT'!$E$7=TH!H2862,OR(L2862="331",M2862="331")),"331",IF(AND(OR(L2862="131",M2862="131"),H2862='131-CT'!$E$7),"131",""))</f>
        <v/>
      </c>
      <c r="O2862" s="818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726"/>
    </row>
    <row r="2863" spans="1:28" s="861" customFormat="1" ht="15.75" customHeight="1">
      <c r="A2863" s="202" t="str">
        <f>IF(B2863&lt;&gt;"",IF(AND(B2863&gt;=_TM1,B2863&lt;=_TM2,OR(TH!L2863="1111",TH!M2863="1111")),TH!D2863,""),"")</f>
        <v/>
      </c>
      <c r="B2863" s="857">
        <f t="shared" si="144"/>
        <v>2</v>
      </c>
      <c r="C2863" s="858">
        <f t="shared" si="145"/>
        <v>42403</v>
      </c>
      <c r="D2863" s="858" t="s">
        <v>1548</v>
      </c>
      <c r="E2863" s="48">
        <v>42403</v>
      </c>
      <c r="F2863" s="49" t="s">
        <v>1434</v>
      </c>
      <c r="G2863" s="49" t="s">
        <v>926</v>
      </c>
      <c r="H2863" s="923" t="s">
        <v>1297</v>
      </c>
      <c r="I2863" s="249">
        <v>235</v>
      </c>
      <c r="J2863" s="249">
        <v>8509.8018088535064</v>
      </c>
      <c r="K2863" s="51">
        <f t="shared" si="146"/>
        <v>1999803</v>
      </c>
      <c r="L2863" s="924" t="s">
        <v>171</v>
      </c>
      <c r="M2863" s="924" t="s">
        <v>166</v>
      </c>
      <c r="N2863" s="52" t="str">
        <f>IF(AND('331-CT'!$E$7=TH!H2863,OR(L2863="331",M2863="331")),"331",IF(AND(OR(L2863="131",M2863="131"),H2863='131-CT'!$E$7),"131",""))</f>
        <v/>
      </c>
      <c r="O2863" s="818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726"/>
    </row>
    <row r="2864" spans="1:28" s="861" customFormat="1" ht="15.75" customHeight="1">
      <c r="A2864" s="202" t="str">
        <f>IF(B2864&lt;&gt;"",IF(AND(B2864&gt;=_TM1,B2864&lt;=_TM2,OR(TH!L2864="1111",TH!M2864="1111")),TH!D2864,""),"")</f>
        <v/>
      </c>
      <c r="B2864" s="857">
        <f t="shared" si="144"/>
        <v>2</v>
      </c>
      <c r="C2864" s="858">
        <f t="shared" si="145"/>
        <v>42403</v>
      </c>
      <c r="D2864" s="858" t="s">
        <v>1548</v>
      </c>
      <c r="E2864" s="48">
        <v>42403</v>
      </c>
      <c r="F2864" s="49" t="s">
        <v>1307</v>
      </c>
      <c r="G2864" s="49" t="s">
        <v>926</v>
      </c>
      <c r="H2864" s="923" t="s">
        <v>1297</v>
      </c>
      <c r="I2864" s="249">
        <v>600</v>
      </c>
      <c r="J2864" s="249">
        <v>12681.273283781695</v>
      </c>
      <c r="K2864" s="51">
        <f t="shared" si="146"/>
        <v>7608764</v>
      </c>
      <c r="L2864" s="924" t="s">
        <v>171</v>
      </c>
      <c r="M2864" s="924" t="s">
        <v>166</v>
      </c>
      <c r="N2864" s="52" t="str">
        <f>IF(AND('331-CT'!$E$7=TH!H2864,OR(L2864="331",M2864="331")),"331",IF(AND(OR(L2864="131",M2864="131"),H2864='131-CT'!$E$7),"131",""))</f>
        <v/>
      </c>
      <c r="O2864" s="818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726"/>
    </row>
    <row r="2865" spans="1:27" s="861" customFormat="1" ht="15.75" customHeight="1">
      <c r="A2865" s="202" t="str">
        <f>IF(B2865&lt;&gt;"",IF(AND(B2865&gt;=_TM1,B2865&lt;=_TM2,OR(TH!L2865="1111",TH!M2865="1111")),TH!D2865,""),"")</f>
        <v/>
      </c>
      <c r="B2865" s="857">
        <f t="shared" si="144"/>
        <v>2</v>
      </c>
      <c r="C2865" s="858">
        <f t="shared" si="145"/>
        <v>42403</v>
      </c>
      <c r="D2865" s="858" t="s">
        <v>1548</v>
      </c>
      <c r="E2865" s="48">
        <v>42403</v>
      </c>
      <c r="F2865" s="831" t="s">
        <v>1310</v>
      </c>
      <c r="G2865" s="49" t="s">
        <v>926</v>
      </c>
      <c r="H2865" s="923" t="s">
        <v>1297</v>
      </c>
      <c r="I2865" s="249">
        <v>600</v>
      </c>
      <c r="J2865" s="249">
        <v>9093.8078153434526</v>
      </c>
      <c r="K2865" s="51">
        <f t="shared" si="146"/>
        <v>5456285</v>
      </c>
      <c r="L2865" s="924" t="s">
        <v>171</v>
      </c>
      <c r="M2865" s="924" t="s">
        <v>166</v>
      </c>
      <c r="N2865" s="52" t="str">
        <f>IF(AND('331-CT'!$E$7=TH!H2865,OR(L2865="331",M2865="331")),"331",IF(AND(OR(L2865="131",M2865="131"),H2865='131-CT'!$E$7),"131",""))</f>
        <v/>
      </c>
      <c r="O2865" s="818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726"/>
    </row>
    <row r="2866" spans="1:27" s="861" customFormat="1" ht="15.75" customHeight="1">
      <c r="A2866" s="202" t="str">
        <f>IF(B2866&lt;&gt;"",IF(AND(B2866&gt;=_TM1,B2866&lt;=_TM2,OR(TH!L2866="1111",TH!M2866="1111")),TH!D2866,""),"")</f>
        <v/>
      </c>
      <c r="B2866" s="857">
        <f t="shared" si="144"/>
        <v>2</v>
      </c>
      <c r="C2866" s="858">
        <f t="shared" si="145"/>
        <v>42403</v>
      </c>
      <c r="D2866" s="858" t="s">
        <v>1548</v>
      </c>
      <c r="E2866" s="48">
        <v>42403</v>
      </c>
      <c r="F2866" s="925" t="s">
        <v>1308</v>
      </c>
      <c r="G2866" s="49" t="s">
        <v>926</v>
      </c>
      <c r="H2866" s="923" t="s">
        <v>1297</v>
      </c>
      <c r="I2866" s="249">
        <v>350</v>
      </c>
      <c r="J2866" s="249">
        <v>10094.960969326217</v>
      </c>
      <c r="K2866" s="51">
        <f t="shared" si="146"/>
        <v>3533236</v>
      </c>
      <c r="L2866" s="924" t="s">
        <v>171</v>
      </c>
      <c r="M2866" s="924" t="s">
        <v>166</v>
      </c>
      <c r="N2866" s="52" t="str">
        <f>IF(AND('331-CT'!$E$7=TH!H2866,OR(L2866="331",M2866="331")),"331",IF(AND(OR(L2866="131",M2866="131"),H2866='131-CT'!$E$7),"131",""))</f>
        <v/>
      </c>
      <c r="O2866" s="818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726"/>
    </row>
    <row r="2867" spans="1:27" s="861" customFormat="1" ht="15.75" customHeight="1">
      <c r="A2867" s="202" t="str">
        <f>IF(B2867&lt;&gt;"",IF(AND(B2867&gt;=_TM1,B2867&lt;=_TM2,OR(TH!L2867="1111",TH!M2867="1111")),TH!D2867,""),"")</f>
        <v/>
      </c>
      <c r="B2867" s="857">
        <f t="shared" si="144"/>
        <v>2</v>
      </c>
      <c r="C2867" s="858">
        <f t="shared" si="145"/>
        <v>42403</v>
      </c>
      <c r="D2867" s="858" t="s">
        <v>1548</v>
      </c>
      <c r="E2867" s="48">
        <v>42403</v>
      </c>
      <c r="F2867" s="49" t="s">
        <v>1309</v>
      </c>
      <c r="G2867" s="49" t="s">
        <v>926</v>
      </c>
      <c r="H2867" s="923" t="s">
        <v>1297</v>
      </c>
      <c r="I2867" s="249">
        <v>500</v>
      </c>
      <c r="J2867" s="249">
        <v>11096.114123308984</v>
      </c>
      <c r="K2867" s="51">
        <f t="shared" si="146"/>
        <v>5548057</v>
      </c>
      <c r="L2867" s="924" t="s">
        <v>171</v>
      </c>
      <c r="M2867" s="924" t="s">
        <v>166</v>
      </c>
      <c r="N2867" s="52" t="str">
        <f>IF(AND('331-CT'!$E$7=TH!H2867,OR(L2867="331",M2867="331")),"331",IF(AND(OR(L2867="131",M2867="131"),H2867='131-CT'!$E$7),"131",""))</f>
        <v/>
      </c>
      <c r="O2867" s="818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726"/>
    </row>
    <row r="2868" spans="1:27" s="861" customFormat="1" ht="15.75" customHeight="1">
      <c r="A2868" s="202" t="str">
        <f>IF(B2868&lt;&gt;"",IF(AND(B2868&gt;=_TM1,B2868&lt;=_TM2,OR(TH!L2868="1111",TH!M2868="1111")),TH!D2868,""),"")</f>
        <v/>
      </c>
      <c r="B2868" s="857">
        <f t="shared" si="144"/>
        <v>2</v>
      </c>
      <c r="C2868" s="858">
        <f t="shared" si="145"/>
        <v>42403</v>
      </c>
      <c r="D2868" s="858" t="s">
        <v>1548</v>
      </c>
      <c r="E2868" s="48">
        <v>42403</v>
      </c>
      <c r="F2868" s="49" t="s">
        <v>1436</v>
      </c>
      <c r="G2868" s="49" t="s">
        <v>926</v>
      </c>
      <c r="H2868" s="923" t="s">
        <v>1297</v>
      </c>
      <c r="I2868" s="249">
        <v>500</v>
      </c>
      <c r="J2868" s="249">
        <v>17436.750765199831</v>
      </c>
      <c r="K2868" s="51">
        <f t="shared" si="146"/>
        <v>8718375</v>
      </c>
      <c r="L2868" s="924" t="s">
        <v>171</v>
      </c>
      <c r="M2868" s="924" t="s">
        <v>166</v>
      </c>
      <c r="N2868" s="52" t="str">
        <f>IF(AND('331-CT'!$E$7=TH!H2868,OR(L2868="331",M2868="331")),"331",IF(AND(OR(L2868="131",M2868="131"),H2868='131-CT'!$E$7),"131",""))</f>
        <v/>
      </c>
      <c r="O2868" s="818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726"/>
    </row>
    <row r="2869" spans="1:27" s="861" customFormat="1" ht="15.75" customHeight="1">
      <c r="A2869" s="202" t="str">
        <f>IF(B2869&lt;&gt;"",IF(AND(B2869&gt;=_TM1,B2869&lt;=_TM2,OR(TH!L2869="1111",TH!M2869="1111")),TH!D2869,""),"")</f>
        <v/>
      </c>
      <c r="B2869" s="857">
        <f t="shared" si="144"/>
        <v>2</v>
      </c>
      <c r="C2869" s="858">
        <f t="shared" si="145"/>
        <v>42418</v>
      </c>
      <c r="D2869" s="858" t="s">
        <v>1548</v>
      </c>
      <c r="E2869" s="830">
        <v>42418</v>
      </c>
      <c r="F2869" s="831" t="s">
        <v>389</v>
      </c>
      <c r="G2869" s="832" t="s">
        <v>426</v>
      </c>
      <c r="H2869" s="923" t="s">
        <v>1297</v>
      </c>
      <c r="I2869" s="249">
        <v>421</v>
      </c>
      <c r="J2869" s="249">
        <v>6841.2132188822297</v>
      </c>
      <c r="K2869" s="51">
        <f t="shared" si="146"/>
        <v>2880151</v>
      </c>
      <c r="L2869" s="924" t="s">
        <v>171</v>
      </c>
      <c r="M2869" s="924" t="s">
        <v>166</v>
      </c>
      <c r="N2869" s="52" t="str">
        <f>IF(AND('331-CT'!$E$7=TH!H2869,OR(L2869="331",M2869="331")),"331",IF(AND(OR(L2869="131",M2869="131"),H2869='131-CT'!$E$7),"131",""))</f>
        <v/>
      </c>
      <c r="O2869" s="818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726"/>
    </row>
    <row r="2870" spans="1:27" s="861" customFormat="1" ht="15.75" customHeight="1">
      <c r="A2870" s="202" t="str">
        <f>IF(B2870&lt;&gt;"",IF(AND(B2870&gt;=_TM1,B2870&lt;=_TM2,OR(TH!L2870="1111",TH!M2870="1111")),TH!D2870,""),"")</f>
        <v/>
      </c>
      <c r="B2870" s="857">
        <f t="shared" si="144"/>
        <v>2</v>
      </c>
      <c r="C2870" s="858">
        <f t="shared" si="145"/>
        <v>42418</v>
      </c>
      <c r="D2870" s="858" t="s">
        <v>1548</v>
      </c>
      <c r="E2870" s="830">
        <v>42418</v>
      </c>
      <c r="F2870" s="831" t="s">
        <v>927</v>
      </c>
      <c r="G2870" s="832" t="s">
        <v>426</v>
      </c>
      <c r="H2870" s="923" t="s">
        <v>1297</v>
      </c>
      <c r="I2870" s="249">
        <v>596</v>
      </c>
      <c r="J2870" s="249">
        <v>7675.5075138678685</v>
      </c>
      <c r="K2870" s="51">
        <f t="shared" si="146"/>
        <v>4574602</v>
      </c>
      <c r="L2870" s="924" t="s">
        <v>171</v>
      </c>
      <c r="M2870" s="924" t="s">
        <v>166</v>
      </c>
      <c r="N2870" s="52" t="str">
        <f>IF(AND('331-CT'!$E$7=TH!H2870,OR(L2870="331",M2870="331")),"331",IF(AND(OR(L2870="131",M2870="131"),H2870='131-CT'!$E$7),"131",""))</f>
        <v/>
      </c>
      <c r="O2870" s="818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726"/>
    </row>
    <row r="2871" spans="1:27" s="861" customFormat="1" ht="15.75" customHeight="1">
      <c r="A2871" s="202" t="str">
        <f>IF(B2871&lt;&gt;"",IF(AND(B2871&gt;=_TM1,B2871&lt;=_TM2,OR(TH!L2871="1111",TH!M2871="1111")),TH!D2871,""),"")</f>
        <v/>
      </c>
      <c r="B2871" s="857">
        <f t="shared" si="144"/>
        <v>2</v>
      </c>
      <c r="C2871" s="858">
        <f t="shared" si="145"/>
        <v>42418</v>
      </c>
      <c r="D2871" s="858" t="s">
        <v>1548</v>
      </c>
      <c r="E2871" s="830">
        <v>42418</v>
      </c>
      <c r="F2871" s="831" t="s">
        <v>626</v>
      </c>
      <c r="G2871" s="832" t="s">
        <v>426</v>
      </c>
      <c r="H2871" s="923" t="s">
        <v>1297</v>
      </c>
      <c r="I2871" s="249">
        <v>309</v>
      </c>
      <c r="J2871" s="249">
        <v>12347.555565787441</v>
      </c>
      <c r="K2871" s="51">
        <f t="shared" si="146"/>
        <v>3815395</v>
      </c>
      <c r="L2871" s="924" t="s">
        <v>171</v>
      </c>
      <c r="M2871" s="924" t="s">
        <v>166</v>
      </c>
      <c r="N2871" s="52" t="str">
        <f>IF(AND('331-CT'!$E$7=TH!H2871,OR(L2871="331",M2871="331")),"331",IF(AND(OR(L2871="131",M2871="131"),H2871='131-CT'!$E$7),"131",""))</f>
        <v/>
      </c>
      <c r="O2871" s="818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726"/>
    </row>
    <row r="2872" spans="1:27" s="861" customFormat="1" ht="15.75" customHeight="1">
      <c r="A2872" s="202" t="str">
        <f>IF(B2872&lt;&gt;"",IF(AND(B2872&gt;=_TM1,B2872&lt;=_TM2,OR(TH!L2872="1111",TH!M2872="1111")),TH!D2872,""),"")</f>
        <v/>
      </c>
      <c r="B2872" s="857">
        <f t="shared" si="144"/>
        <v>2</v>
      </c>
      <c r="C2872" s="858">
        <f t="shared" si="145"/>
        <v>42420</v>
      </c>
      <c r="D2872" s="858" t="s">
        <v>1548</v>
      </c>
      <c r="E2872" s="830">
        <v>42420</v>
      </c>
      <c r="F2872" s="831" t="s">
        <v>396</v>
      </c>
      <c r="G2872" s="832" t="s">
        <v>427</v>
      </c>
      <c r="H2872" s="923" t="s">
        <v>1297</v>
      </c>
      <c r="I2872" s="249">
        <v>2259</v>
      </c>
      <c r="J2872" s="249">
        <v>6173.7777828937205</v>
      </c>
      <c r="K2872" s="51">
        <f t="shared" si="146"/>
        <v>13946564</v>
      </c>
      <c r="L2872" s="924" t="s">
        <v>171</v>
      </c>
      <c r="M2872" s="924" t="s">
        <v>166</v>
      </c>
      <c r="N2872" s="52" t="str">
        <f>IF(AND('331-CT'!$E$7=TH!H2872,OR(L2872="331",M2872="331")),"331",IF(AND(OR(L2872="131",M2872="131"),H2872='131-CT'!$E$7),"131",""))</f>
        <v/>
      </c>
      <c r="O2872" s="818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726"/>
    </row>
    <row r="2873" spans="1:27" s="861" customFormat="1" ht="15.75" customHeight="1">
      <c r="A2873" s="202" t="str">
        <f>IF(B2873&lt;&gt;"",IF(AND(B2873&gt;=_TM1,B2873&lt;=_TM2,OR(TH!L2873="1111",TH!M2873="1111")),TH!D2873,""),"")</f>
        <v/>
      </c>
      <c r="B2873" s="857">
        <f t="shared" si="144"/>
        <v>2</v>
      </c>
      <c r="C2873" s="858">
        <f t="shared" si="145"/>
        <v>42422</v>
      </c>
      <c r="D2873" s="858" t="s">
        <v>1548</v>
      </c>
      <c r="E2873" s="830">
        <v>42422</v>
      </c>
      <c r="F2873" s="831" t="s">
        <v>962</v>
      </c>
      <c r="G2873" s="832" t="s">
        <v>430</v>
      </c>
      <c r="H2873" s="923" t="s">
        <v>1297</v>
      </c>
      <c r="I2873" s="249">
        <v>349</v>
      </c>
      <c r="J2873" s="249">
        <v>19856.204220658179</v>
      </c>
      <c r="K2873" s="51">
        <f t="shared" si="146"/>
        <v>6929815</v>
      </c>
      <c r="L2873" s="924" t="s">
        <v>171</v>
      </c>
      <c r="M2873" s="924" t="s">
        <v>166</v>
      </c>
      <c r="N2873" s="52" t="str">
        <f>IF(AND('331-CT'!$E$7=TH!H2873,OR(L2873="331",M2873="331")),"331",IF(AND(OR(L2873="131",M2873="131"),H2873='131-CT'!$E$7),"131",""))</f>
        <v/>
      </c>
      <c r="O2873" s="818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726"/>
    </row>
    <row r="2874" spans="1:27" s="861" customFormat="1" ht="15.75" customHeight="1">
      <c r="A2874" s="202" t="str">
        <f>IF(B2874&lt;&gt;"",IF(AND(B2874&gt;=_TM1,B2874&lt;=_TM2,OR(TH!L2874="1111",TH!M2874="1111")),TH!D2874,""),"")</f>
        <v/>
      </c>
      <c r="B2874" s="857">
        <f t="shared" si="144"/>
        <v>2</v>
      </c>
      <c r="C2874" s="858">
        <f t="shared" si="145"/>
        <v>42422</v>
      </c>
      <c r="D2874" s="858" t="s">
        <v>1548</v>
      </c>
      <c r="E2874" s="830">
        <v>42422</v>
      </c>
      <c r="F2874" s="831" t="s">
        <v>597</v>
      </c>
      <c r="G2874" s="832" t="s">
        <v>430</v>
      </c>
      <c r="H2874" s="923" t="s">
        <v>1297</v>
      </c>
      <c r="I2874" s="249">
        <v>205</v>
      </c>
      <c r="J2874" s="249">
        <v>8092.654661360687</v>
      </c>
      <c r="K2874" s="51">
        <f t="shared" si="146"/>
        <v>1658994</v>
      </c>
      <c r="L2874" s="924" t="s">
        <v>171</v>
      </c>
      <c r="M2874" s="924" t="s">
        <v>166</v>
      </c>
      <c r="N2874" s="52" t="str">
        <f>IF(AND('331-CT'!$E$7=TH!H2874,OR(L2874="331",M2874="331")),"331",IF(AND(OR(L2874="131",M2874="131"),H2874='131-CT'!$E$7),"131",""))</f>
        <v/>
      </c>
      <c r="O2874" s="818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726"/>
    </row>
    <row r="2875" spans="1:27" s="861" customFormat="1" ht="15.75" customHeight="1">
      <c r="A2875" s="202" t="str">
        <f>IF(B2875&lt;&gt;"",IF(AND(B2875&gt;=_TM1,B2875&lt;=_TM2,OR(TH!L2875="1111",TH!M2875="1111")),TH!D2875,""),"")</f>
        <v/>
      </c>
      <c r="B2875" s="857">
        <f t="shared" si="144"/>
        <v>2</v>
      </c>
      <c r="C2875" s="858">
        <f t="shared" si="145"/>
        <v>42422</v>
      </c>
      <c r="D2875" s="858" t="s">
        <v>1548</v>
      </c>
      <c r="E2875" s="830">
        <v>42422</v>
      </c>
      <c r="F2875" s="831" t="s">
        <v>456</v>
      </c>
      <c r="G2875" s="832" t="s">
        <v>430</v>
      </c>
      <c r="H2875" s="923" t="s">
        <v>1297</v>
      </c>
      <c r="I2875" s="249">
        <v>407</v>
      </c>
      <c r="J2875" s="249">
        <v>7842.3663728649954</v>
      </c>
      <c r="K2875" s="51">
        <f t="shared" si="146"/>
        <v>3191843</v>
      </c>
      <c r="L2875" s="924" t="s">
        <v>171</v>
      </c>
      <c r="M2875" s="924" t="s">
        <v>166</v>
      </c>
      <c r="N2875" s="52" t="str">
        <f>IF(AND('331-CT'!$E$7=TH!H2875,OR(L2875="331",M2875="331")),"331",IF(AND(OR(L2875="131",M2875="131"),H2875='131-CT'!$E$7),"131",""))</f>
        <v/>
      </c>
      <c r="O2875" s="818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726"/>
    </row>
    <row r="2876" spans="1:27" s="861" customFormat="1" ht="15.75" customHeight="1">
      <c r="A2876" s="202" t="str">
        <f>IF(B2876&lt;&gt;"",IF(AND(B2876&gt;=_TM1,B2876&lt;=_TM2,OR(TH!L2876="1111",TH!M2876="1111")),TH!D2876,""),"")</f>
        <v/>
      </c>
      <c r="B2876" s="857">
        <f t="shared" si="144"/>
        <v>2</v>
      </c>
      <c r="C2876" s="858">
        <f t="shared" si="145"/>
        <v>42422</v>
      </c>
      <c r="D2876" s="858" t="s">
        <v>1548</v>
      </c>
      <c r="E2876" s="830">
        <v>42422</v>
      </c>
      <c r="F2876" s="831" t="s">
        <v>477</v>
      </c>
      <c r="G2876" s="832" t="s">
        <v>430</v>
      </c>
      <c r="H2876" s="923" t="s">
        <v>1297</v>
      </c>
      <c r="I2876" s="249">
        <v>105</v>
      </c>
      <c r="J2876" s="249">
        <v>7758.9369433664324</v>
      </c>
      <c r="K2876" s="51">
        <f t="shared" si="146"/>
        <v>814688</v>
      </c>
      <c r="L2876" s="924" t="s">
        <v>171</v>
      </c>
      <c r="M2876" s="924" t="s">
        <v>166</v>
      </c>
      <c r="N2876" s="52" t="str">
        <f>IF(AND('331-CT'!$E$7=TH!H2876,OR(L2876="331",M2876="331")),"331",IF(AND(OR(L2876="131",M2876="131"),H2876='131-CT'!$E$7),"131",""))</f>
        <v/>
      </c>
      <c r="O2876" s="818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726"/>
    </row>
    <row r="2877" spans="1:27" s="861" customFormat="1" ht="15.75" customHeight="1">
      <c r="A2877" s="202" t="str">
        <f>IF(B2877&lt;&gt;"",IF(AND(B2877&gt;=_TM1,B2877&lt;=_TM2,OR(TH!L2877="1111",TH!M2877="1111")),TH!D2877,""),"")</f>
        <v/>
      </c>
      <c r="B2877" s="857">
        <f t="shared" si="144"/>
        <v>2</v>
      </c>
      <c r="C2877" s="858">
        <f t="shared" si="145"/>
        <v>42423</v>
      </c>
      <c r="D2877" s="858" t="s">
        <v>1548</v>
      </c>
      <c r="E2877" s="830">
        <v>42423</v>
      </c>
      <c r="F2877" s="831" t="s">
        <v>928</v>
      </c>
      <c r="G2877" s="832" t="s">
        <v>431</v>
      </c>
      <c r="H2877" s="923" t="s">
        <v>1297</v>
      </c>
      <c r="I2877" s="249">
        <v>500</v>
      </c>
      <c r="J2877" s="249">
        <v>11096.114123308984</v>
      </c>
      <c r="K2877" s="51">
        <f t="shared" si="146"/>
        <v>5548057</v>
      </c>
      <c r="L2877" s="924" t="s">
        <v>171</v>
      </c>
      <c r="M2877" s="924" t="s">
        <v>166</v>
      </c>
      <c r="N2877" s="52" t="str">
        <f>IF(AND('331-CT'!$E$7=TH!H2877,OR(L2877="331",M2877="331")),"331",IF(AND(OR(L2877="131",M2877="131"),H2877='131-CT'!$E$7),"131",""))</f>
        <v/>
      </c>
      <c r="O2877" s="818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726"/>
    </row>
    <row r="2878" spans="1:27" s="861" customFormat="1" ht="15.75" customHeight="1">
      <c r="A2878" s="202" t="str">
        <f>IF(B2878&lt;&gt;"",IF(AND(B2878&gt;=_TM1,B2878&lt;=_TM2,OR(TH!L2878="1111",TH!M2878="1111")),TH!D2878,""),"")</f>
        <v/>
      </c>
      <c r="B2878" s="857">
        <f t="shared" si="144"/>
        <v>2</v>
      </c>
      <c r="C2878" s="858">
        <f t="shared" si="145"/>
        <v>42423</v>
      </c>
      <c r="D2878" s="858" t="s">
        <v>1548</v>
      </c>
      <c r="E2878" s="48">
        <v>42423</v>
      </c>
      <c r="F2878" s="49" t="s">
        <v>415</v>
      </c>
      <c r="G2878" s="49" t="s">
        <v>432</v>
      </c>
      <c r="H2878" s="923" t="s">
        <v>1297</v>
      </c>
      <c r="I2878" s="249">
        <v>102</v>
      </c>
      <c r="J2878" s="249">
        <v>11179.543552807549</v>
      </c>
      <c r="K2878" s="51">
        <f t="shared" si="146"/>
        <v>1140313</v>
      </c>
      <c r="L2878" s="924" t="s">
        <v>171</v>
      </c>
      <c r="M2878" s="924" t="s">
        <v>166</v>
      </c>
      <c r="N2878" s="52" t="str">
        <f>IF(AND('331-CT'!$E$7=TH!H2878,OR(L2878="331",M2878="331")),"331",IF(AND(OR(L2878="131",M2878="131"),H2878='131-CT'!$E$7),"131",""))</f>
        <v/>
      </c>
      <c r="O2878" s="818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726"/>
    </row>
    <row r="2879" spans="1:27" s="861" customFormat="1" ht="15.75" customHeight="1">
      <c r="A2879" s="202" t="str">
        <f>IF(B2879&lt;&gt;"",IF(AND(B2879&gt;=_TM1,B2879&lt;=_TM2,OR(TH!L2879="1111",TH!M2879="1111")),TH!D2879,""),"")</f>
        <v/>
      </c>
      <c r="B2879" s="857">
        <f t="shared" si="144"/>
        <v>2</v>
      </c>
      <c r="C2879" s="858">
        <f t="shared" si="145"/>
        <v>42423</v>
      </c>
      <c r="D2879" s="858" t="s">
        <v>1548</v>
      </c>
      <c r="E2879" s="48">
        <v>42423</v>
      </c>
      <c r="F2879" s="49" t="s">
        <v>1435</v>
      </c>
      <c r="G2879" s="49" t="s">
        <v>433</v>
      </c>
      <c r="H2879" s="923" t="s">
        <v>1297</v>
      </c>
      <c r="I2879" s="249">
        <v>1509</v>
      </c>
      <c r="J2879" s="249">
        <v>9761.2432513319618</v>
      </c>
      <c r="K2879" s="51">
        <f t="shared" si="146"/>
        <v>14729716</v>
      </c>
      <c r="L2879" s="924" t="s">
        <v>171</v>
      </c>
      <c r="M2879" s="924" t="s">
        <v>166</v>
      </c>
      <c r="N2879" s="52" t="str">
        <f>IF(AND('331-CT'!$E$7=TH!H2879,OR(L2879="331",M2879="331")),"331",IF(AND(OR(L2879="131",M2879="131"),H2879='131-CT'!$E$7),"131",""))</f>
        <v/>
      </c>
      <c r="O2879" s="818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726"/>
    </row>
    <row r="2880" spans="1:27" s="861" customFormat="1" ht="15.75" customHeight="1">
      <c r="A2880" s="202" t="str">
        <f>IF(B2880&lt;&gt;"",IF(AND(B2880&gt;=_TM1,B2880&lt;=_TM2,OR(TH!L2880="1111",TH!M2880="1111")),TH!D2880,""),"")</f>
        <v/>
      </c>
      <c r="B2880" s="857">
        <f t="shared" si="144"/>
        <v>2</v>
      </c>
      <c r="C2880" s="858">
        <f t="shared" si="145"/>
        <v>42423</v>
      </c>
      <c r="D2880" s="858" t="s">
        <v>1548</v>
      </c>
      <c r="E2880" s="48">
        <v>42423</v>
      </c>
      <c r="F2880" s="49" t="s">
        <v>1306</v>
      </c>
      <c r="G2880" s="49" t="s">
        <v>433</v>
      </c>
      <c r="H2880" s="923" t="s">
        <v>1297</v>
      </c>
      <c r="I2880" s="249">
        <v>783</v>
      </c>
      <c r="J2880" s="249">
        <v>10345.24925782191</v>
      </c>
      <c r="K2880" s="51">
        <f t="shared" si="146"/>
        <v>8100330</v>
      </c>
      <c r="L2880" s="924" t="s">
        <v>171</v>
      </c>
      <c r="M2880" s="924" t="s">
        <v>166</v>
      </c>
      <c r="N2880" s="52" t="str">
        <f>IF(AND('331-CT'!$E$7=TH!H2880,OR(L2880="331",M2880="331")),"331",IF(AND(OR(L2880="131",M2880="131"),H2880='131-CT'!$E$7),"131",""))</f>
        <v/>
      </c>
      <c r="O2880" s="818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726"/>
    </row>
    <row r="2881" spans="1:30" s="861" customFormat="1" ht="15.75" customHeight="1">
      <c r="A2881" s="202" t="str">
        <f>IF(B2881&lt;&gt;"",IF(AND(B2881&gt;=_TM1,B2881&lt;=_TM2,OR(TH!L2881="1111",TH!M2881="1111")),TH!D2881,""),"")</f>
        <v/>
      </c>
      <c r="B2881" s="857">
        <f t="shared" si="144"/>
        <v>2</v>
      </c>
      <c r="C2881" s="858">
        <f t="shared" si="145"/>
        <v>42423</v>
      </c>
      <c r="D2881" s="858" t="s">
        <v>1548</v>
      </c>
      <c r="E2881" s="48">
        <v>42423</v>
      </c>
      <c r="F2881" s="831" t="s">
        <v>645</v>
      </c>
      <c r="G2881" s="49" t="s">
        <v>434</v>
      </c>
      <c r="H2881" s="923" t="s">
        <v>1297</v>
      </c>
      <c r="I2881" s="249">
        <v>1000</v>
      </c>
      <c r="J2881" s="249">
        <v>9510.9549628362711</v>
      </c>
      <c r="K2881" s="51">
        <f t="shared" si="146"/>
        <v>9510955</v>
      </c>
      <c r="L2881" s="924" t="s">
        <v>171</v>
      </c>
      <c r="M2881" s="924" t="s">
        <v>166</v>
      </c>
      <c r="N2881" s="52" t="str">
        <f>IF(AND('331-CT'!$E$7=TH!H2881,OR(L2881="331",M2881="331")),"331",IF(AND(OR(L2881="131",M2881="131"),H2881='131-CT'!$E$7),"131",""))</f>
        <v/>
      </c>
      <c r="O2881" s="818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726"/>
    </row>
    <row r="2882" spans="1:30" s="861" customFormat="1" ht="15.75" customHeight="1">
      <c r="A2882" s="202" t="str">
        <f>IF(B2882&lt;&gt;"",IF(AND(B2882&gt;=_TM1,B2882&lt;=_TM2,OR(TH!L2882="1111",TH!M2882="1111")),TH!D2882,""),"")</f>
        <v/>
      </c>
      <c r="B2882" s="857">
        <f t="shared" si="144"/>
        <v>2</v>
      </c>
      <c r="C2882" s="858">
        <f t="shared" si="145"/>
        <v>42423</v>
      </c>
      <c r="D2882" s="858" t="s">
        <v>1548</v>
      </c>
      <c r="E2882" s="48">
        <v>42423</v>
      </c>
      <c r="F2882" s="49" t="s">
        <v>645</v>
      </c>
      <c r="G2882" s="49" t="s">
        <v>434</v>
      </c>
      <c r="H2882" s="923" t="s">
        <v>1297</v>
      </c>
      <c r="I2882" s="249">
        <v>50</v>
      </c>
      <c r="J2882" s="249">
        <v>9510.9549628362711</v>
      </c>
      <c r="K2882" s="51">
        <f t="shared" si="146"/>
        <v>475548</v>
      </c>
      <c r="L2882" s="924" t="s">
        <v>171</v>
      </c>
      <c r="M2882" s="924" t="s">
        <v>166</v>
      </c>
      <c r="N2882" s="52" t="str">
        <f>IF(AND('331-CT'!$E$7=TH!H2882,OR(L2882="331",M2882="331")),"331",IF(AND(OR(L2882="131",M2882="131"),H2882='131-CT'!$E$7),"131",""))</f>
        <v/>
      </c>
      <c r="O2882" s="818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726"/>
    </row>
    <row r="2883" spans="1:30" s="861" customFormat="1" ht="15.75" customHeight="1">
      <c r="A2883" s="202" t="str">
        <f>IF(B2883&lt;&gt;"",IF(AND(B2883&gt;=_TM1,B2883&lt;=_TM2,OR(TH!L2883="1111",TH!M2883="1111")),TH!D2883,""),"")</f>
        <v/>
      </c>
      <c r="B2883" s="857">
        <f t="shared" si="144"/>
        <v>2</v>
      </c>
      <c r="C2883" s="858">
        <f t="shared" si="145"/>
        <v>42423</v>
      </c>
      <c r="D2883" s="858" t="s">
        <v>1548</v>
      </c>
      <c r="E2883" s="48">
        <v>42423</v>
      </c>
      <c r="F2883" s="49" t="s">
        <v>693</v>
      </c>
      <c r="G2883" s="49" t="s">
        <v>434</v>
      </c>
      <c r="H2883" s="923" t="s">
        <v>1297</v>
      </c>
      <c r="I2883" s="249">
        <v>2100</v>
      </c>
      <c r="J2883" s="249">
        <v>750.8648654870741</v>
      </c>
      <c r="K2883" s="51">
        <f t="shared" si="146"/>
        <v>1576816</v>
      </c>
      <c r="L2883" s="924" t="s">
        <v>171</v>
      </c>
      <c r="M2883" s="924" t="s">
        <v>166</v>
      </c>
      <c r="N2883" s="52" t="str">
        <f>IF(AND('331-CT'!$E$7=TH!H2883,OR(L2883="331",M2883="331")),"331",IF(AND(OR(L2883="131",M2883="131"),H2883='131-CT'!$E$7),"131",""))</f>
        <v/>
      </c>
      <c r="O2883" s="818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726"/>
    </row>
    <row r="2884" spans="1:30" s="861" customFormat="1" ht="15.75" customHeight="1">
      <c r="A2884" s="202" t="str">
        <f>IF(B2884&lt;&gt;"",IF(AND(B2884&gt;=_TM1,B2884&lt;=_TM2,OR(TH!L2884="1111",TH!M2884="1111")),TH!D2884,""),"")</f>
        <v/>
      </c>
      <c r="B2884" s="857">
        <f t="shared" si="144"/>
        <v>2</v>
      </c>
      <c r="C2884" s="858">
        <f t="shared" si="145"/>
        <v>42424</v>
      </c>
      <c r="D2884" s="858" t="s">
        <v>1548</v>
      </c>
      <c r="E2884" s="48">
        <v>42424</v>
      </c>
      <c r="F2884" s="49" t="s">
        <v>929</v>
      </c>
      <c r="G2884" s="49" t="s">
        <v>435</v>
      </c>
      <c r="H2884" s="923" t="s">
        <v>1297</v>
      </c>
      <c r="I2884" s="249">
        <v>500</v>
      </c>
      <c r="J2884" s="249">
        <v>17603.609624196957</v>
      </c>
      <c r="K2884" s="51">
        <f t="shared" si="146"/>
        <v>8801805</v>
      </c>
      <c r="L2884" s="924" t="s">
        <v>171</v>
      </c>
      <c r="M2884" s="924" t="s">
        <v>166</v>
      </c>
      <c r="N2884" s="52" t="str">
        <f>IF(AND('331-CT'!$E$7=TH!H2884,OR(L2884="331",M2884="331")),"331",IF(AND(OR(L2884="131",M2884="131"),H2884='131-CT'!$E$7),"131",""))</f>
        <v/>
      </c>
      <c r="O2884" s="818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726"/>
    </row>
    <row r="2885" spans="1:30" s="861" customFormat="1" ht="15.75" customHeight="1">
      <c r="A2885" s="202" t="str">
        <f>IF(B2885&lt;&gt;"",IF(AND(B2885&gt;=_TM1,B2885&lt;=_TM2,OR(TH!L2885="1111",TH!M2885="1111")),TH!D2885,""),"")</f>
        <v/>
      </c>
      <c r="B2885" s="857">
        <f t="shared" si="144"/>
        <v>2</v>
      </c>
      <c r="C2885" s="858">
        <f t="shared" si="145"/>
        <v>42424</v>
      </c>
      <c r="D2885" s="858" t="s">
        <v>1548</v>
      </c>
      <c r="E2885" s="48">
        <v>42424</v>
      </c>
      <c r="F2885" s="49" t="s">
        <v>628</v>
      </c>
      <c r="G2885" s="49" t="s">
        <v>437</v>
      </c>
      <c r="H2885" s="923" t="s">
        <v>1297</v>
      </c>
      <c r="I2885" s="249">
        <v>61</v>
      </c>
      <c r="J2885" s="249">
        <v>23693.957977592116</v>
      </c>
      <c r="K2885" s="51">
        <f t="shared" si="146"/>
        <v>1445331</v>
      </c>
      <c r="L2885" s="924" t="s">
        <v>171</v>
      </c>
      <c r="M2885" s="924" t="s">
        <v>166</v>
      </c>
      <c r="N2885" s="52" t="str">
        <f>IF(AND('331-CT'!$E$7=TH!H2885,OR(L2885="331",M2885="331")),"331",IF(AND(OR(L2885="131",M2885="131"),H2885='131-CT'!$E$7),"131",""))</f>
        <v/>
      </c>
      <c r="O2885" s="818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726"/>
    </row>
    <row r="2886" spans="1:30" s="861" customFormat="1" ht="15.75" customHeight="1">
      <c r="A2886" s="202" t="str">
        <f>IF(B2886&lt;&gt;"",IF(AND(B2886&gt;=_TM1,B2886&lt;=_TM2,OR(TH!L2886="1111",TH!M2886="1111")),TH!D2886,""),"")</f>
        <v/>
      </c>
      <c r="B2886" s="857">
        <f t="shared" si="144"/>
        <v>2</v>
      </c>
      <c r="C2886" s="858">
        <f t="shared" si="145"/>
        <v>42424</v>
      </c>
      <c r="D2886" s="858" t="s">
        <v>1548</v>
      </c>
      <c r="E2886" s="48">
        <v>42424</v>
      </c>
      <c r="F2886" s="49" t="s">
        <v>418</v>
      </c>
      <c r="G2886" s="49" t="s">
        <v>437</v>
      </c>
      <c r="H2886" s="923" t="s">
        <v>1297</v>
      </c>
      <c r="I2886" s="249">
        <v>147</v>
      </c>
      <c r="J2886" s="249">
        <v>60486.336386458745</v>
      </c>
      <c r="K2886" s="51">
        <f t="shared" si="146"/>
        <v>8891491</v>
      </c>
      <c r="L2886" s="924" t="s">
        <v>171</v>
      </c>
      <c r="M2886" s="924" t="s">
        <v>166</v>
      </c>
      <c r="N2886" s="52" t="str">
        <f>IF(AND('331-CT'!$E$7=TH!H2886,OR(L2886="331",M2886="331")),"331",IF(AND(OR(L2886="131",M2886="131"),H2886='131-CT'!$E$7),"131",""))</f>
        <v/>
      </c>
      <c r="O2886" s="818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726"/>
    </row>
    <row r="2887" spans="1:30" s="861" customFormat="1" ht="15.75" customHeight="1">
      <c r="A2887" s="202" t="str">
        <f>IF(B2887&lt;&gt;"",IF(AND(B2887&gt;=_TM1,B2887&lt;=_TM2,OR(TH!L2887="1111",TH!M2887="1111")),TH!D2887,""),"")</f>
        <v/>
      </c>
      <c r="B2887" s="857">
        <f t="shared" si="144"/>
        <v>2</v>
      </c>
      <c r="C2887" s="858">
        <f t="shared" si="145"/>
        <v>42424</v>
      </c>
      <c r="D2887" s="858" t="s">
        <v>1548</v>
      </c>
      <c r="E2887" s="48">
        <v>42424</v>
      </c>
      <c r="F2887" s="49" t="s">
        <v>912</v>
      </c>
      <c r="G2887" s="49" t="s">
        <v>437</v>
      </c>
      <c r="H2887" s="923" t="s">
        <v>1297</v>
      </c>
      <c r="I2887" s="249">
        <v>51</v>
      </c>
      <c r="J2887" s="249">
        <v>63072.648700914222</v>
      </c>
      <c r="K2887" s="51">
        <f t="shared" si="146"/>
        <v>3216705</v>
      </c>
      <c r="L2887" s="924" t="s">
        <v>171</v>
      </c>
      <c r="M2887" s="924" t="s">
        <v>166</v>
      </c>
      <c r="N2887" s="52" t="str">
        <f>IF(AND('331-CT'!$E$7=TH!H2887,OR(L2887="331",M2887="331")),"331",IF(AND(OR(L2887="131",M2887="131"),H2887='131-CT'!$E$7),"131",""))</f>
        <v/>
      </c>
      <c r="O2887" s="818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726"/>
    </row>
    <row r="2888" spans="1:30" s="861" customFormat="1" ht="15.75" customHeight="1">
      <c r="A2888" s="202" t="str">
        <f>IF(B2888&lt;&gt;"",IF(AND(B2888&gt;=_TM1,B2888&lt;=_TM2,OR(TH!L2888="1111",TH!M2888="1111")),TH!D2888,""),"")</f>
        <v/>
      </c>
      <c r="B2888" s="857">
        <f t="shared" si="144"/>
        <v>2</v>
      </c>
      <c r="C2888" s="858">
        <f t="shared" si="145"/>
        <v>42424</v>
      </c>
      <c r="D2888" s="858" t="s">
        <v>1548</v>
      </c>
      <c r="E2888" s="830">
        <v>42424</v>
      </c>
      <c r="F2888" s="831" t="s">
        <v>516</v>
      </c>
      <c r="G2888" s="832" t="s">
        <v>439</v>
      </c>
      <c r="H2888" s="923" t="s">
        <v>1297</v>
      </c>
      <c r="I2888" s="249">
        <v>200</v>
      </c>
      <c r="J2888" s="249">
        <v>10929.255264311856</v>
      </c>
      <c r="K2888" s="51">
        <f t="shared" si="146"/>
        <v>2185851</v>
      </c>
      <c r="L2888" s="924" t="s">
        <v>171</v>
      </c>
      <c r="M2888" s="924" t="s">
        <v>166</v>
      </c>
      <c r="N2888" s="52" t="str">
        <f>IF(AND('331-CT'!$E$7=TH!H2888,OR(L2888="331",M2888="331")),"331",IF(AND(OR(L2888="131",M2888="131"),H2888='131-CT'!$E$7),"131",""))</f>
        <v/>
      </c>
      <c r="O2888" s="818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726"/>
    </row>
    <row r="2889" spans="1:30" s="861" customFormat="1" ht="15.75" customHeight="1">
      <c r="A2889" s="202" t="str">
        <f>IF(B2889&lt;&gt;"",IF(AND(B2889&gt;=_TM1,B2889&lt;=_TM2,OR(TH!L2889="1111",TH!M2889="1111")),TH!D2889,""),"")</f>
        <v/>
      </c>
      <c r="B2889" s="857">
        <f t="shared" si="144"/>
        <v>2</v>
      </c>
      <c r="C2889" s="858">
        <f t="shared" si="145"/>
        <v>42424</v>
      </c>
      <c r="D2889" s="858" t="s">
        <v>1548</v>
      </c>
      <c r="E2889" s="830">
        <v>42424</v>
      </c>
      <c r="F2889" s="831" t="s">
        <v>1229</v>
      </c>
      <c r="G2889" s="832" t="s">
        <v>439</v>
      </c>
      <c r="H2889" s="923" t="s">
        <v>1297</v>
      </c>
      <c r="I2889" s="249">
        <v>40</v>
      </c>
      <c r="J2889" s="249">
        <v>12764.70271328026</v>
      </c>
      <c r="K2889" s="51">
        <f t="shared" si="146"/>
        <v>510588</v>
      </c>
      <c r="L2889" s="924" t="s">
        <v>171</v>
      </c>
      <c r="M2889" s="924" t="s">
        <v>166</v>
      </c>
      <c r="N2889" s="52" t="str">
        <f>IF(AND('331-CT'!$E$7=TH!H2889,OR(L2889="331",M2889="331")),"331",IF(AND(OR(L2889="131",M2889="131"),H2889='131-CT'!$E$7),"131",""))</f>
        <v/>
      </c>
      <c r="O2889" s="818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726"/>
    </row>
    <row r="2890" spans="1:30" s="861" customFormat="1" ht="15.75" customHeight="1">
      <c r="A2890" s="202" t="str">
        <f>IF(B2890&lt;&gt;"",IF(AND(B2890&gt;=_TM1,B2890&lt;=_TM2,OR(TH!L2890="1111",TH!M2890="1111")),TH!D2890,""),"")</f>
        <v/>
      </c>
      <c r="B2890" s="857">
        <f t="shared" si="144"/>
        <v>2</v>
      </c>
      <c r="C2890" s="858">
        <f t="shared" si="145"/>
        <v>42424</v>
      </c>
      <c r="D2890" s="858" t="s">
        <v>1548</v>
      </c>
      <c r="E2890" s="830">
        <v>42424</v>
      </c>
      <c r="F2890" s="831" t="s">
        <v>697</v>
      </c>
      <c r="G2890" s="832" t="s">
        <v>439</v>
      </c>
      <c r="H2890" s="923" t="s">
        <v>1297</v>
      </c>
      <c r="I2890" s="249">
        <v>5</v>
      </c>
      <c r="J2890" s="249">
        <v>14349.86187375297</v>
      </c>
      <c r="K2890" s="51">
        <f t="shared" si="146"/>
        <v>71749</v>
      </c>
      <c r="L2890" s="924" t="s">
        <v>171</v>
      </c>
      <c r="M2890" s="924" t="s">
        <v>166</v>
      </c>
      <c r="N2890" s="52" t="str">
        <f>IF(AND('331-CT'!$E$7=TH!H2890,OR(L2890="331",M2890="331")),"331",IF(AND(OR(L2890="131",M2890="131"),H2890='131-CT'!$E$7),"131",""))</f>
        <v/>
      </c>
      <c r="O2890" s="818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726"/>
    </row>
    <row r="2891" spans="1:30" s="861" customFormat="1" ht="15.75" customHeight="1">
      <c r="A2891" s="202" t="str">
        <f>IF(B2891&lt;&gt;"",IF(AND(B2891&gt;=_TM1,B2891&lt;=_TM2,OR(TH!L2891="1111",TH!M2891="1111")),TH!D2891,""),"")</f>
        <v/>
      </c>
      <c r="B2891" s="857">
        <f t="shared" si="144"/>
        <v>2</v>
      </c>
      <c r="C2891" s="858">
        <f t="shared" si="145"/>
        <v>42424</v>
      </c>
      <c r="D2891" s="858" t="s">
        <v>1548</v>
      </c>
      <c r="E2891" s="830">
        <v>42424</v>
      </c>
      <c r="F2891" s="831" t="s">
        <v>695</v>
      </c>
      <c r="G2891" s="832" t="s">
        <v>439</v>
      </c>
      <c r="H2891" s="923" t="s">
        <v>1297</v>
      </c>
      <c r="I2891" s="249">
        <v>30</v>
      </c>
      <c r="J2891" s="249">
        <v>13849.285296761587</v>
      </c>
      <c r="K2891" s="51">
        <f t="shared" si="146"/>
        <v>415479</v>
      </c>
      <c r="L2891" s="924" t="s">
        <v>171</v>
      </c>
      <c r="M2891" s="924" t="s">
        <v>166</v>
      </c>
      <c r="N2891" s="52" t="str">
        <f>IF(AND('331-CT'!$E$7=TH!H2891,OR(L2891="331",M2891="331")),"331",IF(AND(OR(L2891="131",M2891="131"),H2891='131-CT'!$E$7),"131",""))</f>
        <v/>
      </c>
      <c r="O2891" s="818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726"/>
    </row>
    <row r="2892" spans="1:30" s="861" customFormat="1" ht="15.75" customHeight="1">
      <c r="A2892" s="202" t="str">
        <f>IF(B2892&lt;&gt;"",IF(AND(B2892&gt;=_TM1,B2892&lt;=_TM2,OR(TH!L2892="1111",TH!M2892="1111")),TH!D2892,""),"")</f>
        <v/>
      </c>
      <c r="B2892" s="857">
        <f t="shared" si="144"/>
        <v>2</v>
      </c>
      <c r="C2892" s="858">
        <f t="shared" si="145"/>
        <v>42424</v>
      </c>
      <c r="D2892" s="858" t="s">
        <v>1548</v>
      </c>
      <c r="E2892" s="830">
        <v>42424</v>
      </c>
      <c r="F2892" s="831" t="s">
        <v>714</v>
      </c>
      <c r="G2892" s="832" t="s">
        <v>439</v>
      </c>
      <c r="H2892" s="923" t="s">
        <v>1297</v>
      </c>
      <c r="I2892" s="249">
        <v>550</v>
      </c>
      <c r="J2892" s="249">
        <v>8176.0840908592509</v>
      </c>
      <c r="K2892" s="51">
        <f t="shared" si="146"/>
        <v>4496846</v>
      </c>
      <c r="L2892" s="924" t="s">
        <v>171</v>
      </c>
      <c r="M2892" s="924" t="s">
        <v>166</v>
      </c>
      <c r="N2892" s="52" t="str">
        <f>IF(AND('331-CT'!$E$7=TH!H2892,OR(L2892="331",M2892="331")),"331",IF(AND(OR(L2892="131",M2892="131"),H2892='131-CT'!$E$7),"131",""))</f>
        <v/>
      </c>
      <c r="O2892" s="818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726"/>
    </row>
    <row r="2893" spans="1:30" s="861" customFormat="1" ht="15.75" customHeight="1">
      <c r="A2893" s="202" t="str">
        <f>IF(B2893&lt;&gt;"",IF(AND(B2893&gt;=_TM1,B2893&lt;=_TM2,OR(TH!L2893="1111",TH!M2893="1111")),TH!D2893,""),"")</f>
        <v/>
      </c>
      <c r="B2893" s="857">
        <f t="shared" si="144"/>
        <v>2</v>
      </c>
      <c r="C2893" s="858">
        <f t="shared" si="145"/>
        <v>42424</v>
      </c>
      <c r="D2893" s="858" t="s">
        <v>1548</v>
      </c>
      <c r="E2893" s="830">
        <v>42424</v>
      </c>
      <c r="F2893" s="831" t="s">
        <v>518</v>
      </c>
      <c r="G2893" s="832" t="s">
        <v>439</v>
      </c>
      <c r="H2893" s="923" t="s">
        <v>1297</v>
      </c>
      <c r="I2893" s="249">
        <v>45</v>
      </c>
      <c r="J2893" s="249">
        <v>12264.126136288876</v>
      </c>
      <c r="K2893" s="51">
        <f t="shared" si="146"/>
        <v>551886</v>
      </c>
      <c r="L2893" s="924" t="s">
        <v>171</v>
      </c>
      <c r="M2893" s="924" t="s">
        <v>166</v>
      </c>
      <c r="N2893" s="52" t="str">
        <f>IF(AND('331-CT'!$E$7=TH!H2893,OR(L2893="331",M2893="331")),"331",IF(AND(OR(L2893="131",M2893="131"),H2893='131-CT'!$E$7),"131",""))</f>
        <v/>
      </c>
      <c r="O2893" s="818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726"/>
    </row>
    <row r="2894" spans="1:30" s="861" customFormat="1" ht="15.75" customHeight="1">
      <c r="A2894" s="202" t="str">
        <f>IF(B2894&lt;&gt;"",IF(AND(B2894&gt;=_TM1,B2894&lt;=_TM2,OR(TH!L2894="1111",TH!M2894="1111")),TH!D2894,""),"")</f>
        <v/>
      </c>
      <c r="B2894" s="857">
        <f t="shared" si="144"/>
        <v>2</v>
      </c>
      <c r="C2894" s="858">
        <f t="shared" si="145"/>
        <v>42425</v>
      </c>
      <c r="D2894" s="858" t="s">
        <v>1548</v>
      </c>
      <c r="E2894" s="830">
        <v>42425</v>
      </c>
      <c r="F2894" s="831" t="s">
        <v>930</v>
      </c>
      <c r="G2894" s="832" t="s">
        <v>440</v>
      </c>
      <c r="H2894" s="923" t="s">
        <v>1297</v>
      </c>
      <c r="I2894" s="249">
        <v>110</v>
      </c>
      <c r="J2894" s="249">
        <v>6924.6426483807936</v>
      </c>
      <c r="K2894" s="51">
        <f t="shared" si="146"/>
        <v>761711</v>
      </c>
      <c r="L2894" s="924" t="s">
        <v>171</v>
      </c>
      <c r="M2894" s="924" t="s">
        <v>166</v>
      </c>
      <c r="N2894" s="52" t="str">
        <f>IF(AND('331-CT'!$E$7=TH!H2894,OR(L2894="331",M2894="331")),"331",IF(AND(OR(L2894="131",M2894="131"),H2894='131-CT'!$E$7),"131",""))</f>
        <v/>
      </c>
      <c r="O2894" s="818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726"/>
    </row>
    <row r="2895" spans="1:30" s="861" customFormat="1" ht="15.75" customHeight="1">
      <c r="A2895" s="202" t="str">
        <f>IF(B2895&lt;&gt;"",IF(AND(B2895&gt;=_TM1,B2895&lt;=_TM2,OR(TH!L2895="1111",TH!M2895="1111")),TH!D2895,""),"")</f>
        <v/>
      </c>
      <c r="B2895" s="857">
        <f t="shared" si="144"/>
        <v>2</v>
      </c>
      <c r="C2895" s="858">
        <f t="shared" si="145"/>
        <v>42425</v>
      </c>
      <c r="D2895" s="858" t="s">
        <v>1548</v>
      </c>
      <c r="E2895" s="830">
        <v>42425</v>
      </c>
      <c r="F2895" s="831" t="s">
        <v>480</v>
      </c>
      <c r="G2895" s="832" t="s">
        <v>440</v>
      </c>
      <c r="H2895" s="923" t="s">
        <v>1297</v>
      </c>
      <c r="I2895" s="249">
        <v>1172</v>
      </c>
      <c r="J2895" s="249">
        <v>10595.537546317601</v>
      </c>
      <c r="K2895" s="51">
        <f t="shared" si="146"/>
        <v>12417970</v>
      </c>
      <c r="L2895" s="924" t="s">
        <v>171</v>
      </c>
      <c r="M2895" s="924" t="s">
        <v>166</v>
      </c>
      <c r="N2895" s="52" t="str">
        <f>IF(AND('331-CT'!$E$7=TH!H2895,OR(L2895="331",M2895="331")),"331",IF(AND(OR(L2895="131",M2895="131"),H2895='131-CT'!$E$7),"131",""))</f>
        <v/>
      </c>
      <c r="O2895" s="818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726"/>
      <c r="AD2895" s="929"/>
    </row>
    <row r="2896" spans="1:30" s="861" customFormat="1" ht="15.75" customHeight="1">
      <c r="A2896" s="202" t="str">
        <f>IF(B2896&lt;&gt;"",IF(AND(B2896&gt;=_TM1,B2896&lt;=_TM2,OR(TH!L2896="1111",TH!M2896="1111")),TH!D2896,""),"")</f>
        <v/>
      </c>
      <c r="B2896" s="857">
        <f t="shared" si="144"/>
        <v>2</v>
      </c>
      <c r="C2896" s="858">
        <f t="shared" si="145"/>
        <v>42425</v>
      </c>
      <c r="D2896" s="858" t="s">
        <v>1548</v>
      </c>
      <c r="E2896" s="830">
        <v>42425</v>
      </c>
      <c r="F2896" s="831" t="s">
        <v>916</v>
      </c>
      <c r="G2896" s="832" t="s">
        <v>440</v>
      </c>
      <c r="H2896" s="923" t="s">
        <v>1297</v>
      </c>
      <c r="I2896" s="249">
        <v>110</v>
      </c>
      <c r="J2896" s="249">
        <v>11012.684693810421</v>
      </c>
      <c r="K2896" s="51">
        <f t="shared" si="146"/>
        <v>1211395</v>
      </c>
      <c r="L2896" s="924" t="s">
        <v>171</v>
      </c>
      <c r="M2896" s="924" t="s">
        <v>166</v>
      </c>
      <c r="N2896" s="52" t="str">
        <f>IF(AND('331-CT'!$E$7=TH!H2896,OR(L2896="331",M2896="331")),"331",IF(AND(OR(L2896="131",M2896="131"),H2896='131-CT'!$E$7),"131",""))</f>
        <v/>
      </c>
      <c r="O2896" s="818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726"/>
    </row>
    <row r="2897" spans="1:27" s="861" customFormat="1" ht="15.75" customHeight="1">
      <c r="A2897" s="202" t="str">
        <f>IF(B2897&lt;&gt;"",IF(AND(B2897&gt;=_TM1,B2897&lt;=_TM2,OR(TH!L2897="1111",TH!M2897="1111")),TH!D2897,""),"")</f>
        <v/>
      </c>
      <c r="B2897" s="857">
        <f t="shared" si="144"/>
        <v>2</v>
      </c>
      <c r="C2897" s="858">
        <f t="shared" si="145"/>
        <v>42425</v>
      </c>
      <c r="D2897" s="858" t="s">
        <v>1548</v>
      </c>
      <c r="E2897" s="830">
        <v>42425</v>
      </c>
      <c r="F2897" s="831" t="s">
        <v>931</v>
      </c>
      <c r="G2897" s="832" t="s">
        <v>440</v>
      </c>
      <c r="H2897" s="923" t="s">
        <v>1297</v>
      </c>
      <c r="I2897" s="249">
        <v>110</v>
      </c>
      <c r="J2897" s="249">
        <v>13014.99100177595</v>
      </c>
      <c r="K2897" s="51">
        <f t="shared" si="146"/>
        <v>1431649</v>
      </c>
      <c r="L2897" s="924" t="s">
        <v>171</v>
      </c>
      <c r="M2897" s="924" t="s">
        <v>166</v>
      </c>
      <c r="N2897" s="52" t="str">
        <f>IF(AND('331-CT'!$E$7=TH!H2897,OR(L2897="331",M2897="331")),"331",IF(AND(OR(L2897="131",M2897="131"),H2897='131-CT'!$E$7),"131",""))</f>
        <v/>
      </c>
      <c r="O2897" s="818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726"/>
    </row>
    <row r="2898" spans="1:27" s="861" customFormat="1" ht="15.75" customHeight="1">
      <c r="A2898" s="202" t="str">
        <f>IF(B2898&lt;&gt;"",IF(AND(B2898&gt;=_TM1,B2898&lt;=_TM2,OR(TH!L2898="1111",TH!M2898="1111")),TH!D2898,""),"")</f>
        <v/>
      </c>
      <c r="B2898" s="857">
        <f t="shared" si="144"/>
        <v>2</v>
      </c>
      <c r="C2898" s="858">
        <f t="shared" si="145"/>
        <v>42425</v>
      </c>
      <c r="D2898" s="858" t="s">
        <v>1548</v>
      </c>
      <c r="E2898" s="830">
        <v>42425</v>
      </c>
      <c r="F2898" s="831" t="s">
        <v>698</v>
      </c>
      <c r="G2898" s="832" t="s">
        <v>442</v>
      </c>
      <c r="H2898" s="923" t="s">
        <v>1297</v>
      </c>
      <c r="I2898" s="249">
        <v>20</v>
      </c>
      <c r="J2898" s="249">
        <v>11012.684693810421</v>
      </c>
      <c r="K2898" s="51">
        <f t="shared" si="146"/>
        <v>220254</v>
      </c>
      <c r="L2898" s="924" t="s">
        <v>171</v>
      </c>
      <c r="M2898" s="924" t="s">
        <v>166</v>
      </c>
      <c r="N2898" s="52" t="str">
        <f>IF(AND('331-CT'!$E$7=TH!H2898,OR(L2898="331",M2898="331")),"331",IF(AND(OR(L2898="131",M2898="131"),H2898='131-CT'!$E$7),"131",""))</f>
        <v/>
      </c>
      <c r="O2898" s="818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726"/>
    </row>
    <row r="2899" spans="1:27" s="861" customFormat="1" ht="15.75" customHeight="1">
      <c r="A2899" s="202" t="str">
        <f>IF(B2899&lt;&gt;"",IF(AND(B2899&gt;=_TM1,B2899&lt;=_TM2,OR(TH!L2899="1111",TH!M2899="1111")),TH!D2899,""),"")</f>
        <v/>
      </c>
      <c r="B2899" s="857">
        <f t="shared" si="144"/>
        <v>2</v>
      </c>
      <c r="C2899" s="858">
        <f t="shared" si="145"/>
        <v>42425</v>
      </c>
      <c r="D2899" s="858" t="s">
        <v>1548</v>
      </c>
      <c r="E2899" s="830">
        <v>42425</v>
      </c>
      <c r="F2899" s="831" t="s">
        <v>696</v>
      </c>
      <c r="G2899" s="832" t="s">
        <v>442</v>
      </c>
      <c r="H2899" s="923" t="s">
        <v>1297</v>
      </c>
      <c r="I2899" s="249">
        <v>40</v>
      </c>
      <c r="J2899" s="249">
        <v>7592.0780843693046</v>
      </c>
      <c r="K2899" s="51">
        <f t="shared" si="146"/>
        <v>303683</v>
      </c>
      <c r="L2899" s="924" t="s">
        <v>171</v>
      </c>
      <c r="M2899" s="924" t="s">
        <v>166</v>
      </c>
      <c r="N2899" s="52" t="str">
        <f>IF(AND('331-CT'!$E$7=TH!H2899,OR(L2899="331",M2899="331")),"331",IF(AND(OR(L2899="131",M2899="131"),H2899='131-CT'!$E$7),"131",""))</f>
        <v/>
      </c>
      <c r="O2899" s="818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726"/>
    </row>
    <row r="2900" spans="1:27" s="861" customFormat="1" ht="15.75" customHeight="1">
      <c r="A2900" s="202" t="str">
        <f>IF(B2900&lt;&gt;"",IF(AND(B2900&gt;=_TM1,B2900&lt;=_TM2,OR(TH!L2900="1111",TH!M2900="1111")),TH!D2900,""),"")</f>
        <v/>
      </c>
      <c r="B2900" s="857">
        <f t="shared" si="144"/>
        <v>2</v>
      </c>
      <c r="C2900" s="858">
        <f t="shared" si="145"/>
        <v>42425</v>
      </c>
      <c r="D2900" s="858" t="s">
        <v>1548</v>
      </c>
      <c r="E2900" s="830">
        <v>42425</v>
      </c>
      <c r="F2900" s="831" t="s">
        <v>530</v>
      </c>
      <c r="G2900" s="832" t="s">
        <v>442</v>
      </c>
      <c r="H2900" s="923" t="s">
        <v>1297</v>
      </c>
      <c r="I2900" s="249">
        <v>100</v>
      </c>
      <c r="J2900" s="249">
        <v>8259.5135203578157</v>
      </c>
      <c r="K2900" s="51">
        <f t="shared" si="146"/>
        <v>825951</v>
      </c>
      <c r="L2900" s="924" t="s">
        <v>171</v>
      </c>
      <c r="M2900" s="924" t="s">
        <v>166</v>
      </c>
      <c r="N2900" s="52" t="str">
        <f>IF(AND('331-CT'!$E$7=TH!H2900,OR(L2900="331",M2900="331")),"331",IF(AND(OR(L2900="131",M2900="131"),H2900='131-CT'!$E$7),"131",""))</f>
        <v/>
      </c>
      <c r="O2900" s="818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726"/>
    </row>
    <row r="2901" spans="1:27" s="861" customFormat="1" ht="15.75" customHeight="1">
      <c r="A2901" s="202" t="str">
        <f>IF(B2901&lt;&gt;"",IF(AND(B2901&gt;=_TM1,B2901&lt;=_TM2,OR(TH!L2901="1111",TH!M2901="1111")),TH!D2901,""),"")</f>
        <v/>
      </c>
      <c r="B2901" s="857">
        <f t="shared" si="144"/>
        <v>2</v>
      </c>
      <c r="C2901" s="858">
        <f t="shared" si="145"/>
        <v>42425</v>
      </c>
      <c r="D2901" s="858" t="s">
        <v>1548</v>
      </c>
      <c r="E2901" s="830">
        <v>42425</v>
      </c>
      <c r="F2901" s="831" t="s">
        <v>517</v>
      </c>
      <c r="G2901" s="832" t="s">
        <v>442</v>
      </c>
      <c r="H2901" s="923" t="s">
        <v>1297</v>
      </c>
      <c r="I2901" s="249">
        <v>60</v>
      </c>
      <c r="J2901" s="249">
        <v>14933.867880242919</v>
      </c>
      <c r="K2901" s="51">
        <f t="shared" si="146"/>
        <v>896032</v>
      </c>
      <c r="L2901" s="924" t="s">
        <v>171</v>
      </c>
      <c r="M2901" s="924" t="s">
        <v>166</v>
      </c>
      <c r="N2901" s="52" t="str">
        <f>IF(AND('331-CT'!$E$7=TH!H2901,OR(L2901="331",M2901="331")),"331",IF(AND(OR(L2901="131",M2901="131"),H2901='131-CT'!$E$7),"131",""))</f>
        <v/>
      </c>
      <c r="O2901" s="818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726"/>
    </row>
    <row r="2902" spans="1:27" s="861" customFormat="1" ht="15.75" customHeight="1">
      <c r="A2902" s="202" t="str">
        <f>IF(B2902&lt;&gt;"",IF(AND(B2902&gt;=_TM1,B2902&lt;=_TM2,OR(TH!L2902="1111",TH!M2902="1111")),TH!D2902,""),"")</f>
        <v/>
      </c>
      <c r="B2902" s="857">
        <f t="shared" ref="B2902:B2965" si="147">IF(C2902&lt;&gt;"",MONTH(C2902),"")</f>
        <v>2</v>
      </c>
      <c r="C2902" s="858">
        <f t="shared" si="145"/>
        <v>42425</v>
      </c>
      <c r="D2902" s="858" t="s">
        <v>1548</v>
      </c>
      <c r="E2902" s="830">
        <v>42425</v>
      </c>
      <c r="F2902" s="831" t="s">
        <v>704</v>
      </c>
      <c r="G2902" s="832" t="s">
        <v>442</v>
      </c>
      <c r="H2902" s="923" t="s">
        <v>1297</v>
      </c>
      <c r="I2902" s="249">
        <v>45</v>
      </c>
      <c r="J2902" s="249">
        <v>13181.849860773078</v>
      </c>
      <c r="K2902" s="51">
        <f t="shared" si="146"/>
        <v>593183</v>
      </c>
      <c r="L2902" s="924" t="s">
        <v>171</v>
      </c>
      <c r="M2902" s="924" t="s">
        <v>166</v>
      </c>
      <c r="N2902" s="52" t="str">
        <f>IF(AND('331-CT'!$E$7=TH!H2902,OR(L2902="331",M2902="331")),"331",IF(AND(OR(L2902="131",M2902="131"),H2902='131-CT'!$E$7),"131",""))</f>
        <v/>
      </c>
      <c r="O2902" s="818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726"/>
    </row>
    <row r="2903" spans="1:27" s="861" customFormat="1" ht="15.75" customHeight="1">
      <c r="A2903" s="202" t="str">
        <f>IF(B2903&lt;&gt;"",IF(AND(B2903&gt;=_TM1,B2903&lt;=_TM2,OR(TH!L2903="1111",TH!M2903="1111")),TH!D2903,""),"")</f>
        <v/>
      </c>
      <c r="B2903" s="857">
        <f t="shared" si="147"/>
        <v>2</v>
      </c>
      <c r="C2903" s="858">
        <f t="shared" si="145"/>
        <v>42425</v>
      </c>
      <c r="D2903" s="858" t="s">
        <v>1548</v>
      </c>
      <c r="E2903" s="48">
        <v>42425</v>
      </c>
      <c r="F2903" s="831" t="s">
        <v>517</v>
      </c>
      <c r="G2903" s="832" t="s">
        <v>442</v>
      </c>
      <c r="H2903" s="923" t="s">
        <v>1297</v>
      </c>
      <c r="I2903" s="249">
        <v>15</v>
      </c>
      <c r="J2903" s="249">
        <v>14933.867880242919</v>
      </c>
      <c r="K2903" s="51">
        <f t="shared" si="146"/>
        <v>224008</v>
      </c>
      <c r="L2903" s="924" t="s">
        <v>171</v>
      </c>
      <c r="M2903" s="924" t="s">
        <v>166</v>
      </c>
      <c r="N2903" s="52" t="str">
        <f>IF(AND('331-CT'!$E$7=TH!H2903,OR(L2903="331",M2903="331")),"331",IF(AND(OR(L2903="131",M2903="131"),H2903='131-CT'!$E$7),"131",""))</f>
        <v/>
      </c>
      <c r="O2903" s="818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726"/>
    </row>
    <row r="2904" spans="1:27" s="861" customFormat="1" ht="15.75" customHeight="1">
      <c r="A2904" s="202" t="str">
        <f>IF(B2904&lt;&gt;"",IF(AND(B2904&gt;=_TM1,B2904&lt;=_TM2,OR(TH!L2904="1111",TH!M2904="1111")),TH!D2904,""),"")</f>
        <v/>
      </c>
      <c r="B2904" s="857">
        <f t="shared" si="147"/>
        <v>2</v>
      </c>
      <c r="C2904" s="858">
        <f t="shared" si="145"/>
        <v>42425</v>
      </c>
      <c r="D2904" s="858" t="s">
        <v>1548</v>
      </c>
      <c r="E2904" s="48">
        <v>42425</v>
      </c>
      <c r="F2904" s="831" t="s">
        <v>707</v>
      </c>
      <c r="G2904" s="832" t="s">
        <v>442</v>
      </c>
      <c r="H2904" s="923" t="s">
        <v>1297</v>
      </c>
      <c r="I2904" s="249">
        <v>10</v>
      </c>
      <c r="J2904" s="249">
        <v>13014.99100177595</v>
      </c>
      <c r="K2904" s="51">
        <f t="shared" si="146"/>
        <v>130150</v>
      </c>
      <c r="L2904" s="924" t="s">
        <v>171</v>
      </c>
      <c r="M2904" s="924" t="s">
        <v>166</v>
      </c>
      <c r="N2904" s="52" t="str">
        <f>IF(AND('331-CT'!$E$7=TH!H2904,OR(L2904="331",M2904="331")),"331",IF(AND(OR(L2904="131",M2904="131"),H2904='131-CT'!$E$7),"131",""))</f>
        <v/>
      </c>
      <c r="O2904" s="818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726"/>
    </row>
    <row r="2905" spans="1:27" s="861" customFormat="1" ht="15.75" customHeight="1">
      <c r="A2905" s="202" t="str">
        <f>IF(B2905&lt;&gt;"",IF(AND(B2905&gt;=_TM1,B2905&lt;=_TM2,OR(TH!L2905="1111",TH!M2905="1111")),TH!D2905,""),"")</f>
        <v/>
      </c>
      <c r="B2905" s="857">
        <f t="shared" si="147"/>
        <v>2</v>
      </c>
      <c r="C2905" s="858">
        <f t="shared" si="145"/>
        <v>42427</v>
      </c>
      <c r="D2905" s="858" t="s">
        <v>1548</v>
      </c>
      <c r="E2905" s="48">
        <v>42427</v>
      </c>
      <c r="F2905" s="831" t="s">
        <v>699</v>
      </c>
      <c r="G2905" s="832" t="s">
        <v>932</v>
      </c>
      <c r="H2905" s="923" t="s">
        <v>1297</v>
      </c>
      <c r="I2905" s="249">
        <v>40</v>
      </c>
      <c r="J2905" s="249">
        <v>9260.6666743405804</v>
      </c>
      <c r="K2905" s="51">
        <f t="shared" si="146"/>
        <v>370427</v>
      </c>
      <c r="L2905" s="924" t="s">
        <v>171</v>
      </c>
      <c r="M2905" s="924" t="s">
        <v>166</v>
      </c>
      <c r="N2905" s="52" t="str">
        <f>IF(AND('331-CT'!$E$7=TH!H2905,OR(L2905="331",M2905="331")),"331",IF(AND(OR(L2905="131",M2905="131"),H2905='131-CT'!$E$7),"131",""))</f>
        <v/>
      </c>
      <c r="O2905" s="818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726"/>
    </row>
    <row r="2906" spans="1:27" s="861" customFormat="1" ht="15.75" customHeight="1">
      <c r="A2906" s="202" t="str">
        <f>IF(B2906&lt;&gt;"",IF(AND(B2906&gt;=_TM1,B2906&lt;=_TM2,OR(TH!L2906="1111",TH!M2906="1111")),TH!D2906,""),"")</f>
        <v/>
      </c>
      <c r="B2906" s="857">
        <f t="shared" si="147"/>
        <v>2</v>
      </c>
      <c r="C2906" s="858">
        <f t="shared" si="145"/>
        <v>42427</v>
      </c>
      <c r="D2906" s="858" t="s">
        <v>1548</v>
      </c>
      <c r="E2906" s="48">
        <v>42427</v>
      </c>
      <c r="F2906" s="831" t="s">
        <v>708</v>
      </c>
      <c r="G2906" s="832" t="s">
        <v>932</v>
      </c>
      <c r="H2906" s="923" t="s">
        <v>1297</v>
      </c>
      <c r="I2906" s="249">
        <v>20</v>
      </c>
      <c r="J2906" s="249">
        <v>12180.696706790313</v>
      </c>
      <c r="K2906" s="51">
        <f t="shared" si="146"/>
        <v>243614</v>
      </c>
      <c r="L2906" s="924" t="s">
        <v>171</v>
      </c>
      <c r="M2906" s="924" t="s">
        <v>166</v>
      </c>
      <c r="N2906" s="52" t="str">
        <f>IF(AND('331-CT'!$E$7=TH!H2906,OR(L2906="331",M2906="331")),"331",IF(AND(OR(L2906="131",M2906="131"),H2906='131-CT'!$E$7),"131",""))</f>
        <v/>
      </c>
      <c r="O2906" s="818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726"/>
    </row>
    <row r="2907" spans="1:27" s="861" customFormat="1" ht="15.75" customHeight="1">
      <c r="A2907" s="202" t="str">
        <f>IF(B2907&lt;&gt;"",IF(AND(B2907&gt;=_TM1,B2907&lt;=_TM2,OR(TH!L2907="1111",TH!M2907="1111")),TH!D2907,""),"")</f>
        <v/>
      </c>
      <c r="B2907" s="857">
        <f t="shared" si="147"/>
        <v>2</v>
      </c>
      <c r="C2907" s="858">
        <f t="shared" ref="C2907:C2970" si="148">E2907</f>
        <v>42427</v>
      </c>
      <c r="D2907" s="858" t="s">
        <v>1548</v>
      </c>
      <c r="E2907" s="48">
        <v>42427</v>
      </c>
      <c r="F2907" s="831" t="s">
        <v>697</v>
      </c>
      <c r="G2907" s="832" t="s">
        <v>932</v>
      </c>
      <c r="H2907" s="923" t="s">
        <v>1297</v>
      </c>
      <c r="I2907" s="249">
        <v>10</v>
      </c>
      <c r="J2907" s="249">
        <v>14349.86187375297</v>
      </c>
      <c r="K2907" s="51">
        <f t="shared" si="146"/>
        <v>143499</v>
      </c>
      <c r="L2907" s="924" t="s">
        <v>171</v>
      </c>
      <c r="M2907" s="924" t="s">
        <v>166</v>
      </c>
      <c r="N2907" s="52" t="str">
        <f>IF(AND('331-CT'!$E$7=TH!H2907,OR(L2907="331",M2907="331")),"331",IF(AND(OR(L2907="131",M2907="131"),H2907='131-CT'!$E$7),"131",""))</f>
        <v/>
      </c>
      <c r="O2907" s="818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726"/>
    </row>
    <row r="2908" spans="1:27" s="861" customFormat="1" ht="15.75" customHeight="1">
      <c r="A2908" s="202" t="str">
        <f>IF(B2908&lt;&gt;"",IF(AND(B2908&gt;=_TM1,B2908&lt;=_TM2,OR(TH!L2908="1111",TH!M2908="1111")),TH!D2908,""),"")</f>
        <v/>
      </c>
      <c r="B2908" s="857">
        <f t="shared" si="147"/>
        <v>2</v>
      </c>
      <c r="C2908" s="858">
        <f t="shared" si="148"/>
        <v>42427</v>
      </c>
      <c r="D2908" s="858" t="s">
        <v>1548</v>
      </c>
      <c r="E2908" s="48">
        <v>42427</v>
      </c>
      <c r="F2908" s="831" t="s">
        <v>1230</v>
      </c>
      <c r="G2908" s="832" t="s">
        <v>932</v>
      </c>
      <c r="H2908" s="923" t="s">
        <v>1297</v>
      </c>
      <c r="I2908" s="249">
        <v>15</v>
      </c>
      <c r="J2908" s="249">
        <v>12514.414424784569</v>
      </c>
      <c r="K2908" s="51">
        <f t="shared" ref="K2908:K2971" si="149">ROUND(I2908*J2908,0)</f>
        <v>187716</v>
      </c>
      <c r="L2908" s="924" t="s">
        <v>171</v>
      </c>
      <c r="M2908" s="924" t="s">
        <v>166</v>
      </c>
      <c r="N2908" s="52" t="str">
        <f>IF(AND('331-CT'!$E$7=TH!H2908,OR(L2908="331",M2908="331")),"331",IF(AND(OR(L2908="131",M2908="131"),H2908='131-CT'!$E$7),"131",""))</f>
        <v/>
      </c>
      <c r="O2908" s="818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726"/>
    </row>
    <row r="2909" spans="1:27" s="861" customFormat="1" ht="15.75" customHeight="1">
      <c r="A2909" s="202" t="str">
        <f>IF(B2909&lt;&gt;"",IF(AND(B2909&gt;=_TM1,B2909&lt;=_TM2,OR(TH!L2909="1111",TH!M2909="1111")),TH!D2909,""),"")</f>
        <v/>
      </c>
      <c r="B2909" s="857">
        <f t="shared" si="147"/>
        <v>2</v>
      </c>
      <c r="C2909" s="858">
        <f t="shared" si="148"/>
        <v>42427</v>
      </c>
      <c r="D2909" s="858" t="s">
        <v>1548</v>
      </c>
      <c r="E2909" s="48">
        <v>42427</v>
      </c>
      <c r="F2909" s="831" t="s">
        <v>1231</v>
      </c>
      <c r="G2909" s="832" t="s">
        <v>932</v>
      </c>
      <c r="H2909" s="923" t="s">
        <v>1297</v>
      </c>
      <c r="I2909" s="249">
        <v>10</v>
      </c>
      <c r="J2909" s="249">
        <v>18604.762778179724</v>
      </c>
      <c r="K2909" s="51">
        <f t="shared" si="149"/>
        <v>186048</v>
      </c>
      <c r="L2909" s="924" t="s">
        <v>171</v>
      </c>
      <c r="M2909" s="924" t="s">
        <v>166</v>
      </c>
      <c r="N2909" s="52" t="str">
        <f>IF(AND('331-CT'!$E$7=TH!H2909,OR(L2909="331",M2909="331")),"331",IF(AND(OR(L2909="131",M2909="131"),H2909='131-CT'!$E$7),"131",""))</f>
        <v/>
      </c>
      <c r="O2909" s="818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726"/>
    </row>
    <row r="2910" spans="1:27" s="861" customFormat="1" ht="15.75" customHeight="1">
      <c r="A2910" s="202" t="str">
        <f>IF(B2910&lt;&gt;"",IF(AND(B2910&gt;=_TM1,B2910&lt;=_TM2,OR(TH!L2910="1111",TH!M2910="1111")),TH!D2910,""),"")</f>
        <v/>
      </c>
      <c r="B2910" s="857">
        <f t="shared" si="147"/>
        <v>2</v>
      </c>
      <c r="C2910" s="858">
        <f t="shared" si="148"/>
        <v>42427</v>
      </c>
      <c r="D2910" s="858" t="s">
        <v>1548</v>
      </c>
      <c r="E2910" s="48">
        <v>42427</v>
      </c>
      <c r="F2910" s="831" t="s">
        <v>705</v>
      </c>
      <c r="G2910" s="832" t="s">
        <v>932</v>
      </c>
      <c r="H2910" s="923" t="s">
        <v>1297</v>
      </c>
      <c r="I2910" s="249">
        <v>10</v>
      </c>
      <c r="J2910" s="249">
        <v>18771.621637176853</v>
      </c>
      <c r="K2910" s="51">
        <f t="shared" si="149"/>
        <v>187716</v>
      </c>
      <c r="L2910" s="924" t="s">
        <v>171</v>
      </c>
      <c r="M2910" s="924" t="s">
        <v>166</v>
      </c>
      <c r="N2910" s="52" t="str">
        <f>IF(AND('331-CT'!$E$7=TH!H2910,OR(L2910="331",M2910="331")),"331",IF(AND(OR(L2910="131",M2910="131"),H2910='131-CT'!$E$7),"131",""))</f>
        <v/>
      </c>
      <c r="O2910" s="818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726"/>
    </row>
    <row r="2911" spans="1:27" s="861" customFormat="1" ht="15.75" customHeight="1">
      <c r="A2911" s="202" t="str">
        <f>IF(B2911&lt;&gt;"",IF(AND(B2911&gt;=_TM1,B2911&lt;=_TM2,OR(TH!L2911="1111",TH!M2911="1111")),TH!D2911,""),"")</f>
        <v/>
      </c>
      <c r="B2911" s="857">
        <f t="shared" si="147"/>
        <v>2</v>
      </c>
      <c r="C2911" s="858">
        <f t="shared" si="148"/>
        <v>42427</v>
      </c>
      <c r="D2911" s="858" t="s">
        <v>1548</v>
      </c>
      <c r="E2911" s="48">
        <v>42427</v>
      </c>
      <c r="F2911" s="831" t="s">
        <v>1232</v>
      </c>
      <c r="G2911" s="832" t="s">
        <v>932</v>
      </c>
      <c r="H2911" s="923" t="s">
        <v>1297</v>
      </c>
      <c r="I2911" s="249">
        <v>20</v>
      </c>
      <c r="J2911" s="249">
        <v>12931.561572277387</v>
      </c>
      <c r="K2911" s="51">
        <f t="shared" si="149"/>
        <v>258631</v>
      </c>
      <c r="L2911" s="924" t="s">
        <v>171</v>
      </c>
      <c r="M2911" s="924" t="s">
        <v>166</v>
      </c>
      <c r="N2911" s="52" t="str">
        <f>IF(AND('331-CT'!$E$7=TH!H2911,OR(L2911="331",M2911="331")),"331",IF(AND(OR(L2911="131",M2911="131"),H2911='131-CT'!$E$7),"131",""))</f>
        <v/>
      </c>
      <c r="O2911" s="818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726"/>
    </row>
    <row r="2912" spans="1:27" s="861" customFormat="1" ht="15.75" customHeight="1">
      <c r="A2912" s="202" t="str">
        <f>IF(B2912&lt;&gt;"",IF(AND(B2912&gt;=_TM1,B2912&lt;=_TM2,OR(TH!L2912="1111",TH!M2912="1111")),TH!D2912,""),"")</f>
        <v/>
      </c>
      <c r="B2912" s="857">
        <f t="shared" si="147"/>
        <v>2</v>
      </c>
      <c r="C2912" s="858">
        <f t="shared" si="148"/>
        <v>42427</v>
      </c>
      <c r="D2912" s="858" t="s">
        <v>1548</v>
      </c>
      <c r="E2912" s="48">
        <v>42427</v>
      </c>
      <c r="F2912" s="831" t="s">
        <v>404</v>
      </c>
      <c r="G2912" s="832" t="s">
        <v>443</v>
      </c>
      <c r="H2912" s="923" t="s">
        <v>1297</v>
      </c>
      <c r="I2912" s="249">
        <v>2900</v>
      </c>
      <c r="J2912" s="249">
        <v>8760.0900973491971</v>
      </c>
      <c r="K2912" s="51">
        <f t="shared" si="149"/>
        <v>25404261</v>
      </c>
      <c r="L2912" s="924" t="s">
        <v>171</v>
      </c>
      <c r="M2912" s="924" t="s">
        <v>166</v>
      </c>
      <c r="N2912" s="52" t="str">
        <f>IF(AND('331-CT'!$E$7=TH!H2912,OR(L2912="331",M2912="331")),"331",IF(AND(OR(L2912="131",M2912="131"),H2912='131-CT'!$E$7),"131",""))</f>
        <v/>
      </c>
      <c r="O2912" s="818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726"/>
    </row>
    <row r="2913" spans="1:27" s="861" customFormat="1" ht="15.75" customHeight="1">
      <c r="A2913" s="202" t="str">
        <f>IF(B2913&lt;&gt;"",IF(AND(B2913&gt;=_TM1,B2913&lt;=_TM2,OR(TH!L2913="1111",TH!M2913="1111")),TH!D2913,""),"")</f>
        <v/>
      </c>
      <c r="B2913" s="857">
        <f t="shared" si="147"/>
        <v>2</v>
      </c>
      <c r="C2913" s="858">
        <f t="shared" si="148"/>
        <v>42427</v>
      </c>
      <c r="D2913" s="858" t="s">
        <v>1548</v>
      </c>
      <c r="E2913" s="48">
        <v>42427</v>
      </c>
      <c r="F2913" s="831" t="s">
        <v>933</v>
      </c>
      <c r="G2913" s="832" t="s">
        <v>443</v>
      </c>
      <c r="H2913" s="923" t="s">
        <v>1297</v>
      </c>
      <c r="I2913" s="249">
        <v>240</v>
      </c>
      <c r="J2913" s="249">
        <v>11763.549559297493</v>
      </c>
      <c r="K2913" s="51">
        <f t="shared" si="149"/>
        <v>2823252</v>
      </c>
      <c r="L2913" s="924" t="s">
        <v>171</v>
      </c>
      <c r="M2913" s="924" t="s">
        <v>166</v>
      </c>
      <c r="N2913" s="52" t="str">
        <f>IF(AND('331-CT'!$E$7=TH!H2913,OR(L2913="331",M2913="331")),"331",IF(AND(OR(L2913="131",M2913="131"),H2913='131-CT'!$E$7),"131",""))</f>
        <v/>
      </c>
      <c r="O2913" s="818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726"/>
    </row>
    <row r="2914" spans="1:27" s="861" customFormat="1" ht="15.75" customHeight="1">
      <c r="A2914" s="202" t="str">
        <f>IF(B2914&lt;&gt;"",IF(AND(B2914&gt;=_TM1,B2914&lt;=_TM2,OR(TH!L2914="1111",TH!M2914="1111")),TH!D2914,""),"")</f>
        <v/>
      </c>
      <c r="B2914" s="857">
        <f t="shared" si="147"/>
        <v>2</v>
      </c>
      <c r="C2914" s="858">
        <f t="shared" si="148"/>
        <v>42427</v>
      </c>
      <c r="D2914" s="858" t="s">
        <v>1548</v>
      </c>
      <c r="E2914" s="48">
        <v>42427</v>
      </c>
      <c r="F2914" s="831" t="s">
        <v>934</v>
      </c>
      <c r="G2914" s="832" t="s">
        <v>443</v>
      </c>
      <c r="H2914" s="923" t="s">
        <v>1297</v>
      </c>
      <c r="I2914" s="249">
        <v>23</v>
      </c>
      <c r="J2914" s="249">
        <v>11513.261270801802</v>
      </c>
      <c r="K2914" s="51">
        <f t="shared" si="149"/>
        <v>264805</v>
      </c>
      <c r="L2914" s="924" t="s">
        <v>171</v>
      </c>
      <c r="M2914" s="924" t="s">
        <v>166</v>
      </c>
      <c r="N2914" s="52" t="str">
        <f>IF(AND('331-CT'!$E$7=TH!H2914,OR(L2914="331",M2914="331")),"331",IF(AND(OR(L2914="131",M2914="131"),H2914='131-CT'!$E$7),"131",""))</f>
        <v/>
      </c>
      <c r="O2914" s="818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726"/>
    </row>
    <row r="2915" spans="1:27" s="861" customFormat="1" ht="15.75" customHeight="1">
      <c r="A2915" s="202" t="str">
        <f>IF(B2915&lt;&gt;"",IF(AND(B2915&gt;=_TM1,B2915&lt;=_TM2,OR(TH!L2915="1111",TH!M2915="1111")),TH!D2915,""),"")</f>
        <v/>
      </c>
      <c r="B2915" s="857">
        <f t="shared" si="147"/>
        <v>2</v>
      </c>
      <c r="C2915" s="858">
        <f t="shared" si="148"/>
        <v>42427</v>
      </c>
      <c r="D2915" s="858" t="s">
        <v>1548</v>
      </c>
      <c r="E2915" s="48">
        <v>42427</v>
      </c>
      <c r="F2915" s="831" t="s">
        <v>480</v>
      </c>
      <c r="G2915" s="832" t="s">
        <v>443</v>
      </c>
      <c r="H2915" s="923" t="s">
        <v>1297</v>
      </c>
      <c r="I2915" s="249">
        <v>202</v>
      </c>
      <c r="J2915" s="249">
        <v>10595.537546317601</v>
      </c>
      <c r="K2915" s="51">
        <f t="shared" si="149"/>
        <v>2140299</v>
      </c>
      <c r="L2915" s="924" t="s">
        <v>171</v>
      </c>
      <c r="M2915" s="924" t="s">
        <v>166</v>
      </c>
      <c r="N2915" s="52" t="str">
        <f>IF(AND('331-CT'!$E$7=TH!H2915,OR(L2915="331",M2915="331")),"331",IF(AND(OR(L2915="131",M2915="131"),H2915='131-CT'!$E$7),"131",""))</f>
        <v/>
      </c>
      <c r="O2915" s="818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726"/>
    </row>
    <row r="2916" spans="1:27" s="861" customFormat="1" ht="15.75" customHeight="1">
      <c r="A2916" s="202" t="str">
        <f>IF(B2916&lt;&gt;"",IF(AND(B2916&gt;=_TM1,B2916&lt;=_TM2,OR(TH!L2916="1111",TH!M2916="1111")),TH!D2916,""),"")</f>
        <v/>
      </c>
      <c r="B2916" s="857">
        <f t="shared" si="147"/>
        <v>2</v>
      </c>
      <c r="C2916" s="858">
        <f t="shared" si="148"/>
        <v>42427</v>
      </c>
      <c r="D2916" s="858" t="s">
        <v>1548</v>
      </c>
      <c r="E2916" s="48">
        <v>42427</v>
      </c>
      <c r="F2916" s="831" t="s">
        <v>540</v>
      </c>
      <c r="G2916" s="832" t="s">
        <v>444</v>
      </c>
      <c r="H2916" s="923" t="s">
        <v>1297</v>
      </c>
      <c r="I2916" s="249">
        <v>507</v>
      </c>
      <c r="J2916" s="249">
        <v>8092.654661360687</v>
      </c>
      <c r="K2916" s="51">
        <f t="shared" si="149"/>
        <v>4102976</v>
      </c>
      <c r="L2916" s="924" t="s">
        <v>171</v>
      </c>
      <c r="M2916" s="924" t="s">
        <v>166</v>
      </c>
      <c r="N2916" s="52" t="str">
        <f>IF(AND('331-CT'!$E$7=TH!H2916,OR(L2916="331",M2916="331")),"331",IF(AND(OR(L2916="131",M2916="131"),H2916='131-CT'!$E$7),"131",""))</f>
        <v/>
      </c>
      <c r="O2916" s="818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726"/>
    </row>
    <row r="2917" spans="1:27" s="861" customFormat="1" ht="15.75" customHeight="1">
      <c r="A2917" s="202" t="str">
        <f>IF(B2917&lt;&gt;"",IF(AND(B2917&gt;=_TM1,B2917&lt;=_TM2,OR(TH!L2917="1111",TH!M2917="1111")),TH!D2917,""),"")</f>
        <v/>
      </c>
      <c r="B2917" s="857">
        <f t="shared" si="147"/>
        <v>2</v>
      </c>
      <c r="C2917" s="858">
        <f t="shared" si="148"/>
        <v>42429</v>
      </c>
      <c r="D2917" s="858" t="s">
        <v>1548</v>
      </c>
      <c r="E2917" s="48">
        <v>42429</v>
      </c>
      <c r="F2917" s="831" t="s">
        <v>436</v>
      </c>
      <c r="G2917" s="832" t="s">
        <v>446</v>
      </c>
      <c r="H2917" s="923" t="s">
        <v>1297</v>
      </c>
      <c r="I2917" s="249">
        <v>344</v>
      </c>
      <c r="J2917" s="249">
        <v>5673.2012059023382</v>
      </c>
      <c r="K2917" s="51">
        <f t="shared" si="149"/>
        <v>1951581</v>
      </c>
      <c r="L2917" s="924" t="s">
        <v>171</v>
      </c>
      <c r="M2917" s="924" t="s">
        <v>166</v>
      </c>
      <c r="N2917" s="52" t="str">
        <f>IF(AND('331-CT'!$E$7=TH!H2917,OR(L2917="331",M2917="331")),"331",IF(AND(OR(L2917="131",M2917="131"),H2917='131-CT'!$E$7),"131",""))</f>
        <v/>
      </c>
      <c r="O2917" s="818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726"/>
    </row>
    <row r="2918" spans="1:27" s="861" customFormat="1" ht="15.75" customHeight="1">
      <c r="A2918" s="202" t="str">
        <f>IF(B2918&lt;&gt;"",IF(AND(B2918&gt;=_TM1,B2918&lt;=_TM2,OR(TH!L2918="1111",TH!M2918="1111")),TH!D2918,""),"")</f>
        <v/>
      </c>
      <c r="B2918" s="857">
        <f t="shared" si="147"/>
        <v>2</v>
      </c>
      <c r="C2918" s="858">
        <f t="shared" si="148"/>
        <v>42429</v>
      </c>
      <c r="D2918" s="858" t="s">
        <v>1548</v>
      </c>
      <c r="E2918" s="48">
        <v>42429</v>
      </c>
      <c r="F2918" s="831" t="s">
        <v>935</v>
      </c>
      <c r="G2918" s="832" t="s">
        <v>447</v>
      </c>
      <c r="H2918" s="923" t="s">
        <v>1297</v>
      </c>
      <c r="I2918" s="249">
        <v>204</v>
      </c>
      <c r="J2918" s="249">
        <v>7091.5015073779214</v>
      </c>
      <c r="K2918" s="51">
        <f t="shared" si="149"/>
        <v>1446666</v>
      </c>
      <c r="L2918" s="924" t="s">
        <v>171</v>
      </c>
      <c r="M2918" s="924" t="s">
        <v>166</v>
      </c>
      <c r="N2918" s="52" t="str">
        <f>IF(AND('331-CT'!$E$7=TH!H2918,OR(L2918="331",M2918="331")),"331",IF(AND(OR(L2918="131",M2918="131"),H2918='131-CT'!$E$7),"131",""))</f>
        <v/>
      </c>
      <c r="O2918" s="818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726"/>
    </row>
    <row r="2919" spans="1:27" s="861" customFormat="1" ht="15.75" customHeight="1">
      <c r="A2919" s="202" t="str">
        <f>IF(B2919&lt;&gt;"",IF(AND(B2919&gt;=_TM1,B2919&lt;=_TM2,OR(TH!L2919="1111",TH!M2919="1111")),TH!D2919,""),"")</f>
        <v/>
      </c>
      <c r="B2919" s="857">
        <f t="shared" si="147"/>
        <v>2</v>
      </c>
      <c r="C2919" s="858">
        <f t="shared" si="148"/>
        <v>42429</v>
      </c>
      <c r="D2919" s="858" t="s">
        <v>1548</v>
      </c>
      <c r="E2919" s="48">
        <v>42429</v>
      </c>
      <c r="F2919" s="831" t="s">
        <v>936</v>
      </c>
      <c r="G2919" s="832" t="s">
        <v>447</v>
      </c>
      <c r="H2919" s="923" t="s">
        <v>1297</v>
      </c>
      <c r="I2919" s="249">
        <v>310</v>
      </c>
      <c r="J2919" s="249">
        <v>6674.3543598851029</v>
      </c>
      <c r="K2919" s="51">
        <f t="shared" si="149"/>
        <v>2069050</v>
      </c>
      <c r="L2919" s="924" t="s">
        <v>171</v>
      </c>
      <c r="M2919" s="924" t="s">
        <v>166</v>
      </c>
      <c r="N2919" s="52" t="str">
        <f>IF(AND('331-CT'!$E$7=TH!H2919,OR(L2919="331",M2919="331")),"331",IF(AND(OR(L2919="131",M2919="131"),H2919='131-CT'!$E$7),"131",""))</f>
        <v/>
      </c>
      <c r="O2919" s="818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726"/>
    </row>
    <row r="2920" spans="1:27" s="861" customFormat="1" ht="15.75" customHeight="1">
      <c r="A2920" s="202" t="str">
        <f>IF(B2920&lt;&gt;"",IF(AND(B2920&gt;=_TM1,B2920&lt;=_TM2,OR(TH!L2920="1111",TH!M2920="1111")),TH!D2920,""),"")</f>
        <v/>
      </c>
      <c r="B2920" s="857">
        <f t="shared" si="147"/>
        <v>2</v>
      </c>
      <c r="C2920" s="858">
        <f t="shared" si="148"/>
        <v>42429</v>
      </c>
      <c r="D2920" s="858" t="s">
        <v>1548</v>
      </c>
      <c r="E2920" s="48">
        <v>42429</v>
      </c>
      <c r="F2920" s="831" t="s">
        <v>1437</v>
      </c>
      <c r="G2920" s="832" t="s">
        <v>937</v>
      </c>
      <c r="H2920" s="923" t="s">
        <v>1297</v>
      </c>
      <c r="I2920" s="249">
        <v>2000</v>
      </c>
      <c r="J2920" s="249">
        <v>3253.7477504439876</v>
      </c>
      <c r="K2920" s="51">
        <f t="shared" si="149"/>
        <v>6507496</v>
      </c>
      <c r="L2920" s="924" t="s">
        <v>171</v>
      </c>
      <c r="M2920" s="924" t="s">
        <v>166</v>
      </c>
      <c r="N2920" s="52" t="str">
        <f>IF(AND('331-CT'!$E$7=TH!H2920,OR(L2920="331",M2920="331")),"331",IF(AND(OR(L2920="131",M2920="131"),H2920='131-CT'!$E$7),"131",""))</f>
        <v/>
      </c>
      <c r="O2920" s="818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726"/>
    </row>
    <row r="2921" spans="1:27" s="861" customFormat="1" ht="15.75" customHeight="1">
      <c r="A2921" s="202" t="str">
        <f>IF(B2921&lt;&gt;"",IF(AND(B2921&gt;=_TM1,B2921&lt;=_TM2,OR(TH!L2921="1111",TH!M2921="1111")),TH!D2921,""),"")</f>
        <v/>
      </c>
      <c r="B2921" s="857">
        <f t="shared" si="147"/>
        <v>3</v>
      </c>
      <c r="C2921" s="858">
        <f t="shared" si="148"/>
        <v>42430</v>
      </c>
      <c r="D2921" s="858" t="s">
        <v>1548</v>
      </c>
      <c r="E2921" s="48">
        <v>42430</v>
      </c>
      <c r="F2921" s="831" t="s">
        <v>938</v>
      </c>
      <c r="G2921" s="832" t="s">
        <v>449</v>
      </c>
      <c r="H2921" s="923" t="s">
        <v>1297</v>
      </c>
      <c r="I2921" s="249">
        <v>1600</v>
      </c>
      <c r="J2921" s="249">
        <v>11596.690700300365</v>
      </c>
      <c r="K2921" s="51">
        <f t="shared" si="149"/>
        <v>18554705</v>
      </c>
      <c r="L2921" s="924" t="s">
        <v>171</v>
      </c>
      <c r="M2921" s="924" t="s">
        <v>166</v>
      </c>
      <c r="N2921" s="52" t="str">
        <f>IF(AND('331-CT'!$E$7=TH!H2921,OR(L2921="331",M2921="331")),"331",IF(AND(OR(L2921="131",M2921="131"),H2921='131-CT'!$E$7),"131",""))</f>
        <v/>
      </c>
      <c r="O2921" s="818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726"/>
    </row>
    <row r="2922" spans="1:27" s="861" customFormat="1" ht="15.75" customHeight="1">
      <c r="A2922" s="202" t="str">
        <f>IF(B2922&lt;&gt;"",IF(AND(B2922&gt;=_TM1,B2922&lt;=_TM2,OR(TH!L2922="1111",TH!M2922="1111")),TH!D2922,""),"")</f>
        <v/>
      </c>
      <c r="B2922" s="857">
        <f t="shared" si="147"/>
        <v>3</v>
      </c>
      <c r="C2922" s="858">
        <f t="shared" si="148"/>
        <v>42430</v>
      </c>
      <c r="D2922" s="858" t="s">
        <v>1548</v>
      </c>
      <c r="E2922" s="48">
        <v>42430</v>
      </c>
      <c r="F2922" s="831" t="s">
        <v>902</v>
      </c>
      <c r="G2922" s="832" t="s">
        <v>449</v>
      </c>
      <c r="H2922" s="923" t="s">
        <v>1297</v>
      </c>
      <c r="I2922" s="249">
        <v>55</v>
      </c>
      <c r="J2922" s="249">
        <v>8926.9489563463248</v>
      </c>
      <c r="K2922" s="51">
        <f t="shared" si="149"/>
        <v>490982</v>
      </c>
      <c r="L2922" s="924" t="s">
        <v>171</v>
      </c>
      <c r="M2922" s="924" t="s">
        <v>166</v>
      </c>
      <c r="N2922" s="52" t="str">
        <f>IF(AND('331-CT'!$E$7=TH!H2922,OR(L2922="331",M2922="331")),"331",IF(AND(OR(L2922="131",M2922="131"),H2922='131-CT'!$E$7),"131",""))</f>
        <v/>
      </c>
      <c r="O2922" s="818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726"/>
    </row>
    <row r="2923" spans="1:27" s="861" customFormat="1" ht="15.75" customHeight="1">
      <c r="A2923" s="202" t="str">
        <f>IF(B2923&lt;&gt;"",IF(AND(B2923&gt;=_TM1,B2923&lt;=_TM2,OR(TH!L2923="1111",TH!M2923="1111")),TH!D2923,""),"")</f>
        <v/>
      </c>
      <c r="B2923" s="857">
        <f t="shared" si="147"/>
        <v>3</v>
      </c>
      <c r="C2923" s="858">
        <f t="shared" si="148"/>
        <v>42430</v>
      </c>
      <c r="D2923" s="858" t="s">
        <v>1548</v>
      </c>
      <c r="E2923" s="48">
        <v>42430</v>
      </c>
      <c r="F2923" s="831" t="s">
        <v>939</v>
      </c>
      <c r="G2923" s="832" t="s">
        <v>449</v>
      </c>
      <c r="H2923" s="923" t="s">
        <v>1297</v>
      </c>
      <c r="I2923" s="249">
        <v>55</v>
      </c>
      <c r="J2923" s="249">
        <v>7925.7958023635592</v>
      </c>
      <c r="K2923" s="51">
        <f t="shared" si="149"/>
        <v>435919</v>
      </c>
      <c r="L2923" s="924" t="s">
        <v>171</v>
      </c>
      <c r="M2923" s="924" t="s">
        <v>166</v>
      </c>
      <c r="N2923" s="52" t="str">
        <f>IF(AND('331-CT'!$E$7=TH!H2923,OR(L2923="331",M2923="331")),"331",IF(AND(OR(L2923="131",M2923="131"),H2923='131-CT'!$E$7),"131",""))</f>
        <v/>
      </c>
      <c r="O2923" s="818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726"/>
    </row>
    <row r="2924" spans="1:27" s="861" customFormat="1" ht="15.75" customHeight="1">
      <c r="A2924" s="202" t="str">
        <f>IF(B2924&lt;&gt;"",IF(AND(B2924&gt;=_TM1,B2924&lt;=_TM2,OR(TH!L2924="1111",TH!M2924="1111")),TH!D2924,""),"")</f>
        <v/>
      </c>
      <c r="B2924" s="857">
        <f t="shared" si="147"/>
        <v>3</v>
      </c>
      <c r="C2924" s="858">
        <f t="shared" si="148"/>
        <v>42430</v>
      </c>
      <c r="D2924" s="858" t="s">
        <v>1548</v>
      </c>
      <c r="E2924" s="48">
        <v>42430</v>
      </c>
      <c r="F2924" s="831" t="s">
        <v>940</v>
      </c>
      <c r="G2924" s="832" t="s">
        <v>449</v>
      </c>
      <c r="H2924" s="923" t="s">
        <v>1297</v>
      </c>
      <c r="I2924" s="249">
        <v>1993</v>
      </c>
      <c r="J2924" s="249">
        <v>8843.5195268477619</v>
      </c>
      <c r="K2924" s="51">
        <f t="shared" si="149"/>
        <v>17625134</v>
      </c>
      <c r="L2924" s="924" t="s">
        <v>171</v>
      </c>
      <c r="M2924" s="924" t="s">
        <v>166</v>
      </c>
      <c r="N2924" s="52" t="str">
        <f>IF(AND('331-CT'!$E$7=TH!H2924,OR(L2924="331",M2924="331")),"331",IF(AND(OR(L2924="131",M2924="131"),H2924='131-CT'!$E$7),"131",""))</f>
        <v/>
      </c>
      <c r="O2924" s="818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726"/>
    </row>
    <row r="2925" spans="1:27" s="861" customFormat="1" ht="15.75" customHeight="1">
      <c r="A2925" s="202" t="str">
        <f>IF(B2925&lt;&gt;"",IF(AND(B2925&gt;=_TM1,B2925&lt;=_TM2,OR(TH!L2925="1111",TH!M2925="1111")),TH!D2925,""),"")</f>
        <v/>
      </c>
      <c r="B2925" s="857">
        <f t="shared" si="147"/>
        <v>3</v>
      </c>
      <c r="C2925" s="858">
        <f t="shared" si="148"/>
        <v>42430</v>
      </c>
      <c r="D2925" s="858" t="s">
        <v>1548</v>
      </c>
      <c r="E2925" s="48">
        <v>42430</v>
      </c>
      <c r="F2925" s="831" t="s">
        <v>436</v>
      </c>
      <c r="G2925" s="832" t="s">
        <v>450</v>
      </c>
      <c r="H2925" s="923" t="s">
        <v>1297</v>
      </c>
      <c r="I2925" s="249">
        <v>273</v>
      </c>
      <c r="J2925" s="249">
        <v>5673.2012059023382</v>
      </c>
      <c r="K2925" s="51">
        <f t="shared" si="149"/>
        <v>1548784</v>
      </c>
      <c r="L2925" s="924" t="s">
        <v>171</v>
      </c>
      <c r="M2925" s="924" t="s">
        <v>166</v>
      </c>
      <c r="N2925" s="52" t="str">
        <f>IF(AND('331-CT'!$E$7=TH!H2925,OR(L2925="331",M2925="331")),"331",IF(AND(OR(L2925="131",M2925="131"),H2925='131-CT'!$E$7),"131",""))</f>
        <v/>
      </c>
      <c r="O2925" s="818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726"/>
    </row>
    <row r="2926" spans="1:27" s="861" customFormat="1" ht="15.75" customHeight="1">
      <c r="A2926" s="202" t="str">
        <f>IF(B2926&lt;&gt;"",IF(AND(B2926&gt;=_TM1,B2926&lt;=_TM2,OR(TH!L2926="1111",TH!M2926="1111")),TH!D2926,""),"")</f>
        <v/>
      </c>
      <c r="B2926" s="857">
        <f t="shared" si="147"/>
        <v>3</v>
      </c>
      <c r="C2926" s="858">
        <f t="shared" si="148"/>
        <v>42430</v>
      </c>
      <c r="D2926" s="858" t="s">
        <v>1548</v>
      </c>
      <c r="E2926" s="48">
        <v>42430</v>
      </c>
      <c r="F2926" s="831" t="s">
        <v>941</v>
      </c>
      <c r="G2926" s="832" t="s">
        <v>451</v>
      </c>
      <c r="H2926" s="923" t="s">
        <v>1297</v>
      </c>
      <c r="I2926" s="249">
        <v>78</v>
      </c>
      <c r="J2926" s="249">
        <v>7508.6486548707408</v>
      </c>
      <c r="K2926" s="51">
        <f t="shared" si="149"/>
        <v>585675</v>
      </c>
      <c r="L2926" s="924" t="s">
        <v>171</v>
      </c>
      <c r="M2926" s="924" t="s">
        <v>166</v>
      </c>
      <c r="N2926" s="52" t="str">
        <f>IF(AND('331-CT'!$E$7=TH!H2926,OR(L2926="331",M2926="331")),"331",IF(AND(OR(L2926="131",M2926="131"),H2926='131-CT'!$E$7),"131",""))</f>
        <v/>
      </c>
      <c r="O2926" s="818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726"/>
    </row>
    <row r="2927" spans="1:27" s="861" customFormat="1" ht="15.75" customHeight="1">
      <c r="A2927" s="202" t="str">
        <f>IF(B2927&lt;&gt;"",IF(AND(B2927&gt;=_TM1,B2927&lt;=_TM2,OR(TH!L2927="1111",TH!M2927="1111")),TH!D2927,""),"")</f>
        <v/>
      </c>
      <c r="B2927" s="857">
        <f t="shared" si="147"/>
        <v>3</v>
      </c>
      <c r="C2927" s="858">
        <f t="shared" si="148"/>
        <v>42430</v>
      </c>
      <c r="D2927" s="858" t="s">
        <v>1548</v>
      </c>
      <c r="E2927" s="48">
        <v>42430</v>
      </c>
      <c r="F2927" s="831" t="s">
        <v>942</v>
      </c>
      <c r="G2927" s="832" t="s">
        <v>451</v>
      </c>
      <c r="H2927" s="923" t="s">
        <v>1297</v>
      </c>
      <c r="I2927" s="249">
        <v>85</v>
      </c>
      <c r="J2927" s="249">
        <v>10595.537546317601</v>
      </c>
      <c r="K2927" s="51">
        <f t="shared" si="149"/>
        <v>900621</v>
      </c>
      <c r="L2927" s="924" t="s">
        <v>171</v>
      </c>
      <c r="M2927" s="924" t="s">
        <v>166</v>
      </c>
      <c r="N2927" s="52" t="str">
        <f>IF(AND('331-CT'!$E$7=TH!H2927,OR(L2927="331",M2927="331")),"331",IF(AND(OR(L2927="131",M2927="131"),H2927='131-CT'!$E$7),"131",""))</f>
        <v/>
      </c>
      <c r="O2927" s="818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726"/>
    </row>
    <row r="2928" spans="1:27" s="861" customFormat="1" ht="15.75" customHeight="1">
      <c r="A2928" s="202" t="str">
        <f>IF(B2928&lt;&gt;"",IF(AND(B2928&gt;=_TM1,B2928&lt;=_TM2,OR(TH!L2928="1111",TH!M2928="1111")),TH!D2928,""),"")</f>
        <v/>
      </c>
      <c r="B2928" s="857">
        <f t="shared" si="147"/>
        <v>3</v>
      </c>
      <c r="C2928" s="858">
        <f t="shared" si="148"/>
        <v>42430</v>
      </c>
      <c r="D2928" s="858" t="s">
        <v>1548</v>
      </c>
      <c r="E2928" s="48">
        <v>42430</v>
      </c>
      <c r="F2928" s="831" t="s">
        <v>943</v>
      </c>
      <c r="G2928" s="832" t="s">
        <v>451</v>
      </c>
      <c r="H2928" s="923" t="s">
        <v>1297</v>
      </c>
      <c r="I2928" s="249">
        <v>76</v>
      </c>
      <c r="J2928" s="249">
        <v>15351.015027735737</v>
      </c>
      <c r="K2928" s="51">
        <f t="shared" si="149"/>
        <v>1166677</v>
      </c>
      <c r="L2928" s="924" t="s">
        <v>171</v>
      </c>
      <c r="M2928" s="924" t="s">
        <v>166</v>
      </c>
      <c r="N2928" s="52" t="str">
        <f>IF(AND('331-CT'!$E$7=TH!H2928,OR(L2928="331",M2928="331")),"331",IF(AND(OR(L2928="131",M2928="131"),H2928='131-CT'!$E$7),"131",""))</f>
        <v/>
      </c>
      <c r="O2928" s="818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726"/>
    </row>
    <row r="2929" spans="1:27" s="861" customFormat="1" ht="15.75" customHeight="1">
      <c r="A2929" s="202" t="str">
        <f>IF(B2929&lt;&gt;"",IF(AND(B2929&gt;=_TM1,B2929&lt;=_TM2,OR(TH!L2929="1111",TH!M2929="1111")),TH!D2929,""),"")</f>
        <v/>
      </c>
      <c r="B2929" s="857">
        <f t="shared" si="147"/>
        <v>3</v>
      </c>
      <c r="C2929" s="858">
        <f t="shared" si="148"/>
        <v>42430</v>
      </c>
      <c r="D2929" s="858" t="s">
        <v>1548</v>
      </c>
      <c r="E2929" s="48">
        <v>42430</v>
      </c>
      <c r="F2929" s="831" t="s">
        <v>944</v>
      </c>
      <c r="G2929" s="832" t="s">
        <v>451</v>
      </c>
      <c r="H2929" s="923" t="s">
        <v>1297</v>
      </c>
      <c r="I2929" s="249">
        <v>91</v>
      </c>
      <c r="J2929" s="249">
        <v>22859.663682606479</v>
      </c>
      <c r="K2929" s="51">
        <f t="shared" si="149"/>
        <v>2080229</v>
      </c>
      <c r="L2929" s="924" t="s">
        <v>171</v>
      </c>
      <c r="M2929" s="924" t="s">
        <v>166</v>
      </c>
      <c r="N2929" s="52" t="str">
        <f>IF(AND('331-CT'!$E$7=TH!H2929,OR(L2929="331",M2929="331")),"331",IF(AND(OR(L2929="131",M2929="131"),H2929='131-CT'!$E$7),"131",""))</f>
        <v/>
      </c>
      <c r="O2929" s="818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726"/>
    </row>
    <row r="2930" spans="1:27" s="861" customFormat="1" ht="15.75" customHeight="1">
      <c r="A2930" s="202" t="str">
        <f>IF(B2930&lt;&gt;"",IF(AND(B2930&gt;=_TM1,B2930&lt;=_TM2,OR(TH!L2930="1111",TH!M2930="1111")),TH!D2930,""),"")</f>
        <v/>
      </c>
      <c r="B2930" s="857">
        <f t="shared" si="147"/>
        <v>3</v>
      </c>
      <c r="C2930" s="858">
        <f t="shared" si="148"/>
        <v>42430</v>
      </c>
      <c r="D2930" s="858" t="s">
        <v>1548</v>
      </c>
      <c r="E2930" s="48">
        <v>42430</v>
      </c>
      <c r="F2930" s="831" t="s">
        <v>945</v>
      </c>
      <c r="G2930" s="832" t="s">
        <v>451</v>
      </c>
      <c r="H2930" s="923" t="s">
        <v>1297</v>
      </c>
      <c r="I2930" s="249">
        <v>473</v>
      </c>
      <c r="J2930" s="249">
        <v>4088.0420454296254</v>
      </c>
      <c r="K2930" s="51">
        <f t="shared" si="149"/>
        <v>1933644</v>
      </c>
      <c r="L2930" s="924" t="s">
        <v>171</v>
      </c>
      <c r="M2930" s="924" t="s">
        <v>166</v>
      </c>
      <c r="N2930" s="52" t="str">
        <f>IF(AND('331-CT'!$E$7=TH!H2930,OR(L2930="331",M2930="331")),"331",IF(AND(OR(L2930="131",M2930="131"),H2930='131-CT'!$E$7),"131",""))</f>
        <v/>
      </c>
      <c r="O2930" s="818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726"/>
    </row>
    <row r="2931" spans="1:27" s="861" customFormat="1" ht="15.75" customHeight="1">
      <c r="A2931" s="202" t="str">
        <f>IF(B2931&lt;&gt;"",IF(AND(B2931&gt;=_TM1,B2931&lt;=_TM2,OR(TH!L2931="1111",TH!M2931="1111")),TH!D2931,""),"")</f>
        <v/>
      </c>
      <c r="B2931" s="857">
        <f t="shared" si="147"/>
        <v>3</v>
      </c>
      <c r="C2931" s="858">
        <f t="shared" si="148"/>
        <v>42430</v>
      </c>
      <c r="D2931" s="858" t="s">
        <v>1548</v>
      </c>
      <c r="E2931" s="48">
        <v>42430</v>
      </c>
      <c r="F2931" s="831" t="s">
        <v>946</v>
      </c>
      <c r="G2931" s="832" t="s">
        <v>451</v>
      </c>
      <c r="H2931" s="923" t="s">
        <v>1297</v>
      </c>
      <c r="I2931" s="249">
        <v>470</v>
      </c>
      <c r="J2931" s="249">
        <v>6340.6366418908474</v>
      </c>
      <c r="K2931" s="51">
        <f t="shared" si="149"/>
        <v>2980099</v>
      </c>
      <c r="L2931" s="924" t="s">
        <v>171</v>
      </c>
      <c r="M2931" s="924" t="s">
        <v>166</v>
      </c>
      <c r="N2931" s="52" t="str">
        <f>IF(AND('331-CT'!$E$7=TH!H2931,OR(L2931="331",M2931="331")),"331",IF(AND(OR(L2931="131",M2931="131"),H2931='131-CT'!$E$7),"131",""))</f>
        <v/>
      </c>
      <c r="O2931" s="818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726"/>
    </row>
    <row r="2932" spans="1:27" s="861" customFormat="1" ht="15.75" customHeight="1">
      <c r="A2932" s="202" t="str">
        <f>IF(B2932&lt;&gt;"",IF(AND(B2932&gt;=_TM1,B2932&lt;=_TM2,OR(TH!L2932="1111",TH!M2932="1111")),TH!D2932,""),"")</f>
        <v/>
      </c>
      <c r="B2932" s="857">
        <f t="shared" si="147"/>
        <v>3</v>
      </c>
      <c r="C2932" s="858">
        <f t="shared" si="148"/>
        <v>42430</v>
      </c>
      <c r="D2932" s="858" t="s">
        <v>1548</v>
      </c>
      <c r="E2932" s="48">
        <v>42430</v>
      </c>
      <c r="F2932" s="831" t="s">
        <v>947</v>
      </c>
      <c r="G2932" s="832" t="s">
        <v>451</v>
      </c>
      <c r="H2932" s="923" t="s">
        <v>1297</v>
      </c>
      <c r="I2932" s="249">
        <v>475</v>
      </c>
      <c r="J2932" s="249">
        <v>11429.831841303239</v>
      </c>
      <c r="K2932" s="51">
        <f t="shared" si="149"/>
        <v>5429170</v>
      </c>
      <c r="L2932" s="924" t="s">
        <v>171</v>
      </c>
      <c r="M2932" s="924" t="s">
        <v>166</v>
      </c>
      <c r="N2932" s="52" t="str">
        <f>IF(AND('331-CT'!$E$7=TH!H2932,OR(L2932="331",M2932="331")),"331",IF(AND(OR(L2932="131",M2932="131"),H2932='131-CT'!$E$7),"131",""))</f>
        <v/>
      </c>
      <c r="O2932" s="818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726"/>
    </row>
    <row r="2933" spans="1:27" s="861" customFormat="1" ht="15.75" customHeight="1">
      <c r="A2933" s="202" t="str">
        <f>IF(B2933&lt;&gt;"",IF(AND(B2933&gt;=_TM1,B2933&lt;=_TM2,OR(TH!L2933="1111",TH!M2933="1111")),TH!D2933,""),"")</f>
        <v/>
      </c>
      <c r="B2933" s="857">
        <f t="shared" si="147"/>
        <v>3</v>
      </c>
      <c r="C2933" s="858">
        <f t="shared" si="148"/>
        <v>42434</v>
      </c>
      <c r="D2933" s="858" t="s">
        <v>1548</v>
      </c>
      <c r="E2933" s="48">
        <v>42434</v>
      </c>
      <c r="F2933" s="831" t="s">
        <v>940</v>
      </c>
      <c r="G2933" s="832" t="s">
        <v>452</v>
      </c>
      <c r="H2933" s="923" t="s">
        <v>1297</v>
      </c>
      <c r="I2933" s="249">
        <v>3383</v>
      </c>
      <c r="J2933" s="249">
        <v>8843.5195268477619</v>
      </c>
      <c r="K2933" s="51">
        <f t="shared" si="149"/>
        <v>29917627</v>
      </c>
      <c r="L2933" s="924" t="s">
        <v>171</v>
      </c>
      <c r="M2933" s="924" t="s">
        <v>166</v>
      </c>
      <c r="N2933" s="52" t="str">
        <f>IF(AND('331-CT'!$E$7=TH!H2933,OR(L2933="331",M2933="331")),"331",IF(AND(OR(L2933="131",M2933="131"),H2933='131-CT'!$E$7),"131",""))</f>
        <v/>
      </c>
      <c r="O2933" s="818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726"/>
    </row>
    <row r="2934" spans="1:27" s="861" customFormat="1" ht="15.75" customHeight="1">
      <c r="A2934" s="202" t="str">
        <f>IF(B2934&lt;&gt;"",IF(AND(B2934&gt;=_TM1,B2934&lt;=_TM2,OR(TH!L2934="1111",TH!M2934="1111")),TH!D2934,""),"")</f>
        <v/>
      </c>
      <c r="B2934" s="857">
        <f t="shared" si="147"/>
        <v>3</v>
      </c>
      <c r="C2934" s="858">
        <f t="shared" si="148"/>
        <v>42434</v>
      </c>
      <c r="D2934" s="858" t="s">
        <v>1548</v>
      </c>
      <c r="E2934" s="48">
        <v>42434</v>
      </c>
      <c r="F2934" s="831" t="s">
        <v>1443</v>
      </c>
      <c r="G2934" s="832" t="s">
        <v>453</v>
      </c>
      <c r="H2934" s="923" t="s">
        <v>1297</v>
      </c>
      <c r="I2934" s="249">
        <v>527</v>
      </c>
      <c r="J2934" s="249">
        <v>7925.7958023635592</v>
      </c>
      <c r="K2934" s="51">
        <f t="shared" si="149"/>
        <v>4176894</v>
      </c>
      <c r="L2934" s="924" t="s">
        <v>171</v>
      </c>
      <c r="M2934" s="924" t="s">
        <v>166</v>
      </c>
      <c r="N2934" s="52" t="str">
        <f>IF(AND('331-CT'!$E$7=TH!H2934,OR(L2934="331",M2934="331")),"331",IF(AND(OR(L2934="131",M2934="131"),H2934='131-CT'!$E$7),"131",""))</f>
        <v/>
      </c>
      <c r="O2934" s="818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726"/>
    </row>
    <row r="2935" spans="1:27" s="861" customFormat="1" ht="15.75" customHeight="1">
      <c r="A2935" s="202" t="str">
        <f>IF(B2935&lt;&gt;"",IF(AND(B2935&gt;=_TM1,B2935&lt;=_TM2,OR(TH!L2935="1111",TH!M2935="1111")),TH!D2935,""),"")</f>
        <v/>
      </c>
      <c r="B2935" s="857">
        <f t="shared" si="147"/>
        <v>3</v>
      </c>
      <c r="C2935" s="858">
        <f t="shared" si="148"/>
        <v>42436</v>
      </c>
      <c r="D2935" s="858" t="s">
        <v>1548</v>
      </c>
      <c r="E2935" s="830">
        <v>42436</v>
      </c>
      <c r="F2935" s="925" t="s">
        <v>1439</v>
      </c>
      <c r="G2935" s="832" t="s">
        <v>455</v>
      </c>
      <c r="H2935" s="923" t="s">
        <v>1297</v>
      </c>
      <c r="I2935" s="249">
        <v>500</v>
      </c>
      <c r="J2935" s="249">
        <v>6924.6426483807936</v>
      </c>
      <c r="K2935" s="51">
        <f t="shared" si="149"/>
        <v>3462321</v>
      </c>
      <c r="L2935" s="924" t="s">
        <v>171</v>
      </c>
      <c r="M2935" s="924" t="s">
        <v>166</v>
      </c>
      <c r="N2935" s="52" t="str">
        <f>IF(AND('331-CT'!$E$7=TH!H2935,OR(L2935="331",M2935="331")),"331",IF(AND(OR(L2935="131",M2935="131"),H2935='131-CT'!$E$7),"131",""))</f>
        <v/>
      </c>
      <c r="O2935" s="818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726"/>
    </row>
    <row r="2936" spans="1:27" s="861" customFormat="1" ht="15.75" customHeight="1">
      <c r="A2936" s="202" t="str">
        <f>IF(B2936&lt;&gt;"",IF(AND(B2936&gt;=_TM1,B2936&lt;=_TM2,OR(TH!L2936="1111",TH!M2936="1111")),TH!D2936,""),"")</f>
        <v/>
      </c>
      <c r="B2936" s="857">
        <f t="shared" si="147"/>
        <v>3</v>
      </c>
      <c r="C2936" s="858">
        <f t="shared" si="148"/>
        <v>42436</v>
      </c>
      <c r="D2936" s="858" t="s">
        <v>1548</v>
      </c>
      <c r="E2936" s="830">
        <v>42436</v>
      </c>
      <c r="F2936" s="925" t="s">
        <v>1440</v>
      </c>
      <c r="G2936" s="832" t="s">
        <v>453</v>
      </c>
      <c r="H2936" s="923" t="s">
        <v>1297</v>
      </c>
      <c r="I2936" s="249">
        <v>500</v>
      </c>
      <c r="J2936" s="249">
        <v>6924.6426483807936</v>
      </c>
      <c r="K2936" s="51">
        <f t="shared" si="149"/>
        <v>3462321</v>
      </c>
      <c r="L2936" s="924" t="s">
        <v>171</v>
      </c>
      <c r="M2936" s="924" t="s">
        <v>166</v>
      </c>
      <c r="N2936" s="52" t="str">
        <f>IF(AND('331-CT'!$E$7=TH!H2936,OR(L2936="331",M2936="331")),"331",IF(AND(OR(L2936="131",M2936="131"),H2936='131-CT'!$E$7),"131",""))</f>
        <v/>
      </c>
      <c r="O2936" s="818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726"/>
    </row>
    <row r="2937" spans="1:27" s="861" customFormat="1" ht="15.75" customHeight="1">
      <c r="A2937" s="202" t="str">
        <f>IF(B2937&lt;&gt;"",IF(AND(B2937&gt;=_TM1,B2937&lt;=_TM2,OR(TH!L2937="1111",TH!M2937="1111")),TH!D2937,""),"")</f>
        <v/>
      </c>
      <c r="B2937" s="857">
        <f t="shared" si="147"/>
        <v>3</v>
      </c>
      <c r="C2937" s="858">
        <f t="shared" si="148"/>
        <v>42437</v>
      </c>
      <c r="D2937" s="858" t="s">
        <v>1548</v>
      </c>
      <c r="E2937" s="830">
        <v>42437</v>
      </c>
      <c r="F2937" s="925" t="s">
        <v>640</v>
      </c>
      <c r="G2937" s="832" t="s">
        <v>457</v>
      </c>
      <c r="H2937" s="923" t="s">
        <v>1297</v>
      </c>
      <c r="I2937" s="249">
        <v>511</v>
      </c>
      <c r="J2937" s="249">
        <v>13932.714726260152</v>
      </c>
      <c r="K2937" s="51">
        <f t="shared" si="149"/>
        <v>7119617</v>
      </c>
      <c r="L2937" s="924" t="s">
        <v>171</v>
      </c>
      <c r="M2937" s="924" t="s">
        <v>166</v>
      </c>
      <c r="N2937" s="52" t="str">
        <f>IF(AND('331-CT'!$E$7=TH!H2937,OR(L2937="331",M2937="331")),"331",IF(AND(OR(L2937="131",M2937="131"),H2937='131-CT'!$E$7),"131",""))</f>
        <v/>
      </c>
      <c r="O2937" s="818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726"/>
    </row>
    <row r="2938" spans="1:27" s="861" customFormat="1" ht="15.75" customHeight="1">
      <c r="A2938" s="202" t="str">
        <f>IF(B2938&lt;&gt;"",IF(AND(B2938&gt;=_TM1,B2938&lt;=_TM2,OR(TH!L2938="1111",TH!M2938="1111")),TH!D2938,""),"")</f>
        <v/>
      </c>
      <c r="B2938" s="857">
        <f t="shared" si="147"/>
        <v>3</v>
      </c>
      <c r="C2938" s="858">
        <f t="shared" si="148"/>
        <v>42437</v>
      </c>
      <c r="D2938" s="858" t="s">
        <v>1548</v>
      </c>
      <c r="E2938" s="830">
        <v>42437</v>
      </c>
      <c r="F2938" s="925" t="s">
        <v>863</v>
      </c>
      <c r="G2938" s="832" t="s">
        <v>458</v>
      </c>
      <c r="H2938" s="923" t="s">
        <v>1297</v>
      </c>
      <c r="I2938" s="249">
        <v>500</v>
      </c>
      <c r="J2938" s="249">
        <v>7425.2192253721769</v>
      </c>
      <c r="K2938" s="51">
        <f t="shared" si="149"/>
        <v>3712610</v>
      </c>
      <c r="L2938" s="924" t="s">
        <v>171</v>
      </c>
      <c r="M2938" s="924" t="s">
        <v>166</v>
      </c>
      <c r="N2938" s="52" t="str">
        <f>IF(AND('331-CT'!$E$7=TH!H2938,OR(L2938="331",M2938="331")),"331",IF(AND(OR(L2938="131",M2938="131"),H2938='131-CT'!$E$7),"131",""))</f>
        <v/>
      </c>
      <c r="O2938" s="818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726"/>
    </row>
    <row r="2939" spans="1:27" s="861" customFormat="1" ht="15.75" customHeight="1">
      <c r="A2939" s="202" t="str">
        <f>IF(B2939&lt;&gt;"",IF(AND(B2939&gt;=_TM1,B2939&lt;=_TM2,OR(TH!L2939="1111",TH!M2939="1111")),TH!D2939,""),"")</f>
        <v/>
      </c>
      <c r="B2939" s="857">
        <f t="shared" si="147"/>
        <v>3</v>
      </c>
      <c r="C2939" s="858">
        <f t="shared" si="148"/>
        <v>42439</v>
      </c>
      <c r="D2939" s="858" t="s">
        <v>1548</v>
      </c>
      <c r="E2939" s="830">
        <v>42439</v>
      </c>
      <c r="F2939" s="925" t="s">
        <v>948</v>
      </c>
      <c r="G2939" s="832" t="s">
        <v>459</v>
      </c>
      <c r="H2939" s="923" t="s">
        <v>1297</v>
      </c>
      <c r="I2939" s="249">
        <v>214</v>
      </c>
      <c r="J2939" s="249">
        <v>5840.060064899465</v>
      </c>
      <c r="K2939" s="51">
        <f t="shared" si="149"/>
        <v>1249773</v>
      </c>
      <c r="L2939" s="924" t="s">
        <v>171</v>
      </c>
      <c r="M2939" s="924" t="s">
        <v>166</v>
      </c>
      <c r="N2939" s="52" t="str">
        <f>IF(AND('331-CT'!$E$7=TH!H2939,OR(L2939="331",M2939="331")),"331",IF(AND(OR(L2939="131",M2939="131"),H2939='131-CT'!$E$7),"131",""))</f>
        <v/>
      </c>
      <c r="O2939" s="818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726"/>
    </row>
    <row r="2940" spans="1:27" s="861" customFormat="1" ht="15.75" customHeight="1">
      <c r="A2940" s="202" t="str">
        <f>IF(B2940&lt;&gt;"",IF(AND(B2940&gt;=_TM1,B2940&lt;=_TM2,OR(TH!L2940="1111",TH!M2940="1111")),TH!D2940,""),"")</f>
        <v/>
      </c>
      <c r="B2940" s="857">
        <f t="shared" si="147"/>
        <v>3</v>
      </c>
      <c r="C2940" s="858">
        <f t="shared" si="148"/>
        <v>42439</v>
      </c>
      <c r="D2940" s="858" t="s">
        <v>1548</v>
      </c>
      <c r="E2940" s="830">
        <v>42439</v>
      </c>
      <c r="F2940" s="925" t="s">
        <v>410</v>
      </c>
      <c r="G2940" s="832" t="s">
        <v>459</v>
      </c>
      <c r="H2940" s="923" t="s">
        <v>1297</v>
      </c>
      <c r="I2940" s="249">
        <v>390</v>
      </c>
      <c r="J2940" s="249">
        <v>5339.4834879080827</v>
      </c>
      <c r="K2940" s="51">
        <f t="shared" si="149"/>
        <v>2082399</v>
      </c>
      <c r="L2940" s="924" t="s">
        <v>171</v>
      </c>
      <c r="M2940" s="924" t="s">
        <v>166</v>
      </c>
      <c r="N2940" s="52" t="str">
        <f>IF(AND('331-CT'!$E$7=TH!H2940,OR(L2940="331",M2940="331")),"331",IF(AND(OR(L2940="131",M2940="131"),H2940='131-CT'!$E$7),"131",""))</f>
        <v/>
      </c>
      <c r="O2940" s="818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726"/>
    </row>
    <row r="2941" spans="1:27" s="861" customFormat="1" ht="15.75" customHeight="1">
      <c r="A2941" s="202" t="str">
        <f>IF(B2941&lt;&gt;"",IF(AND(B2941&gt;=_TM1,B2941&lt;=_TM2,OR(TH!L2941="1111",TH!M2941="1111")),TH!D2941,""),"")</f>
        <v/>
      </c>
      <c r="B2941" s="857">
        <f t="shared" si="147"/>
        <v>3</v>
      </c>
      <c r="C2941" s="858">
        <f t="shared" si="148"/>
        <v>42440</v>
      </c>
      <c r="D2941" s="858" t="s">
        <v>1548</v>
      </c>
      <c r="E2941" s="830">
        <v>42440</v>
      </c>
      <c r="F2941" s="925" t="s">
        <v>949</v>
      </c>
      <c r="G2941" s="832" t="s">
        <v>460</v>
      </c>
      <c r="H2941" s="923" t="s">
        <v>1297</v>
      </c>
      <c r="I2941" s="249">
        <v>744</v>
      </c>
      <c r="J2941" s="249">
        <v>3504.0360389396787</v>
      </c>
      <c r="K2941" s="51">
        <f t="shared" si="149"/>
        <v>2607003</v>
      </c>
      <c r="L2941" s="924" t="s">
        <v>171</v>
      </c>
      <c r="M2941" s="924" t="s">
        <v>166</v>
      </c>
      <c r="N2941" s="52" t="str">
        <f>IF(AND('331-CT'!$E$7=TH!H2941,OR(L2941="331",M2941="331")),"331",IF(AND(OR(L2941="131",M2941="131"),H2941='131-CT'!$E$7),"131",""))</f>
        <v/>
      </c>
      <c r="O2941" s="818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726"/>
    </row>
    <row r="2942" spans="1:27" s="861" customFormat="1" ht="15.75" customHeight="1">
      <c r="A2942" s="202" t="str">
        <f>IF(B2942&lt;&gt;"",IF(AND(B2942&gt;=_TM1,B2942&lt;=_TM2,OR(TH!L2942="1111",TH!M2942="1111")),TH!D2942,""),"")</f>
        <v/>
      </c>
      <c r="B2942" s="857">
        <f t="shared" si="147"/>
        <v>3</v>
      </c>
      <c r="C2942" s="858">
        <f t="shared" si="148"/>
        <v>42440</v>
      </c>
      <c r="D2942" s="858" t="s">
        <v>1548</v>
      </c>
      <c r="E2942" s="830">
        <v>42440</v>
      </c>
      <c r="F2942" s="925" t="s">
        <v>1201</v>
      </c>
      <c r="G2942" s="832" t="s">
        <v>461</v>
      </c>
      <c r="H2942" s="923" t="s">
        <v>1297</v>
      </c>
      <c r="I2942" s="249">
        <v>210</v>
      </c>
      <c r="J2942" s="249">
        <v>917.72372448420163</v>
      </c>
      <c r="K2942" s="51">
        <f t="shared" si="149"/>
        <v>192722</v>
      </c>
      <c r="L2942" s="924" t="s">
        <v>171</v>
      </c>
      <c r="M2942" s="924" t="s">
        <v>166</v>
      </c>
      <c r="N2942" s="52" t="str">
        <f>IF(AND('331-CT'!$E$7=TH!H2942,OR(L2942="331",M2942="331")),"331",IF(AND(OR(L2942="131",M2942="131"),H2942='131-CT'!$E$7),"131",""))</f>
        <v/>
      </c>
      <c r="O2942" s="818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726"/>
    </row>
    <row r="2943" spans="1:27" s="861" customFormat="1" ht="15.75" customHeight="1">
      <c r="A2943" s="202" t="str">
        <f>IF(B2943&lt;&gt;"",IF(AND(B2943&gt;=_TM1,B2943&lt;=_TM2,OR(TH!L2943="1111",TH!M2943="1111")),TH!D2943,""),"")</f>
        <v/>
      </c>
      <c r="B2943" s="857">
        <f t="shared" si="147"/>
        <v>3</v>
      </c>
      <c r="C2943" s="858">
        <f t="shared" si="148"/>
        <v>42441</v>
      </c>
      <c r="D2943" s="858" t="s">
        <v>1548</v>
      </c>
      <c r="E2943" s="830">
        <v>42441</v>
      </c>
      <c r="F2943" s="925" t="s">
        <v>658</v>
      </c>
      <c r="G2943" s="832" t="s">
        <v>462</v>
      </c>
      <c r="H2943" s="923" t="s">
        <v>1297</v>
      </c>
      <c r="I2943" s="249">
        <v>843</v>
      </c>
      <c r="J2943" s="249">
        <v>6424.0660713894113</v>
      </c>
      <c r="K2943" s="51">
        <f t="shared" si="149"/>
        <v>5415488</v>
      </c>
      <c r="L2943" s="924" t="s">
        <v>171</v>
      </c>
      <c r="M2943" s="924" t="s">
        <v>166</v>
      </c>
      <c r="N2943" s="52" t="str">
        <f>IF(AND('331-CT'!$E$7=TH!H2943,OR(L2943="331",M2943="331")),"331",IF(AND(OR(L2943="131",M2943="131"),H2943='131-CT'!$E$7),"131",""))</f>
        <v/>
      </c>
      <c r="O2943" s="818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726"/>
    </row>
    <row r="2944" spans="1:27" s="861" customFormat="1" ht="15.75" customHeight="1">
      <c r="A2944" s="202" t="str">
        <f>IF(B2944&lt;&gt;"",IF(AND(B2944&gt;=_TM1,B2944&lt;=_TM2,OR(TH!L2944="1111",TH!M2944="1111")),TH!D2944,""),"")</f>
        <v/>
      </c>
      <c r="B2944" s="857">
        <f t="shared" si="147"/>
        <v>3</v>
      </c>
      <c r="C2944" s="858">
        <f t="shared" si="148"/>
        <v>42441</v>
      </c>
      <c r="D2944" s="858" t="s">
        <v>1548</v>
      </c>
      <c r="E2944" s="830">
        <v>42441</v>
      </c>
      <c r="F2944" s="925" t="s">
        <v>659</v>
      </c>
      <c r="G2944" s="832" t="s">
        <v>462</v>
      </c>
      <c r="H2944" s="923" t="s">
        <v>1297</v>
      </c>
      <c r="I2944" s="249">
        <v>204</v>
      </c>
      <c r="J2944" s="249">
        <v>12013.837847793186</v>
      </c>
      <c r="K2944" s="51">
        <f t="shared" si="149"/>
        <v>2450823</v>
      </c>
      <c r="L2944" s="924" t="s">
        <v>171</v>
      </c>
      <c r="M2944" s="924" t="s">
        <v>166</v>
      </c>
      <c r="N2944" s="52" t="str">
        <f>IF(AND('331-CT'!$E$7=TH!H2944,OR(L2944="331",M2944="331")),"331",IF(AND(OR(L2944="131",M2944="131"),H2944='131-CT'!$E$7),"131",""))</f>
        <v/>
      </c>
      <c r="O2944" s="818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726"/>
    </row>
    <row r="2945" spans="1:27" s="861" customFormat="1" ht="15.75" customHeight="1">
      <c r="A2945" s="202" t="str">
        <f>IF(B2945&lt;&gt;"",IF(AND(B2945&gt;=_TM1,B2945&lt;=_TM2,OR(TH!L2945="1111",TH!M2945="1111")),TH!D2945,""),"")</f>
        <v/>
      </c>
      <c r="B2945" s="857">
        <f t="shared" si="147"/>
        <v>3</v>
      </c>
      <c r="C2945" s="858">
        <f t="shared" si="148"/>
        <v>42441</v>
      </c>
      <c r="D2945" s="858" t="s">
        <v>1548</v>
      </c>
      <c r="E2945" s="830">
        <v>42441</v>
      </c>
      <c r="F2945" s="925" t="s">
        <v>414</v>
      </c>
      <c r="G2945" s="832" t="s">
        <v>463</v>
      </c>
      <c r="H2945" s="923" t="s">
        <v>1297</v>
      </c>
      <c r="I2945" s="249">
        <v>610</v>
      </c>
      <c r="J2945" s="249">
        <v>7592.0780843693046</v>
      </c>
      <c r="K2945" s="51">
        <f t="shared" si="149"/>
        <v>4631168</v>
      </c>
      <c r="L2945" s="924" t="s">
        <v>171</v>
      </c>
      <c r="M2945" s="924" t="s">
        <v>166</v>
      </c>
      <c r="N2945" s="52" t="str">
        <f>IF(AND('331-CT'!$E$7=TH!H2945,OR(L2945="331",M2945="331")),"331",IF(AND(OR(L2945="131",M2945="131"),H2945='131-CT'!$E$7),"131",""))</f>
        <v/>
      </c>
      <c r="O2945" s="818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726"/>
    </row>
    <row r="2946" spans="1:27" s="861" customFormat="1" ht="15.75" customHeight="1">
      <c r="A2946" s="202" t="str">
        <f>IF(B2946&lt;&gt;"",IF(AND(B2946&gt;=_TM1,B2946&lt;=_TM2,OR(TH!L2946="1111",TH!M2946="1111")),TH!D2946,""),"")</f>
        <v/>
      </c>
      <c r="B2946" s="857">
        <f t="shared" si="147"/>
        <v>3</v>
      </c>
      <c r="C2946" s="858">
        <f t="shared" si="148"/>
        <v>42441</v>
      </c>
      <c r="D2946" s="858" t="s">
        <v>1548</v>
      </c>
      <c r="E2946" s="830">
        <v>42441</v>
      </c>
      <c r="F2946" s="925" t="s">
        <v>485</v>
      </c>
      <c r="G2946" s="832" t="s">
        <v>463</v>
      </c>
      <c r="H2946" s="923" t="s">
        <v>1297</v>
      </c>
      <c r="I2946" s="249">
        <v>309</v>
      </c>
      <c r="J2946" s="249">
        <v>6173.7777828937205</v>
      </c>
      <c r="K2946" s="51">
        <f t="shared" si="149"/>
        <v>1907697</v>
      </c>
      <c r="L2946" s="924" t="s">
        <v>171</v>
      </c>
      <c r="M2946" s="924" t="s">
        <v>166</v>
      </c>
      <c r="N2946" s="52" t="str">
        <f>IF(AND('331-CT'!$E$7=TH!H2946,OR(L2946="331",M2946="331")),"331",IF(AND(OR(L2946="131",M2946="131"),H2946='131-CT'!$E$7),"131",""))</f>
        <v/>
      </c>
      <c r="O2946" s="818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726"/>
    </row>
    <row r="2947" spans="1:27" s="861" customFormat="1" ht="15.75" customHeight="1">
      <c r="A2947" s="202" t="str">
        <f>IF(B2947&lt;&gt;"",IF(AND(B2947&gt;=_TM1,B2947&lt;=_TM2,OR(TH!L2947="1111",TH!M2947="1111")),TH!D2947,""),"")</f>
        <v/>
      </c>
      <c r="B2947" s="857">
        <f t="shared" si="147"/>
        <v>3</v>
      </c>
      <c r="C2947" s="858">
        <f t="shared" si="148"/>
        <v>42441</v>
      </c>
      <c r="D2947" s="858" t="s">
        <v>1548</v>
      </c>
      <c r="E2947" s="830">
        <v>42441</v>
      </c>
      <c r="F2947" s="925" t="s">
        <v>951</v>
      </c>
      <c r="G2947" s="832" t="s">
        <v>464</v>
      </c>
      <c r="H2947" s="923" t="s">
        <v>1297</v>
      </c>
      <c r="I2947" s="249">
        <v>201</v>
      </c>
      <c r="J2947" s="249">
        <v>4922.3363404152633</v>
      </c>
      <c r="K2947" s="51">
        <f t="shared" si="149"/>
        <v>989390</v>
      </c>
      <c r="L2947" s="924" t="s">
        <v>171</v>
      </c>
      <c r="M2947" s="924" t="s">
        <v>166</v>
      </c>
      <c r="N2947" s="52" t="str">
        <f>IF(AND('331-CT'!$E$7=TH!H2947,OR(L2947="331",M2947="331")),"331",IF(AND(OR(L2947="131",M2947="131"),H2947='131-CT'!$E$7),"131",""))</f>
        <v/>
      </c>
      <c r="O2947" s="818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726"/>
    </row>
    <row r="2948" spans="1:27" s="861" customFormat="1" ht="15.75" customHeight="1">
      <c r="A2948" s="202" t="str">
        <f>IF(B2948&lt;&gt;"",IF(AND(B2948&gt;=_TM1,B2948&lt;=_TM2,OR(TH!L2948="1111",TH!M2948="1111")),TH!D2948,""),"")</f>
        <v/>
      </c>
      <c r="B2948" s="857">
        <f t="shared" si="147"/>
        <v>3</v>
      </c>
      <c r="C2948" s="858">
        <f t="shared" si="148"/>
        <v>42441</v>
      </c>
      <c r="D2948" s="858" t="s">
        <v>1548</v>
      </c>
      <c r="E2948" s="830">
        <v>42441</v>
      </c>
      <c r="F2948" s="925" t="s">
        <v>952</v>
      </c>
      <c r="G2948" s="832" t="s">
        <v>465</v>
      </c>
      <c r="H2948" s="923" t="s">
        <v>1297</v>
      </c>
      <c r="I2948" s="249">
        <v>50</v>
      </c>
      <c r="J2948" s="249">
        <v>14266.432444254408</v>
      </c>
      <c r="K2948" s="51">
        <f t="shared" si="149"/>
        <v>713322</v>
      </c>
      <c r="L2948" s="924" t="s">
        <v>171</v>
      </c>
      <c r="M2948" s="924" t="s">
        <v>166</v>
      </c>
      <c r="N2948" s="52" t="str">
        <f>IF(AND('331-CT'!$E$7=TH!H2948,OR(L2948="331",M2948="331")),"331",IF(AND(OR(L2948="131",M2948="131"),H2948='131-CT'!$E$7),"131",""))</f>
        <v/>
      </c>
      <c r="O2948" s="818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726"/>
    </row>
    <row r="2949" spans="1:27" s="861" customFormat="1" ht="15.75" customHeight="1">
      <c r="A2949" s="202" t="str">
        <f>IF(B2949&lt;&gt;"",IF(AND(B2949&gt;=_TM1,B2949&lt;=_TM2,OR(TH!L2949="1111",TH!M2949="1111")),TH!D2949,""),"")</f>
        <v/>
      </c>
      <c r="B2949" s="857">
        <f t="shared" si="147"/>
        <v>3</v>
      </c>
      <c r="C2949" s="858">
        <f t="shared" si="148"/>
        <v>42441</v>
      </c>
      <c r="D2949" s="858" t="s">
        <v>1548</v>
      </c>
      <c r="E2949" s="830">
        <v>42441</v>
      </c>
      <c r="F2949" s="925" t="s">
        <v>953</v>
      </c>
      <c r="G2949" s="832" t="s">
        <v>465</v>
      </c>
      <c r="H2949" s="923" t="s">
        <v>1297</v>
      </c>
      <c r="I2949" s="249">
        <v>400</v>
      </c>
      <c r="J2949" s="249">
        <v>11429.831841303239</v>
      </c>
      <c r="K2949" s="51">
        <f t="shared" si="149"/>
        <v>4571933</v>
      </c>
      <c r="L2949" s="924" t="s">
        <v>171</v>
      </c>
      <c r="M2949" s="924" t="s">
        <v>166</v>
      </c>
      <c r="N2949" s="52" t="str">
        <f>IF(AND('331-CT'!$E$7=TH!H2949,OR(L2949="331",M2949="331")),"331",IF(AND(OR(L2949="131",M2949="131"),H2949='131-CT'!$E$7),"131",""))</f>
        <v/>
      </c>
      <c r="O2949" s="818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726"/>
    </row>
    <row r="2950" spans="1:27" s="861" customFormat="1" ht="15.75" customHeight="1">
      <c r="A2950" s="202" t="str">
        <f>IF(B2950&lt;&gt;"",IF(AND(B2950&gt;=_TM1,B2950&lt;=_TM2,OR(TH!L2950="1111",TH!M2950="1111")),TH!D2950,""),"")</f>
        <v/>
      </c>
      <c r="B2950" s="857">
        <f t="shared" si="147"/>
        <v>3</v>
      </c>
      <c r="C2950" s="858">
        <f t="shared" si="148"/>
        <v>42445</v>
      </c>
      <c r="D2950" s="858" t="s">
        <v>1548</v>
      </c>
      <c r="E2950" s="830">
        <v>42445</v>
      </c>
      <c r="F2950" s="925" t="s">
        <v>418</v>
      </c>
      <c r="G2950" s="832" t="s">
        <v>466</v>
      </c>
      <c r="H2950" s="923" t="s">
        <v>1297</v>
      </c>
      <c r="I2950" s="249">
        <v>93</v>
      </c>
      <c r="J2950" s="249">
        <v>60486.336386458745</v>
      </c>
      <c r="K2950" s="51">
        <f t="shared" si="149"/>
        <v>5625229</v>
      </c>
      <c r="L2950" s="924" t="s">
        <v>171</v>
      </c>
      <c r="M2950" s="924" t="s">
        <v>166</v>
      </c>
      <c r="N2950" s="52" t="str">
        <f>IF(AND('331-CT'!$E$7=TH!H2950,OR(L2950="331",M2950="331")),"331",IF(AND(OR(L2950="131",M2950="131"),H2950='131-CT'!$E$7),"131",""))</f>
        <v/>
      </c>
      <c r="O2950" s="818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726"/>
    </row>
    <row r="2951" spans="1:27" s="861" customFormat="1" ht="15.75" customHeight="1">
      <c r="A2951" s="202" t="str">
        <f>IF(B2951&lt;&gt;"",IF(AND(B2951&gt;=_TM1,B2951&lt;=_TM2,OR(TH!L2951="1111",TH!M2951="1111")),TH!D2951,""),"")</f>
        <v/>
      </c>
      <c r="B2951" s="857">
        <f t="shared" si="147"/>
        <v>3</v>
      </c>
      <c r="C2951" s="858">
        <f t="shared" si="148"/>
        <v>42448</v>
      </c>
      <c r="D2951" s="858" t="s">
        <v>1548</v>
      </c>
      <c r="E2951" s="830">
        <v>42448</v>
      </c>
      <c r="F2951" s="925" t="s">
        <v>441</v>
      </c>
      <c r="G2951" s="832" t="s">
        <v>467</v>
      </c>
      <c r="H2951" s="923" t="s">
        <v>1297</v>
      </c>
      <c r="I2951" s="249">
        <v>604</v>
      </c>
      <c r="J2951" s="249">
        <v>13181.849860773078</v>
      </c>
      <c r="K2951" s="51">
        <f t="shared" si="149"/>
        <v>7961837</v>
      </c>
      <c r="L2951" s="924" t="s">
        <v>171</v>
      </c>
      <c r="M2951" s="924" t="s">
        <v>166</v>
      </c>
      <c r="N2951" s="52" t="str">
        <f>IF(AND('331-CT'!$E$7=TH!H2951,OR(L2951="331",M2951="331")),"331",IF(AND(OR(L2951="131",M2951="131"),H2951='131-CT'!$E$7),"131",""))</f>
        <v/>
      </c>
      <c r="O2951" s="818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726"/>
    </row>
    <row r="2952" spans="1:27" s="861" customFormat="1" ht="15.75" customHeight="1">
      <c r="A2952" s="202" t="str">
        <f>IF(B2952&lt;&gt;"",IF(AND(B2952&gt;=_TM1,B2952&lt;=_TM2,OR(TH!L2952="1111",TH!M2952="1111")),TH!D2952,""),"")</f>
        <v/>
      </c>
      <c r="B2952" s="857">
        <f t="shared" si="147"/>
        <v>3</v>
      </c>
      <c r="C2952" s="858">
        <f t="shared" si="148"/>
        <v>42448</v>
      </c>
      <c r="D2952" s="858" t="s">
        <v>1548</v>
      </c>
      <c r="E2952" s="830">
        <v>42448</v>
      </c>
      <c r="F2952" s="925" t="s">
        <v>389</v>
      </c>
      <c r="G2952" s="832" t="s">
        <v>467</v>
      </c>
      <c r="H2952" s="923" t="s">
        <v>1297</v>
      </c>
      <c r="I2952" s="249">
        <v>1255</v>
      </c>
      <c r="J2952" s="249">
        <v>6841.2132188822297</v>
      </c>
      <c r="K2952" s="51">
        <f t="shared" si="149"/>
        <v>8585723</v>
      </c>
      <c r="L2952" s="924" t="s">
        <v>171</v>
      </c>
      <c r="M2952" s="924" t="s">
        <v>166</v>
      </c>
      <c r="N2952" s="52" t="str">
        <f>IF(AND('331-CT'!$E$7=TH!H2952,OR(L2952="331",M2952="331")),"331",IF(AND(OR(L2952="131",M2952="131"),H2952='131-CT'!$E$7),"131",""))</f>
        <v/>
      </c>
      <c r="O2952" s="818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726"/>
    </row>
    <row r="2953" spans="1:27" s="861" customFormat="1" ht="15.75" customHeight="1">
      <c r="A2953" s="202" t="str">
        <f>IF(B2953&lt;&gt;"",IF(AND(B2953&gt;=_TM1,B2953&lt;=_TM2,OR(TH!L2953="1111",TH!M2953="1111")),TH!D2953,""),"")</f>
        <v/>
      </c>
      <c r="B2953" s="857">
        <f t="shared" si="147"/>
        <v>3</v>
      </c>
      <c r="C2953" s="858">
        <f t="shared" si="148"/>
        <v>42448</v>
      </c>
      <c r="D2953" s="858" t="s">
        <v>1548</v>
      </c>
      <c r="E2953" s="830">
        <v>42448</v>
      </c>
      <c r="F2953" s="925" t="s">
        <v>954</v>
      </c>
      <c r="G2953" s="832" t="s">
        <v>468</v>
      </c>
      <c r="H2953" s="923" t="s">
        <v>1297</v>
      </c>
      <c r="I2953" s="249">
        <v>209</v>
      </c>
      <c r="J2953" s="249">
        <v>5840.060064899465</v>
      </c>
      <c r="K2953" s="51">
        <f t="shared" si="149"/>
        <v>1220573</v>
      </c>
      <c r="L2953" s="924" t="s">
        <v>171</v>
      </c>
      <c r="M2953" s="924" t="s">
        <v>166</v>
      </c>
      <c r="N2953" s="52" t="str">
        <f>IF(AND('331-CT'!$E$7=TH!H2953,OR(L2953="331",M2953="331")),"331",IF(AND(OR(L2953="131",M2953="131"),H2953='131-CT'!$E$7),"131",""))</f>
        <v/>
      </c>
      <c r="O2953" s="818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726"/>
    </row>
    <row r="2954" spans="1:27" s="861" customFormat="1" ht="15.75" customHeight="1">
      <c r="A2954" s="202" t="str">
        <f>IF(B2954&lt;&gt;"",IF(AND(B2954&gt;=_TM1,B2954&lt;=_TM2,OR(TH!L2954="1111",TH!M2954="1111")),TH!D2954,""),"")</f>
        <v/>
      </c>
      <c r="B2954" s="857">
        <f t="shared" si="147"/>
        <v>3</v>
      </c>
      <c r="C2954" s="858">
        <f t="shared" si="148"/>
        <v>42448</v>
      </c>
      <c r="D2954" s="858" t="s">
        <v>1548</v>
      </c>
      <c r="E2954" s="830">
        <v>42448</v>
      </c>
      <c r="F2954" s="925" t="s">
        <v>627</v>
      </c>
      <c r="G2954" s="832" t="s">
        <v>468</v>
      </c>
      <c r="H2954" s="923" t="s">
        <v>1297</v>
      </c>
      <c r="I2954" s="249">
        <v>500</v>
      </c>
      <c r="J2954" s="249">
        <v>6257.2072123922844</v>
      </c>
      <c r="K2954" s="51">
        <f t="shared" si="149"/>
        <v>3128604</v>
      </c>
      <c r="L2954" s="924" t="s">
        <v>171</v>
      </c>
      <c r="M2954" s="924" t="s">
        <v>166</v>
      </c>
      <c r="N2954" s="52" t="str">
        <f>IF(AND('331-CT'!$E$7=TH!H2954,OR(L2954="331",M2954="331")),"331",IF(AND(OR(L2954="131",M2954="131"),H2954='131-CT'!$E$7),"131",""))</f>
        <v/>
      </c>
      <c r="O2954" s="818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726"/>
    </row>
    <row r="2955" spans="1:27" s="861" customFormat="1" ht="15.75" customHeight="1">
      <c r="A2955" s="202" t="str">
        <f>IF(B2955&lt;&gt;"",IF(AND(B2955&gt;=_TM1,B2955&lt;=_TM2,OR(TH!L2955="1111",TH!M2955="1111")),TH!D2955,""),"")</f>
        <v/>
      </c>
      <c r="B2955" s="857">
        <f t="shared" si="147"/>
        <v>3</v>
      </c>
      <c r="C2955" s="858">
        <f t="shared" si="148"/>
        <v>42450</v>
      </c>
      <c r="D2955" s="858" t="s">
        <v>1548</v>
      </c>
      <c r="E2955" s="830">
        <v>42450</v>
      </c>
      <c r="F2955" s="925" t="s">
        <v>955</v>
      </c>
      <c r="G2955" s="832" t="s">
        <v>469</v>
      </c>
      <c r="H2955" s="923" t="s">
        <v>1297</v>
      </c>
      <c r="I2955" s="249">
        <v>108</v>
      </c>
      <c r="J2955" s="249">
        <v>18688.19220767829</v>
      </c>
      <c r="K2955" s="51">
        <f t="shared" si="149"/>
        <v>2018325</v>
      </c>
      <c r="L2955" s="924" t="s">
        <v>171</v>
      </c>
      <c r="M2955" s="924" t="s">
        <v>166</v>
      </c>
      <c r="N2955" s="52" t="str">
        <f>IF(AND('331-CT'!$E$7=TH!H2955,OR(L2955="331",M2955="331")),"331",IF(AND(OR(L2955="131",M2955="131"),H2955='131-CT'!$E$7),"131",""))</f>
        <v/>
      </c>
      <c r="O2955" s="818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726"/>
    </row>
    <row r="2956" spans="1:27" s="861" customFormat="1" ht="15.75" customHeight="1">
      <c r="A2956" s="202" t="str">
        <f>IF(B2956&lt;&gt;"",IF(AND(B2956&gt;=_TM1,B2956&lt;=_TM2,OR(TH!L2956="1111",TH!M2956="1111")),TH!D2956,""),"")</f>
        <v/>
      </c>
      <c r="B2956" s="857">
        <f t="shared" si="147"/>
        <v>3</v>
      </c>
      <c r="C2956" s="858">
        <f t="shared" si="148"/>
        <v>42450</v>
      </c>
      <c r="D2956" s="858" t="s">
        <v>1548</v>
      </c>
      <c r="E2956" s="830">
        <v>42450</v>
      </c>
      <c r="F2956" s="925" t="s">
        <v>640</v>
      </c>
      <c r="G2956" s="832" t="s">
        <v>470</v>
      </c>
      <c r="H2956" s="923" t="s">
        <v>1297</v>
      </c>
      <c r="I2956" s="249">
        <v>500</v>
      </c>
      <c r="J2956" s="249">
        <v>13932.714726260152</v>
      </c>
      <c r="K2956" s="51">
        <f t="shared" si="149"/>
        <v>6966357</v>
      </c>
      <c r="L2956" s="924" t="s">
        <v>171</v>
      </c>
      <c r="M2956" s="924" t="s">
        <v>166</v>
      </c>
      <c r="N2956" s="52" t="str">
        <f>IF(AND('331-CT'!$E$7=TH!H2956,OR(L2956="331",M2956="331")),"331",IF(AND(OR(L2956="131",M2956="131"),H2956='131-CT'!$E$7),"131",""))</f>
        <v/>
      </c>
      <c r="O2956" s="818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726"/>
    </row>
    <row r="2957" spans="1:27" s="861" customFormat="1" ht="15.75" customHeight="1">
      <c r="A2957" s="202" t="str">
        <f>IF(B2957&lt;&gt;"",IF(AND(B2957&gt;=_TM1,B2957&lt;=_TM2,OR(TH!L2957="1111",TH!M2957="1111")),TH!D2957,""),"")</f>
        <v/>
      </c>
      <c r="B2957" s="857">
        <f t="shared" si="147"/>
        <v>3</v>
      </c>
      <c r="C2957" s="858">
        <f t="shared" si="148"/>
        <v>42450</v>
      </c>
      <c r="D2957" s="858" t="s">
        <v>1548</v>
      </c>
      <c r="E2957" s="830">
        <v>42450</v>
      </c>
      <c r="F2957" s="925" t="s">
        <v>415</v>
      </c>
      <c r="G2957" s="832" t="s">
        <v>471</v>
      </c>
      <c r="H2957" s="923" t="s">
        <v>1297</v>
      </c>
      <c r="I2957" s="249">
        <v>301</v>
      </c>
      <c r="J2957" s="249">
        <v>11179.543552807549</v>
      </c>
      <c r="K2957" s="51">
        <f t="shared" si="149"/>
        <v>3365043</v>
      </c>
      <c r="L2957" s="924" t="s">
        <v>171</v>
      </c>
      <c r="M2957" s="924" t="s">
        <v>166</v>
      </c>
      <c r="N2957" s="52" t="str">
        <f>IF(AND('331-CT'!$E$7=TH!H2957,OR(L2957="331",M2957="331")),"331",IF(AND(OR(L2957="131",M2957="131"),H2957='131-CT'!$E$7),"131",""))</f>
        <v/>
      </c>
      <c r="O2957" s="818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726"/>
    </row>
    <row r="2958" spans="1:27" s="861" customFormat="1" ht="15.75" customHeight="1">
      <c r="A2958" s="202" t="str">
        <f>IF(B2958&lt;&gt;"",IF(AND(B2958&gt;=_TM1,B2958&lt;=_TM2,OR(TH!L2958="1111",TH!M2958="1111")),TH!D2958,""),"")</f>
        <v/>
      </c>
      <c r="B2958" s="857">
        <f t="shared" si="147"/>
        <v>3</v>
      </c>
      <c r="C2958" s="858">
        <f t="shared" si="148"/>
        <v>42451</v>
      </c>
      <c r="D2958" s="858" t="s">
        <v>1548</v>
      </c>
      <c r="E2958" s="830">
        <v>42451</v>
      </c>
      <c r="F2958" s="925" t="s">
        <v>956</v>
      </c>
      <c r="G2958" s="832" t="s">
        <v>472</v>
      </c>
      <c r="H2958" s="923" t="s">
        <v>1297</v>
      </c>
      <c r="I2958" s="249">
        <v>544</v>
      </c>
      <c r="J2958" s="249">
        <v>7592.0780843693046</v>
      </c>
      <c r="K2958" s="51">
        <f t="shared" si="149"/>
        <v>4130090</v>
      </c>
      <c r="L2958" s="924" t="s">
        <v>171</v>
      </c>
      <c r="M2958" s="924" t="s">
        <v>166</v>
      </c>
      <c r="N2958" s="52" t="str">
        <f>IF(AND('331-CT'!$E$7=TH!H2958,OR(L2958="331",M2958="331")),"331",IF(AND(OR(L2958="131",M2958="131"),H2958='131-CT'!$E$7),"131",""))</f>
        <v/>
      </c>
      <c r="O2958" s="818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726"/>
    </row>
    <row r="2959" spans="1:27" s="861" customFormat="1" ht="15.75" customHeight="1">
      <c r="A2959" s="202" t="str">
        <f>IF(B2959&lt;&gt;"",IF(AND(B2959&gt;=_TM1,B2959&lt;=_TM2,OR(TH!L2959="1111",TH!M2959="1111")),TH!D2959,""),"")</f>
        <v/>
      </c>
      <c r="B2959" s="857">
        <f t="shared" si="147"/>
        <v>3</v>
      </c>
      <c r="C2959" s="858">
        <f t="shared" si="148"/>
        <v>42452</v>
      </c>
      <c r="D2959" s="858" t="s">
        <v>1548</v>
      </c>
      <c r="E2959" s="830">
        <v>42452</v>
      </c>
      <c r="F2959" s="925" t="s">
        <v>389</v>
      </c>
      <c r="G2959" s="832" t="s">
        <v>475</v>
      </c>
      <c r="H2959" s="923" t="s">
        <v>1297</v>
      </c>
      <c r="I2959" s="249">
        <v>1310</v>
      </c>
      <c r="J2959" s="249">
        <v>6841.2132188822297</v>
      </c>
      <c r="K2959" s="51">
        <f t="shared" si="149"/>
        <v>8961989</v>
      </c>
      <c r="L2959" s="924" t="s">
        <v>171</v>
      </c>
      <c r="M2959" s="924" t="s">
        <v>166</v>
      </c>
      <c r="N2959" s="52" t="str">
        <f>IF(AND('331-CT'!$E$7=TH!H2959,OR(L2959="331",M2959="331")),"331",IF(AND(OR(L2959="131",M2959="131"),H2959='131-CT'!$E$7),"131",""))</f>
        <v/>
      </c>
      <c r="O2959" s="818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726"/>
    </row>
    <row r="2960" spans="1:27" s="861" customFormat="1" ht="15.75" customHeight="1">
      <c r="A2960" s="202" t="str">
        <f>IF(B2960&lt;&gt;"",IF(AND(B2960&gt;=_TM1,B2960&lt;=_TM2,OR(TH!L2960="1111",TH!M2960="1111")),TH!D2960,""),"")</f>
        <v/>
      </c>
      <c r="B2960" s="857">
        <f t="shared" si="147"/>
        <v>3</v>
      </c>
      <c r="C2960" s="858">
        <f t="shared" si="148"/>
        <v>42452</v>
      </c>
      <c r="D2960" s="858" t="s">
        <v>1548</v>
      </c>
      <c r="E2960" s="830">
        <v>42452</v>
      </c>
      <c r="F2960" s="925" t="s">
        <v>957</v>
      </c>
      <c r="G2960" s="832" t="s">
        <v>476</v>
      </c>
      <c r="H2960" s="923" t="s">
        <v>1297</v>
      </c>
      <c r="I2960" s="249">
        <v>200</v>
      </c>
      <c r="J2960" s="249">
        <v>6424.0660713894113</v>
      </c>
      <c r="K2960" s="51">
        <f t="shared" si="149"/>
        <v>1284813</v>
      </c>
      <c r="L2960" s="924" t="s">
        <v>171</v>
      </c>
      <c r="M2960" s="924" t="s">
        <v>166</v>
      </c>
      <c r="N2960" s="52" t="str">
        <f>IF(AND('331-CT'!$E$7=TH!H2960,OR(L2960="331",M2960="331")),"331",IF(AND(OR(L2960="131",M2960="131"),H2960='131-CT'!$E$7),"131",""))</f>
        <v/>
      </c>
      <c r="O2960" s="818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726"/>
    </row>
    <row r="2961" spans="1:27" s="861" customFormat="1" ht="15.75" customHeight="1">
      <c r="A2961" s="202" t="str">
        <f>IF(B2961&lt;&gt;"",IF(AND(B2961&gt;=_TM1,B2961&lt;=_TM2,OR(TH!L2961="1111",TH!M2961="1111")),TH!D2961,""),"")</f>
        <v/>
      </c>
      <c r="B2961" s="857">
        <f t="shared" si="147"/>
        <v>3</v>
      </c>
      <c r="C2961" s="858">
        <f t="shared" si="148"/>
        <v>42452</v>
      </c>
      <c r="D2961" s="858" t="s">
        <v>1548</v>
      </c>
      <c r="E2961" s="830">
        <v>42452</v>
      </c>
      <c r="F2961" s="925" t="s">
        <v>958</v>
      </c>
      <c r="G2961" s="832" t="s">
        <v>478</v>
      </c>
      <c r="H2961" s="923" t="s">
        <v>1297</v>
      </c>
      <c r="I2961" s="249">
        <v>31</v>
      </c>
      <c r="J2961" s="249">
        <v>7258.3603663750491</v>
      </c>
      <c r="K2961" s="51">
        <f t="shared" si="149"/>
        <v>225009</v>
      </c>
      <c r="L2961" s="924" t="s">
        <v>171</v>
      </c>
      <c r="M2961" s="924" t="s">
        <v>166</v>
      </c>
      <c r="N2961" s="52" t="str">
        <f>IF(AND('331-CT'!$E$7=TH!H2961,OR(L2961="331",M2961="331")),"331",IF(AND(OR(L2961="131",M2961="131"),H2961='131-CT'!$E$7),"131",""))</f>
        <v/>
      </c>
      <c r="O2961" s="818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726"/>
    </row>
    <row r="2962" spans="1:27" s="861" customFormat="1" ht="15.75" customHeight="1">
      <c r="A2962" s="202" t="str">
        <f>IF(B2962&lt;&gt;"",IF(AND(B2962&gt;=_TM1,B2962&lt;=_TM2,OR(TH!L2962="1111",TH!M2962="1111")),TH!D2962,""),"")</f>
        <v/>
      </c>
      <c r="B2962" s="857">
        <f t="shared" si="147"/>
        <v>3</v>
      </c>
      <c r="C2962" s="858">
        <f t="shared" si="148"/>
        <v>42452</v>
      </c>
      <c r="D2962" s="858" t="s">
        <v>1548</v>
      </c>
      <c r="E2962" s="830">
        <v>42452</v>
      </c>
      <c r="F2962" s="925" t="s">
        <v>959</v>
      </c>
      <c r="G2962" s="832" t="s">
        <v>478</v>
      </c>
      <c r="H2962" s="923" t="s">
        <v>1297</v>
      </c>
      <c r="I2962" s="249">
        <v>106</v>
      </c>
      <c r="J2962" s="249">
        <v>10762.396405314728</v>
      </c>
      <c r="K2962" s="51">
        <f t="shared" si="149"/>
        <v>1140814</v>
      </c>
      <c r="L2962" s="924" t="s">
        <v>171</v>
      </c>
      <c r="M2962" s="924" t="s">
        <v>166</v>
      </c>
      <c r="N2962" s="52" t="str">
        <f>IF(AND('331-CT'!$E$7=TH!H2962,OR(L2962="331",M2962="331")),"331",IF(AND(OR(L2962="131",M2962="131"),H2962='131-CT'!$E$7),"131",""))</f>
        <v/>
      </c>
      <c r="O2962" s="818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726"/>
    </row>
    <row r="2963" spans="1:27" s="861" customFormat="1" ht="15.75" customHeight="1">
      <c r="A2963" s="202" t="str">
        <f>IF(B2963&lt;&gt;"",IF(AND(B2963&gt;=_TM1,B2963&lt;=_TM2,OR(TH!L2963="1111",TH!M2963="1111")),TH!D2963,""),"")</f>
        <v/>
      </c>
      <c r="B2963" s="857">
        <f t="shared" si="147"/>
        <v>3</v>
      </c>
      <c r="C2963" s="858">
        <f t="shared" si="148"/>
        <v>42452</v>
      </c>
      <c r="D2963" s="858" t="s">
        <v>1548</v>
      </c>
      <c r="E2963" s="830">
        <v>42452</v>
      </c>
      <c r="F2963" s="925" t="s">
        <v>480</v>
      </c>
      <c r="G2963" s="832" t="s">
        <v>478</v>
      </c>
      <c r="H2963" s="923" t="s">
        <v>1297</v>
      </c>
      <c r="I2963" s="249">
        <v>584</v>
      </c>
      <c r="J2963" s="249">
        <v>10595.537546317601</v>
      </c>
      <c r="K2963" s="51">
        <f t="shared" si="149"/>
        <v>6187794</v>
      </c>
      <c r="L2963" s="924" t="s">
        <v>171</v>
      </c>
      <c r="M2963" s="924" t="s">
        <v>166</v>
      </c>
      <c r="N2963" s="52" t="str">
        <f>IF(AND('331-CT'!$E$7=TH!H2963,OR(L2963="331",M2963="331")),"331",IF(AND(OR(L2963="131",M2963="131"),H2963='131-CT'!$E$7),"131",""))</f>
        <v/>
      </c>
      <c r="O2963" s="818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726"/>
    </row>
    <row r="2964" spans="1:27" s="861" customFormat="1" ht="15.75" customHeight="1">
      <c r="A2964" s="202" t="str">
        <f>IF(B2964&lt;&gt;"",IF(AND(B2964&gt;=_TM1,B2964&lt;=_TM2,OR(TH!L2964="1111",TH!M2964="1111")),TH!D2964,""),"")</f>
        <v/>
      </c>
      <c r="B2964" s="857">
        <f t="shared" si="147"/>
        <v>3</v>
      </c>
      <c r="C2964" s="858">
        <f t="shared" si="148"/>
        <v>42452</v>
      </c>
      <c r="D2964" s="858" t="s">
        <v>1548</v>
      </c>
      <c r="E2964" s="830">
        <v>42452</v>
      </c>
      <c r="F2964" s="925" t="s">
        <v>480</v>
      </c>
      <c r="G2964" s="832" t="s">
        <v>479</v>
      </c>
      <c r="H2964" s="923" t="s">
        <v>1297</v>
      </c>
      <c r="I2964" s="249">
        <v>644</v>
      </c>
      <c r="J2964" s="249">
        <v>10595.537546317601</v>
      </c>
      <c r="K2964" s="51">
        <f t="shared" si="149"/>
        <v>6823526</v>
      </c>
      <c r="L2964" s="924" t="s">
        <v>171</v>
      </c>
      <c r="M2964" s="924" t="s">
        <v>166</v>
      </c>
      <c r="N2964" s="52" t="str">
        <f>IF(AND('331-CT'!$E$7=TH!H2964,OR(L2964="331",M2964="331")),"331",IF(AND(OR(L2964="131",M2964="131"),H2964='131-CT'!$E$7),"131",""))</f>
        <v/>
      </c>
      <c r="O2964" s="818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726"/>
    </row>
    <row r="2965" spans="1:27" s="861" customFormat="1" ht="15.75" customHeight="1">
      <c r="A2965" s="202" t="str">
        <f>IF(B2965&lt;&gt;"",IF(AND(B2965&gt;=_TM1,B2965&lt;=_TM2,OR(TH!L2965="1111",TH!M2965="1111")),TH!D2965,""),"")</f>
        <v/>
      </c>
      <c r="B2965" s="857">
        <f t="shared" si="147"/>
        <v>3</v>
      </c>
      <c r="C2965" s="858">
        <f t="shared" si="148"/>
        <v>42452</v>
      </c>
      <c r="D2965" s="858" t="s">
        <v>1548</v>
      </c>
      <c r="E2965" s="830">
        <v>42452</v>
      </c>
      <c r="F2965" s="925" t="s">
        <v>960</v>
      </c>
      <c r="G2965" s="832" t="s">
        <v>479</v>
      </c>
      <c r="H2965" s="923" t="s">
        <v>1297</v>
      </c>
      <c r="I2965" s="249">
        <v>34</v>
      </c>
      <c r="J2965" s="249">
        <v>18604.762778179724</v>
      </c>
      <c r="K2965" s="51">
        <f t="shared" si="149"/>
        <v>632562</v>
      </c>
      <c r="L2965" s="924" t="s">
        <v>171</v>
      </c>
      <c r="M2965" s="924" t="s">
        <v>166</v>
      </c>
      <c r="N2965" s="52" t="str">
        <f>IF(AND('331-CT'!$E$7=TH!H2965,OR(L2965="331",M2965="331")),"331",IF(AND(OR(L2965="131",M2965="131"),H2965='131-CT'!$E$7),"131",""))</f>
        <v/>
      </c>
      <c r="O2965" s="818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726"/>
    </row>
    <row r="2966" spans="1:27" s="861" customFormat="1" ht="15.75" customHeight="1">
      <c r="A2966" s="202" t="str">
        <f>IF(B2966&lt;&gt;"",IF(AND(B2966&gt;=_TM1,B2966&lt;=_TM2,OR(TH!L2966="1111",TH!M2966="1111")),TH!D2966,""),"")</f>
        <v/>
      </c>
      <c r="B2966" s="857">
        <f t="shared" ref="B2966:B3029" si="150">IF(C2966&lt;&gt;"",MONTH(C2966),"")</f>
        <v>3</v>
      </c>
      <c r="C2966" s="858">
        <f t="shared" si="148"/>
        <v>42452</v>
      </c>
      <c r="D2966" s="858" t="s">
        <v>1548</v>
      </c>
      <c r="E2966" s="830">
        <v>42452</v>
      </c>
      <c r="F2966" s="925" t="s">
        <v>1435</v>
      </c>
      <c r="G2966" s="832" t="s">
        <v>483</v>
      </c>
      <c r="H2966" s="923" t="s">
        <v>1297</v>
      </c>
      <c r="I2966" s="249">
        <v>5000</v>
      </c>
      <c r="J2966" s="249">
        <v>9761.2432513319618</v>
      </c>
      <c r="K2966" s="51">
        <f t="shared" si="149"/>
        <v>48806216</v>
      </c>
      <c r="L2966" s="924" t="s">
        <v>171</v>
      </c>
      <c r="M2966" s="924" t="s">
        <v>166</v>
      </c>
      <c r="N2966" s="52" t="str">
        <f>IF(AND('331-CT'!$E$7=TH!H2966,OR(L2966="331",M2966="331")),"331",IF(AND(OR(L2966="131",M2966="131"),H2966='131-CT'!$E$7),"131",""))</f>
        <v/>
      </c>
      <c r="O2966" s="818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726"/>
    </row>
    <row r="2967" spans="1:27" s="861" customFormat="1" ht="15.75" customHeight="1">
      <c r="A2967" s="202" t="str">
        <f>IF(B2967&lt;&gt;"",IF(AND(B2967&gt;=_TM1,B2967&lt;=_TM2,OR(TH!L2967="1111",TH!M2967="1111")),TH!D2967,""),"")</f>
        <v/>
      </c>
      <c r="B2967" s="857">
        <f t="shared" si="150"/>
        <v>3</v>
      </c>
      <c r="C2967" s="858">
        <f t="shared" si="148"/>
        <v>42453</v>
      </c>
      <c r="D2967" s="858" t="s">
        <v>1548</v>
      </c>
      <c r="E2967" s="830">
        <v>42453</v>
      </c>
      <c r="F2967" s="831" t="s">
        <v>646</v>
      </c>
      <c r="G2967" s="832" t="s">
        <v>484</v>
      </c>
      <c r="H2967" s="923" t="s">
        <v>1297</v>
      </c>
      <c r="I2967" s="249">
        <v>1500</v>
      </c>
      <c r="J2967" s="249">
        <v>6590.924930386539</v>
      </c>
      <c r="K2967" s="51">
        <f t="shared" si="149"/>
        <v>9886387</v>
      </c>
      <c r="L2967" s="924" t="s">
        <v>171</v>
      </c>
      <c r="M2967" s="924" t="s">
        <v>166</v>
      </c>
      <c r="N2967" s="52" t="str">
        <f>IF(AND('331-CT'!$E$7=TH!H2967,OR(L2967="331",M2967="331")),"331",IF(AND(OR(L2967="131",M2967="131"),H2967='131-CT'!$E$7),"131",""))</f>
        <v/>
      </c>
      <c r="O2967" s="818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726"/>
    </row>
    <row r="2968" spans="1:27" s="861" customFormat="1" ht="15.75" customHeight="1">
      <c r="A2968" s="202" t="str">
        <f>IF(B2968&lt;&gt;"",IF(AND(B2968&gt;=_TM1,B2968&lt;=_TM2,OR(TH!L2968="1111",TH!M2968="1111")),TH!D2968,""),"")</f>
        <v/>
      </c>
      <c r="B2968" s="857">
        <f t="shared" si="150"/>
        <v>3</v>
      </c>
      <c r="C2968" s="858">
        <f t="shared" si="148"/>
        <v>42453</v>
      </c>
      <c r="D2968" s="858" t="s">
        <v>1548</v>
      </c>
      <c r="E2968" s="830">
        <v>42453</v>
      </c>
      <c r="F2968" s="831" t="s">
        <v>895</v>
      </c>
      <c r="G2968" s="832" t="s">
        <v>484</v>
      </c>
      <c r="H2968" s="923" t="s">
        <v>1297</v>
      </c>
      <c r="I2968" s="249">
        <v>250</v>
      </c>
      <c r="J2968" s="249">
        <v>5506.3423469052104</v>
      </c>
      <c r="K2968" s="51">
        <f t="shared" si="149"/>
        <v>1376586</v>
      </c>
      <c r="L2968" s="924" t="s">
        <v>171</v>
      </c>
      <c r="M2968" s="924" t="s">
        <v>166</v>
      </c>
      <c r="N2968" s="52" t="str">
        <f>IF(AND('331-CT'!$E$7=TH!H2968,OR(L2968="331",M2968="331")),"331",IF(AND(OR(L2968="131",M2968="131"),H2968='131-CT'!$E$7),"131",""))</f>
        <v/>
      </c>
      <c r="O2968" s="818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726"/>
    </row>
    <row r="2969" spans="1:27" s="861" customFormat="1" ht="15.75" customHeight="1">
      <c r="A2969" s="202" t="str">
        <f>IF(B2969&lt;&gt;"",IF(AND(B2969&gt;=_TM1,B2969&lt;=_TM2,OR(TH!L2969="1111",TH!M2969="1111")),TH!D2969,""),"")</f>
        <v/>
      </c>
      <c r="B2969" s="857">
        <f t="shared" si="150"/>
        <v>3</v>
      </c>
      <c r="C2969" s="858">
        <f t="shared" si="148"/>
        <v>42453</v>
      </c>
      <c r="D2969" s="858" t="s">
        <v>1548</v>
      </c>
      <c r="E2969" s="830">
        <v>42453</v>
      </c>
      <c r="F2969" s="831" t="s">
        <v>896</v>
      </c>
      <c r="G2969" s="832" t="s">
        <v>484</v>
      </c>
      <c r="H2969" s="923" t="s">
        <v>1297</v>
      </c>
      <c r="I2969" s="249">
        <v>250</v>
      </c>
      <c r="J2969" s="249">
        <v>5339.4834879080827</v>
      </c>
      <c r="K2969" s="51">
        <f t="shared" si="149"/>
        <v>1334871</v>
      </c>
      <c r="L2969" s="924" t="s">
        <v>171</v>
      </c>
      <c r="M2969" s="924" t="s">
        <v>166</v>
      </c>
      <c r="N2969" s="52" t="str">
        <f>IF(AND('331-CT'!$E$7=TH!H2969,OR(L2969="331",M2969="331")),"331",IF(AND(OR(L2969="131",M2969="131"),H2969='131-CT'!$E$7),"131",""))</f>
        <v/>
      </c>
      <c r="O2969" s="818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726"/>
    </row>
    <row r="2970" spans="1:27" s="861" customFormat="1" ht="15.75" customHeight="1">
      <c r="A2970" s="202" t="str">
        <f>IF(B2970&lt;&gt;"",IF(AND(B2970&gt;=_TM1,B2970&lt;=_TM2,OR(TH!L2970="1111",TH!M2970="1111")),TH!D2970,""),"")</f>
        <v/>
      </c>
      <c r="B2970" s="857">
        <f t="shared" si="150"/>
        <v>3</v>
      </c>
      <c r="C2970" s="858">
        <f t="shared" si="148"/>
        <v>42454</v>
      </c>
      <c r="D2970" s="858" t="s">
        <v>1548</v>
      </c>
      <c r="E2970" s="830">
        <v>42454</v>
      </c>
      <c r="F2970" s="831" t="s">
        <v>610</v>
      </c>
      <c r="G2970" s="832" t="s">
        <v>486</v>
      </c>
      <c r="H2970" s="923" t="s">
        <v>1297</v>
      </c>
      <c r="I2970" s="249">
        <v>150</v>
      </c>
      <c r="J2970" s="249">
        <v>26864.276298537541</v>
      </c>
      <c r="K2970" s="51">
        <f t="shared" si="149"/>
        <v>4029641</v>
      </c>
      <c r="L2970" s="924" t="s">
        <v>171</v>
      </c>
      <c r="M2970" s="924" t="s">
        <v>166</v>
      </c>
      <c r="N2970" s="52" t="str">
        <f>IF(AND('331-CT'!$E$7=TH!H2970,OR(L2970="331",M2970="331")),"331",IF(AND(OR(L2970="131",M2970="131"),H2970='131-CT'!$E$7),"131",""))</f>
        <v/>
      </c>
      <c r="O2970" s="818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726"/>
    </row>
    <row r="2971" spans="1:27" s="861" customFormat="1" ht="15.75" customHeight="1">
      <c r="A2971" s="202" t="str">
        <f>IF(B2971&lt;&gt;"",IF(AND(B2971&gt;=_TM1,B2971&lt;=_TM2,OR(TH!L2971="1111",TH!M2971="1111")),TH!D2971,""),"")</f>
        <v/>
      </c>
      <c r="B2971" s="857">
        <f t="shared" si="150"/>
        <v>3</v>
      </c>
      <c r="C2971" s="858">
        <f t="shared" ref="C2971:C3034" si="151">E2971</f>
        <v>42454</v>
      </c>
      <c r="D2971" s="858" t="s">
        <v>1548</v>
      </c>
      <c r="E2971" s="830">
        <v>42454</v>
      </c>
      <c r="F2971" s="831" t="s">
        <v>436</v>
      </c>
      <c r="G2971" s="832" t="s">
        <v>487</v>
      </c>
      <c r="H2971" s="923" t="s">
        <v>1297</v>
      </c>
      <c r="I2971" s="249">
        <v>1807</v>
      </c>
      <c r="J2971" s="249">
        <v>5673.2012059023382</v>
      </c>
      <c r="K2971" s="51">
        <f t="shared" si="149"/>
        <v>10251475</v>
      </c>
      <c r="L2971" s="924" t="s">
        <v>171</v>
      </c>
      <c r="M2971" s="924" t="s">
        <v>166</v>
      </c>
      <c r="N2971" s="52" t="str">
        <f>IF(AND('331-CT'!$E$7=TH!H2971,OR(L2971="331",M2971="331")),"331",IF(AND(OR(L2971="131",M2971="131"),H2971='131-CT'!$E$7),"131",""))</f>
        <v/>
      </c>
      <c r="O2971" s="818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726"/>
    </row>
    <row r="2972" spans="1:27" s="861" customFormat="1" ht="15.75" customHeight="1">
      <c r="A2972" s="202" t="str">
        <f>IF(B2972&lt;&gt;"",IF(AND(B2972&gt;=_TM1,B2972&lt;=_TM2,OR(TH!L2972="1111",TH!M2972="1111")),TH!D2972,""),"")</f>
        <v/>
      </c>
      <c r="B2972" s="857">
        <f t="shared" si="150"/>
        <v>3</v>
      </c>
      <c r="C2972" s="858">
        <f t="shared" si="151"/>
        <v>42454</v>
      </c>
      <c r="D2972" s="858" t="s">
        <v>1548</v>
      </c>
      <c r="E2972" s="830">
        <v>42454</v>
      </c>
      <c r="F2972" s="831" t="s">
        <v>961</v>
      </c>
      <c r="G2972" s="832" t="s">
        <v>488</v>
      </c>
      <c r="H2972" s="923" t="s">
        <v>1297</v>
      </c>
      <c r="I2972" s="249">
        <v>205</v>
      </c>
      <c r="J2972" s="249">
        <v>16101.879893222811</v>
      </c>
      <c r="K2972" s="51">
        <f t="shared" ref="K2972:K3035" si="152">ROUND(I2972*J2972,0)</f>
        <v>3300885</v>
      </c>
      <c r="L2972" s="924" t="s">
        <v>171</v>
      </c>
      <c r="M2972" s="924" t="s">
        <v>166</v>
      </c>
      <c r="N2972" s="52" t="str">
        <f>IF(AND('331-CT'!$E$7=TH!H2972,OR(L2972="331",M2972="331")),"331",IF(AND(OR(L2972="131",M2972="131"),H2972='131-CT'!$E$7),"131",""))</f>
        <v/>
      </c>
      <c r="O2972" s="818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726"/>
    </row>
    <row r="2973" spans="1:27" s="861" customFormat="1" ht="15.75" customHeight="1">
      <c r="A2973" s="202" t="str">
        <f>IF(B2973&lt;&gt;"",IF(AND(B2973&gt;=_TM1,B2973&lt;=_TM2,OR(TH!L2973="1111",TH!M2973="1111")),TH!D2973,""),"")</f>
        <v/>
      </c>
      <c r="B2973" s="857">
        <f t="shared" si="150"/>
        <v>3</v>
      </c>
      <c r="C2973" s="858">
        <f t="shared" si="151"/>
        <v>42454</v>
      </c>
      <c r="D2973" s="858" t="s">
        <v>1548</v>
      </c>
      <c r="E2973" s="830">
        <v>42454</v>
      </c>
      <c r="F2973" s="831" t="s">
        <v>1201</v>
      </c>
      <c r="G2973" s="832" t="s">
        <v>488</v>
      </c>
      <c r="H2973" s="923" t="s">
        <v>1297</v>
      </c>
      <c r="I2973" s="249">
        <v>1030</v>
      </c>
      <c r="J2973" s="249">
        <v>917.72372448420163</v>
      </c>
      <c r="K2973" s="51">
        <f t="shared" si="152"/>
        <v>945255</v>
      </c>
      <c r="L2973" s="924" t="s">
        <v>171</v>
      </c>
      <c r="M2973" s="924" t="s">
        <v>166</v>
      </c>
      <c r="N2973" s="52" t="str">
        <f>IF(AND('331-CT'!$E$7=TH!H2973,OR(L2973="331",M2973="331")),"331",IF(AND(OR(L2973="131",M2973="131"),H2973='131-CT'!$E$7),"131",""))</f>
        <v/>
      </c>
      <c r="O2973" s="818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726"/>
    </row>
    <row r="2974" spans="1:27" s="861" customFormat="1" ht="15.75" customHeight="1">
      <c r="A2974" s="202" t="str">
        <f>IF(B2974&lt;&gt;"",IF(AND(B2974&gt;=_TM1,B2974&lt;=_TM2,OR(TH!L2974="1111",TH!M2974="1111")),TH!D2974,""),"")</f>
        <v/>
      </c>
      <c r="B2974" s="857">
        <f t="shared" si="150"/>
        <v>3</v>
      </c>
      <c r="C2974" s="858">
        <f t="shared" si="151"/>
        <v>42455</v>
      </c>
      <c r="D2974" s="858" t="s">
        <v>1548</v>
      </c>
      <c r="E2974" s="830">
        <v>42455</v>
      </c>
      <c r="F2974" s="831" t="s">
        <v>1443</v>
      </c>
      <c r="G2974" s="832" t="s">
        <v>489</v>
      </c>
      <c r="H2974" s="923" t="s">
        <v>1297</v>
      </c>
      <c r="I2974" s="249">
        <v>507</v>
      </c>
      <c r="J2974" s="249">
        <v>7925.7958023635592</v>
      </c>
      <c r="K2974" s="51">
        <f t="shared" si="152"/>
        <v>4018378</v>
      </c>
      <c r="L2974" s="924" t="s">
        <v>171</v>
      </c>
      <c r="M2974" s="924" t="s">
        <v>166</v>
      </c>
      <c r="N2974" s="52" t="str">
        <f>IF(AND('331-CT'!$E$7=TH!H2974,OR(L2974="331",M2974="331")),"331",IF(AND(OR(L2974="131",M2974="131"),H2974='131-CT'!$E$7),"131",""))</f>
        <v/>
      </c>
      <c r="O2974" s="818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726"/>
    </row>
    <row r="2975" spans="1:27" s="861" customFormat="1" ht="15.75" customHeight="1">
      <c r="A2975" s="202" t="str">
        <f>IF(B2975&lt;&gt;"",IF(AND(B2975&gt;=_TM1,B2975&lt;=_TM2,OR(TH!L2975="1111",TH!M2975="1111")),TH!D2975,""),"")</f>
        <v/>
      </c>
      <c r="B2975" s="857">
        <f t="shared" si="150"/>
        <v>3</v>
      </c>
      <c r="C2975" s="858">
        <f t="shared" si="151"/>
        <v>42455</v>
      </c>
      <c r="D2975" s="858" t="s">
        <v>1548</v>
      </c>
      <c r="E2975" s="830">
        <v>42455</v>
      </c>
      <c r="F2975" s="831" t="s">
        <v>962</v>
      </c>
      <c r="G2975" s="832" t="s">
        <v>490</v>
      </c>
      <c r="H2975" s="923" t="s">
        <v>1297</v>
      </c>
      <c r="I2975" s="249">
        <v>220</v>
      </c>
      <c r="J2975" s="249">
        <v>19856.204220658179</v>
      </c>
      <c r="K2975" s="51">
        <f t="shared" si="152"/>
        <v>4368365</v>
      </c>
      <c r="L2975" s="924" t="s">
        <v>171</v>
      </c>
      <c r="M2975" s="924" t="s">
        <v>166</v>
      </c>
      <c r="N2975" s="52" t="str">
        <f>IF(AND('331-CT'!$E$7=TH!H2975,OR(L2975="331",M2975="331")),"331",IF(AND(OR(L2975="131",M2975="131"),H2975='131-CT'!$E$7),"131",""))</f>
        <v/>
      </c>
      <c r="O2975" s="818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726"/>
    </row>
    <row r="2976" spans="1:27" s="861" customFormat="1" ht="15.75" customHeight="1">
      <c r="A2976" s="202" t="str">
        <f>IF(B2976&lt;&gt;"",IF(AND(B2976&gt;=_TM1,B2976&lt;=_TM2,OR(TH!L2976="1111",TH!M2976="1111")),TH!D2976,""),"")</f>
        <v/>
      </c>
      <c r="B2976" s="857">
        <f t="shared" si="150"/>
        <v>3</v>
      </c>
      <c r="C2976" s="858">
        <f t="shared" si="151"/>
        <v>42455</v>
      </c>
      <c r="D2976" s="858" t="s">
        <v>1548</v>
      </c>
      <c r="E2976" s="830">
        <v>42455</v>
      </c>
      <c r="F2976" s="831" t="s">
        <v>1437</v>
      </c>
      <c r="G2976" s="832" t="s">
        <v>492</v>
      </c>
      <c r="H2976" s="923" t="s">
        <v>1297</v>
      </c>
      <c r="I2976" s="249">
        <v>3000</v>
      </c>
      <c r="J2976" s="249">
        <v>3253.7477504439876</v>
      </c>
      <c r="K2976" s="51">
        <f t="shared" si="152"/>
        <v>9761243</v>
      </c>
      <c r="L2976" s="924" t="s">
        <v>171</v>
      </c>
      <c r="M2976" s="924" t="s">
        <v>166</v>
      </c>
      <c r="N2976" s="52" t="str">
        <f>IF(AND('331-CT'!$E$7=TH!H2976,OR(L2976="331",M2976="331")),"331",IF(AND(OR(L2976="131",M2976="131"),H2976='131-CT'!$E$7),"131",""))</f>
        <v/>
      </c>
      <c r="O2976" s="818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726"/>
    </row>
    <row r="2977" spans="1:27" s="861" customFormat="1" ht="15.75" customHeight="1">
      <c r="A2977" s="202" t="str">
        <f>IF(B2977&lt;&gt;"",IF(AND(B2977&gt;=_TM1,B2977&lt;=_TM2,OR(TH!L2977="1111",TH!M2977="1111")),TH!D2977,""),"")</f>
        <v/>
      </c>
      <c r="B2977" s="857">
        <f t="shared" si="150"/>
        <v>3</v>
      </c>
      <c r="C2977" s="858">
        <f t="shared" si="151"/>
        <v>42455</v>
      </c>
      <c r="D2977" s="858" t="s">
        <v>1548</v>
      </c>
      <c r="E2977" s="830">
        <v>42455</v>
      </c>
      <c r="F2977" s="831" t="s">
        <v>963</v>
      </c>
      <c r="G2977" s="832" t="s">
        <v>493</v>
      </c>
      <c r="H2977" s="923" t="s">
        <v>1297</v>
      </c>
      <c r="I2977" s="249">
        <v>3750</v>
      </c>
      <c r="J2977" s="249">
        <v>6757.7837893836668</v>
      </c>
      <c r="K2977" s="51">
        <f t="shared" si="152"/>
        <v>25341689</v>
      </c>
      <c r="L2977" s="924" t="s">
        <v>171</v>
      </c>
      <c r="M2977" s="924" t="s">
        <v>166</v>
      </c>
      <c r="N2977" s="52" t="str">
        <f>IF(AND('331-CT'!$E$7=TH!H2977,OR(L2977="331",M2977="331")),"331",IF(AND(OR(L2977="131",M2977="131"),H2977='131-CT'!$E$7),"131",""))</f>
        <v/>
      </c>
      <c r="O2977" s="818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726"/>
    </row>
    <row r="2978" spans="1:27" s="861" customFormat="1" ht="15.75" customHeight="1">
      <c r="A2978" s="202" t="str">
        <f>IF(B2978&lt;&gt;"",IF(AND(B2978&gt;=_TM1,B2978&lt;=_TM2,OR(TH!L2978="1111",TH!M2978="1111")),TH!D2978,""),"")</f>
        <v/>
      </c>
      <c r="B2978" s="857">
        <f t="shared" si="150"/>
        <v>3</v>
      </c>
      <c r="C2978" s="858">
        <f t="shared" si="151"/>
        <v>42456</v>
      </c>
      <c r="D2978" s="858" t="s">
        <v>1548</v>
      </c>
      <c r="E2978" s="830">
        <v>42456</v>
      </c>
      <c r="F2978" s="831" t="s">
        <v>694</v>
      </c>
      <c r="G2978" s="832" t="s">
        <v>494</v>
      </c>
      <c r="H2978" s="923" t="s">
        <v>1297</v>
      </c>
      <c r="I2978" s="249">
        <v>1100</v>
      </c>
      <c r="J2978" s="249">
        <v>1418.3003014755845</v>
      </c>
      <c r="K2978" s="51">
        <f t="shared" si="152"/>
        <v>1560130</v>
      </c>
      <c r="L2978" s="924" t="s">
        <v>171</v>
      </c>
      <c r="M2978" s="924" t="s">
        <v>166</v>
      </c>
      <c r="N2978" s="52" t="str">
        <f>IF(AND('331-CT'!$E$7=TH!H2978,OR(L2978="331",M2978="331")),"331",IF(AND(OR(L2978="131",M2978="131"),H2978='131-CT'!$E$7),"131",""))</f>
        <v/>
      </c>
      <c r="O2978" s="818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726"/>
    </row>
    <row r="2979" spans="1:27" s="788" customFormat="1" ht="15.75" customHeight="1">
      <c r="A2979" s="202" t="str">
        <f>IF(B2979&lt;&gt;"",IF(AND(B2979&gt;=_TM1,B2979&lt;=_TM2,OR(TH!L2979="1111",TH!M2979="1111")),TH!D2979,""),"")</f>
        <v/>
      </c>
      <c r="B2979" s="779">
        <f t="shared" si="150"/>
        <v>4</v>
      </c>
      <c r="C2979" s="780">
        <f t="shared" si="151"/>
        <v>42464</v>
      </c>
      <c r="D2979" s="780" t="s">
        <v>1548</v>
      </c>
      <c r="E2979" s="781">
        <v>42464</v>
      </c>
      <c r="F2979" s="782" t="s">
        <v>1310</v>
      </c>
      <c r="G2979" s="783" t="s">
        <v>497</v>
      </c>
      <c r="H2979" s="784" t="s">
        <v>1297</v>
      </c>
      <c r="I2979" s="785">
        <v>300</v>
      </c>
      <c r="J2979" s="785">
        <v>9291.2001617002134</v>
      </c>
      <c r="K2979" s="829">
        <f t="shared" si="152"/>
        <v>2787360</v>
      </c>
      <c r="L2979" s="891" t="s">
        <v>171</v>
      </c>
      <c r="M2979" s="891" t="s">
        <v>166</v>
      </c>
      <c r="N2979" s="52" t="str">
        <f>IF(AND('331-CT'!$E$7=TH!H2979,OR(L2979="331",M2979="331")),"331",IF(AND(OR(L2979="131",M2979="131"),H2979='131-CT'!$E$7),"131",""))</f>
        <v/>
      </c>
      <c r="O2979" s="818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888"/>
    </row>
    <row r="2980" spans="1:27" s="861" customFormat="1" ht="15.75" customHeight="1">
      <c r="A2980" s="202" t="str">
        <f>IF(B2980&lt;&gt;"",IF(AND(B2980&gt;=_TM1,B2980&lt;=_TM2,OR(TH!L2980="1111",TH!M2980="1111")),TH!D2980,""),"")</f>
        <v/>
      </c>
      <c r="B2980" s="857">
        <f t="shared" si="150"/>
        <v>4</v>
      </c>
      <c r="C2980" s="858">
        <f t="shared" si="151"/>
        <v>42467</v>
      </c>
      <c r="D2980" s="858" t="s">
        <v>1548</v>
      </c>
      <c r="E2980" s="830">
        <v>42467</v>
      </c>
      <c r="F2980" s="831" t="s">
        <v>1443</v>
      </c>
      <c r="G2980" s="832" t="s">
        <v>964</v>
      </c>
      <c r="H2980" s="923" t="s">
        <v>1297</v>
      </c>
      <c r="I2980" s="249">
        <v>292</v>
      </c>
      <c r="J2980" s="249">
        <v>8097.8350033166989</v>
      </c>
      <c r="K2980" s="51">
        <f t="shared" si="152"/>
        <v>2364568</v>
      </c>
      <c r="L2980" s="924" t="s">
        <v>171</v>
      </c>
      <c r="M2980" s="924" t="s">
        <v>166</v>
      </c>
      <c r="N2980" s="52" t="str">
        <f>IF(AND('331-CT'!$E$7=TH!H2980,OR(L2980="331",M2980="331")),"331",IF(AND(OR(L2980="131",M2980="131"),H2980='131-CT'!$E$7),"131",""))</f>
        <v/>
      </c>
      <c r="O2980" s="818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726"/>
    </row>
    <row r="2981" spans="1:27" s="861" customFormat="1" ht="15.75" customHeight="1">
      <c r="A2981" s="202" t="str">
        <f>IF(B2981&lt;&gt;"",IF(AND(B2981&gt;=_TM1,B2981&lt;=_TM2,OR(TH!L2981="1111",TH!M2981="1111")),TH!D2981,""),"")</f>
        <v/>
      </c>
      <c r="B2981" s="857">
        <f t="shared" si="150"/>
        <v>4</v>
      </c>
      <c r="C2981" s="858">
        <f t="shared" si="151"/>
        <v>42467</v>
      </c>
      <c r="D2981" s="858" t="s">
        <v>1548</v>
      </c>
      <c r="E2981" s="830">
        <v>42467</v>
      </c>
      <c r="F2981" s="831" t="s">
        <v>1443</v>
      </c>
      <c r="G2981" s="832" t="s">
        <v>964</v>
      </c>
      <c r="H2981" s="923" t="s">
        <v>1297</v>
      </c>
      <c r="I2981" s="249">
        <v>486</v>
      </c>
      <c r="J2981" s="249">
        <v>8097.8350033166989</v>
      </c>
      <c r="K2981" s="51">
        <f t="shared" si="152"/>
        <v>3935548</v>
      </c>
      <c r="L2981" s="924" t="s">
        <v>171</v>
      </c>
      <c r="M2981" s="924" t="s">
        <v>166</v>
      </c>
      <c r="N2981" s="52" t="str">
        <f>IF(AND('331-CT'!$E$7=TH!H2981,OR(L2981="331",M2981="331")),"331",IF(AND(OR(L2981="131",M2981="131"),H2981='131-CT'!$E$7),"131",""))</f>
        <v/>
      </c>
      <c r="O2981" s="818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726"/>
    </row>
    <row r="2982" spans="1:27" s="861" customFormat="1" ht="15.75" customHeight="1">
      <c r="A2982" s="202" t="str">
        <f>IF(B2982&lt;&gt;"",IF(AND(B2982&gt;=_TM1,B2982&lt;=_TM2,OR(TH!L2982="1111",TH!M2982="1111")),TH!D2982,""),"")</f>
        <v/>
      </c>
      <c r="B2982" s="857">
        <f t="shared" si="150"/>
        <v>4</v>
      </c>
      <c r="C2982" s="858">
        <f t="shared" si="151"/>
        <v>42467</v>
      </c>
      <c r="D2982" s="858" t="s">
        <v>1548</v>
      </c>
      <c r="E2982" s="830">
        <v>42467</v>
      </c>
      <c r="F2982" s="831" t="s">
        <v>1443</v>
      </c>
      <c r="G2982" s="832" t="s">
        <v>964</v>
      </c>
      <c r="H2982" s="923" t="s">
        <v>1297</v>
      </c>
      <c r="I2982" s="249">
        <v>303</v>
      </c>
      <c r="J2982" s="249">
        <v>8097.8350033166989</v>
      </c>
      <c r="K2982" s="51">
        <f t="shared" si="152"/>
        <v>2453644</v>
      </c>
      <c r="L2982" s="924" t="s">
        <v>171</v>
      </c>
      <c r="M2982" s="924" t="s">
        <v>166</v>
      </c>
      <c r="N2982" s="52" t="str">
        <f>IF(AND('331-CT'!$E$7=TH!H2982,OR(L2982="331",M2982="331")),"331",IF(AND(OR(L2982="131",M2982="131"),H2982='131-CT'!$E$7),"131",""))</f>
        <v/>
      </c>
      <c r="O2982" s="818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726"/>
    </row>
    <row r="2983" spans="1:27" s="861" customFormat="1" ht="15.75" customHeight="1">
      <c r="A2983" s="202" t="str">
        <f>IF(B2983&lt;&gt;"",IF(AND(B2983&gt;=_TM1,B2983&lt;=_TM2,OR(TH!L2983="1111",TH!M2983="1111")),TH!D2983,""),"")</f>
        <v/>
      </c>
      <c r="B2983" s="857">
        <f t="shared" si="150"/>
        <v>4</v>
      </c>
      <c r="C2983" s="858">
        <f t="shared" si="151"/>
        <v>42467</v>
      </c>
      <c r="D2983" s="858" t="s">
        <v>1548</v>
      </c>
      <c r="E2983" s="830">
        <v>42467</v>
      </c>
      <c r="F2983" s="831" t="s">
        <v>965</v>
      </c>
      <c r="G2983" s="832" t="s">
        <v>498</v>
      </c>
      <c r="H2983" s="923" t="s">
        <v>1297</v>
      </c>
      <c r="I2983" s="249">
        <v>529</v>
      </c>
      <c r="J2983" s="249">
        <v>6733.9891080212556</v>
      </c>
      <c r="K2983" s="51">
        <f t="shared" si="152"/>
        <v>3562280</v>
      </c>
      <c r="L2983" s="924" t="s">
        <v>171</v>
      </c>
      <c r="M2983" s="924" t="s">
        <v>166</v>
      </c>
      <c r="N2983" s="52" t="str">
        <f>IF(AND('331-CT'!$E$7=TH!H2983,OR(L2983="331",M2983="331")),"331",IF(AND(OR(L2983="131",M2983="131"),H2983='131-CT'!$E$7),"131",""))</f>
        <v/>
      </c>
      <c r="O2983" s="818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726"/>
    </row>
    <row r="2984" spans="1:27" s="861" customFormat="1" ht="15.75" customHeight="1">
      <c r="A2984" s="202" t="str">
        <f>IF(B2984&lt;&gt;"",IF(AND(B2984&gt;=_TM1,B2984&lt;=_TM2,OR(TH!L2984="1111",TH!M2984="1111")),TH!D2984,""),"")</f>
        <v/>
      </c>
      <c r="B2984" s="857">
        <f t="shared" si="150"/>
        <v>4</v>
      </c>
      <c r="C2984" s="858">
        <f t="shared" si="151"/>
        <v>42467</v>
      </c>
      <c r="D2984" s="858" t="s">
        <v>1548</v>
      </c>
      <c r="E2984" s="830">
        <v>42467</v>
      </c>
      <c r="F2984" s="831" t="s">
        <v>966</v>
      </c>
      <c r="G2984" s="832" t="s">
        <v>498</v>
      </c>
      <c r="H2984" s="923" t="s">
        <v>1297</v>
      </c>
      <c r="I2984" s="249">
        <v>497</v>
      </c>
      <c r="J2984" s="249">
        <v>8353.5561086845955</v>
      </c>
      <c r="K2984" s="51">
        <f t="shared" si="152"/>
        <v>4151717</v>
      </c>
      <c r="L2984" s="924" t="s">
        <v>171</v>
      </c>
      <c r="M2984" s="924" t="s">
        <v>166</v>
      </c>
      <c r="N2984" s="52" t="str">
        <f>IF(AND('331-CT'!$E$7=TH!H2984,OR(L2984="331",M2984="331")),"331",IF(AND(OR(L2984="131",M2984="131"),H2984='131-CT'!$E$7),"131",""))</f>
        <v/>
      </c>
      <c r="O2984" s="818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726"/>
    </row>
    <row r="2985" spans="1:27" s="861" customFormat="1" ht="15.75" customHeight="1">
      <c r="A2985" s="202" t="str">
        <f>IF(B2985&lt;&gt;"",IF(AND(B2985&gt;=_TM1,B2985&lt;=_TM2,OR(TH!L2985="1111",TH!M2985="1111")),TH!D2985,""),"")</f>
        <v/>
      </c>
      <c r="B2985" s="857">
        <f t="shared" si="150"/>
        <v>4</v>
      </c>
      <c r="C2985" s="858">
        <f t="shared" si="151"/>
        <v>42467</v>
      </c>
      <c r="D2985" s="858" t="s">
        <v>1548</v>
      </c>
      <c r="E2985" s="830">
        <v>42467</v>
      </c>
      <c r="F2985" s="831" t="s">
        <v>956</v>
      </c>
      <c r="G2985" s="832" t="s">
        <v>498</v>
      </c>
      <c r="H2985" s="923" t="s">
        <v>1297</v>
      </c>
      <c r="I2985" s="249">
        <v>516</v>
      </c>
      <c r="J2985" s="249">
        <v>7756.8735294928383</v>
      </c>
      <c r="K2985" s="51">
        <f t="shared" si="152"/>
        <v>4002547</v>
      </c>
      <c r="L2985" s="924" t="s">
        <v>171</v>
      </c>
      <c r="M2985" s="924" t="s">
        <v>166</v>
      </c>
      <c r="N2985" s="52" t="str">
        <f>IF(AND('331-CT'!$E$7=TH!H2985,OR(L2985="331",M2985="331")),"331",IF(AND(OR(L2985="131",M2985="131"),H2985='131-CT'!$E$7),"131",""))</f>
        <v/>
      </c>
      <c r="O2985" s="818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726"/>
    </row>
    <row r="2986" spans="1:27" s="861" customFormat="1" ht="15.75" customHeight="1">
      <c r="A2986" s="202" t="str">
        <f>IF(B2986&lt;&gt;"",IF(AND(B2986&gt;=_TM1,B2986&lt;=_TM2,OR(TH!L2986="1111",TH!M2986="1111")),TH!D2986,""),"")</f>
        <v/>
      </c>
      <c r="B2986" s="857">
        <f t="shared" si="150"/>
        <v>4</v>
      </c>
      <c r="C2986" s="858">
        <f t="shared" si="151"/>
        <v>42468</v>
      </c>
      <c r="D2986" s="858" t="s">
        <v>1548</v>
      </c>
      <c r="E2986" s="830">
        <v>42468</v>
      </c>
      <c r="F2986" s="831" t="s">
        <v>436</v>
      </c>
      <c r="G2986" s="832" t="s">
        <v>500</v>
      </c>
      <c r="H2986" s="923" t="s">
        <v>1297</v>
      </c>
      <c r="I2986" s="249">
        <v>652</v>
      </c>
      <c r="J2986" s="249">
        <v>5796.3450550056377</v>
      </c>
      <c r="K2986" s="51">
        <f t="shared" si="152"/>
        <v>3779217</v>
      </c>
      <c r="L2986" s="924" t="s">
        <v>171</v>
      </c>
      <c r="M2986" s="924" t="s">
        <v>166</v>
      </c>
      <c r="N2986" s="52" t="str">
        <f>IF(AND('331-CT'!$E$7=TH!H2986,OR(L2986="331",M2986="331")),"331",IF(AND(OR(L2986="131",M2986="131"),H2986='131-CT'!$E$7),"131",""))</f>
        <v/>
      </c>
      <c r="O2986" s="818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726"/>
    </row>
    <row r="2987" spans="1:27" s="861" customFormat="1" ht="15.75" customHeight="1">
      <c r="A2987" s="202" t="str">
        <f>IF(B2987&lt;&gt;"",IF(AND(B2987&gt;=_TM1,B2987&lt;=_TM2,OR(TH!L2987="1111",TH!M2987="1111")),TH!D2987,""),"")</f>
        <v/>
      </c>
      <c r="B2987" s="857">
        <f t="shared" si="150"/>
        <v>4</v>
      </c>
      <c r="C2987" s="858">
        <f t="shared" si="151"/>
        <v>42468</v>
      </c>
      <c r="D2987" s="858" t="s">
        <v>1548</v>
      </c>
      <c r="E2987" s="830">
        <v>42468</v>
      </c>
      <c r="F2987" s="831" t="s">
        <v>436</v>
      </c>
      <c r="G2987" s="832" t="s">
        <v>500</v>
      </c>
      <c r="H2987" s="923" t="s">
        <v>1297</v>
      </c>
      <c r="I2987" s="249">
        <v>1495</v>
      </c>
      <c r="J2987" s="249">
        <v>5796.3450550056377</v>
      </c>
      <c r="K2987" s="51">
        <f t="shared" si="152"/>
        <v>8665536</v>
      </c>
      <c r="L2987" s="924" t="s">
        <v>171</v>
      </c>
      <c r="M2987" s="924" t="s">
        <v>166</v>
      </c>
      <c r="N2987" s="52" t="str">
        <f>IF(AND('331-CT'!$E$7=TH!H2987,OR(L2987="331",M2987="331")),"331",IF(AND(OR(L2987="131",M2987="131"),H2987='131-CT'!$E$7),"131",""))</f>
        <v/>
      </c>
      <c r="O2987" s="818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726"/>
    </row>
    <row r="2988" spans="1:27" s="861" customFormat="1" ht="15.75" customHeight="1">
      <c r="A2988" s="202" t="str">
        <f>IF(B2988&lt;&gt;"",IF(AND(B2988&gt;=_TM1,B2988&lt;=_TM2,OR(TH!L2988="1111",TH!M2988="1111")),TH!D2988,""),"")</f>
        <v/>
      </c>
      <c r="B2988" s="857">
        <f t="shared" si="150"/>
        <v>4</v>
      </c>
      <c r="C2988" s="858">
        <f t="shared" si="151"/>
        <v>42468</v>
      </c>
      <c r="D2988" s="858" t="s">
        <v>1548</v>
      </c>
      <c r="E2988" s="830">
        <v>42468</v>
      </c>
      <c r="F2988" s="831" t="s">
        <v>638</v>
      </c>
      <c r="G2988" s="832" t="s">
        <v>502</v>
      </c>
      <c r="H2988" s="923" t="s">
        <v>1297</v>
      </c>
      <c r="I2988" s="249">
        <v>210</v>
      </c>
      <c r="J2988" s="249">
        <v>6819.2294764772205</v>
      </c>
      <c r="K2988" s="51">
        <f t="shared" si="152"/>
        <v>1432038</v>
      </c>
      <c r="L2988" s="924" t="s">
        <v>171</v>
      </c>
      <c r="M2988" s="924" t="s">
        <v>166</v>
      </c>
      <c r="N2988" s="52" t="str">
        <f>IF(AND('331-CT'!$E$7=TH!H2988,OR(L2988="331",M2988="331")),"331",IF(AND(OR(L2988="131",M2988="131"),H2988='131-CT'!$E$7),"131",""))</f>
        <v/>
      </c>
      <c r="O2988" s="818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726"/>
    </row>
    <row r="2989" spans="1:27" s="861" customFormat="1" ht="15.75" customHeight="1">
      <c r="A2989" s="202" t="str">
        <f>IF(B2989&lt;&gt;"",IF(AND(B2989&gt;=_TM1,B2989&lt;=_TM2,OR(TH!L2989="1111",TH!M2989="1111")),TH!D2989,""),"")</f>
        <v/>
      </c>
      <c r="B2989" s="857">
        <f t="shared" si="150"/>
        <v>4</v>
      </c>
      <c r="C2989" s="858">
        <f t="shared" si="151"/>
        <v>42468</v>
      </c>
      <c r="D2989" s="858" t="s">
        <v>1548</v>
      </c>
      <c r="E2989" s="830">
        <v>42468</v>
      </c>
      <c r="F2989" s="831" t="s">
        <v>639</v>
      </c>
      <c r="G2989" s="832" t="s">
        <v>502</v>
      </c>
      <c r="H2989" s="923" t="s">
        <v>1297</v>
      </c>
      <c r="I2989" s="249">
        <v>320</v>
      </c>
      <c r="J2989" s="249">
        <v>7927.3542664047691</v>
      </c>
      <c r="K2989" s="51">
        <f t="shared" si="152"/>
        <v>2536753</v>
      </c>
      <c r="L2989" s="924" t="s">
        <v>171</v>
      </c>
      <c r="M2989" s="924" t="s">
        <v>166</v>
      </c>
      <c r="N2989" s="52" t="str">
        <f>IF(AND('331-CT'!$E$7=TH!H2989,OR(L2989="331",M2989="331")),"331",IF(AND(OR(L2989="131",M2989="131"),H2989='131-CT'!$E$7),"131",""))</f>
        <v/>
      </c>
      <c r="O2989" s="818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726"/>
    </row>
    <row r="2990" spans="1:27" s="861" customFormat="1" ht="15.75" customHeight="1">
      <c r="A2990" s="202" t="str">
        <f>IF(B2990&lt;&gt;"",IF(AND(B2990&gt;=_TM1,B2990&lt;=_TM2,OR(TH!L2990="1111",TH!M2990="1111")),TH!D2990,""),"")</f>
        <v/>
      </c>
      <c r="B2990" s="857">
        <f t="shared" si="150"/>
        <v>4</v>
      </c>
      <c r="C2990" s="858">
        <f t="shared" si="151"/>
        <v>42468</v>
      </c>
      <c r="D2990" s="858" t="s">
        <v>1548</v>
      </c>
      <c r="E2990" s="830">
        <v>42468</v>
      </c>
      <c r="F2990" s="831" t="s">
        <v>1434</v>
      </c>
      <c r="G2990" s="832" t="s">
        <v>503</v>
      </c>
      <c r="H2990" s="923" t="s">
        <v>1297</v>
      </c>
      <c r="I2990" s="249">
        <v>200</v>
      </c>
      <c r="J2990" s="249">
        <v>8694.5175825084552</v>
      </c>
      <c r="K2990" s="51">
        <f t="shared" si="152"/>
        <v>1738904</v>
      </c>
      <c r="L2990" s="924" t="s">
        <v>171</v>
      </c>
      <c r="M2990" s="924" t="s">
        <v>166</v>
      </c>
      <c r="N2990" s="52" t="str">
        <f>IF(AND('331-CT'!$E$7=TH!H2990,OR(L2990="331",M2990="331")),"331",IF(AND(OR(L2990="131",M2990="131"),H2990='131-CT'!$E$7),"131",""))</f>
        <v/>
      </c>
      <c r="O2990" s="818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726"/>
    </row>
    <row r="2991" spans="1:27" s="861" customFormat="1" ht="15.75" customHeight="1">
      <c r="A2991" s="202" t="str">
        <f>IF(B2991&lt;&gt;"",IF(AND(B2991&gt;=_TM1,B2991&lt;=_TM2,OR(TH!L2991="1111",TH!M2991="1111")),TH!D2991,""),"")</f>
        <v/>
      </c>
      <c r="B2991" s="857">
        <f t="shared" si="150"/>
        <v>4</v>
      </c>
      <c r="C2991" s="858">
        <f t="shared" si="151"/>
        <v>42468</v>
      </c>
      <c r="D2991" s="858" t="s">
        <v>1548</v>
      </c>
      <c r="E2991" s="830">
        <v>42468</v>
      </c>
      <c r="F2991" s="831" t="s">
        <v>1435</v>
      </c>
      <c r="G2991" s="832" t="s">
        <v>503</v>
      </c>
      <c r="H2991" s="923" t="s">
        <v>1297</v>
      </c>
      <c r="I2991" s="249">
        <v>200</v>
      </c>
      <c r="J2991" s="249">
        <v>9973.1231093479346</v>
      </c>
      <c r="K2991" s="51">
        <f t="shared" si="152"/>
        <v>1994625</v>
      </c>
      <c r="L2991" s="924" t="s">
        <v>171</v>
      </c>
      <c r="M2991" s="924" t="s">
        <v>166</v>
      </c>
      <c r="N2991" s="52" t="str">
        <f>IF(AND('331-CT'!$E$7=TH!H2991,OR(L2991="331",M2991="331")),"331",IF(AND(OR(L2991="131",M2991="131"),H2991='131-CT'!$E$7),"131",""))</f>
        <v/>
      </c>
      <c r="O2991" s="818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726"/>
    </row>
    <row r="2992" spans="1:27" s="861" customFormat="1" ht="15.75" customHeight="1">
      <c r="A2992" s="202" t="str">
        <f>IF(B2992&lt;&gt;"",IF(AND(B2992&gt;=_TM1,B2992&lt;=_TM2,OR(TH!L2992="1111",TH!M2992="1111")),TH!D2992,""),"")</f>
        <v/>
      </c>
      <c r="B2992" s="857">
        <f t="shared" si="150"/>
        <v>4</v>
      </c>
      <c r="C2992" s="858">
        <f t="shared" si="151"/>
        <v>42468</v>
      </c>
      <c r="D2992" s="858" t="s">
        <v>1548</v>
      </c>
      <c r="E2992" s="830">
        <v>42468</v>
      </c>
      <c r="F2992" s="831" t="s">
        <v>1306</v>
      </c>
      <c r="G2992" s="832" t="s">
        <v>503</v>
      </c>
      <c r="H2992" s="923" t="s">
        <v>1297</v>
      </c>
      <c r="I2992" s="249">
        <v>200</v>
      </c>
      <c r="J2992" s="249">
        <v>10569.805688539691</v>
      </c>
      <c r="K2992" s="51">
        <f t="shared" si="152"/>
        <v>2113961</v>
      </c>
      <c r="L2992" s="924" t="s">
        <v>171</v>
      </c>
      <c r="M2992" s="924" t="s">
        <v>166</v>
      </c>
      <c r="N2992" s="52" t="str">
        <f>IF(AND('331-CT'!$E$7=TH!H2992,OR(L2992="331",M2992="331")),"331",IF(AND(OR(L2992="131",M2992="131"),H2992='131-CT'!$E$7),"131",""))</f>
        <v/>
      </c>
      <c r="O2992" s="818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726"/>
    </row>
    <row r="2993" spans="1:27" s="861" customFormat="1" ht="15.75" customHeight="1">
      <c r="A2993" s="202" t="str">
        <f>IF(B2993&lt;&gt;"",IF(AND(B2993&gt;=_TM1,B2993&lt;=_TM2,OR(TH!L2993="1111",TH!M2993="1111")),TH!D2993,""),"")</f>
        <v/>
      </c>
      <c r="B2993" s="857">
        <f t="shared" si="150"/>
        <v>4</v>
      </c>
      <c r="C2993" s="858">
        <f t="shared" si="151"/>
        <v>42468</v>
      </c>
      <c r="D2993" s="858" t="s">
        <v>1548</v>
      </c>
      <c r="E2993" s="830">
        <v>42468</v>
      </c>
      <c r="F2993" s="831" t="s">
        <v>1307</v>
      </c>
      <c r="G2993" s="832" t="s">
        <v>503</v>
      </c>
      <c r="H2993" s="923" t="s">
        <v>1297</v>
      </c>
      <c r="I2993" s="249">
        <v>200</v>
      </c>
      <c r="J2993" s="249">
        <v>12956.536005306718</v>
      </c>
      <c r="K2993" s="51">
        <f t="shared" si="152"/>
        <v>2591307</v>
      </c>
      <c r="L2993" s="924" t="s">
        <v>171</v>
      </c>
      <c r="M2993" s="924" t="s">
        <v>166</v>
      </c>
      <c r="N2993" s="52" t="str">
        <f>IF(AND('331-CT'!$E$7=TH!H2993,OR(L2993="331",M2993="331")),"331",IF(AND(OR(L2993="131",M2993="131"),H2993='131-CT'!$E$7),"131",""))</f>
        <v/>
      </c>
      <c r="O2993" s="818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726"/>
    </row>
    <row r="2994" spans="1:27" s="861" customFormat="1" ht="15.75" customHeight="1">
      <c r="A2994" s="202" t="str">
        <f>IF(B2994&lt;&gt;"",IF(AND(B2994&gt;=_TM1,B2994&lt;=_TM2,OR(TH!L2994="1111",TH!M2994="1111")),TH!D2994,""),"")</f>
        <v/>
      </c>
      <c r="B2994" s="857">
        <f t="shared" si="150"/>
        <v>4</v>
      </c>
      <c r="C2994" s="858">
        <f t="shared" si="151"/>
        <v>42468</v>
      </c>
      <c r="D2994" s="858" t="s">
        <v>1548</v>
      </c>
      <c r="E2994" s="830">
        <v>42468</v>
      </c>
      <c r="F2994" s="831" t="s">
        <v>911</v>
      </c>
      <c r="G2994" s="832" t="s">
        <v>504</v>
      </c>
      <c r="H2994" s="923" t="s">
        <v>1297</v>
      </c>
      <c r="I2994" s="249">
        <v>40</v>
      </c>
      <c r="J2994" s="249">
        <v>19605.284744872006</v>
      </c>
      <c r="K2994" s="51">
        <f t="shared" si="152"/>
        <v>784211</v>
      </c>
      <c r="L2994" s="924" t="s">
        <v>171</v>
      </c>
      <c r="M2994" s="924" t="s">
        <v>166</v>
      </c>
      <c r="N2994" s="52" t="str">
        <f>IF(AND('331-CT'!$E$7=TH!H2994,OR(L2994="331",M2994="331")),"331",IF(AND(OR(L2994="131",M2994="131"),H2994='131-CT'!$E$7),"131",""))</f>
        <v/>
      </c>
      <c r="O2994" s="818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726"/>
    </row>
    <row r="2995" spans="1:27" s="861" customFormat="1" ht="15.75" customHeight="1">
      <c r="A2995" s="202" t="str">
        <f>IF(B2995&lt;&gt;"",IF(AND(B2995&gt;=_TM1,B2995&lt;=_TM2,OR(TH!L2995="1111",TH!M2995="1111")),TH!D2995,""),"")</f>
        <v/>
      </c>
      <c r="B2995" s="857">
        <f t="shared" si="150"/>
        <v>4</v>
      </c>
      <c r="C2995" s="858">
        <f t="shared" si="151"/>
        <v>42468</v>
      </c>
      <c r="D2995" s="858" t="s">
        <v>1548</v>
      </c>
      <c r="E2995" s="830">
        <v>42468</v>
      </c>
      <c r="F2995" s="831" t="s">
        <v>967</v>
      </c>
      <c r="G2995" s="832" t="s">
        <v>505</v>
      </c>
      <c r="H2995" s="923" t="s">
        <v>1297</v>
      </c>
      <c r="I2995" s="249">
        <v>540</v>
      </c>
      <c r="J2995" s="249">
        <v>6222.5468972854633</v>
      </c>
      <c r="K2995" s="51">
        <f t="shared" si="152"/>
        <v>3360175</v>
      </c>
      <c r="L2995" s="924" t="s">
        <v>171</v>
      </c>
      <c r="M2995" s="924" t="s">
        <v>166</v>
      </c>
      <c r="N2995" s="52" t="str">
        <f>IF(AND('331-CT'!$E$7=TH!H2995,OR(L2995="331",M2995="331")),"331",IF(AND(OR(L2995="131",M2995="131"),H2995='131-CT'!$E$7),"131",""))</f>
        <v/>
      </c>
      <c r="O2995" s="818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726"/>
    </row>
    <row r="2996" spans="1:27" s="861" customFormat="1" ht="15.75" customHeight="1">
      <c r="A2996" s="202" t="str">
        <f>IF(B2996&lt;&gt;"",IF(AND(B2996&gt;=_TM1,B2996&lt;=_TM2,OR(TH!L2996="1111",TH!M2996="1111")),TH!D2996,""),"")</f>
        <v/>
      </c>
      <c r="B2996" s="857">
        <f t="shared" si="150"/>
        <v>4</v>
      </c>
      <c r="C2996" s="858">
        <f t="shared" si="151"/>
        <v>42468</v>
      </c>
      <c r="D2996" s="858" t="s">
        <v>1548</v>
      </c>
      <c r="E2996" s="830">
        <v>42468</v>
      </c>
      <c r="F2996" s="831" t="s">
        <v>1437</v>
      </c>
      <c r="G2996" s="832" t="s">
        <v>506</v>
      </c>
      <c r="H2996" s="923" t="s">
        <v>1297</v>
      </c>
      <c r="I2996" s="249">
        <v>3000</v>
      </c>
      <c r="J2996" s="249">
        <v>3324.3743697826449</v>
      </c>
      <c r="K2996" s="51">
        <f t="shared" si="152"/>
        <v>9973123</v>
      </c>
      <c r="L2996" s="924" t="s">
        <v>171</v>
      </c>
      <c r="M2996" s="924" t="s">
        <v>166</v>
      </c>
      <c r="N2996" s="52" t="str">
        <f>IF(AND('331-CT'!$E$7=TH!H2996,OR(L2996="331",M2996="331")),"331",IF(AND(OR(L2996="131",M2996="131"),H2996='131-CT'!$E$7),"131",""))</f>
        <v/>
      </c>
      <c r="O2996" s="818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726"/>
    </row>
    <row r="2997" spans="1:27" s="861" customFormat="1" ht="15.75" customHeight="1">
      <c r="A2997" s="202" t="str">
        <f>IF(B2997&lt;&gt;"",IF(AND(B2997&gt;=_TM1,B2997&lt;=_TM2,OR(TH!L2997="1111",TH!M2997="1111")),TH!D2997,""),"")</f>
        <v/>
      </c>
      <c r="B2997" s="857">
        <f t="shared" si="150"/>
        <v>4</v>
      </c>
      <c r="C2997" s="858">
        <f t="shared" si="151"/>
        <v>42471</v>
      </c>
      <c r="D2997" s="858" t="s">
        <v>1548</v>
      </c>
      <c r="E2997" s="830">
        <v>42471</v>
      </c>
      <c r="F2997" s="831" t="s">
        <v>968</v>
      </c>
      <c r="G2997" s="832" t="s">
        <v>508</v>
      </c>
      <c r="H2997" s="923" t="s">
        <v>1297</v>
      </c>
      <c r="I2997" s="249">
        <v>100</v>
      </c>
      <c r="J2997" s="249">
        <v>9291.2001617002134</v>
      </c>
      <c r="K2997" s="51">
        <f t="shared" si="152"/>
        <v>929120</v>
      </c>
      <c r="L2997" s="924" t="s">
        <v>171</v>
      </c>
      <c r="M2997" s="924" t="s">
        <v>166</v>
      </c>
      <c r="N2997" s="52" t="str">
        <f>IF(AND('331-CT'!$E$7=TH!H2997,OR(L2997="331",M2997="331")),"331",IF(AND(OR(L2997="131",M2997="131"),H2997='131-CT'!$E$7),"131",""))</f>
        <v/>
      </c>
      <c r="O2997" s="818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726"/>
    </row>
    <row r="2998" spans="1:27" s="861" customFormat="1" ht="15.75" customHeight="1">
      <c r="A2998" s="202" t="str">
        <f>IF(B2998&lt;&gt;"",IF(AND(B2998&gt;=_TM1,B2998&lt;=_TM2,OR(TH!L2998="1111",TH!M2998="1111")),TH!D2998,""),"")</f>
        <v/>
      </c>
      <c r="B2998" s="857">
        <f t="shared" si="150"/>
        <v>4</v>
      </c>
      <c r="C2998" s="858">
        <f t="shared" si="151"/>
        <v>42471</v>
      </c>
      <c r="D2998" s="858" t="s">
        <v>1548</v>
      </c>
      <c r="E2998" s="830">
        <v>42471</v>
      </c>
      <c r="F2998" s="831" t="s">
        <v>970</v>
      </c>
      <c r="G2998" s="832" t="s">
        <v>508</v>
      </c>
      <c r="H2998" s="923" t="s">
        <v>1297</v>
      </c>
      <c r="I2998" s="249">
        <v>100</v>
      </c>
      <c r="J2998" s="249">
        <v>11166.488267731449</v>
      </c>
      <c r="K2998" s="51">
        <f t="shared" si="152"/>
        <v>1116649</v>
      </c>
      <c r="L2998" s="924" t="s">
        <v>171</v>
      </c>
      <c r="M2998" s="924" t="s">
        <v>166</v>
      </c>
      <c r="N2998" s="52" t="str">
        <f>IF(AND('331-CT'!$E$7=TH!H2998,OR(L2998="331",M2998="331")),"331",IF(AND(OR(L2998="131",M2998="131"),H2998='131-CT'!$E$7),"131",""))</f>
        <v/>
      </c>
      <c r="O2998" s="818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726"/>
    </row>
    <row r="2999" spans="1:27" s="861" customFormat="1" ht="15.75" customHeight="1">
      <c r="A2999" s="202" t="str">
        <f>IF(B2999&lt;&gt;"",IF(AND(B2999&gt;=_TM1,B2999&lt;=_TM2,OR(TH!L2999="1111",TH!M2999="1111")),TH!D2999,""),"")</f>
        <v/>
      </c>
      <c r="B2999" s="857">
        <f t="shared" si="150"/>
        <v>4</v>
      </c>
      <c r="C2999" s="858">
        <f t="shared" si="151"/>
        <v>42471</v>
      </c>
      <c r="D2999" s="858" t="s">
        <v>1548</v>
      </c>
      <c r="E2999" s="830">
        <v>42471</v>
      </c>
      <c r="F2999" s="831" t="s">
        <v>971</v>
      </c>
      <c r="G2999" s="832" t="s">
        <v>508</v>
      </c>
      <c r="H2999" s="923" t="s">
        <v>1297</v>
      </c>
      <c r="I2999" s="249">
        <v>100</v>
      </c>
      <c r="J2999" s="249">
        <v>10484.565320083726</v>
      </c>
      <c r="K2999" s="51">
        <f t="shared" si="152"/>
        <v>1048457</v>
      </c>
      <c r="L2999" s="924" t="s">
        <v>171</v>
      </c>
      <c r="M2999" s="924" t="s">
        <v>166</v>
      </c>
      <c r="N2999" s="52" t="str">
        <f>IF(AND('331-CT'!$E$7=TH!H2999,OR(L2999="331",M2999="331")),"331",IF(AND(OR(L2999="131",M2999="131"),H2999='131-CT'!$E$7),"131",""))</f>
        <v/>
      </c>
      <c r="O2999" s="818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726"/>
    </row>
    <row r="3000" spans="1:27" s="861" customFormat="1" ht="15.75" customHeight="1">
      <c r="A3000" s="202" t="str">
        <f>IF(B3000&lt;&gt;"",IF(AND(B3000&gt;=_TM1,B3000&lt;=_TM2,OR(TH!L3000="1111",TH!M3000="1111")),TH!D3000,""),"")</f>
        <v/>
      </c>
      <c r="B3000" s="857">
        <f t="shared" si="150"/>
        <v>4</v>
      </c>
      <c r="C3000" s="858">
        <f t="shared" si="151"/>
        <v>42472</v>
      </c>
      <c r="D3000" s="858" t="s">
        <v>1548</v>
      </c>
      <c r="E3000" s="830">
        <v>42472</v>
      </c>
      <c r="F3000" s="831" t="s">
        <v>645</v>
      </c>
      <c r="G3000" s="832" t="s">
        <v>509</v>
      </c>
      <c r="H3000" s="923" t="s">
        <v>1297</v>
      </c>
      <c r="I3000" s="249">
        <v>1004</v>
      </c>
      <c r="J3000" s="249">
        <v>9717.402003980038</v>
      </c>
      <c r="K3000" s="51">
        <f t="shared" si="152"/>
        <v>9756272</v>
      </c>
      <c r="L3000" s="924" t="s">
        <v>171</v>
      </c>
      <c r="M3000" s="924" t="s">
        <v>166</v>
      </c>
      <c r="N3000" s="52" t="str">
        <f>IF(AND('331-CT'!$E$7=TH!H3000,OR(L3000="331",M3000="331")),"331",IF(AND(OR(L3000="131",M3000="131"),H3000='131-CT'!$E$7),"131",""))</f>
        <v/>
      </c>
      <c r="O3000" s="818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726"/>
    </row>
    <row r="3001" spans="1:27" s="861" customFormat="1" ht="15.75" customHeight="1">
      <c r="A3001" s="202" t="str">
        <f>IF(B3001&lt;&gt;"",IF(AND(B3001&gt;=_TM1,B3001&lt;=_TM2,OR(TH!L3001="1111",TH!M3001="1111")),TH!D3001,""),"")</f>
        <v/>
      </c>
      <c r="B3001" s="857">
        <f t="shared" si="150"/>
        <v>4</v>
      </c>
      <c r="C3001" s="858">
        <f t="shared" si="151"/>
        <v>42472</v>
      </c>
      <c r="D3001" s="858" t="s">
        <v>1548</v>
      </c>
      <c r="E3001" s="830">
        <v>42472</v>
      </c>
      <c r="F3001" s="831" t="s">
        <v>693</v>
      </c>
      <c r="G3001" s="832" t="s">
        <v>509</v>
      </c>
      <c r="H3001" s="923" t="s">
        <v>1297</v>
      </c>
      <c r="I3001" s="249">
        <v>2008</v>
      </c>
      <c r="J3001" s="249">
        <v>767.16331610368729</v>
      </c>
      <c r="K3001" s="51">
        <f t="shared" si="152"/>
        <v>1540464</v>
      </c>
      <c r="L3001" s="924" t="s">
        <v>171</v>
      </c>
      <c r="M3001" s="924" t="s">
        <v>166</v>
      </c>
      <c r="N3001" s="52" t="str">
        <f>IF(AND('331-CT'!$E$7=TH!H3001,OR(L3001="331",M3001="331")),"331",IF(AND(OR(L3001="131",M3001="131"),H3001='131-CT'!$E$7),"131",""))</f>
        <v/>
      </c>
      <c r="O3001" s="818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726"/>
    </row>
    <row r="3002" spans="1:27" s="861" customFormat="1" ht="15.75" customHeight="1">
      <c r="A3002" s="202" t="str">
        <f>IF(B3002&lt;&gt;"",IF(AND(B3002&gt;=_TM1,B3002&lt;=_TM2,OR(TH!L3002="1111",TH!M3002="1111")),TH!D3002,""),"")</f>
        <v/>
      </c>
      <c r="B3002" s="857">
        <f t="shared" si="150"/>
        <v>4</v>
      </c>
      <c r="C3002" s="858">
        <f t="shared" si="151"/>
        <v>42472</v>
      </c>
      <c r="D3002" s="858" t="s">
        <v>1548</v>
      </c>
      <c r="E3002" s="830">
        <v>42472</v>
      </c>
      <c r="F3002" s="831" t="s">
        <v>972</v>
      </c>
      <c r="G3002" s="832" t="s">
        <v>510</v>
      </c>
      <c r="H3002" s="923" t="s">
        <v>1297</v>
      </c>
      <c r="I3002" s="249">
        <v>207</v>
      </c>
      <c r="J3002" s="249">
        <v>7756.8735294928383</v>
      </c>
      <c r="K3002" s="51">
        <f t="shared" si="152"/>
        <v>1605673</v>
      </c>
      <c r="L3002" s="924" t="s">
        <v>171</v>
      </c>
      <c r="M3002" s="924" t="s">
        <v>166</v>
      </c>
      <c r="N3002" s="52" t="str">
        <f>IF(AND('331-CT'!$E$7=TH!H3002,OR(L3002="331",M3002="331")),"331",IF(AND(OR(L3002="131",M3002="131"),H3002='131-CT'!$E$7),"131",""))</f>
        <v/>
      </c>
      <c r="O3002" s="818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726"/>
    </row>
    <row r="3003" spans="1:27" s="861" customFormat="1" ht="15.75" customHeight="1">
      <c r="A3003" s="202" t="str">
        <f>IF(B3003&lt;&gt;"",IF(AND(B3003&gt;=_TM1,B3003&lt;=_TM2,OR(TH!L3003="1111",TH!M3003="1111")),TH!D3003,""),"")</f>
        <v/>
      </c>
      <c r="B3003" s="857">
        <f t="shared" si="150"/>
        <v>4</v>
      </c>
      <c r="C3003" s="858">
        <f t="shared" si="151"/>
        <v>42472</v>
      </c>
      <c r="D3003" s="858" t="s">
        <v>1548</v>
      </c>
      <c r="E3003" s="830">
        <v>42472</v>
      </c>
      <c r="F3003" s="831" t="s">
        <v>973</v>
      </c>
      <c r="G3003" s="832" t="s">
        <v>510</v>
      </c>
      <c r="H3003" s="923" t="s">
        <v>1297</v>
      </c>
      <c r="I3003" s="249">
        <v>173</v>
      </c>
      <c r="J3003" s="249">
        <v>7927.3542664047691</v>
      </c>
      <c r="K3003" s="51">
        <f t="shared" si="152"/>
        <v>1371432</v>
      </c>
      <c r="L3003" s="924" t="s">
        <v>171</v>
      </c>
      <c r="M3003" s="924" t="s">
        <v>166</v>
      </c>
      <c r="N3003" s="52" t="str">
        <f>IF(AND('331-CT'!$E$7=TH!H3003,OR(L3003="331",M3003="331")),"331",IF(AND(OR(L3003="131",M3003="131"),H3003='131-CT'!$E$7),"131",""))</f>
        <v/>
      </c>
      <c r="O3003" s="818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726"/>
    </row>
    <row r="3004" spans="1:27" s="861" customFormat="1" ht="15.75" customHeight="1">
      <c r="A3004" s="202" t="str">
        <f>IF(B3004&lt;&gt;"",IF(AND(B3004&gt;=_TM1,B3004&lt;=_TM2,OR(TH!L3004="1111",TH!M3004="1111")),TH!D3004,""),"")</f>
        <v/>
      </c>
      <c r="B3004" s="857">
        <f t="shared" si="150"/>
        <v>4</v>
      </c>
      <c r="C3004" s="858">
        <f t="shared" si="151"/>
        <v>42472</v>
      </c>
      <c r="D3004" s="858" t="s">
        <v>1548</v>
      </c>
      <c r="E3004" s="830">
        <v>42472</v>
      </c>
      <c r="F3004" s="831" t="s">
        <v>974</v>
      </c>
      <c r="G3004" s="832" t="s">
        <v>511</v>
      </c>
      <c r="H3004" s="923" t="s">
        <v>1297</v>
      </c>
      <c r="I3004" s="249">
        <v>505</v>
      </c>
      <c r="J3004" s="249">
        <v>5029.1817389019498</v>
      </c>
      <c r="K3004" s="51">
        <f t="shared" si="152"/>
        <v>2539737</v>
      </c>
      <c r="L3004" s="924" t="s">
        <v>171</v>
      </c>
      <c r="M3004" s="924" t="s">
        <v>166</v>
      </c>
      <c r="N3004" s="52" t="str">
        <f>IF(AND('331-CT'!$E$7=TH!H3004,OR(L3004="331",M3004="331")),"331",IF(AND(OR(L3004="131",M3004="131"),H3004='131-CT'!$E$7),"131",""))</f>
        <v/>
      </c>
      <c r="O3004" s="818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726"/>
    </row>
    <row r="3005" spans="1:27" s="861" customFormat="1" ht="15.75" customHeight="1">
      <c r="A3005" s="202" t="str">
        <f>IF(B3005&lt;&gt;"",IF(AND(B3005&gt;=_TM1,B3005&lt;=_TM2,OR(TH!L3005="1111",TH!M3005="1111")),TH!D3005,""),"")</f>
        <v/>
      </c>
      <c r="B3005" s="857">
        <f t="shared" si="150"/>
        <v>4</v>
      </c>
      <c r="C3005" s="858">
        <f t="shared" si="151"/>
        <v>42472</v>
      </c>
      <c r="D3005" s="858" t="s">
        <v>1548</v>
      </c>
      <c r="E3005" s="830">
        <v>42472</v>
      </c>
      <c r="F3005" s="831" t="s">
        <v>975</v>
      </c>
      <c r="G3005" s="832" t="s">
        <v>511</v>
      </c>
      <c r="H3005" s="923" t="s">
        <v>1297</v>
      </c>
      <c r="I3005" s="249">
        <v>988</v>
      </c>
      <c r="J3005" s="249">
        <v>5966.8257919175676</v>
      </c>
      <c r="K3005" s="51">
        <f t="shared" si="152"/>
        <v>5895224</v>
      </c>
      <c r="L3005" s="924" t="s">
        <v>171</v>
      </c>
      <c r="M3005" s="924" t="s">
        <v>166</v>
      </c>
      <c r="N3005" s="52" t="str">
        <f>IF(AND('331-CT'!$E$7=TH!H3005,OR(L3005="331",M3005="331")),"331",IF(AND(OR(L3005="131",M3005="131"),H3005='131-CT'!$E$7),"131",""))</f>
        <v/>
      </c>
      <c r="O3005" s="818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726"/>
    </row>
    <row r="3006" spans="1:27" s="861" customFormat="1" ht="15.75" customHeight="1">
      <c r="A3006" s="202" t="str">
        <f>IF(B3006&lt;&gt;"",IF(AND(B3006&gt;=_TM1,B3006&lt;=_TM2,OR(TH!L3006="1111",TH!M3006="1111")),TH!D3006,""),"")</f>
        <v/>
      </c>
      <c r="B3006" s="857">
        <f t="shared" si="150"/>
        <v>4</v>
      </c>
      <c r="C3006" s="858">
        <f t="shared" si="151"/>
        <v>42472</v>
      </c>
      <c r="D3006" s="858" t="s">
        <v>1548</v>
      </c>
      <c r="E3006" s="830">
        <v>42472</v>
      </c>
      <c r="F3006" s="831" t="s">
        <v>630</v>
      </c>
      <c r="G3006" s="832" t="s">
        <v>513</v>
      </c>
      <c r="H3006" s="923" t="s">
        <v>1297</v>
      </c>
      <c r="I3006" s="249">
        <v>735</v>
      </c>
      <c r="J3006" s="249">
        <v>6052.0661603735325</v>
      </c>
      <c r="K3006" s="51">
        <f t="shared" si="152"/>
        <v>4448269</v>
      </c>
      <c r="L3006" s="924" t="s">
        <v>171</v>
      </c>
      <c r="M3006" s="924" t="s">
        <v>166</v>
      </c>
      <c r="N3006" s="52" t="str">
        <f>IF(AND('331-CT'!$E$7=TH!H3006,OR(L3006="331",M3006="331")),"331",IF(AND(OR(L3006="131",M3006="131"),H3006='131-CT'!$E$7),"131",""))</f>
        <v/>
      </c>
      <c r="O3006" s="818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726"/>
    </row>
    <row r="3007" spans="1:27" s="861" customFormat="1" ht="15.75" customHeight="1">
      <c r="A3007" s="202" t="str">
        <f>IF(B3007&lt;&gt;"",IF(AND(B3007&gt;=_TM1,B3007&lt;=_TM2,OR(TH!L3007="1111",TH!M3007="1111")),TH!D3007,""),"")</f>
        <v/>
      </c>
      <c r="B3007" s="857">
        <f t="shared" si="150"/>
        <v>4</v>
      </c>
      <c r="C3007" s="858">
        <f t="shared" si="151"/>
        <v>42472</v>
      </c>
      <c r="D3007" s="858" t="s">
        <v>1548</v>
      </c>
      <c r="E3007" s="830">
        <v>42472</v>
      </c>
      <c r="F3007" s="925" t="s">
        <v>418</v>
      </c>
      <c r="G3007" s="832" t="s">
        <v>513</v>
      </c>
      <c r="H3007" s="923" t="s">
        <v>1297</v>
      </c>
      <c r="I3007" s="249">
        <v>194</v>
      </c>
      <c r="J3007" s="249">
        <v>61799.267130574808</v>
      </c>
      <c r="K3007" s="51">
        <f t="shared" si="152"/>
        <v>11989058</v>
      </c>
      <c r="L3007" s="924" t="s">
        <v>171</v>
      </c>
      <c r="M3007" s="924" t="s">
        <v>166</v>
      </c>
      <c r="N3007" s="52" t="str">
        <f>IF(AND('331-CT'!$E$7=TH!H3007,OR(L3007="331",M3007="331")),"331",IF(AND(OR(L3007="131",M3007="131"),H3007='131-CT'!$E$7),"131",""))</f>
        <v/>
      </c>
      <c r="O3007" s="818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726"/>
    </row>
    <row r="3008" spans="1:27" s="861" customFormat="1" ht="15.75" customHeight="1">
      <c r="A3008" s="202" t="str">
        <f>IF(B3008&lt;&gt;"",IF(AND(B3008&gt;=_TM1,B3008&lt;=_TM2,OR(TH!L3008="1111",TH!M3008="1111")),TH!D3008,""),"")</f>
        <v/>
      </c>
      <c r="B3008" s="857">
        <f t="shared" si="150"/>
        <v>4</v>
      </c>
      <c r="C3008" s="858">
        <f t="shared" si="151"/>
        <v>42472</v>
      </c>
      <c r="D3008" s="858" t="s">
        <v>1548</v>
      </c>
      <c r="E3008" s="830">
        <v>42472</v>
      </c>
      <c r="F3008" s="925" t="s">
        <v>976</v>
      </c>
      <c r="G3008" s="832" t="s">
        <v>513</v>
      </c>
      <c r="H3008" s="923" t="s">
        <v>1297</v>
      </c>
      <c r="I3008" s="249">
        <v>20</v>
      </c>
      <c r="J3008" s="249">
        <v>70919.986555363095</v>
      </c>
      <c r="K3008" s="51">
        <f t="shared" si="152"/>
        <v>1418400</v>
      </c>
      <c r="L3008" s="924" t="s">
        <v>171</v>
      </c>
      <c r="M3008" s="924" t="s">
        <v>166</v>
      </c>
      <c r="N3008" s="52" t="str">
        <f>IF(AND('331-CT'!$E$7=TH!H3008,OR(L3008="331",M3008="331")),"331",IF(AND(OR(L3008="131",M3008="131"),H3008='131-CT'!$E$7),"131",""))</f>
        <v/>
      </c>
      <c r="O3008" s="818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726"/>
    </row>
    <row r="3009" spans="1:27" s="861" customFormat="1" ht="15.75" customHeight="1">
      <c r="A3009" s="202" t="str">
        <f>IF(B3009&lt;&gt;"",IF(AND(B3009&gt;=_TM1,B3009&lt;=_TM2,OR(TH!L3009="1111",TH!M3009="1111")),TH!D3009,""),"")</f>
        <v/>
      </c>
      <c r="B3009" s="857">
        <f t="shared" si="150"/>
        <v>4</v>
      </c>
      <c r="C3009" s="858">
        <f t="shared" si="151"/>
        <v>42473</v>
      </c>
      <c r="D3009" s="858" t="s">
        <v>1548</v>
      </c>
      <c r="E3009" s="830">
        <v>42473</v>
      </c>
      <c r="F3009" s="925" t="s">
        <v>389</v>
      </c>
      <c r="G3009" s="832" t="s">
        <v>514</v>
      </c>
      <c r="H3009" s="923" t="s">
        <v>1297</v>
      </c>
      <c r="I3009" s="249">
        <v>1222</v>
      </c>
      <c r="J3009" s="249">
        <v>6989.7102133891503</v>
      </c>
      <c r="K3009" s="51">
        <f t="shared" si="152"/>
        <v>8541426</v>
      </c>
      <c r="L3009" s="924" t="s">
        <v>171</v>
      </c>
      <c r="M3009" s="924" t="s">
        <v>166</v>
      </c>
      <c r="N3009" s="52" t="str">
        <f>IF(AND('331-CT'!$E$7=TH!H3009,OR(L3009="331",M3009="331")),"331",IF(AND(OR(L3009="131",M3009="131"),H3009='131-CT'!$E$7),"131",""))</f>
        <v/>
      </c>
      <c r="O3009" s="818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726"/>
    </row>
    <row r="3010" spans="1:27" s="861" customFormat="1" ht="15.75" customHeight="1">
      <c r="A3010" s="202" t="str">
        <f>IF(B3010&lt;&gt;"",IF(AND(B3010&gt;=_TM1,B3010&lt;=_TM2,OR(TH!L3010="1111",TH!M3010="1111")),TH!D3010,""),"")</f>
        <v/>
      </c>
      <c r="B3010" s="857">
        <f t="shared" si="150"/>
        <v>4</v>
      </c>
      <c r="C3010" s="858">
        <f t="shared" si="151"/>
        <v>42473</v>
      </c>
      <c r="D3010" s="858" t="s">
        <v>1548</v>
      </c>
      <c r="E3010" s="830">
        <v>42473</v>
      </c>
      <c r="F3010" s="925" t="s">
        <v>441</v>
      </c>
      <c r="G3010" s="832" t="s">
        <v>514</v>
      </c>
      <c r="H3010" s="923" t="s">
        <v>1297</v>
      </c>
      <c r="I3010" s="249">
        <v>602</v>
      </c>
      <c r="J3010" s="249">
        <v>13467.978216042511</v>
      </c>
      <c r="K3010" s="51">
        <f t="shared" si="152"/>
        <v>8107723</v>
      </c>
      <c r="L3010" s="924" t="s">
        <v>171</v>
      </c>
      <c r="M3010" s="924" t="s">
        <v>166</v>
      </c>
      <c r="N3010" s="52" t="str">
        <f>IF(AND('331-CT'!$E$7=TH!H3010,OR(L3010="331",M3010="331")),"331",IF(AND(OR(L3010="131",M3010="131"),H3010='131-CT'!$E$7),"131",""))</f>
        <v/>
      </c>
      <c r="O3010" s="818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726"/>
    </row>
    <row r="3011" spans="1:27" s="861" customFormat="1" ht="15.75" customHeight="1">
      <c r="A3011" s="202" t="str">
        <f>IF(B3011&lt;&gt;"",IF(AND(B3011&gt;=_TM1,B3011&lt;=_TM2,OR(TH!L3011="1111",TH!M3011="1111")),TH!D3011,""),"")</f>
        <v/>
      </c>
      <c r="B3011" s="857">
        <f t="shared" si="150"/>
        <v>4</v>
      </c>
      <c r="C3011" s="858">
        <f t="shared" si="151"/>
        <v>42475</v>
      </c>
      <c r="D3011" s="858" t="s">
        <v>1548</v>
      </c>
      <c r="E3011" s="830">
        <v>42475</v>
      </c>
      <c r="F3011" s="925" t="s">
        <v>418</v>
      </c>
      <c r="G3011" s="832" t="s">
        <v>977</v>
      </c>
      <c r="H3011" s="923" t="s">
        <v>1297</v>
      </c>
      <c r="I3011" s="249">
        <v>295</v>
      </c>
      <c r="J3011" s="249">
        <v>61799.267130574808</v>
      </c>
      <c r="K3011" s="51">
        <f t="shared" si="152"/>
        <v>18230784</v>
      </c>
      <c r="L3011" s="924" t="s">
        <v>171</v>
      </c>
      <c r="M3011" s="924" t="s">
        <v>166</v>
      </c>
      <c r="N3011" s="52" t="str">
        <f>IF(AND('331-CT'!$E$7=TH!H3011,OR(L3011="331",M3011="331")),"331",IF(AND(OR(L3011="131",M3011="131"),H3011='131-CT'!$E$7),"131",""))</f>
        <v/>
      </c>
      <c r="O3011" s="818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726"/>
    </row>
    <row r="3012" spans="1:27" s="861" customFormat="1" ht="15.75" customHeight="1">
      <c r="A3012" s="202" t="str">
        <f>IF(B3012&lt;&gt;"",IF(AND(B3012&gt;=_TM1,B3012&lt;=_TM2,OR(TH!L3012="1111",TH!M3012="1111")),TH!D3012,""),"")</f>
        <v/>
      </c>
      <c r="B3012" s="857">
        <f t="shared" si="150"/>
        <v>4</v>
      </c>
      <c r="C3012" s="858">
        <f t="shared" si="151"/>
        <v>42475</v>
      </c>
      <c r="D3012" s="858" t="s">
        <v>1548</v>
      </c>
      <c r="E3012" s="830">
        <v>42475</v>
      </c>
      <c r="F3012" s="925" t="s">
        <v>978</v>
      </c>
      <c r="G3012" s="832" t="s">
        <v>977</v>
      </c>
      <c r="H3012" s="923" t="s">
        <v>1297</v>
      </c>
      <c r="I3012" s="249">
        <v>41</v>
      </c>
      <c r="J3012" s="249">
        <v>69044.69844933186</v>
      </c>
      <c r="K3012" s="51">
        <f t="shared" si="152"/>
        <v>2830833</v>
      </c>
      <c r="L3012" s="924" t="s">
        <v>171</v>
      </c>
      <c r="M3012" s="924" t="s">
        <v>166</v>
      </c>
      <c r="N3012" s="52" t="str">
        <f>IF(AND('331-CT'!$E$7=TH!H3012,OR(L3012="331",M3012="331")),"331",IF(AND(OR(L3012="131",M3012="131"),H3012='131-CT'!$E$7),"131",""))</f>
        <v/>
      </c>
      <c r="O3012" s="818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726"/>
    </row>
    <row r="3013" spans="1:27" s="861" customFormat="1" ht="15.75" customHeight="1">
      <c r="A3013" s="202" t="str">
        <f>IF(B3013&lt;&gt;"",IF(AND(B3013&gt;=_TM1,B3013&lt;=_TM2,OR(TH!L3013="1111",TH!M3013="1111")),TH!D3013,""),"")</f>
        <v/>
      </c>
      <c r="B3013" s="857">
        <f t="shared" si="150"/>
        <v>4</v>
      </c>
      <c r="C3013" s="858">
        <f t="shared" si="151"/>
        <v>42475</v>
      </c>
      <c r="D3013" s="858" t="s">
        <v>1548</v>
      </c>
      <c r="E3013" s="830">
        <v>42475</v>
      </c>
      <c r="F3013" s="925" t="s">
        <v>411</v>
      </c>
      <c r="G3013" s="832" t="s">
        <v>519</v>
      </c>
      <c r="H3013" s="923" t="s">
        <v>1297</v>
      </c>
      <c r="I3013" s="249">
        <v>991</v>
      </c>
      <c r="J3013" s="249">
        <v>4347.2587912542276</v>
      </c>
      <c r="K3013" s="51">
        <f t="shared" si="152"/>
        <v>4308133</v>
      </c>
      <c r="L3013" s="924" t="s">
        <v>171</v>
      </c>
      <c r="M3013" s="924" t="s">
        <v>166</v>
      </c>
      <c r="N3013" s="52" t="str">
        <f>IF(AND('331-CT'!$E$7=TH!H3013,OR(L3013="331",M3013="331")),"331",IF(AND(OR(L3013="131",M3013="131"),H3013='131-CT'!$E$7),"131",""))</f>
        <v/>
      </c>
      <c r="O3013" s="818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726"/>
    </row>
    <row r="3014" spans="1:27" s="861" customFormat="1" ht="15.75" customHeight="1">
      <c r="A3014" s="202" t="str">
        <f>IF(B3014&lt;&gt;"",IF(AND(B3014&gt;=_TM1,B3014&lt;=_TM2,OR(TH!L3014="1111",TH!M3014="1111")),TH!D3014,""),"")</f>
        <v/>
      </c>
      <c r="B3014" s="857">
        <f t="shared" si="150"/>
        <v>4</v>
      </c>
      <c r="C3014" s="858">
        <f t="shared" si="151"/>
        <v>42475</v>
      </c>
      <c r="D3014" s="858" t="s">
        <v>1548</v>
      </c>
      <c r="E3014" s="830">
        <v>42475</v>
      </c>
      <c r="F3014" s="925" t="s">
        <v>607</v>
      </c>
      <c r="G3014" s="832" t="s">
        <v>519</v>
      </c>
      <c r="H3014" s="923" t="s">
        <v>1297</v>
      </c>
      <c r="I3014" s="249">
        <v>105</v>
      </c>
      <c r="J3014" s="249">
        <v>20798.649903255522</v>
      </c>
      <c r="K3014" s="51">
        <f t="shared" si="152"/>
        <v>2183858</v>
      </c>
      <c r="L3014" s="924" t="s">
        <v>171</v>
      </c>
      <c r="M3014" s="924" t="s">
        <v>166</v>
      </c>
      <c r="N3014" s="52" t="str">
        <f>IF(AND('331-CT'!$E$7=TH!H3014,OR(L3014="331",M3014="331")),"331",IF(AND(OR(L3014="131",M3014="131"),H3014='131-CT'!$E$7),"131",""))</f>
        <v/>
      </c>
      <c r="O3014" s="818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726"/>
    </row>
    <row r="3015" spans="1:27" s="861" customFormat="1" ht="15.75" customHeight="1">
      <c r="A3015" s="202" t="str">
        <f>IF(B3015&lt;&gt;"",IF(AND(B3015&gt;=_TM1,B3015&lt;=_TM2,OR(TH!L3015="1111",TH!M3015="1111")),TH!D3015,""),"")</f>
        <v/>
      </c>
      <c r="B3015" s="857">
        <f t="shared" si="150"/>
        <v>4</v>
      </c>
      <c r="C3015" s="858">
        <f t="shared" si="151"/>
        <v>42475</v>
      </c>
      <c r="D3015" s="858" t="s">
        <v>1548</v>
      </c>
      <c r="E3015" s="830">
        <v>42475</v>
      </c>
      <c r="F3015" s="925" t="s">
        <v>979</v>
      </c>
      <c r="G3015" s="832" t="s">
        <v>519</v>
      </c>
      <c r="H3015" s="923" t="s">
        <v>1297</v>
      </c>
      <c r="I3015" s="249">
        <v>209</v>
      </c>
      <c r="J3015" s="249">
        <v>4262.0184227982627</v>
      </c>
      <c r="K3015" s="51">
        <f t="shared" si="152"/>
        <v>890762</v>
      </c>
      <c r="L3015" s="924" t="s">
        <v>171</v>
      </c>
      <c r="M3015" s="924" t="s">
        <v>166</v>
      </c>
      <c r="N3015" s="52" t="str">
        <f>IF(AND('331-CT'!$E$7=TH!H3015,OR(L3015="331",M3015="331")),"331",IF(AND(OR(L3015="131",M3015="131"),H3015='131-CT'!$E$7),"131",""))</f>
        <v/>
      </c>
      <c r="O3015" s="818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726"/>
    </row>
    <row r="3016" spans="1:27" s="861" customFormat="1" ht="15.75" customHeight="1">
      <c r="A3016" s="202" t="str">
        <f>IF(B3016&lt;&gt;"",IF(AND(B3016&gt;=_TM1,B3016&lt;=_TM2,OR(TH!L3016="1111",TH!M3016="1111")),TH!D3016,""),"")</f>
        <v/>
      </c>
      <c r="B3016" s="857">
        <f t="shared" si="150"/>
        <v>4</v>
      </c>
      <c r="C3016" s="858">
        <f t="shared" si="151"/>
        <v>42478</v>
      </c>
      <c r="D3016" s="858" t="s">
        <v>1548</v>
      </c>
      <c r="E3016" s="830">
        <v>42478</v>
      </c>
      <c r="F3016" s="925" t="s">
        <v>436</v>
      </c>
      <c r="G3016" s="832" t="s">
        <v>520</v>
      </c>
      <c r="H3016" s="923" t="s">
        <v>1297</v>
      </c>
      <c r="I3016" s="249">
        <v>566</v>
      </c>
      <c r="J3016" s="249">
        <v>5796.3450550056377</v>
      </c>
      <c r="K3016" s="51">
        <f t="shared" si="152"/>
        <v>3280731</v>
      </c>
      <c r="L3016" s="924" t="s">
        <v>171</v>
      </c>
      <c r="M3016" s="924" t="s">
        <v>166</v>
      </c>
      <c r="N3016" s="52" t="str">
        <f>IF(AND('331-CT'!$E$7=TH!H3016,OR(L3016="331",M3016="331")),"331",IF(AND(OR(L3016="131",M3016="131"),H3016='131-CT'!$E$7),"131",""))</f>
        <v/>
      </c>
      <c r="O3016" s="818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726"/>
    </row>
    <row r="3017" spans="1:27" s="861" customFormat="1" ht="15.75" customHeight="1">
      <c r="A3017" s="202" t="str">
        <f>IF(B3017&lt;&gt;"",IF(AND(B3017&gt;=_TM1,B3017&lt;=_TM2,OR(TH!L3017="1111",TH!M3017="1111")),TH!D3017,""),"")</f>
        <v/>
      </c>
      <c r="B3017" s="857">
        <f t="shared" si="150"/>
        <v>4</v>
      </c>
      <c r="C3017" s="858">
        <f t="shared" si="151"/>
        <v>42478</v>
      </c>
      <c r="D3017" s="858" t="s">
        <v>1548</v>
      </c>
      <c r="E3017" s="830">
        <v>42478</v>
      </c>
      <c r="F3017" s="925" t="s">
        <v>549</v>
      </c>
      <c r="G3017" s="832" t="s">
        <v>521</v>
      </c>
      <c r="H3017" s="923" t="s">
        <v>1297</v>
      </c>
      <c r="I3017" s="249">
        <v>151</v>
      </c>
      <c r="J3017" s="249">
        <v>11848.41121537917</v>
      </c>
      <c r="K3017" s="51">
        <f t="shared" si="152"/>
        <v>1789110</v>
      </c>
      <c r="L3017" s="924" t="s">
        <v>171</v>
      </c>
      <c r="M3017" s="924" t="s">
        <v>166</v>
      </c>
      <c r="N3017" s="52" t="str">
        <f>IF(AND('331-CT'!$E$7=TH!H3017,OR(L3017="331",M3017="331")),"331",IF(AND(OR(L3017="131",M3017="131"),H3017='131-CT'!$E$7),"131",""))</f>
        <v/>
      </c>
      <c r="O3017" s="818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726"/>
    </row>
    <row r="3018" spans="1:27" s="861" customFormat="1" ht="15.75" customHeight="1">
      <c r="A3018" s="202" t="str">
        <f>IF(B3018&lt;&gt;"",IF(AND(B3018&gt;=_TM1,B3018&lt;=_TM2,OR(TH!L3018="1111",TH!M3018="1111")),TH!D3018,""),"")</f>
        <v/>
      </c>
      <c r="B3018" s="857">
        <f t="shared" si="150"/>
        <v>4</v>
      </c>
      <c r="C3018" s="858">
        <f t="shared" si="151"/>
        <v>42479</v>
      </c>
      <c r="D3018" s="858" t="s">
        <v>1548</v>
      </c>
      <c r="E3018" s="830">
        <v>42479</v>
      </c>
      <c r="F3018" s="925" t="s">
        <v>651</v>
      </c>
      <c r="G3018" s="832" t="s">
        <v>522</v>
      </c>
      <c r="H3018" s="923" t="s">
        <v>1297</v>
      </c>
      <c r="I3018" s="249">
        <v>303</v>
      </c>
      <c r="J3018" s="249">
        <v>7160.1909503010811</v>
      </c>
      <c r="K3018" s="51">
        <f t="shared" si="152"/>
        <v>2169538</v>
      </c>
      <c r="L3018" s="924" t="s">
        <v>171</v>
      </c>
      <c r="M3018" s="924" t="s">
        <v>166</v>
      </c>
      <c r="N3018" s="52" t="str">
        <f>IF(AND('331-CT'!$E$7=TH!H3018,OR(L3018="331",M3018="331")),"331",IF(AND(OR(L3018="131",M3018="131"),H3018='131-CT'!$E$7),"131",""))</f>
        <v/>
      </c>
      <c r="O3018" s="818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726"/>
    </row>
    <row r="3019" spans="1:27" s="861" customFormat="1" ht="15.75" customHeight="1">
      <c r="A3019" s="202" t="str">
        <f>IF(B3019&lt;&gt;"",IF(AND(B3019&gt;=_TM1,B3019&lt;=_TM2,OR(TH!L3019="1111",TH!M3019="1111")),TH!D3019,""),"")</f>
        <v/>
      </c>
      <c r="B3019" s="857">
        <f t="shared" si="150"/>
        <v>4</v>
      </c>
      <c r="C3019" s="858">
        <f t="shared" si="151"/>
        <v>42479</v>
      </c>
      <c r="D3019" s="858" t="s">
        <v>1548</v>
      </c>
      <c r="E3019" s="830">
        <v>42479</v>
      </c>
      <c r="F3019" s="925" t="s">
        <v>540</v>
      </c>
      <c r="G3019" s="832" t="s">
        <v>522</v>
      </c>
      <c r="H3019" s="923" t="s">
        <v>1297</v>
      </c>
      <c r="I3019" s="249">
        <v>318</v>
      </c>
      <c r="J3019" s="249">
        <v>8268.3157402286288</v>
      </c>
      <c r="K3019" s="51">
        <f t="shared" si="152"/>
        <v>2629324</v>
      </c>
      <c r="L3019" s="924" t="s">
        <v>171</v>
      </c>
      <c r="M3019" s="924" t="s">
        <v>166</v>
      </c>
      <c r="N3019" s="52" t="str">
        <f>IF(AND('331-CT'!$E$7=TH!H3019,OR(L3019="331",M3019="331")),"331",IF(AND(OR(L3019="131",M3019="131"),H3019='131-CT'!$E$7),"131",""))</f>
        <v/>
      </c>
      <c r="O3019" s="818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726"/>
    </row>
    <row r="3020" spans="1:27" s="861" customFormat="1" ht="15.75" customHeight="1">
      <c r="A3020" s="202" t="str">
        <f>IF(B3020&lt;&gt;"",IF(AND(B3020&gt;=_TM1,B3020&lt;=_TM2,OR(TH!L3020="1111",TH!M3020="1111")),TH!D3020,""),"")</f>
        <v/>
      </c>
      <c r="B3020" s="857">
        <f t="shared" si="150"/>
        <v>4</v>
      </c>
      <c r="C3020" s="858">
        <f t="shared" si="151"/>
        <v>42479</v>
      </c>
      <c r="D3020" s="858" t="s">
        <v>1548</v>
      </c>
      <c r="E3020" s="830">
        <v>42479</v>
      </c>
      <c r="F3020" s="925" t="s">
        <v>627</v>
      </c>
      <c r="G3020" s="832" t="s">
        <v>981</v>
      </c>
      <c r="H3020" s="923" t="s">
        <v>1297</v>
      </c>
      <c r="I3020" s="249">
        <v>518</v>
      </c>
      <c r="J3020" s="249">
        <v>6393.027634197394</v>
      </c>
      <c r="K3020" s="51">
        <f t="shared" si="152"/>
        <v>3311588</v>
      </c>
      <c r="L3020" s="924" t="s">
        <v>171</v>
      </c>
      <c r="M3020" s="924" t="s">
        <v>166</v>
      </c>
      <c r="N3020" s="52" t="str">
        <f>IF(AND('331-CT'!$E$7=TH!H3020,OR(L3020="331",M3020="331")),"331",IF(AND(OR(L3020="131",M3020="131"),H3020='131-CT'!$E$7),"131",""))</f>
        <v/>
      </c>
      <c r="O3020" s="818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726"/>
    </row>
    <row r="3021" spans="1:27" s="861" customFormat="1" ht="15.75" customHeight="1">
      <c r="A3021" s="202" t="str">
        <f>IF(B3021&lt;&gt;"",IF(AND(B3021&gt;=_TM1,B3021&lt;=_TM2,OR(TH!L3021="1111",TH!M3021="1111")),TH!D3021,""),"")</f>
        <v/>
      </c>
      <c r="B3021" s="857">
        <f t="shared" si="150"/>
        <v>4</v>
      </c>
      <c r="C3021" s="858">
        <f t="shared" si="151"/>
        <v>42479</v>
      </c>
      <c r="D3021" s="858" t="s">
        <v>1548</v>
      </c>
      <c r="E3021" s="830">
        <v>42479</v>
      </c>
      <c r="F3021" s="925" t="s">
        <v>1443</v>
      </c>
      <c r="G3021" s="832" t="s">
        <v>981</v>
      </c>
      <c r="H3021" s="923" t="s">
        <v>1297</v>
      </c>
      <c r="I3021" s="249">
        <v>540</v>
      </c>
      <c r="J3021" s="249">
        <v>8097.8350033166989</v>
      </c>
      <c r="K3021" s="51">
        <f t="shared" si="152"/>
        <v>4372831</v>
      </c>
      <c r="L3021" s="924" t="s">
        <v>171</v>
      </c>
      <c r="M3021" s="924" t="s">
        <v>166</v>
      </c>
      <c r="N3021" s="52" t="str">
        <f>IF(AND('331-CT'!$E$7=TH!H3021,OR(L3021="331",M3021="331")),"331",IF(AND(OR(L3021="131",M3021="131"),H3021='131-CT'!$E$7),"131",""))</f>
        <v/>
      </c>
      <c r="O3021" s="818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726"/>
    </row>
    <row r="3022" spans="1:27" s="861" customFormat="1" ht="15.75" customHeight="1">
      <c r="A3022" s="202" t="str">
        <f>IF(B3022&lt;&gt;"",IF(AND(B3022&gt;=_TM1,B3022&lt;=_TM2,OR(TH!L3022="1111",TH!M3022="1111")),TH!D3022,""),"")</f>
        <v/>
      </c>
      <c r="B3022" s="857">
        <f t="shared" si="150"/>
        <v>4</v>
      </c>
      <c r="C3022" s="858">
        <f t="shared" si="151"/>
        <v>42479</v>
      </c>
      <c r="D3022" s="858" t="s">
        <v>1548</v>
      </c>
      <c r="E3022" s="830">
        <v>42479</v>
      </c>
      <c r="F3022" s="925" t="s">
        <v>400</v>
      </c>
      <c r="G3022" s="832" t="s">
        <v>981</v>
      </c>
      <c r="H3022" s="923" t="s">
        <v>1297</v>
      </c>
      <c r="I3022" s="249">
        <v>200</v>
      </c>
      <c r="J3022" s="249">
        <v>8097.8350033166989</v>
      </c>
      <c r="K3022" s="51">
        <f t="shared" si="152"/>
        <v>1619567</v>
      </c>
      <c r="L3022" s="924" t="s">
        <v>171</v>
      </c>
      <c r="M3022" s="924" t="s">
        <v>166</v>
      </c>
      <c r="N3022" s="52" t="str">
        <f>IF(AND('331-CT'!$E$7=TH!H3022,OR(L3022="331",M3022="331")),"331",IF(AND(OR(L3022="131",M3022="131"),H3022='131-CT'!$E$7),"131",""))</f>
        <v/>
      </c>
      <c r="O3022" s="818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726"/>
    </row>
    <row r="3023" spans="1:27" s="861" customFormat="1" ht="15.75" customHeight="1">
      <c r="A3023" s="202" t="str">
        <f>IF(B3023&lt;&gt;"",IF(AND(B3023&gt;=_TM1,B3023&lt;=_TM2,OR(TH!L3023="1111",TH!M3023="1111")),TH!D3023,""),"")</f>
        <v/>
      </c>
      <c r="B3023" s="857">
        <f t="shared" si="150"/>
        <v>4</v>
      </c>
      <c r="C3023" s="858">
        <f t="shared" si="151"/>
        <v>42481</v>
      </c>
      <c r="D3023" s="858" t="s">
        <v>1548</v>
      </c>
      <c r="E3023" s="830">
        <v>42481</v>
      </c>
      <c r="F3023" s="925" t="s">
        <v>982</v>
      </c>
      <c r="G3023" s="832" t="s">
        <v>692</v>
      </c>
      <c r="H3023" s="923" t="s">
        <v>1297</v>
      </c>
      <c r="I3023" s="249">
        <v>60</v>
      </c>
      <c r="J3023" s="249">
        <v>23100.139851566582</v>
      </c>
      <c r="K3023" s="51">
        <f t="shared" si="152"/>
        <v>1386008</v>
      </c>
      <c r="L3023" s="924" t="s">
        <v>171</v>
      </c>
      <c r="M3023" s="924" t="s">
        <v>166</v>
      </c>
      <c r="N3023" s="52" t="str">
        <f>IF(AND('331-CT'!$E$7=TH!H3023,OR(L3023="331",M3023="331")),"331",IF(AND(OR(L3023="131",M3023="131"),H3023='131-CT'!$E$7),"131",""))</f>
        <v/>
      </c>
      <c r="O3023" s="818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726"/>
    </row>
    <row r="3024" spans="1:27" s="861" customFormat="1" ht="15.75" customHeight="1">
      <c r="A3024" s="202" t="str">
        <f>IF(B3024&lt;&gt;"",IF(AND(B3024&gt;=_TM1,B3024&lt;=_TM2,OR(TH!L3024="1111",TH!M3024="1111")),TH!D3024,""),"")</f>
        <v/>
      </c>
      <c r="B3024" s="857">
        <f t="shared" si="150"/>
        <v>4</v>
      </c>
      <c r="C3024" s="858">
        <f t="shared" si="151"/>
        <v>42481</v>
      </c>
      <c r="D3024" s="858" t="s">
        <v>1548</v>
      </c>
      <c r="E3024" s="830">
        <v>42481</v>
      </c>
      <c r="F3024" s="925" t="s">
        <v>983</v>
      </c>
      <c r="G3024" s="832" t="s">
        <v>692</v>
      </c>
      <c r="H3024" s="923" t="s">
        <v>1297</v>
      </c>
      <c r="I3024" s="249">
        <v>60</v>
      </c>
      <c r="J3024" s="249">
        <v>26083.552747525369</v>
      </c>
      <c r="K3024" s="51">
        <f t="shared" si="152"/>
        <v>1565013</v>
      </c>
      <c r="L3024" s="924" t="s">
        <v>171</v>
      </c>
      <c r="M3024" s="924" t="s">
        <v>166</v>
      </c>
      <c r="N3024" s="52" t="str">
        <f>IF(AND('331-CT'!$E$7=TH!H3024,OR(L3024="331",M3024="331")),"331",IF(AND(OR(L3024="131",M3024="131"),H3024='131-CT'!$E$7),"131",""))</f>
        <v/>
      </c>
      <c r="O3024" s="818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726"/>
    </row>
    <row r="3025" spans="1:27" s="861" customFormat="1" ht="15.75" customHeight="1">
      <c r="A3025" s="202" t="str">
        <f>IF(B3025&lt;&gt;"",IF(AND(B3025&gt;=_TM1,B3025&lt;=_TM2,OR(TH!L3025="1111",TH!M3025="1111")),TH!D3025,""),"")</f>
        <v/>
      </c>
      <c r="B3025" s="857">
        <f t="shared" si="150"/>
        <v>4</v>
      </c>
      <c r="C3025" s="858">
        <f t="shared" si="151"/>
        <v>42482</v>
      </c>
      <c r="D3025" s="858" t="s">
        <v>1548</v>
      </c>
      <c r="E3025" s="830">
        <v>42482</v>
      </c>
      <c r="F3025" s="925" t="s">
        <v>477</v>
      </c>
      <c r="G3025" s="832" t="s">
        <v>523</v>
      </c>
      <c r="H3025" s="923" t="s">
        <v>1297</v>
      </c>
      <c r="I3025" s="249">
        <v>208</v>
      </c>
      <c r="J3025" s="249">
        <v>7927.3542664047691</v>
      </c>
      <c r="K3025" s="51">
        <f t="shared" si="152"/>
        <v>1648890</v>
      </c>
      <c r="L3025" s="924" t="s">
        <v>171</v>
      </c>
      <c r="M3025" s="924" t="s">
        <v>166</v>
      </c>
      <c r="N3025" s="52" t="str">
        <f>IF(AND('331-CT'!$E$7=TH!H3025,OR(L3025="331",M3025="331")),"331",IF(AND(OR(L3025="131",M3025="131"),H3025='131-CT'!$E$7),"131",""))</f>
        <v/>
      </c>
      <c r="O3025" s="818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726"/>
    </row>
    <row r="3026" spans="1:27" s="861" customFormat="1" ht="15.75" customHeight="1">
      <c r="A3026" s="202" t="str">
        <f>IF(B3026&lt;&gt;"",IF(AND(B3026&gt;=_TM1,B3026&lt;=_TM2,OR(TH!L3026="1111",TH!M3026="1111")),TH!D3026,""),"")</f>
        <v/>
      </c>
      <c r="B3026" s="857">
        <f t="shared" si="150"/>
        <v>4</v>
      </c>
      <c r="C3026" s="858">
        <f t="shared" si="151"/>
        <v>42483</v>
      </c>
      <c r="D3026" s="858" t="s">
        <v>1548</v>
      </c>
      <c r="E3026" s="830">
        <v>42483</v>
      </c>
      <c r="F3026" s="925" t="s">
        <v>645</v>
      </c>
      <c r="G3026" s="832" t="s">
        <v>526</v>
      </c>
      <c r="H3026" s="923" t="s">
        <v>1297</v>
      </c>
      <c r="I3026" s="249">
        <v>100</v>
      </c>
      <c r="J3026" s="249">
        <v>9717.402003980038</v>
      </c>
      <c r="K3026" s="51">
        <f t="shared" si="152"/>
        <v>971740</v>
      </c>
      <c r="L3026" s="924" t="s">
        <v>171</v>
      </c>
      <c r="M3026" s="924" t="s">
        <v>166</v>
      </c>
      <c r="N3026" s="52" t="str">
        <f>IF(AND('331-CT'!$E$7=TH!H3026,OR(L3026="331",M3026="331")),"331",IF(AND(OR(L3026="131",M3026="131"),H3026='131-CT'!$E$7),"131",""))</f>
        <v/>
      </c>
      <c r="O3026" s="818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726"/>
    </row>
    <row r="3027" spans="1:27" s="861" customFormat="1" ht="15.75" customHeight="1">
      <c r="A3027" s="202" t="str">
        <f>IF(B3027&lt;&gt;"",IF(AND(B3027&gt;=_TM1,B3027&lt;=_TM2,OR(TH!L3027="1111",TH!M3027="1111")),TH!D3027,""),"")</f>
        <v/>
      </c>
      <c r="B3027" s="857">
        <f t="shared" si="150"/>
        <v>4</v>
      </c>
      <c r="C3027" s="858">
        <f t="shared" si="151"/>
        <v>42483</v>
      </c>
      <c r="D3027" s="858" t="s">
        <v>1548</v>
      </c>
      <c r="E3027" s="830">
        <v>42483</v>
      </c>
      <c r="F3027" s="925" t="s">
        <v>693</v>
      </c>
      <c r="G3027" s="832" t="s">
        <v>526</v>
      </c>
      <c r="H3027" s="923" t="s">
        <v>1297</v>
      </c>
      <c r="I3027" s="249">
        <v>200</v>
      </c>
      <c r="J3027" s="249">
        <v>767.16331610368729</v>
      </c>
      <c r="K3027" s="51">
        <f t="shared" si="152"/>
        <v>153433</v>
      </c>
      <c r="L3027" s="924" t="s">
        <v>171</v>
      </c>
      <c r="M3027" s="924" t="s">
        <v>166</v>
      </c>
      <c r="N3027" s="52" t="str">
        <f>IF(AND('331-CT'!$E$7=TH!H3027,OR(L3027="331",M3027="331")),"331",IF(AND(OR(L3027="131",M3027="131"),H3027='131-CT'!$E$7),"131",""))</f>
        <v/>
      </c>
      <c r="O3027" s="818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726"/>
    </row>
    <row r="3028" spans="1:27" s="861" customFormat="1" ht="15.75" customHeight="1">
      <c r="A3028" s="202" t="str">
        <f>IF(B3028&lt;&gt;"",IF(AND(B3028&gt;=_TM1,B3028&lt;=_TM2,OR(TH!L3028="1111",TH!M3028="1111")),TH!D3028,""),"")</f>
        <v/>
      </c>
      <c r="B3028" s="857">
        <f t="shared" si="150"/>
        <v>4</v>
      </c>
      <c r="C3028" s="858">
        <f t="shared" si="151"/>
        <v>42485</v>
      </c>
      <c r="D3028" s="858" t="s">
        <v>1548</v>
      </c>
      <c r="E3028" s="830">
        <v>42485</v>
      </c>
      <c r="F3028" s="925" t="s">
        <v>984</v>
      </c>
      <c r="G3028" s="832" t="s">
        <v>528</v>
      </c>
      <c r="H3028" s="923" t="s">
        <v>1297</v>
      </c>
      <c r="I3028" s="249">
        <v>420</v>
      </c>
      <c r="J3028" s="249">
        <v>11507.449741555311</v>
      </c>
      <c r="K3028" s="51">
        <f t="shared" si="152"/>
        <v>4833129</v>
      </c>
      <c r="L3028" s="924" t="s">
        <v>171</v>
      </c>
      <c r="M3028" s="924" t="s">
        <v>166</v>
      </c>
      <c r="N3028" s="52" t="str">
        <f>IF(AND('331-CT'!$E$7=TH!H3028,OR(L3028="331",M3028="331")),"331",IF(AND(OR(L3028="131",M3028="131"),H3028='131-CT'!$E$7),"131",""))</f>
        <v/>
      </c>
      <c r="O3028" s="818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726"/>
    </row>
    <row r="3029" spans="1:27" s="861" customFormat="1" ht="15.75" customHeight="1">
      <c r="A3029" s="202" t="str">
        <f>IF(B3029&lt;&gt;"",IF(AND(B3029&gt;=_TM1,B3029&lt;=_TM2,OR(TH!L3029="1111",TH!M3029="1111")),TH!D3029,""),"")</f>
        <v/>
      </c>
      <c r="B3029" s="857">
        <f t="shared" si="150"/>
        <v>4</v>
      </c>
      <c r="C3029" s="858">
        <f t="shared" si="151"/>
        <v>42485</v>
      </c>
      <c r="D3029" s="858" t="s">
        <v>1548</v>
      </c>
      <c r="E3029" s="830">
        <v>42485</v>
      </c>
      <c r="F3029" s="925" t="s">
        <v>480</v>
      </c>
      <c r="G3029" s="832" t="s">
        <v>528</v>
      </c>
      <c r="H3029" s="923" t="s">
        <v>1297</v>
      </c>
      <c r="I3029" s="249">
        <v>371</v>
      </c>
      <c r="J3029" s="249">
        <v>10825.526793907587</v>
      </c>
      <c r="K3029" s="51">
        <f t="shared" si="152"/>
        <v>4016270</v>
      </c>
      <c r="L3029" s="924" t="s">
        <v>171</v>
      </c>
      <c r="M3029" s="924" t="s">
        <v>166</v>
      </c>
      <c r="N3029" s="52" t="str">
        <f>IF(AND('331-CT'!$E$7=TH!H3029,OR(L3029="331",M3029="331")),"331",IF(AND(OR(L3029="131",M3029="131"),H3029='131-CT'!$E$7),"131",""))</f>
        <v/>
      </c>
      <c r="O3029" s="818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726"/>
    </row>
    <row r="3030" spans="1:27" s="861" customFormat="1" ht="15.75" customHeight="1">
      <c r="A3030" s="202" t="str">
        <f>IF(B3030&lt;&gt;"",IF(AND(B3030&gt;=_TM1,B3030&lt;=_TM2,OR(TH!L3030="1111",TH!M3030="1111")),TH!D3030,""),"")</f>
        <v/>
      </c>
      <c r="B3030" s="857">
        <f t="shared" ref="B3030:B3093" si="153">IF(C3030&lt;&gt;"",MONTH(C3030),"")</f>
        <v>4</v>
      </c>
      <c r="C3030" s="858">
        <f t="shared" si="151"/>
        <v>42485</v>
      </c>
      <c r="D3030" s="858" t="s">
        <v>1548</v>
      </c>
      <c r="E3030" s="830">
        <v>42485</v>
      </c>
      <c r="F3030" s="925" t="s">
        <v>480</v>
      </c>
      <c r="G3030" s="832" t="s">
        <v>528</v>
      </c>
      <c r="H3030" s="923" t="s">
        <v>1297</v>
      </c>
      <c r="I3030" s="249">
        <v>205</v>
      </c>
      <c r="J3030" s="249">
        <v>10825.526793907587</v>
      </c>
      <c r="K3030" s="51">
        <f t="shared" si="152"/>
        <v>2219233</v>
      </c>
      <c r="L3030" s="924" t="s">
        <v>171</v>
      </c>
      <c r="M3030" s="924" t="s">
        <v>166</v>
      </c>
      <c r="N3030" s="52" t="str">
        <f>IF(AND('331-CT'!$E$7=TH!H3030,OR(L3030="331",M3030="331")),"331",IF(AND(OR(L3030="131",M3030="131"),H3030='131-CT'!$E$7),"131",""))</f>
        <v/>
      </c>
      <c r="O3030" s="818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726"/>
    </row>
    <row r="3031" spans="1:27" s="861" customFormat="1" ht="15.75" customHeight="1">
      <c r="A3031" s="202" t="str">
        <f>IF(B3031&lt;&gt;"",IF(AND(B3031&gt;=_TM1,B3031&lt;=_TM2,OR(TH!L3031="1111",TH!M3031="1111")),TH!D3031,""),"")</f>
        <v/>
      </c>
      <c r="B3031" s="857">
        <f t="shared" si="153"/>
        <v>4</v>
      </c>
      <c r="C3031" s="858">
        <f t="shared" si="151"/>
        <v>42485</v>
      </c>
      <c r="D3031" s="858" t="s">
        <v>1548</v>
      </c>
      <c r="E3031" s="830">
        <v>42485</v>
      </c>
      <c r="F3031" s="925" t="s">
        <v>985</v>
      </c>
      <c r="G3031" s="832" t="s">
        <v>529</v>
      </c>
      <c r="H3031" s="923" t="s">
        <v>1297</v>
      </c>
      <c r="I3031" s="249">
        <v>220</v>
      </c>
      <c r="J3031" s="249">
        <v>11507.449741555311</v>
      </c>
      <c r="K3031" s="51">
        <f t="shared" si="152"/>
        <v>2531639</v>
      </c>
      <c r="L3031" s="924" t="s">
        <v>171</v>
      </c>
      <c r="M3031" s="924" t="s">
        <v>166</v>
      </c>
      <c r="N3031" s="52" t="str">
        <f>IF(AND('331-CT'!$E$7=TH!H3031,OR(L3031="331",M3031="331")),"331",IF(AND(OR(L3031="131",M3031="131"),H3031='131-CT'!$E$7),"131",""))</f>
        <v/>
      </c>
      <c r="O3031" s="818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726"/>
    </row>
    <row r="3032" spans="1:27" s="861" customFormat="1" ht="15.75" customHeight="1">
      <c r="A3032" s="202" t="str">
        <f>IF(B3032&lt;&gt;"",IF(AND(B3032&gt;=_TM1,B3032&lt;=_TM2,OR(TH!L3032="1111",TH!M3032="1111")),TH!D3032,""),"")</f>
        <v/>
      </c>
      <c r="B3032" s="857">
        <f t="shared" si="153"/>
        <v>4</v>
      </c>
      <c r="C3032" s="858">
        <f t="shared" si="151"/>
        <v>42485</v>
      </c>
      <c r="D3032" s="858" t="s">
        <v>1548</v>
      </c>
      <c r="E3032" s="830">
        <v>42485</v>
      </c>
      <c r="F3032" s="925" t="s">
        <v>934</v>
      </c>
      <c r="G3032" s="832" t="s">
        <v>529</v>
      </c>
      <c r="H3032" s="923" t="s">
        <v>1297</v>
      </c>
      <c r="I3032" s="249">
        <v>210</v>
      </c>
      <c r="J3032" s="249">
        <v>11763.170846923203</v>
      </c>
      <c r="K3032" s="51">
        <f t="shared" si="152"/>
        <v>2470266</v>
      </c>
      <c r="L3032" s="924" t="s">
        <v>171</v>
      </c>
      <c r="M3032" s="924" t="s">
        <v>166</v>
      </c>
      <c r="N3032" s="52" t="str">
        <f>IF(AND('331-CT'!$E$7=TH!H3032,OR(L3032="331",M3032="331")),"331",IF(AND(OR(L3032="131",M3032="131"),H3032='131-CT'!$E$7),"131",""))</f>
        <v/>
      </c>
      <c r="O3032" s="818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726"/>
    </row>
    <row r="3033" spans="1:27" s="861" customFormat="1" ht="15.75" customHeight="1">
      <c r="A3033" s="202" t="str">
        <f>IF(B3033&lt;&gt;"",IF(AND(B3033&gt;=_TM1,B3033&lt;=_TM2,OR(TH!L3033="1111",TH!M3033="1111")),TH!D3033,""),"")</f>
        <v/>
      </c>
      <c r="B3033" s="857">
        <f t="shared" si="153"/>
        <v>4</v>
      </c>
      <c r="C3033" s="858">
        <f t="shared" si="151"/>
        <v>42485</v>
      </c>
      <c r="D3033" s="858" t="s">
        <v>1548</v>
      </c>
      <c r="E3033" s="830">
        <v>42485</v>
      </c>
      <c r="F3033" s="925" t="s">
        <v>480</v>
      </c>
      <c r="G3033" s="832" t="s">
        <v>529</v>
      </c>
      <c r="H3033" s="923" t="s">
        <v>1297</v>
      </c>
      <c r="I3033" s="249">
        <v>645</v>
      </c>
      <c r="J3033" s="249">
        <v>10825.526793907587</v>
      </c>
      <c r="K3033" s="51">
        <f t="shared" si="152"/>
        <v>6982465</v>
      </c>
      <c r="L3033" s="924" t="s">
        <v>171</v>
      </c>
      <c r="M3033" s="924" t="s">
        <v>166</v>
      </c>
      <c r="N3033" s="52" t="str">
        <f>IF(AND('331-CT'!$E$7=TH!H3033,OR(L3033="331",M3033="331")),"331",IF(AND(OR(L3033="131",M3033="131"),H3033='131-CT'!$E$7),"131",""))</f>
        <v/>
      </c>
      <c r="O3033" s="818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726"/>
    </row>
    <row r="3034" spans="1:27" s="861" customFormat="1" ht="15.75" customHeight="1">
      <c r="A3034" s="202" t="str">
        <f>IF(B3034&lt;&gt;"",IF(AND(B3034&gt;=_TM1,B3034&lt;=_TM2,OR(TH!L3034="1111",TH!M3034="1111")),TH!D3034,""),"")</f>
        <v/>
      </c>
      <c r="B3034" s="857">
        <f t="shared" si="153"/>
        <v>4</v>
      </c>
      <c r="C3034" s="858">
        <f t="shared" si="151"/>
        <v>42485</v>
      </c>
      <c r="D3034" s="858" t="s">
        <v>1548</v>
      </c>
      <c r="E3034" s="830">
        <v>42485</v>
      </c>
      <c r="F3034" s="925" t="s">
        <v>986</v>
      </c>
      <c r="G3034" s="832" t="s">
        <v>529</v>
      </c>
      <c r="H3034" s="923" t="s">
        <v>1297</v>
      </c>
      <c r="I3034" s="249">
        <v>210</v>
      </c>
      <c r="J3034" s="249">
        <v>11848.41121537917</v>
      </c>
      <c r="K3034" s="51">
        <f t="shared" si="152"/>
        <v>2488166</v>
      </c>
      <c r="L3034" s="924" t="s">
        <v>171</v>
      </c>
      <c r="M3034" s="924" t="s">
        <v>166</v>
      </c>
      <c r="N3034" s="52" t="str">
        <f>IF(AND('331-CT'!$E$7=TH!H3034,OR(L3034="331",M3034="331")),"331",IF(AND(OR(L3034="131",M3034="131"),H3034='131-CT'!$E$7),"131",""))</f>
        <v/>
      </c>
      <c r="O3034" s="818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726"/>
    </row>
    <row r="3035" spans="1:27" s="861" customFormat="1" ht="15.75" customHeight="1">
      <c r="A3035" s="202" t="str">
        <f>IF(B3035&lt;&gt;"",IF(AND(B3035&gt;=_TM1,B3035&lt;=_TM2,OR(TH!L3035="1111",TH!M3035="1111")),TH!D3035,""),"")</f>
        <v/>
      </c>
      <c r="B3035" s="857">
        <f t="shared" si="153"/>
        <v>4</v>
      </c>
      <c r="C3035" s="858">
        <f t="shared" ref="C3035:C3098" si="154">E3035</f>
        <v>42486</v>
      </c>
      <c r="D3035" s="858" t="s">
        <v>1548</v>
      </c>
      <c r="E3035" s="830">
        <v>42486</v>
      </c>
      <c r="F3035" s="925" t="s">
        <v>987</v>
      </c>
      <c r="G3035" s="832" t="s">
        <v>534</v>
      </c>
      <c r="H3035" s="923" t="s">
        <v>1297</v>
      </c>
      <c r="I3035" s="249">
        <v>105</v>
      </c>
      <c r="J3035" s="249">
        <v>10228.844214715829</v>
      </c>
      <c r="K3035" s="51">
        <f t="shared" si="152"/>
        <v>1074029</v>
      </c>
      <c r="L3035" s="924" t="s">
        <v>171</v>
      </c>
      <c r="M3035" s="924" t="s">
        <v>166</v>
      </c>
      <c r="N3035" s="52" t="str">
        <f>IF(AND('331-CT'!$E$7=TH!H3035,OR(L3035="331",M3035="331")),"331",IF(AND(OR(L3035="131",M3035="131"),H3035='131-CT'!$E$7),"131",""))</f>
        <v/>
      </c>
      <c r="O3035" s="818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726"/>
    </row>
    <row r="3036" spans="1:27" s="861" customFormat="1" ht="15.75" customHeight="1">
      <c r="A3036" s="202" t="str">
        <f>IF(B3036&lt;&gt;"",IF(AND(B3036&gt;=_TM1,B3036&lt;=_TM2,OR(TH!L3036="1111",TH!M3036="1111")),TH!D3036,""),"")</f>
        <v/>
      </c>
      <c r="B3036" s="857">
        <f t="shared" si="153"/>
        <v>4</v>
      </c>
      <c r="C3036" s="858">
        <f t="shared" si="154"/>
        <v>42486</v>
      </c>
      <c r="D3036" s="858" t="s">
        <v>1548</v>
      </c>
      <c r="E3036" s="830">
        <v>42486</v>
      </c>
      <c r="F3036" s="925" t="s">
        <v>408</v>
      </c>
      <c r="G3036" s="832" t="s">
        <v>534</v>
      </c>
      <c r="H3036" s="923" t="s">
        <v>1297</v>
      </c>
      <c r="I3036" s="249">
        <v>125</v>
      </c>
      <c r="J3036" s="249">
        <v>10825.526793907587</v>
      </c>
      <c r="K3036" s="51">
        <f t="shared" ref="K3036:K3099" si="155">ROUND(I3036*J3036,0)</f>
        <v>1353191</v>
      </c>
      <c r="L3036" s="924" t="s">
        <v>171</v>
      </c>
      <c r="M3036" s="924" t="s">
        <v>166</v>
      </c>
      <c r="N3036" s="52" t="str">
        <f>IF(AND('331-CT'!$E$7=TH!H3036,OR(L3036="331",M3036="331")),"331",IF(AND(OR(L3036="131",M3036="131"),H3036='131-CT'!$E$7),"131",""))</f>
        <v/>
      </c>
      <c r="O3036" s="818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726"/>
    </row>
    <row r="3037" spans="1:27" s="861" customFormat="1" ht="15.75" customHeight="1">
      <c r="A3037" s="202" t="str">
        <f>IF(B3037&lt;&gt;"",IF(AND(B3037&gt;=_TM1,B3037&lt;=_TM2,OR(TH!L3037="1111",TH!M3037="1111")),TH!D3037,""),"")</f>
        <v/>
      </c>
      <c r="B3037" s="857">
        <f t="shared" si="153"/>
        <v>4</v>
      </c>
      <c r="C3037" s="858">
        <f t="shared" si="154"/>
        <v>42486</v>
      </c>
      <c r="D3037" s="858" t="s">
        <v>1548</v>
      </c>
      <c r="E3037" s="830">
        <v>42486</v>
      </c>
      <c r="F3037" s="925" t="s">
        <v>480</v>
      </c>
      <c r="G3037" s="832" t="s">
        <v>534</v>
      </c>
      <c r="H3037" s="923" t="s">
        <v>1297</v>
      </c>
      <c r="I3037" s="249">
        <v>644</v>
      </c>
      <c r="J3037" s="249">
        <v>10825.526793907587</v>
      </c>
      <c r="K3037" s="51">
        <f t="shared" si="155"/>
        <v>6971639</v>
      </c>
      <c r="L3037" s="924" t="s">
        <v>171</v>
      </c>
      <c r="M3037" s="924" t="s">
        <v>166</v>
      </c>
      <c r="N3037" s="52" t="str">
        <f>IF(AND('331-CT'!$E$7=TH!H3037,OR(L3037="331",M3037="331")),"331",IF(AND(OR(L3037="131",M3037="131"),H3037='131-CT'!$E$7),"131",""))</f>
        <v/>
      </c>
      <c r="O3037" s="818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726"/>
    </row>
    <row r="3038" spans="1:27" s="861" customFormat="1" ht="15.75" customHeight="1">
      <c r="A3038" s="202" t="str">
        <f>IF(B3038&lt;&gt;"",IF(AND(B3038&gt;=_TM1,B3038&lt;=_TM2,OR(TH!L3038="1111",TH!M3038="1111")),TH!D3038,""),"")</f>
        <v/>
      </c>
      <c r="B3038" s="857">
        <f t="shared" si="153"/>
        <v>4</v>
      </c>
      <c r="C3038" s="858">
        <f t="shared" si="154"/>
        <v>42486</v>
      </c>
      <c r="D3038" s="858" t="s">
        <v>1548</v>
      </c>
      <c r="E3038" s="830">
        <v>42486</v>
      </c>
      <c r="F3038" s="925" t="s">
        <v>988</v>
      </c>
      <c r="G3038" s="832" t="s">
        <v>535</v>
      </c>
      <c r="H3038" s="923" t="s">
        <v>1297</v>
      </c>
      <c r="I3038" s="249">
        <v>514</v>
      </c>
      <c r="J3038" s="249">
        <v>7330.6716872130119</v>
      </c>
      <c r="K3038" s="51">
        <f t="shared" si="155"/>
        <v>3767965</v>
      </c>
      <c r="L3038" s="924" t="s">
        <v>171</v>
      </c>
      <c r="M3038" s="924" t="s">
        <v>166</v>
      </c>
      <c r="N3038" s="52" t="str">
        <f>IF(AND('331-CT'!$E$7=TH!H3038,OR(L3038="331",M3038="331")),"331",IF(AND(OR(L3038="131",M3038="131"),H3038='131-CT'!$E$7),"131",""))</f>
        <v/>
      </c>
      <c r="O3038" s="818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726"/>
    </row>
    <row r="3039" spans="1:27" s="861" customFormat="1" ht="15.75" customHeight="1">
      <c r="A3039" s="202" t="str">
        <f>IF(B3039&lt;&gt;"",IF(AND(B3039&gt;=_TM1,B3039&lt;=_TM2,OR(TH!L3039="1111",TH!M3039="1111")),TH!D3039,""),"")</f>
        <v/>
      </c>
      <c r="B3039" s="857">
        <f t="shared" si="153"/>
        <v>4</v>
      </c>
      <c r="C3039" s="858">
        <f t="shared" si="154"/>
        <v>42489</v>
      </c>
      <c r="D3039" s="858" t="s">
        <v>1548</v>
      </c>
      <c r="E3039" s="830">
        <v>42489</v>
      </c>
      <c r="F3039" s="925" t="s">
        <v>418</v>
      </c>
      <c r="G3039" s="832" t="s">
        <v>536</v>
      </c>
      <c r="H3039" s="923" t="s">
        <v>1297</v>
      </c>
      <c r="I3039" s="249">
        <v>208</v>
      </c>
      <c r="J3039" s="249">
        <v>61799.267130574808</v>
      </c>
      <c r="K3039" s="51">
        <f t="shared" si="155"/>
        <v>12854248</v>
      </c>
      <c r="L3039" s="924" t="s">
        <v>171</v>
      </c>
      <c r="M3039" s="924" t="s">
        <v>166</v>
      </c>
      <c r="N3039" s="52" t="str">
        <f>IF(AND('331-CT'!$E$7=TH!H3039,OR(L3039="331",M3039="331")),"331",IF(AND(OR(L3039="131",M3039="131"),H3039='131-CT'!$E$7),"131",""))</f>
        <v/>
      </c>
      <c r="O3039" s="818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726"/>
    </row>
    <row r="3040" spans="1:27" s="861" customFormat="1" ht="15.75" customHeight="1">
      <c r="A3040" s="202" t="str">
        <f>IF(B3040&lt;&gt;"",IF(AND(B3040&gt;=_TM1,B3040&lt;=_TM2,OR(TH!L3040="1111",TH!M3040="1111")),TH!D3040,""),"")</f>
        <v/>
      </c>
      <c r="B3040" s="857">
        <f t="shared" si="153"/>
        <v>5</v>
      </c>
      <c r="C3040" s="858">
        <f t="shared" si="154"/>
        <v>42494</v>
      </c>
      <c r="D3040" s="858" t="s">
        <v>1548</v>
      </c>
      <c r="E3040" s="830">
        <v>42494</v>
      </c>
      <c r="F3040" s="925" t="s">
        <v>418</v>
      </c>
      <c r="G3040" s="832" t="s">
        <v>537</v>
      </c>
      <c r="H3040" s="923" t="s">
        <v>1297</v>
      </c>
      <c r="I3040" s="249">
        <v>101</v>
      </c>
      <c r="J3040" s="249">
        <v>61799.267130574808</v>
      </c>
      <c r="K3040" s="51">
        <f t="shared" si="155"/>
        <v>6241726</v>
      </c>
      <c r="L3040" s="924" t="s">
        <v>171</v>
      </c>
      <c r="M3040" s="924" t="s">
        <v>166</v>
      </c>
      <c r="N3040" s="52" t="str">
        <f>IF(AND('331-CT'!$E$7=TH!H3040,OR(L3040="331",M3040="331")),"331",IF(AND(OR(L3040="131",M3040="131"),H3040='131-CT'!$E$7),"131",""))</f>
        <v/>
      </c>
      <c r="O3040" s="818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726"/>
    </row>
    <row r="3041" spans="1:27" s="861" customFormat="1" ht="15.75" customHeight="1">
      <c r="A3041" s="202" t="str">
        <f>IF(B3041&lt;&gt;"",IF(AND(B3041&gt;=_TM1,B3041&lt;=_TM2,OR(TH!L3041="1111",TH!M3041="1111")),TH!D3041,""),"")</f>
        <v/>
      </c>
      <c r="B3041" s="857">
        <f t="shared" si="153"/>
        <v>5</v>
      </c>
      <c r="C3041" s="858">
        <f t="shared" si="154"/>
        <v>42494</v>
      </c>
      <c r="D3041" s="858" t="s">
        <v>1548</v>
      </c>
      <c r="E3041" s="830">
        <v>42494</v>
      </c>
      <c r="F3041" s="925" t="s">
        <v>1438</v>
      </c>
      <c r="G3041" s="832" t="s">
        <v>538</v>
      </c>
      <c r="H3041" s="923" t="s">
        <v>1297</v>
      </c>
      <c r="I3041" s="249">
        <v>500</v>
      </c>
      <c r="J3041" s="249">
        <v>6819.2294764772205</v>
      </c>
      <c r="K3041" s="51">
        <f t="shared" si="155"/>
        <v>3409615</v>
      </c>
      <c r="L3041" s="924" t="s">
        <v>171</v>
      </c>
      <c r="M3041" s="924" t="s">
        <v>166</v>
      </c>
      <c r="N3041" s="52" t="str">
        <f>IF(AND('331-CT'!$E$7=TH!H3041,OR(L3041="331",M3041="331")),"331",IF(AND(OR(L3041="131",M3041="131"),H3041='131-CT'!$E$7),"131",""))</f>
        <v/>
      </c>
      <c r="O3041" s="818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726"/>
    </row>
    <row r="3042" spans="1:27" s="861" customFormat="1" ht="15.75" customHeight="1">
      <c r="A3042" s="202" t="str">
        <f>IF(B3042&lt;&gt;"",IF(AND(B3042&gt;=_TM1,B3042&lt;=_TM2,OR(TH!L3042="1111",TH!M3042="1111")),TH!D3042,""),"")</f>
        <v/>
      </c>
      <c r="B3042" s="857">
        <f t="shared" si="153"/>
        <v>5</v>
      </c>
      <c r="C3042" s="858">
        <f t="shared" si="154"/>
        <v>42494</v>
      </c>
      <c r="D3042" s="858" t="s">
        <v>1548</v>
      </c>
      <c r="E3042" s="830">
        <v>42494</v>
      </c>
      <c r="F3042" s="925" t="s">
        <v>1432</v>
      </c>
      <c r="G3042" s="832" t="s">
        <v>538</v>
      </c>
      <c r="H3042" s="923" t="s">
        <v>1297</v>
      </c>
      <c r="I3042" s="249">
        <v>750</v>
      </c>
      <c r="J3042" s="249">
        <v>1875.2881060312357</v>
      </c>
      <c r="K3042" s="51">
        <f t="shared" si="155"/>
        <v>1406466</v>
      </c>
      <c r="L3042" s="924" t="s">
        <v>171</v>
      </c>
      <c r="M3042" s="924" t="s">
        <v>166</v>
      </c>
      <c r="N3042" s="52" t="str">
        <f>IF(AND('331-CT'!$E$7=TH!H3042,OR(L3042="331",M3042="331")),"331",IF(AND(OR(L3042="131",M3042="131"),H3042='131-CT'!$E$7),"131",""))</f>
        <v/>
      </c>
      <c r="O3042" s="818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726"/>
    </row>
    <row r="3043" spans="1:27" s="861" customFormat="1" ht="15.75" customHeight="1">
      <c r="A3043" s="202" t="str">
        <f>IF(B3043&lt;&gt;"",IF(AND(B3043&gt;=_TM1,B3043&lt;=_TM2,OR(TH!L3043="1111",TH!M3043="1111")),TH!D3043,""),"")</f>
        <v/>
      </c>
      <c r="B3043" s="857">
        <f t="shared" si="153"/>
        <v>5</v>
      </c>
      <c r="C3043" s="858">
        <f t="shared" si="154"/>
        <v>42494</v>
      </c>
      <c r="D3043" s="858" t="s">
        <v>1548</v>
      </c>
      <c r="E3043" s="830">
        <v>42494</v>
      </c>
      <c r="F3043" s="925" t="s">
        <v>1433</v>
      </c>
      <c r="G3043" s="832" t="s">
        <v>538</v>
      </c>
      <c r="H3043" s="923" t="s">
        <v>1297</v>
      </c>
      <c r="I3043" s="249">
        <v>300</v>
      </c>
      <c r="J3043" s="249">
        <v>2301.4899483110621</v>
      </c>
      <c r="K3043" s="51">
        <f t="shared" si="155"/>
        <v>690447</v>
      </c>
      <c r="L3043" s="924" t="s">
        <v>171</v>
      </c>
      <c r="M3043" s="924" t="s">
        <v>166</v>
      </c>
      <c r="N3043" s="52" t="str">
        <f>IF(AND('331-CT'!$E$7=TH!H3043,OR(L3043="331",M3043="331")),"331",IF(AND(OR(L3043="131",M3043="131"),H3043='131-CT'!$E$7),"131",""))</f>
        <v/>
      </c>
      <c r="O3043" s="818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726"/>
    </row>
    <row r="3044" spans="1:27" s="861" customFormat="1" ht="15.75" customHeight="1">
      <c r="A3044" s="202" t="str">
        <f>IF(B3044&lt;&gt;"",IF(AND(B3044&gt;=_TM1,B3044&lt;=_TM2,OR(TH!L3044="1111",TH!M3044="1111")),TH!D3044,""),"")</f>
        <v/>
      </c>
      <c r="B3044" s="857">
        <f t="shared" si="153"/>
        <v>5</v>
      </c>
      <c r="C3044" s="858">
        <f t="shared" si="154"/>
        <v>42495</v>
      </c>
      <c r="D3044" s="858" t="s">
        <v>1548</v>
      </c>
      <c r="E3044" s="830">
        <v>42495</v>
      </c>
      <c r="F3044" s="925" t="s">
        <v>1306</v>
      </c>
      <c r="G3044" s="832" t="s">
        <v>539</v>
      </c>
      <c r="H3044" s="923" t="s">
        <v>1297</v>
      </c>
      <c r="I3044" s="249">
        <v>500</v>
      </c>
      <c r="J3044" s="249">
        <v>10569.805688539691</v>
      </c>
      <c r="K3044" s="51">
        <f t="shared" si="155"/>
        <v>5284903</v>
      </c>
      <c r="L3044" s="924" t="s">
        <v>171</v>
      </c>
      <c r="M3044" s="924" t="s">
        <v>166</v>
      </c>
      <c r="N3044" s="52" t="str">
        <f>IF(AND('331-CT'!$E$7=TH!H3044,OR(L3044="331",M3044="331")),"331",IF(AND(OR(L3044="131",M3044="131"),H3044='131-CT'!$E$7),"131",""))</f>
        <v/>
      </c>
      <c r="O3044" s="818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726"/>
    </row>
    <row r="3045" spans="1:27" s="861" customFormat="1" ht="15.75" customHeight="1">
      <c r="A3045" s="202" t="str">
        <f>IF(B3045&lt;&gt;"",IF(AND(B3045&gt;=_TM1,B3045&lt;=_TM2,OR(TH!L3045="1111",TH!M3045="1111")),TH!D3045,""),"")</f>
        <v/>
      </c>
      <c r="B3045" s="857">
        <f t="shared" si="153"/>
        <v>5</v>
      </c>
      <c r="C3045" s="858">
        <f t="shared" si="154"/>
        <v>42495</v>
      </c>
      <c r="D3045" s="858" t="s">
        <v>1548</v>
      </c>
      <c r="E3045" s="830">
        <v>42495</v>
      </c>
      <c r="F3045" s="925" t="s">
        <v>989</v>
      </c>
      <c r="G3045" s="832" t="s">
        <v>541</v>
      </c>
      <c r="H3045" s="923" t="s">
        <v>1297</v>
      </c>
      <c r="I3045" s="249">
        <v>22</v>
      </c>
      <c r="J3045" s="249">
        <v>34351.868487754</v>
      </c>
      <c r="K3045" s="51">
        <f t="shared" si="155"/>
        <v>755741</v>
      </c>
      <c r="L3045" s="924" t="s">
        <v>171</v>
      </c>
      <c r="M3045" s="924" t="s">
        <v>166</v>
      </c>
      <c r="N3045" s="52" t="str">
        <f>IF(AND('331-CT'!$E$7=TH!H3045,OR(L3045="331",M3045="331")),"331",IF(AND(OR(L3045="131",M3045="131"),H3045='131-CT'!$E$7),"131",""))</f>
        <v/>
      </c>
      <c r="O3045" s="818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726"/>
    </row>
    <row r="3046" spans="1:27" s="861" customFormat="1" ht="15.75" customHeight="1">
      <c r="A3046" s="202" t="str">
        <f>IF(B3046&lt;&gt;"",IF(AND(B3046&gt;=_TM1,B3046&lt;=_TM2,OR(TH!L3046="1111",TH!M3046="1111")),TH!D3046,""),"")</f>
        <v/>
      </c>
      <c r="B3046" s="857">
        <f t="shared" si="153"/>
        <v>5</v>
      </c>
      <c r="C3046" s="858">
        <f t="shared" si="154"/>
        <v>42495</v>
      </c>
      <c r="D3046" s="858" t="s">
        <v>1548</v>
      </c>
      <c r="E3046" s="830">
        <v>42495</v>
      </c>
      <c r="F3046" s="925" t="s">
        <v>418</v>
      </c>
      <c r="G3046" s="832" t="s">
        <v>541</v>
      </c>
      <c r="H3046" s="923" t="s">
        <v>1297</v>
      </c>
      <c r="I3046" s="249">
        <v>120</v>
      </c>
      <c r="J3046" s="249">
        <v>61799.267130574808</v>
      </c>
      <c r="K3046" s="51">
        <f t="shared" si="155"/>
        <v>7415912</v>
      </c>
      <c r="L3046" s="924" t="s">
        <v>171</v>
      </c>
      <c r="M3046" s="924" t="s">
        <v>166</v>
      </c>
      <c r="N3046" s="52" t="str">
        <f>IF(AND('331-CT'!$E$7=TH!H3046,OR(L3046="331",M3046="331")),"331",IF(AND(OR(L3046="131",M3046="131"),H3046='131-CT'!$E$7),"131",""))</f>
        <v/>
      </c>
      <c r="O3046" s="818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726"/>
    </row>
    <row r="3047" spans="1:27" s="861" customFormat="1" ht="15.75" customHeight="1">
      <c r="A3047" s="202" t="str">
        <f>IF(B3047&lt;&gt;"",IF(AND(B3047&gt;=_TM1,B3047&lt;=_TM2,OR(TH!L3047="1111",TH!M3047="1111")),TH!D3047,""),"")</f>
        <v/>
      </c>
      <c r="B3047" s="857">
        <f t="shared" si="153"/>
        <v>5</v>
      </c>
      <c r="C3047" s="858">
        <f t="shared" si="154"/>
        <v>42496</v>
      </c>
      <c r="D3047" s="858" t="s">
        <v>1548</v>
      </c>
      <c r="E3047" s="830">
        <v>42496</v>
      </c>
      <c r="F3047" s="925" t="s">
        <v>480</v>
      </c>
      <c r="G3047" s="832" t="s">
        <v>679</v>
      </c>
      <c r="H3047" s="923" t="s">
        <v>1297</v>
      </c>
      <c r="I3047" s="249">
        <v>469</v>
      </c>
      <c r="J3047" s="249">
        <v>10825.526793907587</v>
      </c>
      <c r="K3047" s="51">
        <f t="shared" si="155"/>
        <v>5077172</v>
      </c>
      <c r="L3047" s="924" t="s">
        <v>171</v>
      </c>
      <c r="M3047" s="924" t="s">
        <v>166</v>
      </c>
      <c r="N3047" s="52" t="str">
        <f>IF(AND('331-CT'!$E$7=TH!H3047,OR(L3047="331",M3047="331")),"331",IF(AND(OR(L3047="131",M3047="131"),H3047='131-CT'!$E$7),"131",""))</f>
        <v/>
      </c>
      <c r="O3047" s="818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726"/>
    </row>
    <row r="3048" spans="1:27" s="861" customFormat="1" ht="15.75" customHeight="1">
      <c r="A3048" s="202" t="str">
        <f>IF(B3048&lt;&gt;"",IF(AND(B3048&gt;=_TM1,B3048&lt;=_TM2,OR(TH!L3048="1111",TH!M3048="1111")),TH!D3048,""),"")</f>
        <v/>
      </c>
      <c r="B3048" s="857">
        <f t="shared" si="153"/>
        <v>5</v>
      </c>
      <c r="C3048" s="858">
        <f t="shared" si="154"/>
        <v>42496</v>
      </c>
      <c r="D3048" s="858" t="s">
        <v>1548</v>
      </c>
      <c r="E3048" s="830">
        <v>42496</v>
      </c>
      <c r="F3048" s="925" t="s">
        <v>990</v>
      </c>
      <c r="G3048" s="832" t="s">
        <v>542</v>
      </c>
      <c r="H3048" s="923" t="s">
        <v>1297</v>
      </c>
      <c r="I3048" s="249">
        <v>46</v>
      </c>
      <c r="J3048" s="249">
        <v>4773.460633534055</v>
      </c>
      <c r="K3048" s="51">
        <f t="shared" si="155"/>
        <v>219579</v>
      </c>
      <c r="L3048" s="924" t="s">
        <v>171</v>
      </c>
      <c r="M3048" s="924" t="s">
        <v>166</v>
      </c>
      <c r="N3048" s="52" t="str">
        <f>IF(AND('331-CT'!$E$7=TH!H3048,OR(L3048="331",M3048="331")),"331",IF(AND(OR(L3048="131",M3048="131"),H3048='131-CT'!$E$7),"131",""))</f>
        <v/>
      </c>
      <c r="O3048" s="818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726"/>
    </row>
    <row r="3049" spans="1:27" s="861" customFormat="1" ht="15.75" customHeight="1">
      <c r="A3049" s="202" t="str">
        <f>IF(B3049&lt;&gt;"",IF(AND(B3049&gt;=_TM1,B3049&lt;=_TM2,OR(TH!L3049="1111",TH!M3049="1111")),TH!D3049,""),"")</f>
        <v/>
      </c>
      <c r="B3049" s="857">
        <f t="shared" si="153"/>
        <v>5</v>
      </c>
      <c r="C3049" s="858">
        <f t="shared" si="154"/>
        <v>42496</v>
      </c>
      <c r="D3049" s="858" t="s">
        <v>1548</v>
      </c>
      <c r="E3049" s="830">
        <v>42496</v>
      </c>
      <c r="F3049" s="925" t="s">
        <v>991</v>
      </c>
      <c r="G3049" s="832" t="s">
        <v>542</v>
      </c>
      <c r="H3049" s="923" t="s">
        <v>1297</v>
      </c>
      <c r="I3049" s="249">
        <v>53</v>
      </c>
      <c r="J3049" s="249">
        <v>39722.011700479808</v>
      </c>
      <c r="K3049" s="51">
        <f t="shared" si="155"/>
        <v>2105267</v>
      </c>
      <c r="L3049" s="924" t="s">
        <v>171</v>
      </c>
      <c r="M3049" s="924" t="s">
        <v>166</v>
      </c>
      <c r="N3049" s="52" t="str">
        <f>IF(AND('331-CT'!$E$7=TH!H3049,OR(L3049="331",M3049="331")),"331",IF(AND(OR(L3049="131",M3049="131"),H3049='131-CT'!$E$7),"131",""))</f>
        <v/>
      </c>
      <c r="O3049" s="818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726"/>
    </row>
    <row r="3050" spans="1:27" s="861" customFormat="1" ht="15.75" customHeight="1">
      <c r="A3050" s="202" t="str">
        <f>IF(B3050&lt;&gt;"",IF(AND(B3050&gt;=_TM1,B3050&lt;=_TM2,OR(TH!L3050="1111",TH!M3050="1111")),TH!D3050,""),"")</f>
        <v/>
      </c>
      <c r="B3050" s="857">
        <f t="shared" si="153"/>
        <v>5</v>
      </c>
      <c r="C3050" s="858">
        <f t="shared" si="154"/>
        <v>42496</v>
      </c>
      <c r="D3050" s="858" t="s">
        <v>1548</v>
      </c>
      <c r="E3050" s="830">
        <v>42496</v>
      </c>
      <c r="F3050" s="925" t="s">
        <v>992</v>
      </c>
      <c r="G3050" s="832" t="s">
        <v>542</v>
      </c>
      <c r="H3050" s="923" t="s">
        <v>1297</v>
      </c>
      <c r="I3050" s="249">
        <v>53</v>
      </c>
      <c r="J3050" s="249">
        <v>34096.147382386102</v>
      </c>
      <c r="K3050" s="51">
        <f t="shared" si="155"/>
        <v>1807096</v>
      </c>
      <c r="L3050" s="924" t="s">
        <v>171</v>
      </c>
      <c r="M3050" s="924" t="s">
        <v>166</v>
      </c>
      <c r="N3050" s="52" t="str">
        <f>IF(AND('331-CT'!$E$7=TH!H3050,OR(L3050="331",M3050="331")),"331",IF(AND(OR(L3050="131",M3050="131"),H3050='131-CT'!$E$7),"131",""))</f>
        <v/>
      </c>
      <c r="O3050" s="818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726"/>
    </row>
    <row r="3051" spans="1:27" s="861" customFormat="1" ht="15.75" customHeight="1">
      <c r="A3051" s="202" t="str">
        <f>IF(B3051&lt;&gt;"",IF(AND(B3051&gt;=_TM1,B3051&lt;=_TM2,OR(TH!L3051="1111",TH!M3051="1111")),TH!D3051,""),"")</f>
        <v/>
      </c>
      <c r="B3051" s="857">
        <f t="shared" si="153"/>
        <v>5</v>
      </c>
      <c r="C3051" s="858">
        <f t="shared" si="154"/>
        <v>42496</v>
      </c>
      <c r="D3051" s="858" t="s">
        <v>1548</v>
      </c>
      <c r="E3051" s="830">
        <v>42496</v>
      </c>
      <c r="F3051" s="925" t="s">
        <v>992</v>
      </c>
      <c r="G3051" s="832" t="s">
        <v>542</v>
      </c>
      <c r="H3051" s="923" t="s">
        <v>1297</v>
      </c>
      <c r="I3051" s="249">
        <v>54</v>
      </c>
      <c r="J3051" s="249">
        <v>34096.147382386102</v>
      </c>
      <c r="K3051" s="51">
        <f t="shared" si="155"/>
        <v>1841192</v>
      </c>
      <c r="L3051" s="924" t="s">
        <v>171</v>
      </c>
      <c r="M3051" s="924" t="s">
        <v>166</v>
      </c>
      <c r="N3051" s="52" t="str">
        <f>IF(AND('331-CT'!$E$7=TH!H3051,OR(L3051="331",M3051="331")),"331",IF(AND(OR(L3051="131",M3051="131"),H3051='131-CT'!$E$7),"131",""))</f>
        <v/>
      </c>
      <c r="O3051" s="818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726"/>
    </row>
    <row r="3052" spans="1:27" s="861" customFormat="1" ht="15.75" customHeight="1">
      <c r="A3052" s="202" t="str">
        <f>IF(B3052&lt;&gt;"",IF(AND(B3052&gt;=_TM1,B3052&lt;=_TM2,OR(TH!L3052="1111",TH!M3052="1111")),TH!D3052,""),"")</f>
        <v/>
      </c>
      <c r="B3052" s="857">
        <f t="shared" si="153"/>
        <v>5</v>
      </c>
      <c r="C3052" s="858">
        <f t="shared" si="154"/>
        <v>42496</v>
      </c>
      <c r="D3052" s="858" t="s">
        <v>1548</v>
      </c>
      <c r="E3052" s="830">
        <v>42496</v>
      </c>
      <c r="F3052" s="925" t="s">
        <v>993</v>
      </c>
      <c r="G3052" s="832" t="s">
        <v>542</v>
      </c>
      <c r="H3052" s="923" t="s">
        <v>1297</v>
      </c>
      <c r="I3052" s="249">
        <v>51</v>
      </c>
      <c r="J3052" s="249">
        <v>48075.5678091644</v>
      </c>
      <c r="K3052" s="51">
        <f t="shared" si="155"/>
        <v>2451854</v>
      </c>
      <c r="L3052" s="924" t="s">
        <v>171</v>
      </c>
      <c r="M3052" s="924" t="s">
        <v>166</v>
      </c>
      <c r="N3052" s="52" t="str">
        <f>IF(AND('331-CT'!$E$7=TH!H3052,OR(L3052="331",M3052="331")),"331",IF(AND(OR(L3052="131",M3052="131"),H3052='131-CT'!$E$7),"131",""))</f>
        <v/>
      </c>
      <c r="O3052" s="818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726"/>
    </row>
    <row r="3053" spans="1:27" s="861" customFormat="1" ht="15.75" customHeight="1">
      <c r="A3053" s="202" t="str">
        <f>IF(B3053&lt;&gt;"",IF(AND(B3053&gt;=_TM1,B3053&lt;=_TM2,OR(TH!L3053="1111",TH!M3053="1111")),TH!D3053,""),"")</f>
        <v/>
      </c>
      <c r="B3053" s="857">
        <f t="shared" si="153"/>
        <v>5</v>
      </c>
      <c r="C3053" s="858">
        <f t="shared" si="154"/>
        <v>42496</v>
      </c>
      <c r="D3053" s="858" t="s">
        <v>1548</v>
      </c>
      <c r="E3053" s="830">
        <v>42496</v>
      </c>
      <c r="F3053" s="925" t="s">
        <v>994</v>
      </c>
      <c r="G3053" s="832" t="s">
        <v>542</v>
      </c>
      <c r="H3053" s="923" t="s">
        <v>1297</v>
      </c>
      <c r="I3053" s="249">
        <v>108</v>
      </c>
      <c r="J3053" s="249">
        <v>14320.381900602162</v>
      </c>
      <c r="K3053" s="51">
        <f t="shared" si="155"/>
        <v>1546601</v>
      </c>
      <c r="L3053" s="924" t="s">
        <v>171</v>
      </c>
      <c r="M3053" s="924" t="s">
        <v>166</v>
      </c>
      <c r="N3053" s="52" t="str">
        <f>IF(AND('331-CT'!$E$7=TH!H3053,OR(L3053="331",M3053="331")),"331",IF(AND(OR(L3053="131",M3053="131"),H3053='131-CT'!$E$7),"131",""))</f>
        <v/>
      </c>
      <c r="O3053" s="818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726"/>
    </row>
    <row r="3054" spans="1:27" s="861" customFormat="1" ht="15.75" customHeight="1">
      <c r="A3054" s="202" t="str">
        <f>IF(B3054&lt;&gt;"",IF(AND(B3054&gt;=_TM1,B3054&lt;=_TM2,OR(TH!L3054="1111",TH!M3054="1111")),TH!D3054,""),"")</f>
        <v/>
      </c>
      <c r="B3054" s="857">
        <f t="shared" si="153"/>
        <v>5</v>
      </c>
      <c r="C3054" s="858">
        <f t="shared" si="154"/>
        <v>42496</v>
      </c>
      <c r="D3054" s="858" t="s">
        <v>1548</v>
      </c>
      <c r="E3054" s="830">
        <v>42496</v>
      </c>
      <c r="F3054" s="925" t="s">
        <v>995</v>
      </c>
      <c r="G3054" s="832" t="s">
        <v>542</v>
      </c>
      <c r="H3054" s="923" t="s">
        <v>1297</v>
      </c>
      <c r="I3054" s="249">
        <v>37</v>
      </c>
      <c r="J3054" s="249">
        <v>8353.5561086845955</v>
      </c>
      <c r="K3054" s="51">
        <f t="shared" si="155"/>
        <v>309082</v>
      </c>
      <c r="L3054" s="924" t="s">
        <v>171</v>
      </c>
      <c r="M3054" s="924" t="s">
        <v>166</v>
      </c>
      <c r="N3054" s="52" t="str">
        <f>IF(AND('331-CT'!$E$7=TH!H3054,OR(L3054="331",M3054="331")),"331",IF(AND(OR(L3054="131",M3054="131"),H3054='131-CT'!$E$7),"131",""))</f>
        <v/>
      </c>
      <c r="O3054" s="818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726"/>
    </row>
    <row r="3055" spans="1:27" s="861" customFormat="1" ht="15.75" customHeight="1">
      <c r="A3055" s="202" t="str">
        <f>IF(B3055&lt;&gt;"",IF(AND(B3055&gt;=_TM1,B3055&lt;=_TM2,OR(TH!L3055="1111",TH!M3055="1111")),TH!D3055,""),"")</f>
        <v/>
      </c>
      <c r="B3055" s="857">
        <f t="shared" si="153"/>
        <v>5</v>
      </c>
      <c r="C3055" s="858">
        <f t="shared" si="154"/>
        <v>42496</v>
      </c>
      <c r="D3055" s="858" t="s">
        <v>1548</v>
      </c>
      <c r="E3055" s="830">
        <v>42496</v>
      </c>
      <c r="F3055" s="925" t="s">
        <v>996</v>
      </c>
      <c r="G3055" s="832" t="s">
        <v>542</v>
      </c>
      <c r="H3055" s="923" t="s">
        <v>1297</v>
      </c>
      <c r="I3055" s="249">
        <v>50</v>
      </c>
      <c r="J3055" s="249">
        <v>26424.514221349229</v>
      </c>
      <c r="K3055" s="51">
        <f t="shared" si="155"/>
        <v>1321226</v>
      </c>
      <c r="L3055" s="924" t="s">
        <v>171</v>
      </c>
      <c r="M3055" s="924" t="s">
        <v>166</v>
      </c>
      <c r="N3055" s="52" t="str">
        <f>IF(AND('331-CT'!$E$7=TH!H3055,OR(L3055="331",M3055="331")),"331",IF(AND(OR(L3055="131",M3055="131"),H3055='131-CT'!$E$7),"131",""))</f>
        <v/>
      </c>
      <c r="O3055" s="818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726"/>
    </row>
    <row r="3056" spans="1:27" s="861" customFormat="1" ht="15.75" customHeight="1">
      <c r="A3056" s="202" t="str">
        <f>IF(B3056&lt;&gt;"",IF(AND(B3056&gt;=_TM1,B3056&lt;=_TM2,OR(TH!L3056="1111",TH!M3056="1111")),TH!D3056,""),"")</f>
        <v/>
      </c>
      <c r="B3056" s="857">
        <f t="shared" si="153"/>
        <v>5</v>
      </c>
      <c r="C3056" s="858">
        <f t="shared" si="154"/>
        <v>42496</v>
      </c>
      <c r="D3056" s="858" t="s">
        <v>1548</v>
      </c>
      <c r="E3056" s="830">
        <v>42496</v>
      </c>
      <c r="F3056" s="925" t="s">
        <v>997</v>
      </c>
      <c r="G3056" s="832" t="s">
        <v>543</v>
      </c>
      <c r="H3056" s="923" t="s">
        <v>1297</v>
      </c>
      <c r="I3056" s="249">
        <v>30</v>
      </c>
      <c r="J3056" s="249">
        <v>10228.844214715829</v>
      </c>
      <c r="K3056" s="51">
        <f t="shared" si="155"/>
        <v>306865</v>
      </c>
      <c r="L3056" s="924" t="s">
        <v>171</v>
      </c>
      <c r="M3056" s="924" t="s">
        <v>166</v>
      </c>
      <c r="N3056" s="52" t="str">
        <f>IF(AND('331-CT'!$E$7=TH!H3056,OR(L3056="331",M3056="331")),"331",IF(AND(OR(L3056="131",M3056="131"),H3056='131-CT'!$E$7),"131",""))</f>
        <v/>
      </c>
      <c r="O3056" s="818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726"/>
    </row>
    <row r="3057" spans="1:27" s="861" customFormat="1" ht="15.75" customHeight="1">
      <c r="A3057" s="202" t="str">
        <f>IF(B3057&lt;&gt;"",IF(AND(B3057&gt;=_TM1,B3057&lt;=_TM2,OR(TH!L3057="1111",TH!M3057="1111")),TH!D3057,""),"")</f>
        <v/>
      </c>
      <c r="B3057" s="857">
        <f t="shared" si="153"/>
        <v>5</v>
      </c>
      <c r="C3057" s="858">
        <f t="shared" si="154"/>
        <v>42496</v>
      </c>
      <c r="D3057" s="858" t="s">
        <v>1548</v>
      </c>
      <c r="E3057" s="830">
        <v>42496</v>
      </c>
      <c r="F3057" s="925" t="s">
        <v>998</v>
      </c>
      <c r="G3057" s="832" t="s">
        <v>543</v>
      </c>
      <c r="H3057" s="923" t="s">
        <v>1297</v>
      </c>
      <c r="I3057" s="249">
        <v>60</v>
      </c>
      <c r="J3057" s="249">
        <v>4602.9798966221242</v>
      </c>
      <c r="K3057" s="51">
        <f t="shared" si="155"/>
        <v>276179</v>
      </c>
      <c r="L3057" s="924" t="s">
        <v>171</v>
      </c>
      <c r="M3057" s="924" t="s">
        <v>166</v>
      </c>
      <c r="N3057" s="52" t="str">
        <f>IF(AND('331-CT'!$E$7=TH!H3057,OR(L3057="331",M3057="331")),"331",IF(AND(OR(L3057="131",M3057="131"),H3057='131-CT'!$E$7),"131",""))</f>
        <v/>
      </c>
      <c r="O3057" s="818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726"/>
    </row>
    <row r="3058" spans="1:27" s="861" customFormat="1" ht="15.75" customHeight="1">
      <c r="A3058" s="202" t="str">
        <f>IF(B3058&lt;&gt;"",IF(AND(B3058&gt;=_TM1,B3058&lt;=_TM2,OR(TH!L3058="1111",TH!M3058="1111")),TH!D3058,""),"")</f>
        <v/>
      </c>
      <c r="B3058" s="857">
        <f t="shared" si="153"/>
        <v>5</v>
      </c>
      <c r="C3058" s="858">
        <f t="shared" si="154"/>
        <v>42496</v>
      </c>
      <c r="D3058" s="858" t="s">
        <v>1548</v>
      </c>
      <c r="E3058" s="830">
        <v>42496</v>
      </c>
      <c r="F3058" s="925" t="s">
        <v>999</v>
      </c>
      <c r="G3058" s="832" t="s">
        <v>543</v>
      </c>
      <c r="H3058" s="923" t="s">
        <v>1297</v>
      </c>
      <c r="I3058" s="249">
        <v>60</v>
      </c>
      <c r="J3058" s="249">
        <v>10740.286425451623</v>
      </c>
      <c r="K3058" s="51">
        <f t="shared" si="155"/>
        <v>644417</v>
      </c>
      <c r="L3058" s="924" t="s">
        <v>171</v>
      </c>
      <c r="M3058" s="924" t="s">
        <v>166</v>
      </c>
      <c r="N3058" s="52" t="str">
        <f>IF(AND('331-CT'!$E$7=TH!H3058,OR(L3058="331",M3058="331")),"331",IF(AND(OR(L3058="131",M3058="131"),H3058='131-CT'!$E$7),"131",""))</f>
        <v/>
      </c>
      <c r="O3058" s="818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726"/>
    </row>
    <row r="3059" spans="1:27" s="861" customFormat="1" ht="15.75" customHeight="1">
      <c r="A3059" s="202" t="str">
        <f>IF(B3059&lt;&gt;"",IF(AND(B3059&gt;=_TM1,B3059&lt;=_TM2,OR(TH!L3059="1111",TH!M3059="1111")),TH!D3059,""),"")</f>
        <v/>
      </c>
      <c r="B3059" s="857">
        <f t="shared" si="153"/>
        <v>5</v>
      </c>
      <c r="C3059" s="858">
        <f t="shared" si="154"/>
        <v>42496</v>
      </c>
      <c r="D3059" s="858" t="s">
        <v>1548</v>
      </c>
      <c r="E3059" s="830">
        <v>42496</v>
      </c>
      <c r="F3059" s="925" t="s">
        <v>1000</v>
      </c>
      <c r="G3059" s="832" t="s">
        <v>543</v>
      </c>
      <c r="H3059" s="923" t="s">
        <v>1297</v>
      </c>
      <c r="I3059" s="249">
        <v>36</v>
      </c>
      <c r="J3059" s="249">
        <v>6393.027634197394</v>
      </c>
      <c r="K3059" s="51">
        <f t="shared" si="155"/>
        <v>230149</v>
      </c>
      <c r="L3059" s="924" t="s">
        <v>171</v>
      </c>
      <c r="M3059" s="924" t="s">
        <v>166</v>
      </c>
      <c r="N3059" s="52" t="str">
        <f>IF(AND('331-CT'!$E$7=TH!H3059,OR(L3059="331",M3059="331")),"331",IF(AND(OR(L3059="131",M3059="131"),H3059='131-CT'!$E$7),"131",""))</f>
        <v/>
      </c>
      <c r="O3059" s="818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726"/>
    </row>
    <row r="3060" spans="1:27" s="861" customFormat="1" ht="15.75" customHeight="1">
      <c r="A3060" s="202" t="str">
        <f>IF(B3060&lt;&gt;"",IF(AND(B3060&gt;=_TM1,B3060&lt;=_TM2,OR(TH!L3060="1111",TH!M3060="1111")),TH!D3060,""),"")</f>
        <v/>
      </c>
      <c r="B3060" s="857">
        <f t="shared" si="153"/>
        <v>5</v>
      </c>
      <c r="C3060" s="858">
        <f t="shared" si="154"/>
        <v>42496</v>
      </c>
      <c r="D3060" s="858" t="s">
        <v>1548</v>
      </c>
      <c r="E3060" s="830">
        <v>42496</v>
      </c>
      <c r="F3060" s="925" t="s">
        <v>1001</v>
      </c>
      <c r="G3060" s="832" t="s">
        <v>543</v>
      </c>
      <c r="H3060" s="923" t="s">
        <v>1297</v>
      </c>
      <c r="I3060" s="249">
        <v>24</v>
      </c>
      <c r="J3060" s="249">
        <v>22759.178377742723</v>
      </c>
      <c r="K3060" s="51">
        <f t="shared" si="155"/>
        <v>546220</v>
      </c>
      <c r="L3060" s="924" t="s">
        <v>171</v>
      </c>
      <c r="M3060" s="924" t="s">
        <v>166</v>
      </c>
      <c r="N3060" s="52" t="str">
        <f>IF(AND('331-CT'!$E$7=TH!H3060,OR(L3060="331",M3060="331")),"331",IF(AND(OR(L3060="131",M3060="131"),H3060='131-CT'!$E$7),"131",""))</f>
        <v/>
      </c>
      <c r="O3060" s="818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726"/>
    </row>
    <row r="3061" spans="1:27" s="861" customFormat="1" ht="15.75" customHeight="1">
      <c r="A3061" s="202" t="str">
        <f>IF(B3061&lt;&gt;"",IF(AND(B3061&gt;=_TM1,B3061&lt;=_TM2,OR(TH!L3061="1111",TH!M3061="1111")),TH!D3061,""),"")</f>
        <v/>
      </c>
      <c r="B3061" s="857">
        <f t="shared" si="153"/>
        <v>5</v>
      </c>
      <c r="C3061" s="858">
        <f t="shared" si="154"/>
        <v>42496</v>
      </c>
      <c r="D3061" s="858" t="s">
        <v>1548</v>
      </c>
      <c r="E3061" s="830">
        <v>42496</v>
      </c>
      <c r="F3061" s="925" t="s">
        <v>1002</v>
      </c>
      <c r="G3061" s="832" t="s">
        <v>543</v>
      </c>
      <c r="H3061" s="923" t="s">
        <v>1297</v>
      </c>
      <c r="I3061" s="249">
        <v>20</v>
      </c>
      <c r="J3061" s="249">
        <v>21906.77469318307</v>
      </c>
      <c r="K3061" s="51">
        <f t="shared" si="155"/>
        <v>438135</v>
      </c>
      <c r="L3061" s="924" t="s">
        <v>171</v>
      </c>
      <c r="M3061" s="924" t="s">
        <v>166</v>
      </c>
      <c r="N3061" s="52" t="str">
        <f>IF(AND('331-CT'!$E$7=TH!H3061,OR(L3061="331",M3061="331")),"331",IF(AND(OR(L3061="131",M3061="131"),H3061='131-CT'!$E$7),"131",""))</f>
        <v/>
      </c>
      <c r="O3061" s="818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726"/>
    </row>
    <row r="3062" spans="1:27" s="861" customFormat="1" ht="15.75" customHeight="1">
      <c r="A3062" s="202" t="str">
        <f>IF(B3062&lt;&gt;"",IF(AND(B3062&gt;=_TM1,B3062&lt;=_TM2,OR(TH!L3062="1111",TH!M3062="1111")),TH!D3062,""),"")</f>
        <v/>
      </c>
      <c r="B3062" s="857">
        <f t="shared" si="153"/>
        <v>5</v>
      </c>
      <c r="C3062" s="858">
        <f t="shared" si="154"/>
        <v>42496</v>
      </c>
      <c r="D3062" s="858" t="s">
        <v>1548</v>
      </c>
      <c r="E3062" s="830">
        <v>42496</v>
      </c>
      <c r="F3062" s="925" t="s">
        <v>1003</v>
      </c>
      <c r="G3062" s="832" t="s">
        <v>543</v>
      </c>
      <c r="H3062" s="923" t="s">
        <v>1297</v>
      </c>
      <c r="I3062" s="249">
        <v>22</v>
      </c>
      <c r="J3062" s="249">
        <v>23270.620588478516</v>
      </c>
      <c r="K3062" s="51">
        <f t="shared" si="155"/>
        <v>511954</v>
      </c>
      <c r="L3062" s="924" t="s">
        <v>171</v>
      </c>
      <c r="M3062" s="924" t="s">
        <v>166</v>
      </c>
      <c r="N3062" s="52" t="str">
        <f>IF(AND('331-CT'!$E$7=TH!H3062,OR(L3062="331",M3062="331")),"331",IF(AND(OR(L3062="131",M3062="131"),H3062='131-CT'!$E$7),"131",""))</f>
        <v/>
      </c>
      <c r="O3062" s="818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726"/>
    </row>
    <row r="3063" spans="1:27" s="861" customFormat="1" ht="15.75" customHeight="1">
      <c r="A3063" s="202" t="str">
        <f>IF(B3063&lt;&gt;"",IF(AND(B3063&gt;=_TM1,B3063&lt;=_TM2,OR(TH!L3063="1111",TH!M3063="1111")),TH!D3063,""),"")</f>
        <v/>
      </c>
      <c r="B3063" s="857">
        <f t="shared" si="153"/>
        <v>5</v>
      </c>
      <c r="C3063" s="858">
        <f t="shared" si="154"/>
        <v>42496</v>
      </c>
      <c r="D3063" s="858" t="s">
        <v>1548</v>
      </c>
      <c r="E3063" s="830">
        <v>42496</v>
      </c>
      <c r="F3063" s="925" t="s">
        <v>1004</v>
      </c>
      <c r="G3063" s="832" t="s">
        <v>543</v>
      </c>
      <c r="H3063" s="923" t="s">
        <v>1297</v>
      </c>
      <c r="I3063" s="249">
        <v>20</v>
      </c>
      <c r="J3063" s="249">
        <v>29663.648222675907</v>
      </c>
      <c r="K3063" s="51">
        <f t="shared" si="155"/>
        <v>593273</v>
      </c>
      <c r="L3063" s="924" t="s">
        <v>171</v>
      </c>
      <c r="M3063" s="924" t="s">
        <v>166</v>
      </c>
      <c r="N3063" s="52" t="str">
        <f>IF(AND('331-CT'!$E$7=TH!H3063,OR(L3063="331",M3063="331")),"331",IF(AND(OR(L3063="131",M3063="131"),H3063='131-CT'!$E$7),"131",""))</f>
        <v/>
      </c>
      <c r="O3063" s="818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726"/>
    </row>
    <row r="3064" spans="1:27" s="861" customFormat="1" ht="15.75" customHeight="1">
      <c r="A3064" s="202" t="str">
        <f>IF(B3064&lt;&gt;"",IF(AND(B3064&gt;=_TM1,B3064&lt;=_TM2,OR(TH!L3064="1111",TH!M3064="1111")),TH!D3064,""),"")</f>
        <v/>
      </c>
      <c r="B3064" s="857">
        <f t="shared" si="153"/>
        <v>5</v>
      </c>
      <c r="C3064" s="858">
        <f t="shared" si="154"/>
        <v>42496</v>
      </c>
      <c r="D3064" s="858" t="s">
        <v>1548</v>
      </c>
      <c r="E3064" s="830">
        <v>42496</v>
      </c>
      <c r="F3064" s="925" t="s">
        <v>1005</v>
      </c>
      <c r="G3064" s="832" t="s">
        <v>543</v>
      </c>
      <c r="H3064" s="923" t="s">
        <v>1297</v>
      </c>
      <c r="I3064" s="249">
        <v>20</v>
      </c>
      <c r="J3064" s="249">
        <v>25913.072010613436</v>
      </c>
      <c r="K3064" s="51">
        <f t="shared" si="155"/>
        <v>518261</v>
      </c>
      <c r="L3064" s="924" t="s">
        <v>171</v>
      </c>
      <c r="M3064" s="924" t="s">
        <v>166</v>
      </c>
      <c r="N3064" s="52" t="str">
        <f>IF(AND('331-CT'!$E$7=TH!H3064,OR(L3064="331",M3064="331")),"331",IF(AND(OR(L3064="131",M3064="131"),H3064='131-CT'!$E$7),"131",""))</f>
        <v/>
      </c>
      <c r="O3064" s="818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726"/>
    </row>
    <row r="3065" spans="1:27" s="861" customFormat="1" ht="15.75" customHeight="1">
      <c r="A3065" s="202" t="str">
        <f>IF(B3065&lt;&gt;"",IF(AND(B3065&gt;=_TM1,B3065&lt;=_TM2,OR(TH!L3065="1111",TH!M3065="1111")),TH!D3065,""),"")</f>
        <v/>
      </c>
      <c r="B3065" s="857">
        <f t="shared" si="153"/>
        <v>5</v>
      </c>
      <c r="C3065" s="858">
        <f t="shared" si="154"/>
        <v>42497</v>
      </c>
      <c r="D3065" s="858" t="s">
        <v>1548</v>
      </c>
      <c r="E3065" s="830">
        <v>42497</v>
      </c>
      <c r="F3065" s="925" t="s">
        <v>1006</v>
      </c>
      <c r="G3065" s="832" t="s">
        <v>545</v>
      </c>
      <c r="H3065" s="923" t="s">
        <v>1297</v>
      </c>
      <c r="I3065" s="249">
        <v>20</v>
      </c>
      <c r="J3065" s="249">
        <v>13808.939689866373</v>
      </c>
      <c r="K3065" s="51">
        <f t="shared" si="155"/>
        <v>276179</v>
      </c>
      <c r="L3065" s="924" t="s">
        <v>171</v>
      </c>
      <c r="M3065" s="924" t="s">
        <v>166</v>
      </c>
      <c r="N3065" s="52" t="str">
        <f>IF(AND('331-CT'!$E$7=TH!H3065,OR(L3065="331",M3065="331")),"331",IF(AND(OR(L3065="131",M3065="131"),H3065='131-CT'!$E$7),"131",""))</f>
        <v/>
      </c>
      <c r="O3065" s="818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726"/>
    </row>
    <row r="3066" spans="1:27" s="861" customFormat="1" ht="15.75" customHeight="1">
      <c r="A3066" s="202" t="str">
        <f>IF(B3066&lt;&gt;"",IF(AND(B3066&gt;=_TM1,B3066&lt;=_TM2,OR(TH!L3066="1111",TH!M3066="1111")),TH!D3066,""),"")</f>
        <v/>
      </c>
      <c r="B3066" s="857">
        <f t="shared" si="153"/>
        <v>5</v>
      </c>
      <c r="C3066" s="858">
        <f t="shared" si="154"/>
        <v>42497</v>
      </c>
      <c r="D3066" s="858" t="s">
        <v>1548</v>
      </c>
      <c r="E3066" s="830">
        <v>42497</v>
      </c>
      <c r="F3066" s="925" t="s">
        <v>1007</v>
      </c>
      <c r="G3066" s="832" t="s">
        <v>545</v>
      </c>
      <c r="H3066" s="923" t="s">
        <v>1297</v>
      </c>
      <c r="I3066" s="249">
        <v>20</v>
      </c>
      <c r="J3066" s="249">
        <v>15939.948901265503</v>
      </c>
      <c r="K3066" s="51">
        <f t="shared" si="155"/>
        <v>318799</v>
      </c>
      <c r="L3066" s="924" t="s">
        <v>171</v>
      </c>
      <c r="M3066" s="924" t="s">
        <v>166</v>
      </c>
      <c r="N3066" s="52" t="str">
        <f>IF(AND('331-CT'!$E$7=TH!H3066,OR(L3066="331",M3066="331")),"331",IF(AND(OR(L3066="131",M3066="131"),H3066='131-CT'!$E$7),"131",""))</f>
        <v/>
      </c>
      <c r="O3066" s="818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726"/>
    </row>
    <row r="3067" spans="1:27" s="861" customFormat="1" ht="15.75" customHeight="1">
      <c r="A3067" s="202" t="str">
        <f>IF(B3067&lt;&gt;"",IF(AND(B3067&gt;=_TM1,B3067&lt;=_TM2,OR(TH!L3067="1111",TH!M3067="1111")),TH!D3067,""),"")</f>
        <v/>
      </c>
      <c r="B3067" s="857">
        <f t="shared" si="153"/>
        <v>5</v>
      </c>
      <c r="C3067" s="858">
        <f t="shared" si="154"/>
        <v>42497</v>
      </c>
      <c r="D3067" s="858" t="s">
        <v>1548</v>
      </c>
      <c r="E3067" s="830">
        <v>42497</v>
      </c>
      <c r="F3067" s="925" t="s">
        <v>955</v>
      </c>
      <c r="G3067" s="832" t="s">
        <v>545</v>
      </c>
      <c r="H3067" s="923" t="s">
        <v>1297</v>
      </c>
      <c r="I3067" s="249">
        <v>107</v>
      </c>
      <c r="J3067" s="249">
        <v>19093.84253413622</v>
      </c>
      <c r="K3067" s="51">
        <f t="shared" si="155"/>
        <v>2043041</v>
      </c>
      <c r="L3067" s="924" t="s">
        <v>171</v>
      </c>
      <c r="M3067" s="924" t="s">
        <v>166</v>
      </c>
      <c r="N3067" s="52" t="str">
        <f>IF(AND('331-CT'!$E$7=TH!H3067,OR(L3067="331",M3067="331")),"331",IF(AND(OR(L3067="131",M3067="131"),H3067='131-CT'!$E$7),"131",""))</f>
        <v/>
      </c>
      <c r="O3067" s="818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726"/>
    </row>
    <row r="3068" spans="1:27" s="861" customFormat="1" ht="15.75" customHeight="1">
      <c r="A3068" s="202" t="str">
        <f>IF(B3068&lt;&gt;"",IF(AND(B3068&gt;=_TM1,B3068&lt;=_TM2,OR(TH!L3068="1111",TH!M3068="1111")),TH!D3068,""),"")</f>
        <v/>
      </c>
      <c r="B3068" s="857">
        <f t="shared" si="153"/>
        <v>5</v>
      </c>
      <c r="C3068" s="858">
        <f t="shared" si="154"/>
        <v>42497</v>
      </c>
      <c r="D3068" s="858" t="s">
        <v>1548</v>
      </c>
      <c r="E3068" s="830">
        <v>42497</v>
      </c>
      <c r="F3068" s="925" t="s">
        <v>1008</v>
      </c>
      <c r="G3068" s="832" t="s">
        <v>545</v>
      </c>
      <c r="H3068" s="923" t="s">
        <v>1297</v>
      </c>
      <c r="I3068" s="249">
        <v>26</v>
      </c>
      <c r="J3068" s="249">
        <v>14490.862637514092</v>
      </c>
      <c r="K3068" s="51">
        <f t="shared" si="155"/>
        <v>376762</v>
      </c>
      <c r="L3068" s="924" t="s">
        <v>171</v>
      </c>
      <c r="M3068" s="924" t="s">
        <v>166</v>
      </c>
      <c r="N3068" s="52" t="str">
        <f>IF(AND('331-CT'!$E$7=TH!H3068,OR(L3068="331",M3068="331")),"331",IF(AND(OR(L3068="131",M3068="131"),H3068='131-CT'!$E$7),"131",""))</f>
        <v/>
      </c>
      <c r="O3068" s="818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726"/>
    </row>
    <row r="3069" spans="1:27" s="861" customFormat="1" ht="15.75" customHeight="1">
      <c r="A3069" s="202" t="str">
        <f>IF(B3069&lt;&gt;"",IF(AND(B3069&gt;=_TM1,B3069&lt;=_TM2,OR(TH!L3069="1111",TH!M3069="1111")),TH!D3069,""),"")</f>
        <v/>
      </c>
      <c r="B3069" s="857">
        <f t="shared" si="153"/>
        <v>5</v>
      </c>
      <c r="C3069" s="858">
        <f t="shared" si="154"/>
        <v>42497</v>
      </c>
      <c r="D3069" s="858" t="s">
        <v>1548</v>
      </c>
      <c r="E3069" s="830">
        <v>42497</v>
      </c>
      <c r="F3069" s="925" t="s">
        <v>1009</v>
      </c>
      <c r="G3069" s="832" t="s">
        <v>545</v>
      </c>
      <c r="H3069" s="923" t="s">
        <v>1297</v>
      </c>
      <c r="I3069" s="249">
        <v>52</v>
      </c>
      <c r="J3069" s="249">
        <v>20798.649903255522</v>
      </c>
      <c r="K3069" s="51">
        <f t="shared" si="155"/>
        <v>1081530</v>
      </c>
      <c r="L3069" s="924" t="s">
        <v>171</v>
      </c>
      <c r="M3069" s="924" t="s">
        <v>166</v>
      </c>
      <c r="N3069" s="52" t="str">
        <f>IF(AND('331-CT'!$E$7=TH!H3069,OR(L3069="331",M3069="331")),"331",IF(AND(OR(L3069="131",M3069="131"),H3069='131-CT'!$E$7),"131",""))</f>
        <v/>
      </c>
      <c r="O3069" s="818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726"/>
    </row>
    <row r="3070" spans="1:27" s="861" customFormat="1" ht="15.75" customHeight="1">
      <c r="A3070" s="202" t="str">
        <f>IF(B3070&lt;&gt;"",IF(AND(B3070&gt;=_TM1,B3070&lt;=_TM2,OR(TH!L3070="1111",TH!M3070="1111")),TH!D3070,""),"")</f>
        <v/>
      </c>
      <c r="B3070" s="857">
        <f t="shared" si="153"/>
        <v>5</v>
      </c>
      <c r="C3070" s="858">
        <f t="shared" si="154"/>
        <v>42497</v>
      </c>
      <c r="D3070" s="858" t="s">
        <v>1548</v>
      </c>
      <c r="E3070" s="830">
        <v>42497</v>
      </c>
      <c r="F3070" s="925" t="s">
        <v>1010</v>
      </c>
      <c r="G3070" s="832" t="s">
        <v>545</v>
      </c>
      <c r="H3070" s="923" t="s">
        <v>1297</v>
      </c>
      <c r="I3070" s="249">
        <v>52</v>
      </c>
      <c r="J3070" s="249">
        <v>70834.746186907127</v>
      </c>
      <c r="K3070" s="51">
        <f t="shared" si="155"/>
        <v>3683407</v>
      </c>
      <c r="L3070" s="924" t="s">
        <v>171</v>
      </c>
      <c r="M3070" s="924" t="s">
        <v>166</v>
      </c>
      <c r="N3070" s="52" t="str">
        <f>IF(AND('331-CT'!$E$7=TH!H3070,OR(L3070="331",M3070="331")),"331",IF(AND(OR(L3070="131",M3070="131"),H3070='131-CT'!$E$7),"131",""))</f>
        <v/>
      </c>
      <c r="O3070" s="818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726"/>
    </row>
    <row r="3071" spans="1:27" s="861" customFormat="1" ht="15.75" customHeight="1">
      <c r="A3071" s="202" t="str">
        <f>IF(B3071&lt;&gt;"",IF(AND(B3071&gt;=_TM1,B3071&lt;=_TM2,OR(TH!L3071="1111",TH!M3071="1111")),TH!D3071,""),"")</f>
        <v/>
      </c>
      <c r="B3071" s="857">
        <f t="shared" si="153"/>
        <v>5</v>
      </c>
      <c r="C3071" s="858">
        <f t="shared" si="154"/>
        <v>42497</v>
      </c>
      <c r="D3071" s="858" t="s">
        <v>1548</v>
      </c>
      <c r="E3071" s="830">
        <v>42497</v>
      </c>
      <c r="F3071" s="925" t="s">
        <v>1011</v>
      </c>
      <c r="G3071" s="832" t="s">
        <v>545</v>
      </c>
      <c r="H3071" s="923" t="s">
        <v>1297</v>
      </c>
      <c r="I3071" s="249">
        <v>51</v>
      </c>
      <c r="J3071" s="249">
        <v>58560.133129248134</v>
      </c>
      <c r="K3071" s="51">
        <f t="shared" si="155"/>
        <v>2986567</v>
      </c>
      <c r="L3071" s="924" t="s">
        <v>171</v>
      </c>
      <c r="M3071" s="924" t="s">
        <v>166</v>
      </c>
      <c r="N3071" s="52" t="str">
        <f>IF(AND('331-CT'!$E$7=TH!H3071,OR(L3071="331",M3071="331")),"331",IF(AND(OR(L3071="131",M3071="131"),H3071='131-CT'!$E$7),"131",""))</f>
        <v/>
      </c>
      <c r="O3071" s="818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726"/>
    </row>
    <row r="3072" spans="1:27" s="861" customFormat="1" ht="15.75" customHeight="1">
      <c r="A3072" s="202" t="str">
        <f>IF(B3072&lt;&gt;"",IF(AND(B3072&gt;=_TM1,B3072&lt;=_TM2,OR(TH!L3072="1111",TH!M3072="1111")),TH!D3072,""),"")</f>
        <v/>
      </c>
      <c r="B3072" s="857">
        <f t="shared" si="153"/>
        <v>5</v>
      </c>
      <c r="C3072" s="858">
        <f t="shared" si="154"/>
        <v>42497</v>
      </c>
      <c r="D3072" s="858" t="s">
        <v>1548</v>
      </c>
      <c r="E3072" s="830">
        <v>42497</v>
      </c>
      <c r="F3072" s="925" t="s">
        <v>1012</v>
      </c>
      <c r="G3072" s="832" t="s">
        <v>545</v>
      </c>
      <c r="H3072" s="923" t="s">
        <v>1297</v>
      </c>
      <c r="I3072" s="249">
        <v>56</v>
      </c>
      <c r="J3072" s="249">
        <v>34181.387750842063</v>
      </c>
      <c r="K3072" s="51">
        <f t="shared" si="155"/>
        <v>1914158</v>
      </c>
      <c r="L3072" s="924" t="s">
        <v>171</v>
      </c>
      <c r="M3072" s="924" t="s">
        <v>166</v>
      </c>
      <c r="N3072" s="52" t="str">
        <f>IF(AND('331-CT'!$E$7=TH!H3072,OR(L3072="331",M3072="331")),"331",IF(AND(OR(L3072="131",M3072="131"),H3072='131-CT'!$E$7),"131",""))</f>
        <v/>
      </c>
      <c r="O3072" s="818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726"/>
    </row>
    <row r="3073" spans="1:27" s="861" customFormat="1" ht="15.75" customHeight="1">
      <c r="A3073" s="202" t="str">
        <f>IF(B3073&lt;&gt;"",IF(AND(B3073&gt;=_TM1,B3073&lt;=_TM2,OR(TH!L3073="1111",TH!M3073="1111")),TH!D3073,""),"")</f>
        <v/>
      </c>
      <c r="B3073" s="857">
        <f t="shared" si="153"/>
        <v>5</v>
      </c>
      <c r="C3073" s="858">
        <f t="shared" si="154"/>
        <v>42497</v>
      </c>
      <c r="D3073" s="858" t="s">
        <v>1548</v>
      </c>
      <c r="E3073" s="830">
        <v>42497</v>
      </c>
      <c r="F3073" s="925" t="s">
        <v>1013</v>
      </c>
      <c r="G3073" s="832" t="s">
        <v>545</v>
      </c>
      <c r="H3073" s="923" t="s">
        <v>1297</v>
      </c>
      <c r="I3073" s="249">
        <v>50</v>
      </c>
      <c r="J3073" s="249">
        <v>41767.780543422974</v>
      </c>
      <c r="K3073" s="51">
        <f t="shared" si="155"/>
        <v>2088389</v>
      </c>
      <c r="L3073" s="924" t="s">
        <v>171</v>
      </c>
      <c r="M3073" s="924" t="s">
        <v>166</v>
      </c>
      <c r="N3073" s="52" t="str">
        <f>IF(AND('331-CT'!$E$7=TH!H3073,OR(L3073="331",M3073="331")),"331",IF(AND(OR(L3073="131",M3073="131"),H3073='131-CT'!$E$7),"131",""))</f>
        <v/>
      </c>
      <c r="O3073" s="818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726"/>
    </row>
    <row r="3074" spans="1:27" s="861" customFormat="1" ht="15.75" customHeight="1">
      <c r="A3074" s="202" t="str">
        <f>IF(B3074&lt;&gt;"",IF(AND(B3074&gt;=_TM1,B3074&lt;=_TM2,OR(TH!L3074="1111",TH!M3074="1111")),TH!D3074,""),"")</f>
        <v/>
      </c>
      <c r="B3074" s="857">
        <f t="shared" si="153"/>
        <v>5</v>
      </c>
      <c r="C3074" s="858">
        <f t="shared" si="154"/>
        <v>42499</v>
      </c>
      <c r="D3074" s="858" t="s">
        <v>1548</v>
      </c>
      <c r="E3074" s="830">
        <v>42499</v>
      </c>
      <c r="F3074" s="925" t="s">
        <v>436</v>
      </c>
      <c r="G3074" s="832" t="s">
        <v>546</v>
      </c>
      <c r="H3074" s="923" t="s">
        <v>1297</v>
      </c>
      <c r="I3074" s="249">
        <v>281</v>
      </c>
      <c r="J3074" s="249">
        <v>5796.3450550056377</v>
      </c>
      <c r="K3074" s="51">
        <f t="shared" si="155"/>
        <v>1628773</v>
      </c>
      <c r="L3074" s="924" t="s">
        <v>171</v>
      </c>
      <c r="M3074" s="924" t="s">
        <v>166</v>
      </c>
      <c r="N3074" s="52" t="str">
        <f>IF(AND('331-CT'!$E$7=TH!H3074,OR(L3074="331",M3074="331")),"331",IF(AND(OR(L3074="131",M3074="131"),H3074='131-CT'!$E$7),"131",""))</f>
        <v/>
      </c>
      <c r="O3074" s="818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726"/>
    </row>
    <row r="3075" spans="1:27" s="861" customFormat="1" ht="15.75" customHeight="1">
      <c r="A3075" s="202" t="str">
        <f>IF(B3075&lt;&gt;"",IF(AND(B3075&gt;=_TM1,B3075&lt;=_TM2,OR(TH!L3075="1111",TH!M3075="1111")),TH!D3075,""),"")</f>
        <v/>
      </c>
      <c r="B3075" s="857">
        <f t="shared" si="153"/>
        <v>5</v>
      </c>
      <c r="C3075" s="858">
        <f t="shared" si="154"/>
        <v>42499</v>
      </c>
      <c r="D3075" s="858" t="s">
        <v>1548</v>
      </c>
      <c r="E3075" s="830">
        <v>42499</v>
      </c>
      <c r="F3075" s="925" t="s">
        <v>436</v>
      </c>
      <c r="G3075" s="832" t="s">
        <v>546</v>
      </c>
      <c r="H3075" s="923" t="s">
        <v>1297</v>
      </c>
      <c r="I3075" s="249">
        <v>495</v>
      </c>
      <c r="J3075" s="249">
        <v>5796.3450550056377</v>
      </c>
      <c r="K3075" s="51">
        <f t="shared" si="155"/>
        <v>2869191</v>
      </c>
      <c r="L3075" s="924" t="s">
        <v>171</v>
      </c>
      <c r="M3075" s="924" t="s">
        <v>166</v>
      </c>
      <c r="N3075" s="52" t="str">
        <f>IF(AND('331-CT'!$E$7=TH!H3075,OR(L3075="331",M3075="331")),"331",IF(AND(OR(L3075="131",M3075="131"),H3075='131-CT'!$E$7),"131",""))</f>
        <v/>
      </c>
      <c r="O3075" s="818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726"/>
    </row>
    <row r="3076" spans="1:27" s="861" customFormat="1" ht="15.75" customHeight="1">
      <c r="A3076" s="202" t="str">
        <f>IF(B3076&lt;&gt;"",IF(AND(B3076&gt;=_TM1,B3076&lt;=_TM2,OR(TH!L3076="1111",TH!M3076="1111")),TH!D3076,""),"")</f>
        <v/>
      </c>
      <c r="B3076" s="857">
        <f t="shared" si="153"/>
        <v>5</v>
      </c>
      <c r="C3076" s="858">
        <f t="shared" si="154"/>
        <v>42499</v>
      </c>
      <c r="D3076" s="858" t="s">
        <v>1548</v>
      </c>
      <c r="E3076" s="830">
        <v>42499</v>
      </c>
      <c r="F3076" s="925" t="s">
        <v>474</v>
      </c>
      <c r="G3076" s="832" t="s">
        <v>547</v>
      </c>
      <c r="H3076" s="923" t="s">
        <v>1297</v>
      </c>
      <c r="I3076" s="249">
        <v>65</v>
      </c>
      <c r="J3076" s="249">
        <v>10910.767162363552</v>
      </c>
      <c r="K3076" s="51">
        <f t="shared" si="155"/>
        <v>709200</v>
      </c>
      <c r="L3076" s="924" t="s">
        <v>171</v>
      </c>
      <c r="M3076" s="924" t="s">
        <v>166</v>
      </c>
      <c r="N3076" s="52" t="str">
        <f>IF(AND('331-CT'!$E$7=TH!H3076,OR(L3076="331",M3076="331")),"331",IF(AND(OR(L3076="131",M3076="131"),H3076='131-CT'!$E$7),"131",""))</f>
        <v/>
      </c>
      <c r="O3076" s="818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726"/>
    </row>
    <row r="3077" spans="1:27" s="861" customFormat="1" ht="15.75" customHeight="1">
      <c r="A3077" s="202" t="str">
        <f>IF(B3077&lt;&gt;"",IF(AND(B3077&gt;=_TM1,B3077&lt;=_TM2,OR(TH!L3077="1111",TH!M3077="1111")),TH!D3077,""),"")</f>
        <v/>
      </c>
      <c r="B3077" s="857">
        <f t="shared" si="153"/>
        <v>5</v>
      </c>
      <c r="C3077" s="858">
        <f t="shared" si="154"/>
        <v>42499</v>
      </c>
      <c r="D3077" s="858" t="s">
        <v>1548</v>
      </c>
      <c r="E3077" s="830">
        <v>42499</v>
      </c>
      <c r="F3077" s="925" t="s">
        <v>1014</v>
      </c>
      <c r="G3077" s="832" t="s">
        <v>547</v>
      </c>
      <c r="H3077" s="923" t="s">
        <v>1297</v>
      </c>
      <c r="I3077" s="249">
        <v>105</v>
      </c>
      <c r="J3077" s="249">
        <v>9802.6423724360029</v>
      </c>
      <c r="K3077" s="51">
        <f t="shared" si="155"/>
        <v>1029277</v>
      </c>
      <c r="L3077" s="924" t="s">
        <v>171</v>
      </c>
      <c r="M3077" s="924" t="s">
        <v>166</v>
      </c>
      <c r="N3077" s="52" t="str">
        <f>IF(AND('331-CT'!$E$7=TH!H3077,OR(L3077="331",M3077="331")),"331",IF(AND(OR(L3077="131",M3077="131"),H3077='131-CT'!$E$7),"131",""))</f>
        <v/>
      </c>
      <c r="O3077" s="818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726"/>
    </row>
    <row r="3078" spans="1:27" s="861" customFormat="1" ht="15.75" customHeight="1">
      <c r="A3078" s="202" t="str">
        <f>IF(B3078&lt;&gt;"",IF(AND(B3078&gt;=_TM1,B3078&lt;=_TM2,OR(TH!L3078="1111",TH!M3078="1111")),TH!D3078,""),"")</f>
        <v/>
      </c>
      <c r="B3078" s="857">
        <f t="shared" si="153"/>
        <v>5</v>
      </c>
      <c r="C3078" s="858">
        <f t="shared" si="154"/>
        <v>42499</v>
      </c>
      <c r="D3078" s="858" t="s">
        <v>1548</v>
      </c>
      <c r="E3078" s="830">
        <v>42499</v>
      </c>
      <c r="F3078" s="925" t="s">
        <v>1015</v>
      </c>
      <c r="G3078" s="832" t="s">
        <v>547</v>
      </c>
      <c r="H3078" s="923" t="s">
        <v>1297</v>
      </c>
      <c r="I3078" s="249">
        <v>130</v>
      </c>
      <c r="J3078" s="249">
        <v>6478.268002653359</v>
      </c>
      <c r="K3078" s="51">
        <f t="shared" si="155"/>
        <v>842175</v>
      </c>
      <c r="L3078" s="924" t="s">
        <v>171</v>
      </c>
      <c r="M3078" s="924" t="s">
        <v>166</v>
      </c>
      <c r="N3078" s="52" t="str">
        <f>IF(AND('331-CT'!$E$7=TH!H3078,OR(L3078="331",M3078="331")),"331",IF(AND(OR(L3078="131",M3078="131"),H3078='131-CT'!$E$7),"131",""))</f>
        <v/>
      </c>
      <c r="O3078" s="818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726"/>
    </row>
    <row r="3079" spans="1:27" s="861" customFormat="1" ht="15.75" customHeight="1">
      <c r="A3079" s="202" t="str">
        <f>IF(B3079&lt;&gt;"",IF(AND(B3079&gt;=_TM1,B3079&lt;=_TM2,OR(TH!L3079="1111",TH!M3079="1111")),TH!D3079,""),"")</f>
        <v/>
      </c>
      <c r="B3079" s="857">
        <f t="shared" si="153"/>
        <v>5</v>
      </c>
      <c r="C3079" s="858">
        <f t="shared" si="154"/>
        <v>42499</v>
      </c>
      <c r="D3079" s="858" t="s">
        <v>1548</v>
      </c>
      <c r="E3079" s="830">
        <v>42499</v>
      </c>
      <c r="F3079" s="925" t="s">
        <v>480</v>
      </c>
      <c r="G3079" s="832" t="s">
        <v>547</v>
      </c>
      <c r="H3079" s="923" t="s">
        <v>1297</v>
      </c>
      <c r="I3079" s="249">
        <v>356</v>
      </c>
      <c r="J3079" s="249">
        <v>10825.526793907587</v>
      </c>
      <c r="K3079" s="51">
        <f t="shared" si="155"/>
        <v>3853888</v>
      </c>
      <c r="L3079" s="924" t="s">
        <v>171</v>
      </c>
      <c r="M3079" s="924" t="s">
        <v>166</v>
      </c>
      <c r="N3079" s="52" t="str">
        <f>IF(AND('331-CT'!$E$7=TH!H3079,OR(L3079="331",M3079="331")),"331",IF(AND(OR(L3079="131",M3079="131"),H3079='131-CT'!$E$7),"131",""))</f>
        <v/>
      </c>
      <c r="O3079" s="818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726"/>
    </row>
    <row r="3080" spans="1:27" s="861" customFormat="1" ht="15.75" customHeight="1">
      <c r="A3080" s="202" t="str">
        <f>IF(B3080&lt;&gt;"",IF(AND(B3080&gt;=_TM1,B3080&lt;=_TM2,OR(TH!L3080="1111",TH!M3080="1111")),TH!D3080,""),"")</f>
        <v/>
      </c>
      <c r="B3080" s="857">
        <f t="shared" si="153"/>
        <v>5</v>
      </c>
      <c r="C3080" s="858">
        <f t="shared" si="154"/>
        <v>42500</v>
      </c>
      <c r="D3080" s="858" t="s">
        <v>1548</v>
      </c>
      <c r="E3080" s="830">
        <v>42500</v>
      </c>
      <c r="F3080" s="925" t="s">
        <v>480</v>
      </c>
      <c r="G3080" s="832" t="s">
        <v>548</v>
      </c>
      <c r="H3080" s="923" t="s">
        <v>1297</v>
      </c>
      <c r="I3080" s="249">
        <v>102</v>
      </c>
      <c r="J3080" s="249">
        <v>10825.526793907587</v>
      </c>
      <c r="K3080" s="51">
        <f t="shared" si="155"/>
        <v>1104204</v>
      </c>
      <c r="L3080" s="924" t="s">
        <v>171</v>
      </c>
      <c r="M3080" s="924" t="s">
        <v>166</v>
      </c>
      <c r="N3080" s="52" t="str">
        <f>IF(AND('331-CT'!$E$7=TH!H3080,OR(L3080="331",M3080="331")),"331",IF(AND(OR(L3080="131",M3080="131"),H3080='131-CT'!$E$7),"131",""))</f>
        <v/>
      </c>
      <c r="O3080" s="818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726"/>
    </row>
    <row r="3081" spans="1:27" s="861" customFormat="1" ht="15.75" customHeight="1">
      <c r="A3081" s="202" t="str">
        <f>IF(B3081&lt;&gt;"",IF(AND(B3081&gt;=_TM1,B3081&lt;=_TM2,OR(TH!L3081="1111",TH!M3081="1111")),TH!D3081,""),"")</f>
        <v/>
      </c>
      <c r="B3081" s="857">
        <f t="shared" si="153"/>
        <v>5</v>
      </c>
      <c r="C3081" s="858">
        <f t="shared" si="154"/>
        <v>42500</v>
      </c>
      <c r="D3081" s="858" t="s">
        <v>1548</v>
      </c>
      <c r="E3081" s="830">
        <v>42500</v>
      </c>
      <c r="F3081" s="925" t="s">
        <v>1016</v>
      </c>
      <c r="G3081" s="832" t="s">
        <v>548</v>
      </c>
      <c r="H3081" s="923" t="s">
        <v>1297</v>
      </c>
      <c r="I3081" s="249">
        <v>198</v>
      </c>
      <c r="J3081" s="249">
        <v>10825.526793907587</v>
      </c>
      <c r="K3081" s="51">
        <f t="shared" si="155"/>
        <v>2143454</v>
      </c>
      <c r="L3081" s="924" t="s">
        <v>171</v>
      </c>
      <c r="M3081" s="924" t="s">
        <v>166</v>
      </c>
      <c r="N3081" s="52" t="str">
        <f>IF(AND('331-CT'!$E$7=TH!H3081,OR(L3081="331",M3081="331")),"331",IF(AND(OR(L3081="131",M3081="131"),H3081='131-CT'!$E$7),"131",""))</f>
        <v/>
      </c>
      <c r="O3081" s="818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726"/>
    </row>
    <row r="3082" spans="1:27" s="861" customFormat="1" ht="15.75" customHeight="1">
      <c r="A3082" s="202" t="str">
        <f>IF(B3082&lt;&gt;"",IF(AND(B3082&gt;=_TM1,B3082&lt;=_TM2,OR(TH!L3082="1111",TH!M3082="1111")),TH!D3082,""),"")</f>
        <v/>
      </c>
      <c r="B3082" s="857">
        <f t="shared" si="153"/>
        <v>5</v>
      </c>
      <c r="C3082" s="858">
        <f t="shared" si="154"/>
        <v>42500</v>
      </c>
      <c r="D3082" s="858" t="s">
        <v>1548</v>
      </c>
      <c r="E3082" s="830">
        <v>42500</v>
      </c>
      <c r="F3082" s="925" t="s">
        <v>1015</v>
      </c>
      <c r="G3082" s="832" t="s">
        <v>548</v>
      </c>
      <c r="H3082" s="923" t="s">
        <v>1297</v>
      </c>
      <c r="I3082" s="249">
        <v>260</v>
      </c>
      <c r="J3082" s="249">
        <v>6478.268002653359</v>
      </c>
      <c r="K3082" s="51">
        <f t="shared" si="155"/>
        <v>1684350</v>
      </c>
      <c r="L3082" s="924" t="s">
        <v>171</v>
      </c>
      <c r="M3082" s="924" t="s">
        <v>166</v>
      </c>
      <c r="N3082" s="52" t="str">
        <f>IF(AND('331-CT'!$E$7=TH!H3082,OR(L3082="331",M3082="331")),"331",IF(AND(OR(L3082="131",M3082="131"),H3082='131-CT'!$E$7),"131",""))</f>
        <v/>
      </c>
      <c r="O3082" s="818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726"/>
    </row>
    <row r="3083" spans="1:27" s="861" customFormat="1" ht="15.75" customHeight="1">
      <c r="A3083" s="202" t="str">
        <f>IF(B3083&lt;&gt;"",IF(AND(B3083&gt;=_TM1,B3083&lt;=_TM2,OR(TH!L3083="1111",TH!M3083="1111")),TH!D3083,""),"")</f>
        <v/>
      </c>
      <c r="B3083" s="857">
        <f t="shared" si="153"/>
        <v>5</v>
      </c>
      <c r="C3083" s="858">
        <f t="shared" si="154"/>
        <v>42500</v>
      </c>
      <c r="D3083" s="858" t="s">
        <v>1548</v>
      </c>
      <c r="E3083" s="830">
        <v>42500</v>
      </c>
      <c r="F3083" s="925" t="s">
        <v>1202</v>
      </c>
      <c r="G3083" s="832" t="s">
        <v>548</v>
      </c>
      <c r="H3083" s="923" t="s">
        <v>1297</v>
      </c>
      <c r="I3083" s="249">
        <v>400</v>
      </c>
      <c r="J3083" s="249">
        <v>340.96147382386101</v>
      </c>
      <c r="K3083" s="51">
        <f t="shared" si="155"/>
        <v>136385</v>
      </c>
      <c r="L3083" s="924" t="s">
        <v>171</v>
      </c>
      <c r="M3083" s="924" t="s">
        <v>166</v>
      </c>
      <c r="N3083" s="52" t="str">
        <f>IF(AND('331-CT'!$E$7=TH!H3083,OR(L3083="331",M3083="331")),"331",IF(AND(OR(L3083="131",M3083="131"),H3083='131-CT'!$E$7),"131",""))</f>
        <v/>
      </c>
      <c r="O3083" s="818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726"/>
    </row>
    <row r="3084" spans="1:27" s="861" customFormat="1" ht="15.75" customHeight="1">
      <c r="A3084" s="202" t="str">
        <f>IF(B3084&lt;&gt;"",IF(AND(B3084&gt;=_TM1,B3084&lt;=_TM2,OR(TH!L3084="1111",TH!M3084="1111")),TH!D3084,""),"")</f>
        <v/>
      </c>
      <c r="B3084" s="857">
        <f t="shared" si="153"/>
        <v>5</v>
      </c>
      <c r="C3084" s="858">
        <f t="shared" si="154"/>
        <v>42500</v>
      </c>
      <c r="D3084" s="858" t="s">
        <v>1548</v>
      </c>
      <c r="E3084" s="830">
        <v>42500</v>
      </c>
      <c r="F3084" s="925" t="s">
        <v>1203</v>
      </c>
      <c r="G3084" s="832" t="s">
        <v>548</v>
      </c>
      <c r="H3084" s="923" t="s">
        <v>1297</v>
      </c>
      <c r="I3084" s="249">
        <v>780</v>
      </c>
      <c r="J3084" s="249">
        <v>255.72110536789575</v>
      </c>
      <c r="K3084" s="51">
        <f t="shared" si="155"/>
        <v>199462</v>
      </c>
      <c r="L3084" s="924" t="s">
        <v>171</v>
      </c>
      <c r="M3084" s="924" t="s">
        <v>166</v>
      </c>
      <c r="N3084" s="52" t="str">
        <f>IF(AND('331-CT'!$E$7=TH!H3084,OR(L3084="331",M3084="331")),"331",IF(AND(OR(L3084="131",M3084="131"),H3084='131-CT'!$E$7),"131",""))</f>
        <v/>
      </c>
      <c r="O3084" s="818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726"/>
    </row>
    <row r="3085" spans="1:27" s="861" customFormat="1" ht="15.75" customHeight="1">
      <c r="A3085" s="202" t="str">
        <f>IF(B3085&lt;&gt;"",IF(AND(B3085&gt;=_TM1,B3085&lt;=_TM2,OR(TH!L3085="1111",TH!M3085="1111")),TH!D3085,""),"")</f>
        <v/>
      </c>
      <c r="B3085" s="857">
        <f t="shared" si="153"/>
        <v>5</v>
      </c>
      <c r="C3085" s="858">
        <f t="shared" si="154"/>
        <v>42500</v>
      </c>
      <c r="D3085" s="858" t="s">
        <v>1548</v>
      </c>
      <c r="E3085" s="830">
        <v>42500</v>
      </c>
      <c r="F3085" s="925" t="s">
        <v>1017</v>
      </c>
      <c r="G3085" s="832" t="s">
        <v>550</v>
      </c>
      <c r="H3085" s="923" t="s">
        <v>1297</v>
      </c>
      <c r="I3085" s="249">
        <v>48</v>
      </c>
      <c r="J3085" s="249">
        <v>48587.010019900197</v>
      </c>
      <c r="K3085" s="51">
        <f t="shared" si="155"/>
        <v>2332176</v>
      </c>
      <c r="L3085" s="924" t="s">
        <v>171</v>
      </c>
      <c r="M3085" s="924" t="s">
        <v>166</v>
      </c>
      <c r="N3085" s="52" t="str">
        <f>IF(AND('331-CT'!$E$7=TH!H3085,OR(L3085="331",M3085="331")),"331",IF(AND(OR(L3085="131",M3085="131"),H3085='131-CT'!$E$7),"131",""))</f>
        <v/>
      </c>
      <c r="O3085" s="818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726"/>
    </row>
    <row r="3086" spans="1:27" s="861" customFormat="1" ht="15.75" customHeight="1">
      <c r="A3086" s="202" t="str">
        <f>IF(B3086&lt;&gt;"",IF(AND(B3086&gt;=_TM1,B3086&lt;=_TM2,OR(TH!L3086="1111",TH!M3086="1111")),TH!D3086,""),"")</f>
        <v/>
      </c>
      <c r="B3086" s="857">
        <f t="shared" si="153"/>
        <v>5</v>
      </c>
      <c r="C3086" s="858">
        <f t="shared" si="154"/>
        <v>42500</v>
      </c>
      <c r="D3086" s="858" t="s">
        <v>1548</v>
      </c>
      <c r="E3086" s="830">
        <v>42500</v>
      </c>
      <c r="F3086" s="925" t="s">
        <v>994</v>
      </c>
      <c r="G3086" s="832" t="s">
        <v>550</v>
      </c>
      <c r="H3086" s="923" t="s">
        <v>1297</v>
      </c>
      <c r="I3086" s="249">
        <v>500</v>
      </c>
      <c r="J3086" s="249">
        <v>14320.381900602162</v>
      </c>
      <c r="K3086" s="51">
        <f t="shared" si="155"/>
        <v>7160191</v>
      </c>
      <c r="L3086" s="924" t="s">
        <v>171</v>
      </c>
      <c r="M3086" s="924" t="s">
        <v>166</v>
      </c>
      <c r="N3086" s="52" t="str">
        <f>IF(AND('331-CT'!$E$7=TH!H3086,OR(L3086="331",M3086="331")),"331",IF(AND(OR(L3086="131",M3086="131"),H3086='131-CT'!$E$7),"131",""))</f>
        <v/>
      </c>
      <c r="O3086" s="818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726"/>
    </row>
    <row r="3087" spans="1:27" s="861" customFormat="1" ht="15.75" customHeight="1">
      <c r="A3087" s="202" t="str">
        <f>IF(B3087&lt;&gt;"",IF(AND(B3087&gt;=_TM1,B3087&lt;=_TM2,OR(TH!L3087="1111",TH!M3087="1111")),TH!D3087,""),"")</f>
        <v/>
      </c>
      <c r="B3087" s="857">
        <f t="shared" si="153"/>
        <v>5</v>
      </c>
      <c r="C3087" s="858">
        <f t="shared" si="154"/>
        <v>42500</v>
      </c>
      <c r="D3087" s="858" t="s">
        <v>1548</v>
      </c>
      <c r="E3087" s="830">
        <v>42500</v>
      </c>
      <c r="F3087" s="925" t="s">
        <v>1018</v>
      </c>
      <c r="G3087" s="832" t="s">
        <v>550</v>
      </c>
      <c r="H3087" s="923" t="s">
        <v>1297</v>
      </c>
      <c r="I3087" s="249">
        <v>50</v>
      </c>
      <c r="J3087" s="249">
        <v>41512.059438055083</v>
      </c>
      <c r="K3087" s="51">
        <f t="shared" si="155"/>
        <v>2075603</v>
      </c>
      <c r="L3087" s="924" t="s">
        <v>171</v>
      </c>
      <c r="M3087" s="924" t="s">
        <v>166</v>
      </c>
      <c r="N3087" s="52" t="str">
        <f>IF(AND('331-CT'!$E$7=TH!H3087,OR(L3087="331",M3087="331")),"331",IF(AND(OR(L3087="131",M3087="131"),H3087='131-CT'!$E$7),"131",""))</f>
        <v/>
      </c>
      <c r="O3087" s="818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726"/>
    </row>
    <row r="3088" spans="1:27" s="861" customFormat="1" ht="15.75" customHeight="1">
      <c r="A3088" s="202" t="str">
        <f>IF(B3088&lt;&gt;"",IF(AND(B3088&gt;=_TM1,B3088&lt;=_TM2,OR(TH!L3088="1111",TH!M3088="1111")),TH!D3088,""),"")</f>
        <v/>
      </c>
      <c r="B3088" s="857">
        <f t="shared" si="153"/>
        <v>5</v>
      </c>
      <c r="C3088" s="858">
        <f t="shared" si="154"/>
        <v>42500</v>
      </c>
      <c r="D3088" s="858" t="s">
        <v>1548</v>
      </c>
      <c r="E3088" s="830">
        <v>42500</v>
      </c>
      <c r="F3088" s="925" t="s">
        <v>1019</v>
      </c>
      <c r="G3088" s="832" t="s">
        <v>550</v>
      </c>
      <c r="H3088" s="923" t="s">
        <v>1297</v>
      </c>
      <c r="I3088" s="249">
        <v>23</v>
      </c>
      <c r="J3088" s="249">
        <v>65720.324079549217</v>
      </c>
      <c r="K3088" s="51">
        <f t="shared" si="155"/>
        <v>1511567</v>
      </c>
      <c r="L3088" s="924" t="s">
        <v>171</v>
      </c>
      <c r="M3088" s="924" t="s">
        <v>166</v>
      </c>
      <c r="N3088" s="52" t="str">
        <f>IF(AND('331-CT'!$E$7=TH!H3088,OR(L3088="331",M3088="331")),"331",IF(AND(OR(L3088="131",M3088="131"),H3088='131-CT'!$E$7),"131",""))</f>
        <v/>
      </c>
      <c r="O3088" s="818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726"/>
    </row>
    <row r="3089" spans="1:27" s="861" customFormat="1" ht="15.75" customHeight="1">
      <c r="A3089" s="202" t="str">
        <f>IF(B3089&lt;&gt;"",IF(AND(B3089&gt;=_TM1,B3089&lt;=_TM2,OR(TH!L3089="1111",TH!M3089="1111")),TH!D3089,""),"")</f>
        <v/>
      </c>
      <c r="B3089" s="857">
        <f t="shared" si="153"/>
        <v>5</v>
      </c>
      <c r="C3089" s="858">
        <f t="shared" si="154"/>
        <v>42500</v>
      </c>
      <c r="D3089" s="858" t="s">
        <v>1548</v>
      </c>
      <c r="E3089" s="830">
        <v>42500</v>
      </c>
      <c r="F3089" s="925" t="s">
        <v>1020</v>
      </c>
      <c r="G3089" s="832" t="s">
        <v>550</v>
      </c>
      <c r="H3089" s="923" t="s">
        <v>1297</v>
      </c>
      <c r="I3089" s="249">
        <v>5</v>
      </c>
      <c r="J3089" s="249">
        <v>56514.364286304961</v>
      </c>
      <c r="K3089" s="51">
        <f t="shared" si="155"/>
        <v>282572</v>
      </c>
      <c r="L3089" s="924" t="s">
        <v>171</v>
      </c>
      <c r="M3089" s="924" t="s">
        <v>166</v>
      </c>
      <c r="N3089" s="52" t="str">
        <f>IF(AND('331-CT'!$E$7=TH!H3089,OR(L3089="331",M3089="331")),"331",IF(AND(OR(L3089="131",M3089="131"),H3089='131-CT'!$E$7),"131",""))</f>
        <v/>
      </c>
      <c r="O3089" s="818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726"/>
    </row>
    <row r="3090" spans="1:27" s="861" customFormat="1" ht="15.75" customHeight="1">
      <c r="A3090" s="202" t="str">
        <f>IF(B3090&lt;&gt;"",IF(AND(B3090&gt;=_TM1,B3090&lt;=_TM2,OR(TH!L3090="1111",TH!M3090="1111")),TH!D3090,""),"")</f>
        <v/>
      </c>
      <c r="B3090" s="857">
        <f t="shared" si="153"/>
        <v>5</v>
      </c>
      <c r="C3090" s="858">
        <f t="shared" si="154"/>
        <v>42500</v>
      </c>
      <c r="D3090" s="858" t="s">
        <v>1548</v>
      </c>
      <c r="E3090" s="830">
        <v>42500</v>
      </c>
      <c r="F3090" s="925" t="s">
        <v>1021</v>
      </c>
      <c r="G3090" s="832" t="s">
        <v>550</v>
      </c>
      <c r="H3090" s="923" t="s">
        <v>1297</v>
      </c>
      <c r="I3090" s="249">
        <v>50</v>
      </c>
      <c r="J3090" s="249">
        <v>50462.298125931433</v>
      </c>
      <c r="K3090" s="51">
        <f t="shared" si="155"/>
        <v>2523115</v>
      </c>
      <c r="L3090" s="924" t="s">
        <v>171</v>
      </c>
      <c r="M3090" s="924" t="s">
        <v>166</v>
      </c>
      <c r="N3090" s="52" t="str">
        <f>IF(AND('331-CT'!$E$7=TH!H3090,OR(L3090="331",M3090="331")),"331",IF(AND(OR(L3090="131",M3090="131"),H3090='131-CT'!$E$7),"131",""))</f>
        <v/>
      </c>
      <c r="O3090" s="818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726"/>
    </row>
    <row r="3091" spans="1:27" s="861" customFormat="1" ht="15.75" customHeight="1">
      <c r="A3091" s="202" t="str">
        <f>IF(B3091&lt;&gt;"",IF(AND(B3091&gt;=_TM1,B3091&lt;=_TM2,OR(TH!L3091="1111",TH!M3091="1111")),TH!D3091,""),"")</f>
        <v/>
      </c>
      <c r="B3091" s="857">
        <f t="shared" si="153"/>
        <v>5</v>
      </c>
      <c r="C3091" s="858">
        <f t="shared" si="154"/>
        <v>42500</v>
      </c>
      <c r="D3091" s="858" t="s">
        <v>1548</v>
      </c>
      <c r="E3091" s="830">
        <v>42500</v>
      </c>
      <c r="F3091" s="925" t="s">
        <v>1022</v>
      </c>
      <c r="G3091" s="832" t="s">
        <v>550</v>
      </c>
      <c r="H3091" s="923" t="s">
        <v>1297</v>
      </c>
      <c r="I3091" s="249">
        <v>50</v>
      </c>
      <c r="J3091" s="249">
        <v>79444.023400959617</v>
      </c>
      <c r="K3091" s="51">
        <f t="shared" si="155"/>
        <v>3972201</v>
      </c>
      <c r="L3091" s="924" t="s">
        <v>171</v>
      </c>
      <c r="M3091" s="924" t="s">
        <v>166</v>
      </c>
      <c r="N3091" s="52" t="str">
        <f>IF(AND('331-CT'!$E$7=TH!H3091,OR(L3091="331",M3091="331")),"331",IF(AND(OR(L3091="131",M3091="131"),H3091='131-CT'!$E$7),"131",""))</f>
        <v/>
      </c>
      <c r="O3091" s="818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726"/>
    </row>
    <row r="3092" spans="1:27" s="861" customFormat="1" ht="15.75" customHeight="1">
      <c r="A3092" s="202" t="str">
        <f>IF(B3092&lt;&gt;"",IF(AND(B3092&gt;=_TM1,B3092&lt;=_TM2,OR(TH!L3092="1111",TH!M3092="1111")),TH!D3092,""),"")</f>
        <v/>
      </c>
      <c r="B3092" s="857">
        <f t="shared" si="153"/>
        <v>5</v>
      </c>
      <c r="C3092" s="858">
        <f t="shared" si="154"/>
        <v>42500</v>
      </c>
      <c r="D3092" s="858" t="s">
        <v>1548</v>
      </c>
      <c r="E3092" s="830">
        <v>42500</v>
      </c>
      <c r="F3092" s="925" t="s">
        <v>1023</v>
      </c>
      <c r="G3092" s="832" t="s">
        <v>550</v>
      </c>
      <c r="H3092" s="923" t="s">
        <v>1297</v>
      </c>
      <c r="I3092" s="249">
        <v>49</v>
      </c>
      <c r="J3092" s="249">
        <v>58730.613866160056</v>
      </c>
      <c r="K3092" s="51">
        <f t="shared" si="155"/>
        <v>2877800</v>
      </c>
      <c r="L3092" s="924" t="s">
        <v>171</v>
      </c>
      <c r="M3092" s="924" t="s">
        <v>166</v>
      </c>
      <c r="N3092" s="52" t="str">
        <f>IF(AND('331-CT'!$E$7=TH!H3092,OR(L3092="331",M3092="331")),"331",IF(AND(OR(L3092="131",M3092="131"),H3092='131-CT'!$E$7),"131",""))</f>
        <v/>
      </c>
      <c r="O3092" s="818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726"/>
    </row>
    <row r="3093" spans="1:27" s="861" customFormat="1" ht="15.75" customHeight="1">
      <c r="A3093" s="202" t="str">
        <f>IF(B3093&lt;&gt;"",IF(AND(B3093&gt;=_TM1,B3093&lt;=_TM2,OR(TH!L3093="1111",TH!M3093="1111")),TH!D3093,""),"")</f>
        <v/>
      </c>
      <c r="B3093" s="857">
        <f t="shared" si="153"/>
        <v>5</v>
      </c>
      <c r="C3093" s="858">
        <f t="shared" si="154"/>
        <v>42502</v>
      </c>
      <c r="D3093" s="858" t="s">
        <v>1548</v>
      </c>
      <c r="E3093" s="830">
        <v>42502</v>
      </c>
      <c r="F3093" s="925" t="s">
        <v>645</v>
      </c>
      <c r="G3093" s="832" t="s">
        <v>552</v>
      </c>
      <c r="H3093" s="923" t="s">
        <v>1297</v>
      </c>
      <c r="I3093" s="249">
        <v>50</v>
      </c>
      <c r="J3093" s="249">
        <v>9717.402003980038</v>
      </c>
      <c r="K3093" s="51">
        <f t="shared" si="155"/>
        <v>485870</v>
      </c>
      <c r="L3093" s="924" t="s">
        <v>171</v>
      </c>
      <c r="M3093" s="924" t="s">
        <v>166</v>
      </c>
      <c r="N3093" s="52" t="str">
        <f>IF(AND('331-CT'!$E$7=TH!H3093,OR(L3093="331",M3093="331")),"331",IF(AND(OR(L3093="131",M3093="131"),H3093='131-CT'!$E$7),"131",""))</f>
        <v/>
      </c>
      <c r="O3093" s="818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726"/>
    </row>
    <row r="3094" spans="1:27" s="861" customFormat="1" ht="15.75" customHeight="1">
      <c r="A3094" s="202" t="str">
        <f>IF(B3094&lt;&gt;"",IF(AND(B3094&gt;=_TM1,B3094&lt;=_TM2,OR(TH!L3094="1111",TH!M3094="1111")),TH!D3094,""),"")</f>
        <v/>
      </c>
      <c r="B3094" s="857">
        <f t="shared" ref="B3094:B3157" si="156">IF(C3094&lt;&gt;"",MONTH(C3094),"")</f>
        <v>5</v>
      </c>
      <c r="C3094" s="858">
        <f t="shared" si="154"/>
        <v>42502</v>
      </c>
      <c r="D3094" s="858" t="s">
        <v>1548</v>
      </c>
      <c r="E3094" s="830">
        <v>42502</v>
      </c>
      <c r="F3094" s="925" t="s">
        <v>645</v>
      </c>
      <c r="G3094" s="832" t="s">
        <v>552</v>
      </c>
      <c r="H3094" s="923" t="s">
        <v>1297</v>
      </c>
      <c r="I3094" s="249">
        <v>1019</v>
      </c>
      <c r="J3094" s="249">
        <v>9717.402003980038</v>
      </c>
      <c r="K3094" s="51">
        <f t="shared" si="155"/>
        <v>9902033</v>
      </c>
      <c r="L3094" s="924" t="s">
        <v>171</v>
      </c>
      <c r="M3094" s="924" t="s">
        <v>166</v>
      </c>
      <c r="N3094" s="52" t="str">
        <f>IF(AND('331-CT'!$E$7=TH!H3094,OR(L3094="331",M3094="331")),"331",IF(AND(OR(L3094="131",M3094="131"),H3094='131-CT'!$E$7),"131",""))</f>
        <v/>
      </c>
      <c r="O3094" s="818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726"/>
    </row>
    <row r="3095" spans="1:27" s="861" customFormat="1" ht="15.75" customHeight="1">
      <c r="A3095" s="202" t="str">
        <f>IF(B3095&lt;&gt;"",IF(AND(B3095&gt;=_TM1,B3095&lt;=_TM2,OR(TH!L3095="1111",TH!M3095="1111")),TH!D3095,""),"")</f>
        <v/>
      </c>
      <c r="B3095" s="857">
        <f t="shared" si="156"/>
        <v>5</v>
      </c>
      <c r="C3095" s="858">
        <f t="shared" si="154"/>
        <v>42502</v>
      </c>
      <c r="D3095" s="858" t="s">
        <v>1548</v>
      </c>
      <c r="E3095" s="830">
        <v>42502</v>
      </c>
      <c r="F3095" s="925" t="s">
        <v>693</v>
      </c>
      <c r="G3095" s="832" t="s">
        <v>552</v>
      </c>
      <c r="H3095" s="923" t="s">
        <v>1297</v>
      </c>
      <c r="I3095" s="249">
        <v>2138</v>
      </c>
      <c r="J3095" s="249">
        <v>767.16331610368729</v>
      </c>
      <c r="K3095" s="51">
        <f t="shared" si="155"/>
        <v>1640195</v>
      </c>
      <c r="L3095" s="924" t="s">
        <v>171</v>
      </c>
      <c r="M3095" s="924" t="s">
        <v>166</v>
      </c>
      <c r="N3095" s="52" t="str">
        <f>IF(AND('331-CT'!$E$7=TH!H3095,OR(L3095="331",M3095="331")),"331",IF(AND(OR(L3095="131",M3095="131"),H3095='131-CT'!$E$7),"131",""))</f>
        <v/>
      </c>
      <c r="O3095" s="818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726"/>
    </row>
    <row r="3096" spans="1:27" s="861" customFormat="1" ht="15.75" customHeight="1">
      <c r="A3096" s="202" t="str">
        <f>IF(B3096&lt;&gt;"",IF(AND(B3096&gt;=_TM1,B3096&lt;=_TM2,OR(TH!L3096="1111",TH!M3096="1111")),TH!D3096,""),"")</f>
        <v/>
      </c>
      <c r="B3096" s="857">
        <f t="shared" si="156"/>
        <v>5</v>
      </c>
      <c r="C3096" s="858">
        <f t="shared" si="154"/>
        <v>42502</v>
      </c>
      <c r="D3096" s="858" t="s">
        <v>1548</v>
      </c>
      <c r="E3096" s="830">
        <v>42502</v>
      </c>
      <c r="F3096" s="925" t="s">
        <v>389</v>
      </c>
      <c r="G3096" s="832" t="s">
        <v>553</v>
      </c>
      <c r="H3096" s="923" t="s">
        <v>1297</v>
      </c>
      <c r="I3096" s="249">
        <v>1236</v>
      </c>
      <c r="J3096" s="249">
        <v>6989.7102133891503</v>
      </c>
      <c r="K3096" s="51">
        <f t="shared" si="155"/>
        <v>8639282</v>
      </c>
      <c r="L3096" s="924" t="s">
        <v>171</v>
      </c>
      <c r="M3096" s="924" t="s">
        <v>166</v>
      </c>
      <c r="N3096" s="52" t="str">
        <f>IF(AND('331-CT'!$E$7=TH!H3096,OR(L3096="331",M3096="331")),"331",IF(AND(OR(L3096="131",M3096="131"),H3096='131-CT'!$E$7),"131",""))</f>
        <v/>
      </c>
      <c r="O3096" s="818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726"/>
    </row>
    <row r="3097" spans="1:27" s="861" customFormat="1" ht="15.75" customHeight="1">
      <c r="A3097" s="202" t="str">
        <f>IF(B3097&lt;&gt;"",IF(AND(B3097&gt;=_TM1,B3097&lt;=_TM2,OR(TH!L3097="1111",TH!M3097="1111")),TH!D3097,""),"")</f>
        <v/>
      </c>
      <c r="B3097" s="857">
        <f t="shared" si="156"/>
        <v>5</v>
      </c>
      <c r="C3097" s="858">
        <f t="shared" si="154"/>
        <v>42502</v>
      </c>
      <c r="D3097" s="858" t="s">
        <v>1548</v>
      </c>
      <c r="E3097" s="830">
        <v>42502</v>
      </c>
      <c r="F3097" s="925" t="s">
        <v>414</v>
      </c>
      <c r="G3097" s="832" t="s">
        <v>553</v>
      </c>
      <c r="H3097" s="923" t="s">
        <v>1297</v>
      </c>
      <c r="I3097" s="249">
        <v>300</v>
      </c>
      <c r="J3097" s="249">
        <v>7756.8735294928383</v>
      </c>
      <c r="K3097" s="51">
        <f t="shared" si="155"/>
        <v>2327062</v>
      </c>
      <c r="L3097" s="924" t="s">
        <v>171</v>
      </c>
      <c r="M3097" s="924" t="s">
        <v>166</v>
      </c>
      <c r="N3097" s="52" t="str">
        <f>IF(AND('331-CT'!$E$7=TH!H3097,OR(L3097="331",M3097="331")),"331",IF(AND(OR(L3097="131",M3097="131"),H3097='131-CT'!$E$7),"131",""))</f>
        <v/>
      </c>
      <c r="O3097" s="818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726"/>
    </row>
    <row r="3098" spans="1:27" s="861" customFormat="1" ht="15.75" customHeight="1">
      <c r="A3098" s="202" t="str">
        <f>IF(B3098&lt;&gt;"",IF(AND(B3098&gt;=_TM1,B3098&lt;=_TM2,OR(TH!L3098="1111",TH!M3098="1111")),TH!D3098,""),"")</f>
        <v/>
      </c>
      <c r="B3098" s="857">
        <f t="shared" si="156"/>
        <v>5</v>
      </c>
      <c r="C3098" s="858">
        <f t="shared" si="154"/>
        <v>42502</v>
      </c>
      <c r="D3098" s="858" t="s">
        <v>1548</v>
      </c>
      <c r="E3098" s="830">
        <v>42502</v>
      </c>
      <c r="F3098" s="925" t="s">
        <v>454</v>
      </c>
      <c r="G3098" s="832" t="s">
        <v>553</v>
      </c>
      <c r="H3098" s="923" t="s">
        <v>1297</v>
      </c>
      <c r="I3098" s="249">
        <v>310</v>
      </c>
      <c r="J3098" s="249">
        <v>16366.150743545328</v>
      </c>
      <c r="K3098" s="51">
        <f t="shared" si="155"/>
        <v>5073507</v>
      </c>
      <c r="L3098" s="924" t="s">
        <v>171</v>
      </c>
      <c r="M3098" s="924" t="s">
        <v>166</v>
      </c>
      <c r="N3098" s="52" t="str">
        <f>IF(AND('331-CT'!$E$7=TH!H3098,OR(L3098="331",M3098="331")),"331",IF(AND(OR(L3098="131",M3098="131"),H3098='131-CT'!$E$7),"131",""))</f>
        <v/>
      </c>
      <c r="O3098" s="818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726"/>
    </row>
    <row r="3099" spans="1:27" s="861" customFormat="1" ht="15.75" customHeight="1">
      <c r="A3099" s="202" t="str">
        <f>IF(B3099&lt;&gt;"",IF(AND(B3099&gt;=_TM1,B3099&lt;=_TM2,OR(TH!L3099="1111",TH!M3099="1111")),TH!D3099,""),"")</f>
        <v/>
      </c>
      <c r="B3099" s="857">
        <f t="shared" si="156"/>
        <v>5</v>
      </c>
      <c r="C3099" s="858">
        <f t="shared" ref="C3099:C3162" si="157">E3099</f>
        <v>42503</v>
      </c>
      <c r="D3099" s="858" t="s">
        <v>1548</v>
      </c>
      <c r="E3099" s="830">
        <v>42503</v>
      </c>
      <c r="F3099" s="925" t="s">
        <v>638</v>
      </c>
      <c r="G3099" s="832" t="s">
        <v>554</v>
      </c>
      <c r="H3099" s="923" t="s">
        <v>1297</v>
      </c>
      <c r="I3099" s="249">
        <v>307</v>
      </c>
      <c r="J3099" s="249">
        <v>6819.2294764772205</v>
      </c>
      <c r="K3099" s="51">
        <f t="shared" si="155"/>
        <v>2093503</v>
      </c>
      <c r="L3099" s="924" t="s">
        <v>171</v>
      </c>
      <c r="M3099" s="924" t="s">
        <v>166</v>
      </c>
      <c r="N3099" s="52" t="str">
        <f>IF(AND('331-CT'!$E$7=TH!H3099,OR(L3099="331",M3099="331")),"331",IF(AND(OR(L3099="131",M3099="131"),H3099='131-CT'!$E$7),"131",""))</f>
        <v/>
      </c>
      <c r="O3099" s="818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726"/>
    </row>
    <row r="3100" spans="1:27" s="861" customFormat="1" ht="15.75" customHeight="1">
      <c r="A3100" s="202" t="str">
        <f>IF(B3100&lt;&gt;"",IF(AND(B3100&gt;=_TM1,B3100&lt;=_TM2,OR(TH!L3100="1111",TH!M3100="1111")),TH!D3100,""),"")</f>
        <v/>
      </c>
      <c r="B3100" s="857">
        <f t="shared" si="156"/>
        <v>5</v>
      </c>
      <c r="C3100" s="858">
        <f t="shared" si="157"/>
        <v>42503</v>
      </c>
      <c r="D3100" s="858" t="s">
        <v>1548</v>
      </c>
      <c r="E3100" s="830">
        <v>42503</v>
      </c>
      <c r="F3100" s="925" t="s">
        <v>639</v>
      </c>
      <c r="G3100" s="832" t="s">
        <v>554</v>
      </c>
      <c r="H3100" s="923" t="s">
        <v>1297</v>
      </c>
      <c r="I3100" s="249">
        <v>302</v>
      </c>
      <c r="J3100" s="249">
        <v>7927.3542664047691</v>
      </c>
      <c r="K3100" s="51">
        <f t="shared" ref="K3100:K3163" si="158">ROUND(I3100*J3100,0)</f>
        <v>2394061</v>
      </c>
      <c r="L3100" s="924" t="s">
        <v>171</v>
      </c>
      <c r="M3100" s="924" t="s">
        <v>166</v>
      </c>
      <c r="N3100" s="52" t="str">
        <f>IF(AND('331-CT'!$E$7=TH!H3100,OR(L3100="331",M3100="331")),"331",IF(AND(OR(L3100="131",M3100="131"),H3100='131-CT'!$E$7),"131",""))</f>
        <v/>
      </c>
      <c r="O3100" s="818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726"/>
    </row>
    <row r="3101" spans="1:27" s="861" customFormat="1" ht="15.75" customHeight="1">
      <c r="A3101" s="202" t="str">
        <f>IF(B3101&lt;&gt;"",IF(AND(B3101&gt;=_TM1,B3101&lt;=_TM2,OR(TH!L3101="1111",TH!M3101="1111")),TH!D3101,""),"")</f>
        <v/>
      </c>
      <c r="B3101" s="857">
        <f t="shared" si="156"/>
        <v>5</v>
      </c>
      <c r="C3101" s="858">
        <f t="shared" si="157"/>
        <v>42503</v>
      </c>
      <c r="D3101" s="858" t="s">
        <v>1548</v>
      </c>
      <c r="E3101" s="830">
        <v>42503</v>
      </c>
      <c r="F3101" s="925" t="s">
        <v>640</v>
      </c>
      <c r="G3101" s="832" t="s">
        <v>554</v>
      </c>
      <c r="H3101" s="923" t="s">
        <v>1297</v>
      </c>
      <c r="I3101" s="249">
        <v>396</v>
      </c>
      <c r="J3101" s="249">
        <v>14235.141532146197</v>
      </c>
      <c r="K3101" s="51">
        <f t="shared" si="158"/>
        <v>5637116</v>
      </c>
      <c r="L3101" s="924" t="s">
        <v>171</v>
      </c>
      <c r="M3101" s="924" t="s">
        <v>166</v>
      </c>
      <c r="N3101" s="52" t="str">
        <f>IF(AND('331-CT'!$E$7=TH!H3101,OR(L3101="331",M3101="331")),"331",IF(AND(OR(L3101="131",M3101="131"),H3101='131-CT'!$E$7),"131",""))</f>
        <v/>
      </c>
      <c r="O3101" s="818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726"/>
    </row>
    <row r="3102" spans="1:27" s="861" customFormat="1" ht="15.75" customHeight="1">
      <c r="A3102" s="202" t="str">
        <f>IF(B3102&lt;&gt;"",IF(AND(B3102&gt;=_TM1,B3102&lt;=_TM2,OR(TH!L3102="1111",TH!M3102="1111")),TH!D3102,""),"")</f>
        <v/>
      </c>
      <c r="B3102" s="857">
        <f t="shared" si="156"/>
        <v>5</v>
      </c>
      <c r="C3102" s="858">
        <f t="shared" si="157"/>
        <v>42503</v>
      </c>
      <c r="D3102" s="858" t="s">
        <v>1548</v>
      </c>
      <c r="E3102" s="830">
        <v>42503</v>
      </c>
      <c r="F3102" s="925" t="s">
        <v>1024</v>
      </c>
      <c r="G3102" s="832" t="s">
        <v>555</v>
      </c>
      <c r="H3102" s="923" t="s">
        <v>1297</v>
      </c>
      <c r="I3102" s="249">
        <v>592</v>
      </c>
      <c r="J3102" s="249">
        <v>7842.1138979488032</v>
      </c>
      <c r="K3102" s="51">
        <f t="shared" si="158"/>
        <v>4642531</v>
      </c>
      <c r="L3102" s="924" t="s">
        <v>171</v>
      </c>
      <c r="M3102" s="924" t="s">
        <v>166</v>
      </c>
      <c r="N3102" s="52" t="str">
        <f>IF(AND('331-CT'!$E$7=TH!H3102,OR(L3102="331",M3102="331")),"331",IF(AND(OR(L3102="131",M3102="131"),H3102='131-CT'!$E$7),"131",""))</f>
        <v/>
      </c>
      <c r="O3102" s="818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726"/>
    </row>
    <row r="3103" spans="1:27" s="861" customFormat="1" ht="15.75" customHeight="1">
      <c r="A3103" s="202" t="str">
        <f>IF(B3103&lt;&gt;"",IF(AND(B3103&gt;=_TM1,B3103&lt;=_TM2,OR(TH!L3103="1111",TH!M3103="1111")),TH!D3103,""),"")</f>
        <v/>
      </c>
      <c r="B3103" s="857">
        <f t="shared" si="156"/>
        <v>5</v>
      </c>
      <c r="C3103" s="858">
        <f t="shared" si="157"/>
        <v>42507</v>
      </c>
      <c r="D3103" s="858" t="s">
        <v>1548</v>
      </c>
      <c r="E3103" s="830">
        <v>42507</v>
      </c>
      <c r="F3103" s="925" t="s">
        <v>480</v>
      </c>
      <c r="G3103" s="832" t="s">
        <v>559</v>
      </c>
      <c r="H3103" s="923" t="s">
        <v>1297</v>
      </c>
      <c r="I3103" s="249">
        <v>360</v>
      </c>
      <c r="J3103" s="249">
        <v>10825.526793907587</v>
      </c>
      <c r="K3103" s="51">
        <f t="shared" si="158"/>
        <v>3897190</v>
      </c>
      <c r="L3103" s="924" t="s">
        <v>171</v>
      </c>
      <c r="M3103" s="924" t="s">
        <v>166</v>
      </c>
      <c r="N3103" s="52" t="str">
        <f>IF(AND('331-CT'!$E$7=TH!H3103,OR(L3103="331",M3103="331")),"331",IF(AND(OR(L3103="131",M3103="131"),H3103='131-CT'!$E$7),"131",""))</f>
        <v/>
      </c>
      <c r="O3103" s="818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726"/>
    </row>
    <row r="3104" spans="1:27" s="861" customFormat="1" ht="15.75" customHeight="1">
      <c r="A3104" s="202" t="str">
        <f>IF(B3104&lt;&gt;"",IF(AND(B3104&gt;=_TM1,B3104&lt;=_TM2,OR(TH!L3104="1111",TH!M3104="1111")),TH!D3104,""),"")</f>
        <v/>
      </c>
      <c r="B3104" s="857">
        <f t="shared" si="156"/>
        <v>5</v>
      </c>
      <c r="C3104" s="858">
        <f t="shared" si="157"/>
        <v>42507</v>
      </c>
      <c r="D3104" s="858" t="s">
        <v>1548</v>
      </c>
      <c r="E3104" s="830">
        <v>42507</v>
      </c>
      <c r="F3104" s="925" t="s">
        <v>662</v>
      </c>
      <c r="G3104" s="832" t="s">
        <v>559</v>
      </c>
      <c r="H3104" s="923" t="s">
        <v>1297</v>
      </c>
      <c r="I3104" s="249">
        <v>1000</v>
      </c>
      <c r="J3104" s="249">
        <v>6222.5468972854633</v>
      </c>
      <c r="K3104" s="51">
        <f t="shared" si="158"/>
        <v>6222547</v>
      </c>
      <c r="L3104" s="924" t="s">
        <v>171</v>
      </c>
      <c r="M3104" s="924" t="s">
        <v>166</v>
      </c>
      <c r="N3104" s="52" t="str">
        <f>IF(AND('331-CT'!$E$7=TH!H3104,OR(L3104="331",M3104="331")),"331",IF(AND(OR(L3104="131",M3104="131"),H3104='131-CT'!$E$7),"131",""))</f>
        <v/>
      </c>
      <c r="O3104" s="818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726"/>
    </row>
    <row r="3105" spans="1:27" s="861" customFormat="1" ht="15.75" customHeight="1">
      <c r="A3105" s="202" t="str">
        <f>IF(B3105&lt;&gt;"",IF(AND(B3105&gt;=_TM1,B3105&lt;=_TM2,OR(TH!L3105="1111",TH!M3105="1111")),TH!D3105,""),"")</f>
        <v/>
      </c>
      <c r="B3105" s="857">
        <f t="shared" si="156"/>
        <v>5</v>
      </c>
      <c r="C3105" s="858">
        <f t="shared" si="157"/>
        <v>42507</v>
      </c>
      <c r="D3105" s="858" t="s">
        <v>1548</v>
      </c>
      <c r="E3105" s="830">
        <v>42507</v>
      </c>
      <c r="F3105" s="925" t="s">
        <v>1048</v>
      </c>
      <c r="G3105" s="832" t="s">
        <v>559</v>
      </c>
      <c r="H3105" s="923" t="s">
        <v>1297</v>
      </c>
      <c r="I3105" s="249">
        <v>55</v>
      </c>
      <c r="J3105" s="249">
        <v>9973.1231093479346</v>
      </c>
      <c r="K3105" s="51">
        <f t="shared" si="158"/>
        <v>548522</v>
      </c>
      <c r="L3105" s="924" t="s">
        <v>171</v>
      </c>
      <c r="M3105" s="924" t="s">
        <v>166</v>
      </c>
      <c r="N3105" s="52" t="str">
        <f>IF(AND('331-CT'!$E$7=TH!H3105,OR(L3105="331",M3105="331")),"331",IF(AND(OR(L3105="131",M3105="131"),H3105='131-CT'!$E$7),"131",""))</f>
        <v/>
      </c>
      <c r="O3105" s="818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726"/>
    </row>
    <row r="3106" spans="1:27" s="861" customFormat="1" ht="15.75" customHeight="1">
      <c r="A3106" s="202" t="str">
        <f>IF(B3106&lt;&gt;"",IF(AND(B3106&gt;=_TM1,B3106&lt;=_TM2,OR(TH!L3106="1111",TH!M3106="1111")),TH!D3106,""),"")</f>
        <v/>
      </c>
      <c r="B3106" s="857">
        <f t="shared" si="156"/>
        <v>5</v>
      </c>
      <c r="C3106" s="858">
        <f t="shared" si="157"/>
        <v>42507</v>
      </c>
      <c r="D3106" s="858" t="s">
        <v>1548</v>
      </c>
      <c r="E3106" s="830">
        <v>42507</v>
      </c>
      <c r="F3106" s="925" t="s">
        <v>916</v>
      </c>
      <c r="G3106" s="832" t="s">
        <v>559</v>
      </c>
      <c r="H3106" s="923" t="s">
        <v>1297</v>
      </c>
      <c r="I3106" s="249">
        <v>110</v>
      </c>
      <c r="J3106" s="249">
        <v>11251.728636187414</v>
      </c>
      <c r="K3106" s="51">
        <f t="shared" si="158"/>
        <v>1237690</v>
      </c>
      <c r="L3106" s="924" t="s">
        <v>171</v>
      </c>
      <c r="M3106" s="924" t="s">
        <v>166</v>
      </c>
      <c r="N3106" s="52" t="str">
        <f>IF(AND('331-CT'!$E$7=TH!H3106,OR(L3106="331",M3106="331")),"331",IF(AND(OR(L3106="131",M3106="131"),H3106='131-CT'!$E$7),"131",""))</f>
        <v/>
      </c>
      <c r="O3106" s="818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726"/>
    </row>
    <row r="3107" spans="1:27" s="861" customFormat="1" ht="15.75" customHeight="1">
      <c r="A3107" s="202" t="str">
        <f>IF(B3107&lt;&gt;"",IF(AND(B3107&gt;=_TM1,B3107&lt;=_TM2,OR(TH!L3107="1111",TH!M3107="1111")),TH!D3107,""),"")</f>
        <v/>
      </c>
      <c r="B3107" s="857">
        <f t="shared" si="156"/>
        <v>5</v>
      </c>
      <c r="C3107" s="858">
        <f t="shared" si="157"/>
        <v>42507</v>
      </c>
      <c r="D3107" s="858" t="s">
        <v>1548</v>
      </c>
      <c r="E3107" s="830">
        <v>42507</v>
      </c>
      <c r="F3107" s="925" t="s">
        <v>480</v>
      </c>
      <c r="G3107" s="832" t="s">
        <v>560</v>
      </c>
      <c r="H3107" s="923" t="s">
        <v>1297</v>
      </c>
      <c r="I3107" s="249">
        <v>237</v>
      </c>
      <c r="J3107" s="249">
        <v>10825.526793907587</v>
      </c>
      <c r="K3107" s="51">
        <f t="shared" si="158"/>
        <v>2565650</v>
      </c>
      <c r="L3107" s="924" t="s">
        <v>171</v>
      </c>
      <c r="M3107" s="924" t="s">
        <v>166</v>
      </c>
      <c r="N3107" s="52" t="str">
        <f>IF(AND('331-CT'!$E$7=TH!H3107,OR(L3107="331",M3107="331")),"331",IF(AND(OR(L3107="131",M3107="131"),H3107='131-CT'!$E$7),"131",""))</f>
        <v/>
      </c>
      <c r="O3107" s="818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726"/>
    </row>
    <row r="3108" spans="1:27" s="861" customFormat="1" ht="15.75" customHeight="1">
      <c r="A3108" s="202" t="str">
        <f>IF(B3108&lt;&gt;"",IF(AND(B3108&gt;=_TM1,B3108&lt;=_TM2,OR(TH!L3108="1111",TH!M3108="1111")),TH!D3108,""),"")</f>
        <v/>
      </c>
      <c r="B3108" s="857">
        <f t="shared" si="156"/>
        <v>5</v>
      </c>
      <c r="C3108" s="858">
        <f t="shared" si="157"/>
        <v>42507</v>
      </c>
      <c r="D3108" s="858" t="s">
        <v>1548</v>
      </c>
      <c r="E3108" s="830">
        <v>42507</v>
      </c>
      <c r="F3108" s="925" t="s">
        <v>645</v>
      </c>
      <c r="G3108" s="832" t="s">
        <v>560</v>
      </c>
      <c r="H3108" s="923" t="s">
        <v>1297</v>
      </c>
      <c r="I3108" s="249">
        <v>55</v>
      </c>
      <c r="J3108" s="249">
        <v>9717.402003980038</v>
      </c>
      <c r="K3108" s="51">
        <f t="shared" si="158"/>
        <v>534457</v>
      </c>
      <c r="L3108" s="924" t="s">
        <v>171</v>
      </c>
      <c r="M3108" s="924" t="s">
        <v>166</v>
      </c>
      <c r="N3108" s="52" t="str">
        <f>IF(AND('331-CT'!$E$7=TH!H3108,OR(L3108="331",M3108="331")),"331",IF(AND(OR(L3108="131",M3108="131"),H3108='131-CT'!$E$7),"131",""))</f>
        <v/>
      </c>
      <c r="O3108" s="818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726"/>
    </row>
    <row r="3109" spans="1:27" s="861" customFormat="1" ht="15.75" customHeight="1">
      <c r="A3109" s="202" t="str">
        <f>IF(B3109&lt;&gt;"",IF(AND(B3109&gt;=_TM1,B3109&lt;=_TM2,OR(TH!L3109="1111",TH!M3109="1111")),TH!D3109,""),"")</f>
        <v/>
      </c>
      <c r="B3109" s="857">
        <f t="shared" si="156"/>
        <v>5</v>
      </c>
      <c r="C3109" s="858">
        <f t="shared" si="157"/>
        <v>42507</v>
      </c>
      <c r="D3109" s="858" t="s">
        <v>1548</v>
      </c>
      <c r="E3109" s="830">
        <v>42507</v>
      </c>
      <c r="F3109" s="925" t="s">
        <v>474</v>
      </c>
      <c r="G3109" s="832" t="s">
        <v>560</v>
      </c>
      <c r="H3109" s="923" t="s">
        <v>1297</v>
      </c>
      <c r="I3109" s="249">
        <v>44</v>
      </c>
      <c r="J3109" s="249">
        <v>10910.767162363552</v>
      </c>
      <c r="K3109" s="51">
        <f t="shared" si="158"/>
        <v>480074</v>
      </c>
      <c r="L3109" s="924" t="s">
        <v>171</v>
      </c>
      <c r="M3109" s="924" t="s">
        <v>166</v>
      </c>
      <c r="N3109" s="52" t="str">
        <f>IF(AND('331-CT'!$E$7=TH!H3109,OR(L3109="331",M3109="331")),"331",IF(AND(OR(L3109="131",M3109="131"),H3109='131-CT'!$E$7),"131",""))</f>
        <v/>
      </c>
      <c r="O3109" s="818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726"/>
    </row>
    <row r="3110" spans="1:27" s="861" customFormat="1" ht="15.75" customHeight="1">
      <c r="A3110" s="202" t="str">
        <f>IF(B3110&lt;&gt;"",IF(AND(B3110&gt;=_TM1,B3110&lt;=_TM2,OR(TH!L3110="1111",TH!M3110="1111")),TH!D3110,""),"")</f>
        <v/>
      </c>
      <c r="B3110" s="857">
        <f t="shared" si="156"/>
        <v>5</v>
      </c>
      <c r="C3110" s="858">
        <f t="shared" si="157"/>
        <v>42507</v>
      </c>
      <c r="D3110" s="858" t="s">
        <v>1548</v>
      </c>
      <c r="E3110" s="830">
        <v>42507</v>
      </c>
      <c r="F3110" s="925" t="s">
        <v>897</v>
      </c>
      <c r="G3110" s="832" t="s">
        <v>560</v>
      </c>
      <c r="H3110" s="923" t="s">
        <v>1297</v>
      </c>
      <c r="I3110" s="249">
        <v>135</v>
      </c>
      <c r="J3110" s="249">
        <v>12359.853426114962</v>
      </c>
      <c r="K3110" s="51">
        <f t="shared" si="158"/>
        <v>1668580</v>
      </c>
      <c r="L3110" s="924" t="s">
        <v>171</v>
      </c>
      <c r="M3110" s="924" t="s">
        <v>166</v>
      </c>
      <c r="N3110" s="52" t="str">
        <f>IF(AND('331-CT'!$E$7=TH!H3110,OR(L3110="331",M3110="331")),"331",IF(AND(OR(L3110="131",M3110="131"),H3110='131-CT'!$E$7),"131",""))</f>
        <v/>
      </c>
      <c r="O3110" s="818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726"/>
    </row>
    <row r="3111" spans="1:27" s="861" customFormat="1" ht="15.75" customHeight="1">
      <c r="A3111" s="202" t="str">
        <f>IF(B3111&lt;&gt;"",IF(AND(B3111&gt;=_TM1,B3111&lt;=_TM2,OR(TH!L3111="1111",TH!M3111="1111")),TH!D3111,""),"")</f>
        <v/>
      </c>
      <c r="B3111" s="857">
        <f t="shared" si="156"/>
        <v>5</v>
      </c>
      <c r="C3111" s="858">
        <f t="shared" si="157"/>
        <v>42507</v>
      </c>
      <c r="D3111" s="858" t="s">
        <v>1548</v>
      </c>
      <c r="E3111" s="830">
        <v>42507</v>
      </c>
      <c r="F3111" s="925" t="s">
        <v>418</v>
      </c>
      <c r="G3111" s="832" t="s">
        <v>561</v>
      </c>
      <c r="H3111" s="923" t="s">
        <v>1297</v>
      </c>
      <c r="I3111" s="249">
        <v>103</v>
      </c>
      <c r="J3111" s="249">
        <v>61799.267130574808</v>
      </c>
      <c r="K3111" s="51">
        <f t="shared" si="158"/>
        <v>6365325</v>
      </c>
      <c r="L3111" s="924" t="s">
        <v>171</v>
      </c>
      <c r="M3111" s="924" t="s">
        <v>166</v>
      </c>
      <c r="N3111" s="52" t="str">
        <f>IF(AND('331-CT'!$E$7=TH!H3111,OR(L3111="331",M3111="331")),"331",IF(AND(OR(L3111="131",M3111="131"),H3111='131-CT'!$E$7),"131",""))</f>
        <v/>
      </c>
      <c r="O3111" s="818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726"/>
    </row>
    <row r="3112" spans="1:27" s="861" customFormat="1" ht="15.75" customHeight="1">
      <c r="A3112" s="202" t="str">
        <f>IF(B3112&lt;&gt;"",IF(AND(B3112&gt;=_TM1,B3112&lt;=_TM2,OR(TH!L3112="1111",TH!M3112="1111")),TH!D3112,""),"")</f>
        <v/>
      </c>
      <c r="B3112" s="857">
        <f t="shared" si="156"/>
        <v>5</v>
      </c>
      <c r="C3112" s="858">
        <f t="shared" si="157"/>
        <v>42507</v>
      </c>
      <c r="D3112" s="858" t="s">
        <v>1548</v>
      </c>
      <c r="E3112" s="830">
        <v>42507</v>
      </c>
      <c r="F3112" s="925" t="s">
        <v>912</v>
      </c>
      <c r="G3112" s="832" t="s">
        <v>561</v>
      </c>
      <c r="H3112" s="923" t="s">
        <v>1297</v>
      </c>
      <c r="I3112" s="249">
        <v>60</v>
      </c>
      <c r="J3112" s="249">
        <v>64441.718552709732</v>
      </c>
      <c r="K3112" s="51">
        <f t="shared" si="158"/>
        <v>3866503</v>
      </c>
      <c r="L3112" s="924" t="s">
        <v>171</v>
      </c>
      <c r="M3112" s="924" t="s">
        <v>166</v>
      </c>
      <c r="N3112" s="52" t="str">
        <f>IF(AND('331-CT'!$E$7=TH!H3112,OR(L3112="331",M3112="331")),"331",IF(AND(OR(L3112="131",M3112="131"),H3112='131-CT'!$E$7),"131",""))</f>
        <v/>
      </c>
      <c r="O3112" s="818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726"/>
    </row>
    <row r="3113" spans="1:27" s="861" customFormat="1" ht="15.75" customHeight="1">
      <c r="A3113" s="202" t="str">
        <f>IF(B3113&lt;&gt;"",IF(AND(B3113&gt;=_TM1,B3113&lt;=_TM2,OR(TH!L3113="1111",TH!M3113="1111")),TH!D3113,""),"")</f>
        <v/>
      </c>
      <c r="B3113" s="857">
        <f t="shared" si="156"/>
        <v>5</v>
      </c>
      <c r="C3113" s="858">
        <f t="shared" si="157"/>
        <v>42507</v>
      </c>
      <c r="D3113" s="858" t="s">
        <v>1548</v>
      </c>
      <c r="E3113" s="830">
        <v>42507</v>
      </c>
      <c r="F3113" s="925" t="s">
        <v>661</v>
      </c>
      <c r="G3113" s="832" t="s">
        <v>556</v>
      </c>
      <c r="H3113" s="923" t="s">
        <v>1297</v>
      </c>
      <c r="I3113" s="249">
        <v>511</v>
      </c>
      <c r="J3113" s="249">
        <v>5284.9028442698454</v>
      </c>
      <c r="K3113" s="51">
        <f t="shared" si="158"/>
        <v>2700585</v>
      </c>
      <c r="L3113" s="924" t="s">
        <v>171</v>
      </c>
      <c r="M3113" s="924" t="s">
        <v>166</v>
      </c>
      <c r="N3113" s="52" t="str">
        <f>IF(AND('331-CT'!$E$7=TH!H3113,OR(L3113="331",M3113="331")),"331",IF(AND(OR(L3113="131",M3113="131"),H3113='131-CT'!$E$7),"131",""))</f>
        <v/>
      </c>
      <c r="O3113" s="818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726"/>
    </row>
    <row r="3114" spans="1:27" s="861" customFormat="1" ht="15.75" customHeight="1">
      <c r="A3114" s="202" t="str">
        <f>IF(B3114&lt;&gt;"",IF(AND(B3114&gt;=_TM1,B3114&lt;=_TM2,OR(TH!L3114="1111",TH!M3114="1111")),TH!D3114,""),"")</f>
        <v/>
      </c>
      <c r="B3114" s="857">
        <f t="shared" si="156"/>
        <v>5</v>
      </c>
      <c r="C3114" s="858">
        <f t="shared" si="157"/>
        <v>42507</v>
      </c>
      <c r="D3114" s="858" t="s">
        <v>1548</v>
      </c>
      <c r="E3114" s="830">
        <v>42507</v>
      </c>
      <c r="F3114" s="925" t="s">
        <v>662</v>
      </c>
      <c r="G3114" s="832" t="s">
        <v>556</v>
      </c>
      <c r="H3114" s="923" t="s">
        <v>1297</v>
      </c>
      <c r="I3114" s="249">
        <v>503</v>
      </c>
      <c r="J3114" s="249">
        <v>6222.5468972854633</v>
      </c>
      <c r="K3114" s="51">
        <f t="shared" si="158"/>
        <v>3129941</v>
      </c>
      <c r="L3114" s="924" t="s">
        <v>171</v>
      </c>
      <c r="M3114" s="924" t="s">
        <v>166</v>
      </c>
      <c r="N3114" s="52" t="str">
        <f>IF(AND('331-CT'!$E$7=TH!H3114,OR(L3114="331",M3114="331")),"331",IF(AND(OR(L3114="131",M3114="131"),H3114='131-CT'!$E$7),"131",""))</f>
        <v/>
      </c>
      <c r="O3114" s="818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726"/>
    </row>
    <row r="3115" spans="1:27" s="861" customFormat="1" ht="15.75" customHeight="1">
      <c r="A3115" s="202" t="str">
        <f>IF(B3115&lt;&gt;"",IF(AND(B3115&gt;=_TM1,B3115&lt;=_TM2,OR(TH!L3115="1111",TH!M3115="1111")),TH!D3115,""),"")</f>
        <v/>
      </c>
      <c r="B3115" s="857">
        <f t="shared" si="156"/>
        <v>5</v>
      </c>
      <c r="C3115" s="858">
        <f t="shared" si="157"/>
        <v>42507</v>
      </c>
      <c r="D3115" s="858" t="s">
        <v>1548</v>
      </c>
      <c r="E3115" s="830">
        <v>42507</v>
      </c>
      <c r="F3115" s="925" t="s">
        <v>1029</v>
      </c>
      <c r="G3115" s="832" t="s">
        <v>556</v>
      </c>
      <c r="H3115" s="923" t="s">
        <v>1297</v>
      </c>
      <c r="I3115" s="249">
        <v>960</v>
      </c>
      <c r="J3115" s="249">
        <v>4773.460633534055</v>
      </c>
      <c r="K3115" s="51">
        <f t="shared" si="158"/>
        <v>4582522</v>
      </c>
      <c r="L3115" s="924" t="s">
        <v>171</v>
      </c>
      <c r="M3115" s="924" t="s">
        <v>166</v>
      </c>
      <c r="N3115" s="52" t="str">
        <f>IF(AND('331-CT'!$E$7=TH!H3115,OR(L3115="331",M3115="331")),"331",IF(AND(OR(L3115="131",M3115="131"),H3115='131-CT'!$E$7),"131",""))</f>
        <v/>
      </c>
      <c r="O3115" s="818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726"/>
    </row>
    <row r="3116" spans="1:27" s="861" customFormat="1" ht="15.75" customHeight="1">
      <c r="A3116" s="202" t="str">
        <f>IF(B3116&lt;&gt;"",IF(AND(B3116&gt;=_TM1,B3116&lt;=_TM2,OR(TH!L3116="1111",TH!M3116="1111")),TH!D3116,""),"")</f>
        <v/>
      </c>
      <c r="B3116" s="857">
        <f t="shared" si="156"/>
        <v>5</v>
      </c>
      <c r="C3116" s="858">
        <f t="shared" si="157"/>
        <v>42507</v>
      </c>
      <c r="D3116" s="858" t="s">
        <v>1548</v>
      </c>
      <c r="E3116" s="830">
        <v>42507</v>
      </c>
      <c r="F3116" s="925" t="s">
        <v>967</v>
      </c>
      <c r="G3116" s="832" t="s">
        <v>558</v>
      </c>
      <c r="H3116" s="923" t="s">
        <v>1297</v>
      </c>
      <c r="I3116" s="249">
        <v>530</v>
      </c>
      <c r="J3116" s="249">
        <v>6222.5468972854633</v>
      </c>
      <c r="K3116" s="51">
        <f t="shared" si="158"/>
        <v>3297950</v>
      </c>
      <c r="L3116" s="924" t="s">
        <v>171</v>
      </c>
      <c r="M3116" s="924" t="s">
        <v>166</v>
      </c>
      <c r="N3116" s="52" t="str">
        <f>IF(AND('331-CT'!$E$7=TH!H3116,OR(L3116="331",M3116="331")),"331",IF(AND(OR(L3116="131",M3116="131"),H3116='131-CT'!$E$7),"131",""))</f>
        <v/>
      </c>
      <c r="O3116" s="818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726"/>
    </row>
    <row r="3117" spans="1:27" s="861" customFormat="1" ht="15.75" customHeight="1">
      <c r="A3117" s="202" t="str">
        <f>IF(B3117&lt;&gt;"",IF(AND(B3117&gt;=_TM1,B3117&lt;=_TM2,OR(TH!L3117="1111",TH!M3117="1111")),TH!D3117,""),"")</f>
        <v/>
      </c>
      <c r="B3117" s="857">
        <f t="shared" si="156"/>
        <v>5</v>
      </c>
      <c r="C3117" s="858">
        <f t="shared" si="157"/>
        <v>42508</v>
      </c>
      <c r="D3117" s="858" t="s">
        <v>1548</v>
      </c>
      <c r="E3117" s="830">
        <v>42508</v>
      </c>
      <c r="F3117" s="925" t="s">
        <v>436</v>
      </c>
      <c r="G3117" s="832" t="s">
        <v>562</v>
      </c>
      <c r="H3117" s="923" t="s">
        <v>1297</v>
      </c>
      <c r="I3117" s="249">
        <v>517</v>
      </c>
      <c r="J3117" s="249">
        <v>5796.3450550056377</v>
      </c>
      <c r="K3117" s="51">
        <f t="shared" si="158"/>
        <v>2996710</v>
      </c>
      <c r="L3117" s="924" t="s">
        <v>171</v>
      </c>
      <c r="M3117" s="924" t="s">
        <v>166</v>
      </c>
      <c r="N3117" s="52" t="str">
        <f>IF(AND('331-CT'!$E$7=TH!H3117,OR(L3117="331",M3117="331")),"331",IF(AND(OR(L3117="131",M3117="131"),H3117='131-CT'!$E$7),"131",""))</f>
        <v/>
      </c>
      <c r="O3117" s="818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726"/>
    </row>
    <row r="3118" spans="1:27" s="861" customFormat="1" ht="15.75" customHeight="1">
      <c r="A3118" s="202" t="str">
        <f>IF(B3118&lt;&gt;"",IF(AND(B3118&gt;=_TM1,B3118&lt;=_TM2,OR(TH!L3118="1111",TH!M3118="1111")),TH!D3118,""),"")</f>
        <v/>
      </c>
      <c r="B3118" s="857">
        <f t="shared" si="156"/>
        <v>5</v>
      </c>
      <c r="C3118" s="858">
        <f t="shared" si="157"/>
        <v>42508</v>
      </c>
      <c r="D3118" s="858" t="s">
        <v>1548</v>
      </c>
      <c r="E3118" s="830">
        <v>42508</v>
      </c>
      <c r="F3118" s="925" t="s">
        <v>408</v>
      </c>
      <c r="G3118" s="832" t="s">
        <v>563</v>
      </c>
      <c r="H3118" s="923" t="s">
        <v>1297</v>
      </c>
      <c r="I3118" s="249">
        <v>65</v>
      </c>
      <c r="J3118" s="249">
        <v>11251.728636187414</v>
      </c>
      <c r="K3118" s="51">
        <f t="shared" si="158"/>
        <v>731362</v>
      </c>
      <c r="L3118" s="924" t="s">
        <v>171</v>
      </c>
      <c r="M3118" s="924" t="s">
        <v>166</v>
      </c>
      <c r="N3118" s="52" t="str">
        <f>IF(AND('331-CT'!$E$7=TH!H3118,OR(L3118="331",M3118="331")),"331",IF(AND(OR(L3118="131",M3118="131"),H3118='131-CT'!$E$7),"131",""))</f>
        <v/>
      </c>
      <c r="O3118" s="818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726"/>
    </row>
    <row r="3119" spans="1:27" s="861" customFormat="1" ht="15.75" customHeight="1">
      <c r="A3119" s="202" t="str">
        <f>IF(B3119&lt;&gt;"",IF(AND(B3119&gt;=_TM1,B3119&lt;=_TM2,OR(TH!L3119="1111",TH!M3119="1111")),TH!D3119,""),"")</f>
        <v/>
      </c>
      <c r="B3119" s="857">
        <f t="shared" si="156"/>
        <v>5</v>
      </c>
      <c r="C3119" s="858">
        <f t="shared" si="157"/>
        <v>42508</v>
      </c>
      <c r="D3119" s="858" t="s">
        <v>1548</v>
      </c>
      <c r="E3119" s="830">
        <v>42508</v>
      </c>
      <c r="F3119" s="925" t="s">
        <v>473</v>
      </c>
      <c r="G3119" s="832" t="s">
        <v>563</v>
      </c>
      <c r="H3119" s="923" t="s">
        <v>1297</v>
      </c>
      <c r="I3119" s="249">
        <v>88</v>
      </c>
      <c r="J3119" s="249">
        <v>8438.7964771405605</v>
      </c>
      <c r="K3119" s="51">
        <f t="shared" si="158"/>
        <v>742614</v>
      </c>
      <c r="L3119" s="924" t="s">
        <v>171</v>
      </c>
      <c r="M3119" s="924" t="s">
        <v>166</v>
      </c>
      <c r="N3119" s="52" t="str">
        <f>IF(AND('331-CT'!$E$7=TH!H3119,OR(L3119="331",M3119="331")),"331",IF(AND(OR(L3119="131",M3119="131"),H3119='131-CT'!$E$7),"131",""))</f>
        <v/>
      </c>
      <c r="O3119" s="818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726"/>
    </row>
    <row r="3120" spans="1:27" s="861" customFormat="1" ht="15.75" customHeight="1">
      <c r="A3120" s="202" t="str">
        <f>IF(B3120&lt;&gt;"",IF(AND(B3120&gt;=_TM1,B3120&lt;=_TM2,OR(TH!L3120="1111",TH!M3120="1111")),TH!D3120,""),"")</f>
        <v/>
      </c>
      <c r="B3120" s="857">
        <f t="shared" si="156"/>
        <v>5</v>
      </c>
      <c r="C3120" s="858">
        <f t="shared" si="157"/>
        <v>42508</v>
      </c>
      <c r="D3120" s="858" t="s">
        <v>1548</v>
      </c>
      <c r="E3120" s="830">
        <v>42508</v>
      </c>
      <c r="F3120" s="925" t="s">
        <v>480</v>
      </c>
      <c r="G3120" s="832" t="s">
        <v>563</v>
      </c>
      <c r="H3120" s="923" t="s">
        <v>1297</v>
      </c>
      <c r="I3120" s="249">
        <v>340</v>
      </c>
      <c r="J3120" s="249">
        <v>10825.526793907587</v>
      </c>
      <c r="K3120" s="51">
        <f t="shared" si="158"/>
        <v>3680679</v>
      </c>
      <c r="L3120" s="924" t="s">
        <v>171</v>
      </c>
      <c r="M3120" s="924" t="s">
        <v>166</v>
      </c>
      <c r="N3120" s="52" t="str">
        <f>IF(AND('331-CT'!$E$7=TH!H3120,OR(L3120="331",M3120="331")),"331",IF(AND(OR(L3120="131",M3120="131"),H3120='131-CT'!$E$7),"131",""))</f>
        <v/>
      </c>
      <c r="O3120" s="818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726"/>
    </row>
    <row r="3121" spans="1:27" s="861" customFormat="1" ht="15.75" customHeight="1">
      <c r="A3121" s="202" t="str">
        <f>IF(B3121&lt;&gt;"",IF(AND(B3121&gt;=_TM1,B3121&lt;=_TM2,OR(TH!L3121="1111",TH!M3121="1111")),TH!D3121,""),"")</f>
        <v/>
      </c>
      <c r="B3121" s="857">
        <f t="shared" si="156"/>
        <v>5</v>
      </c>
      <c r="C3121" s="858">
        <f t="shared" si="157"/>
        <v>42508</v>
      </c>
      <c r="D3121" s="858" t="s">
        <v>1548</v>
      </c>
      <c r="E3121" s="830">
        <v>42508</v>
      </c>
      <c r="F3121" s="925" t="s">
        <v>940</v>
      </c>
      <c r="G3121" s="832" t="s">
        <v>563</v>
      </c>
      <c r="H3121" s="923" t="s">
        <v>1297</v>
      </c>
      <c r="I3121" s="249">
        <v>220</v>
      </c>
      <c r="J3121" s="249">
        <v>9035.4790563323168</v>
      </c>
      <c r="K3121" s="51">
        <f t="shared" si="158"/>
        <v>1987805</v>
      </c>
      <c r="L3121" s="924" t="s">
        <v>171</v>
      </c>
      <c r="M3121" s="924" t="s">
        <v>166</v>
      </c>
      <c r="N3121" s="52" t="str">
        <f>IF(AND('331-CT'!$E$7=TH!H3121,OR(L3121="331",M3121="331")),"331",IF(AND(OR(L3121="131",M3121="131"),H3121='131-CT'!$E$7),"131",""))</f>
        <v/>
      </c>
      <c r="O3121" s="818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726"/>
    </row>
    <row r="3122" spans="1:27" s="861" customFormat="1" ht="15.75" customHeight="1">
      <c r="A3122" s="202" t="str">
        <f>IF(B3122&lt;&gt;"",IF(AND(B3122&gt;=_TM1,B3122&lt;=_TM2,OR(TH!L3122="1111",TH!M3122="1111")),TH!D3122,""),"")</f>
        <v/>
      </c>
      <c r="B3122" s="857">
        <f t="shared" si="156"/>
        <v>5</v>
      </c>
      <c r="C3122" s="858">
        <f t="shared" si="157"/>
        <v>42508</v>
      </c>
      <c r="D3122" s="858" t="s">
        <v>1548</v>
      </c>
      <c r="E3122" s="830">
        <v>42508</v>
      </c>
      <c r="F3122" s="925" t="s">
        <v>480</v>
      </c>
      <c r="G3122" s="832" t="s">
        <v>563</v>
      </c>
      <c r="H3122" s="923" t="s">
        <v>1297</v>
      </c>
      <c r="I3122" s="249">
        <v>212</v>
      </c>
      <c r="J3122" s="249">
        <v>10825.526793907587</v>
      </c>
      <c r="K3122" s="51">
        <f t="shared" si="158"/>
        <v>2295012</v>
      </c>
      <c r="L3122" s="924" t="s">
        <v>171</v>
      </c>
      <c r="M3122" s="924" t="s">
        <v>166</v>
      </c>
      <c r="N3122" s="52" t="str">
        <f>IF(AND('331-CT'!$E$7=TH!H3122,OR(L3122="331",M3122="331")),"331",IF(AND(OR(L3122="131",M3122="131"),H3122='131-CT'!$E$7),"131",""))</f>
        <v/>
      </c>
      <c r="O3122" s="818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726"/>
    </row>
    <row r="3123" spans="1:27" s="861" customFormat="1" ht="15.75" customHeight="1">
      <c r="A3123" s="202" t="str">
        <f>IF(B3123&lt;&gt;"",IF(AND(B3123&gt;=_TM1,B3123&lt;=_TM2,OR(TH!L3123="1111",TH!M3123="1111")),TH!D3123,""),"")</f>
        <v/>
      </c>
      <c r="B3123" s="857">
        <f t="shared" si="156"/>
        <v>5</v>
      </c>
      <c r="C3123" s="858">
        <f t="shared" si="157"/>
        <v>42513</v>
      </c>
      <c r="D3123" s="858" t="s">
        <v>1548</v>
      </c>
      <c r="E3123" s="830">
        <v>42513</v>
      </c>
      <c r="F3123" s="925" t="s">
        <v>1030</v>
      </c>
      <c r="G3123" s="832" t="s">
        <v>564</v>
      </c>
      <c r="H3123" s="923" t="s">
        <v>1297</v>
      </c>
      <c r="I3123" s="249">
        <v>20</v>
      </c>
      <c r="J3123" s="249">
        <v>22673.938009286758</v>
      </c>
      <c r="K3123" s="51">
        <f t="shared" si="158"/>
        <v>453479</v>
      </c>
      <c r="L3123" s="924" t="s">
        <v>171</v>
      </c>
      <c r="M3123" s="924" t="s">
        <v>166</v>
      </c>
      <c r="N3123" s="52" t="str">
        <f>IF(AND('331-CT'!$E$7=TH!H3123,OR(L3123="331",M3123="331")),"331",IF(AND(OR(L3123="131",M3123="131"),H3123='131-CT'!$E$7),"131",""))</f>
        <v/>
      </c>
      <c r="O3123" s="818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726"/>
    </row>
    <row r="3124" spans="1:27" s="861" customFormat="1" ht="15.75" customHeight="1">
      <c r="A3124" s="202" t="str">
        <f>IF(B3124&lt;&gt;"",IF(AND(B3124&gt;=_TM1,B3124&lt;=_TM2,OR(TH!L3124="1111",TH!M3124="1111")),TH!D3124,""),"")</f>
        <v/>
      </c>
      <c r="B3124" s="857">
        <f t="shared" si="156"/>
        <v>5</v>
      </c>
      <c r="C3124" s="858">
        <f t="shared" si="157"/>
        <v>42513</v>
      </c>
      <c r="D3124" s="858" t="s">
        <v>1548</v>
      </c>
      <c r="E3124" s="830">
        <v>42513</v>
      </c>
      <c r="F3124" s="925" t="s">
        <v>1031</v>
      </c>
      <c r="G3124" s="832" t="s">
        <v>564</v>
      </c>
      <c r="H3124" s="923" t="s">
        <v>1297</v>
      </c>
      <c r="I3124" s="249">
        <v>20</v>
      </c>
      <c r="J3124" s="249">
        <v>20287.207692519729</v>
      </c>
      <c r="K3124" s="51">
        <f t="shared" si="158"/>
        <v>405744</v>
      </c>
      <c r="L3124" s="924" t="s">
        <v>171</v>
      </c>
      <c r="M3124" s="924" t="s">
        <v>166</v>
      </c>
      <c r="N3124" s="52" t="str">
        <f>IF(AND('331-CT'!$E$7=TH!H3124,OR(L3124="331",M3124="331")),"331",IF(AND(OR(L3124="131",M3124="131"),H3124='131-CT'!$E$7),"131",""))</f>
        <v/>
      </c>
      <c r="O3124" s="818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726"/>
    </row>
    <row r="3125" spans="1:27" s="861" customFormat="1" ht="15.75" customHeight="1">
      <c r="A3125" s="202" t="str">
        <f>IF(B3125&lt;&gt;"",IF(AND(B3125&gt;=_TM1,B3125&lt;=_TM2,OR(TH!L3125="1111",TH!M3125="1111")),TH!D3125,""),"")</f>
        <v/>
      </c>
      <c r="B3125" s="857">
        <f t="shared" si="156"/>
        <v>5</v>
      </c>
      <c r="C3125" s="858">
        <f t="shared" si="157"/>
        <v>42513</v>
      </c>
      <c r="D3125" s="858" t="s">
        <v>1548</v>
      </c>
      <c r="E3125" s="830">
        <v>42513</v>
      </c>
      <c r="F3125" s="925" t="s">
        <v>1032</v>
      </c>
      <c r="G3125" s="832" t="s">
        <v>564</v>
      </c>
      <c r="H3125" s="923" t="s">
        <v>1297</v>
      </c>
      <c r="I3125" s="249">
        <v>60</v>
      </c>
      <c r="J3125" s="249">
        <v>26594.994958261159</v>
      </c>
      <c r="K3125" s="51">
        <f t="shared" si="158"/>
        <v>1595700</v>
      </c>
      <c r="L3125" s="924" t="s">
        <v>171</v>
      </c>
      <c r="M3125" s="924" t="s">
        <v>166</v>
      </c>
      <c r="N3125" s="52" t="str">
        <f>IF(AND('331-CT'!$E$7=TH!H3125,OR(L3125="331",M3125="331")),"331",IF(AND(OR(L3125="131",M3125="131"),H3125='131-CT'!$E$7),"131",""))</f>
        <v/>
      </c>
      <c r="O3125" s="818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726"/>
    </row>
    <row r="3126" spans="1:27" s="861" customFormat="1" ht="15.75" customHeight="1">
      <c r="A3126" s="202" t="str">
        <f>IF(B3126&lt;&gt;"",IF(AND(B3126&gt;=_TM1,B3126&lt;=_TM2,OR(TH!L3126="1111",TH!M3126="1111")),TH!D3126,""),"")</f>
        <v/>
      </c>
      <c r="B3126" s="857">
        <f t="shared" si="156"/>
        <v>5</v>
      </c>
      <c r="C3126" s="858">
        <f t="shared" si="157"/>
        <v>42513</v>
      </c>
      <c r="D3126" s="858" t="s">
        <v>1548</v>
      </c>
      <c r="E3126" s="830">
        <v>42513</v>
      </c>
      <c r="F3126" s="925" t="s">
        <v>1033</v>
      </c>
      <c r="G3126" s="832" t="s">
        <v>564</v>
      </c>
      <c r="H3126" s="923" t="s">
        <v>1297</v>
      </c>
      <c r="I3126" s="249">
        <v>20</v>
      </c>
      <c r="J3126" s="249">
        <v>17985.717744208669</v>
      </c>
      <c r="K3126" s="51">
        <f t="shared" si="158"/>
        <v>359714</v>
      </c>
      <c r="L3126" s="924" t="s">
        <v>171</v>
      </c>
      <c r="M3126" s="924" t="s">
        <v>166</v>
      </c>
      <c r="N3126" s="52" t="str">
        <f>IF(AND('331-CT'!$E$7=TH!H3126,OR(L3126="331",M3126="331")),"331",IF(AND(OR(L3126="131",M3126="131"),H3126='131-CT'!$E$7),"131",""))</f>
        <v/>
      </c>
      <c r="O3126" s="818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726"/>
    </row>
    <row r="3127" spans="1:27" s="861" customFormat="1" ht="15.75" customHeight="1">
      <c r="A3127" s="202" t="str">
        <f>IF(B3127&lt;&gt;"",IF(AND(B3127&gt;=_TM1,B3127&lt;=_TM2,OR(TH!L3127="1111",TH!M3127="1111")),TH!D3127,""),"")</f>
        <v/>
      </c>
      <c r="B3127" s="857">
        <f t="shared" si="156"/>
        <v>5</v>
      </c>
      <c r="C3127" s="858">
        <f t="shared" si="157"/>
        <v>42513</v>
      </c>
      <c r="D3127" s="858" t="s">
        <v>1548</v>
      </c>
      <c r="E3127" s="830">
        <v>42513</v>
      </c>
      <c r="F3127" s="925" t="s">
        <v>1034</v>
      </c>
      <c r="G3127" s="832" t="s">
        <v>564</v>
      </c>
      <c r="H3127" s="923" t="s">
        <v>1297</v>
      </c>
      <c r="I3127" s="249">
        <v>20</v>
      </c>
      <c r="J3127" s="249">
        <v>19434.804007960076</v>
      </c>
      <c r="K3127" s="51">
        <f t="shared" si="158"/>
        <v>388696</v>
      </c>
      <c r="L3127" s="924" t="s">
        <v>171</v>
      </c>
      <c r="M3127" s="924" t="s">
        <v>166</v>
      </c>
      <c r="N3127" s="52" t="str">
        <f>IF(AND('331-CT'!$E$7=TH!H3127,OR(L3127="331",M3127="331")),"331",IF(AND(OR(L3127="131",M3127="131"),H3127='131-CT'!$E$7),"131",""))</f>
        <v/>
      </c>
      <c r="O3127" s="818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726"/>
    </row>
    <row r="3128" spans="1:27" s="861" customFormat="1" ht="15.75" customHeight="1">
      <c r="A3128" s="202" t="str">
        <f>IF(B3128&lt;&gt;"",IF(AND(B3128&gt;=_TM1,B3128&lt;=_TM2,OR(TH!L3128="1111",TH!M3128="1111")),TH!D3128,""),"")</f>
        <v/>
      </c>
      <c r="B3128" s="857">
        <f t="shared" si="156"/>
        <v>5</v>
      </c>
      <c r="C3128" s="858">
        <f t="shared" si="157"/>
        <v>42513</v>
      </c>
      <c r="D3128" s="858" t="s">
        <v>1548</v>
      </c>
      <c r="E3128" s="830">
        <v>42513</v>
      </c>
      <c r="F3128" s="925" t="s">
        <v>1035</v>
      </c>
      <c r="G3128" s="832" t="s">
        <v>564</v>
      </c>
      <c r="H3128" s="923" t="s">
        <v>1297</v>
      </c>
      <c r="I3128" s="249">
        <v>22</v>
      </c>
      <c r="J3128" s="249">
        <v>21480.572850903245</v>
      </c>
      <c r="K3128" s="51">
        <f t="shared" si="158"/>
        <v>472573</v>
      </c>
      <c r="L3128" s="924" t="s">
        <v>171</v>
      </c>
      <c r="M3128" s="924" t="s">
        <v>166</v>
      </c>
      <c r="N3128" s="52" t="str">
        <f>IF(AND('331-CT'!$E$7=TH!H3128,OR(L3128="331",M3128="331")),"331",IF(AND(OR(L3128="131",M3128="131"),H3128='131-CT'!$E$7),"131",""))</f>
        <v/>
      </c>
      <c r="O3128" s="818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726"/>
    </row>
    <row r="3129" spans="1:27" s="861" customFormat="1" ht="15.75" customHeight="1">
      <c r="A3129" s="202" t="str">
        <f>IF(B3129&lt;&gt;"",IF(AND(B3129&gt;=_TM1,B3129&lt;=_TM2,OR(TH!L3129="1111",TH!M3129="1111")),TH!D3129,""),"")</f>
        <v/>
      </c>
      <c r="B3129" s="857">
        <f t="shared" si="156"/>
        <v>5</v>
      </c>
      <c r="C3129" s="858">
        <f t="shared" si="157"/>
        <v>42513</v>
      </c>
      <c r="D3129" s="858" t="s">
        <v>1548</v>
      </c>
      <c r="E3129" s="830">
        <v>42513</v>
      </c>
      <c r="F3129" s="925" t="s">
        <v>1036</v>
      </c>
      <c r="G3129" s="832" t="s">
        <v>564</v>
      </c>
      <c r="H3129" s="923" t="s">
        <v>1297</v>
      </c>
      <c r="I3129" s="249">
        <v>24</v>
      </c>
      <c r="J3129" s="249">
        <v>13212.257110674615</v>
      </c>
      <c r="K3129" s="51">
        <f t="shared" si="158"/>
        <v>317094</v>
      </c>
      <c r="L3129" s="924" t="s">
        <v>171</v>
      </c>
      <c r="M3129" s="924" t="s">
        <v>166</v>
      </c>
      <c r="N3129" s="52" t="str">
        <f>IF(AND('331-CT'!$E$7=TH!H3129,OR(L3129="331",M3129="331")),"331",IF(AND(OR(L3129="131",M3129="131"),H3129='131-CT'!$E$7),"131",""))</f>
        <v/>
      </c>
      <c r="O3129" s="818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726"/>
    </row>
    <row r="3130" spans="1:27" s="861" customFormat="1" ht="15.75" customHeight="1">
      <c r="A3130" s="202" t="str">
        <f>IF(B3130&lt;&gt;"",IF(AND(B3130&gt;=_TM1,B3130&lt;=_TM2,OR(TH!L3130="1111",TH!M3130="1111")),TH!D3130,""),"")</f>
        <v/>
      </c>
      <c r="B3130" s="857">
        <f t="shared" si="156"/>
        <v>5</v>
      </c>
      <c r="C3130" s="858">
        <f t="shared" si="157"/>
        <v>42513</v>
      </c>
      <c r="D3130" s="858" t="s">
        <v>1548</v>
      </c>
      <c r="E3130" s="830">
        <v>42513</v>
      </c>
      <c r="F3130" s="925" t="s">
        <v>1037</v>
      </c>
      <c r="G3130" s="832" t="s">
        <v>564</v>
      </c>
      <c r="H3130" s="923" t="s">
        <v>1297</v>
      </c>
      <c r="I3130" s="249">
        <v>24</v>
      </c>
      <c r="J3130" s="249">
        <v>12359.853426114962</v>
      </c>
      <c r="K3130" s="51">
        <f t="shared" si="158"/>
        <v>296636</v>
      </c>
      <c r="L3130" s="924" t="s">
        <v>171</v>
      </c>
      <c r="M3130" s="924" t="s">
        <v>166</v>
      </c>
      <c r="N3130" s="52" t="str">
        <f>IF(AND('331-CT'!$E$7=TH!H3130,OR(L3130="331",M3130="331")),"331",IF(AND(OR(L3130="131",M3130="131"),H3130='131-CT'!$E$7),"131",""))</f>
        <v/>
      </c>
      <c r="O3130" s="818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726"/>
    </row>
    <row r="3131" spans="1:27" s="861" customFormat="1" ht="15.75" customHeight="1">
      <c r="A3131" s="202" t="str">
        <f>IF(B3131&lt;&gt;"",IF(AND(B3131&gt;=_TM1,B3131&lt;=_TM2,OR(TH!L3131="1111",TH!M3131="1111")),TH!D3131,""),"")</f>
        <v/>
      </c>
      <c r="B3131" s="857">
        <f t="shared" si="156"/>
        <v>5</v>
      </c>
      <c r="C3131" s="858">
        <f t="shared" si="157"/>
        <v>42513</v>
      </c>
      <c r="D3131" s="858" t="s">
        <v>1548</v>
      </c>
      <c r="E3131" s="830">
        <v>42513</v>
      </c>
      <c r="F3131" s="925" t="s">
        <v>1038</v>
      </c>
      <c r="G3131" s="832" t="s">
        <v>564</v>
      </c>
      <c r="H3131" s="923" t="s">
        <v>1297</v>
      </c>
      <c r="I3131" s="249">
        <v>26</v>
      </c>
      <c r="J3131" s="249">
        <v>14917.06447979392</v>
      </c>
      <c r="K3131" s="51">
        <f t="shared" si="158"/>
        <v>387844</v>
      </c>
      <c r="L3131" s="924" t="s">
        <v>171</v>
      </c>
      <c r="M3131" s="924" t="s">
        <v>166</v>
      </c>
      <c r="N3131" s="52" t="str">
        <f>IF(AND('331-CT'!$E$7=TH!H3131,OR(L3131="331",M3131="331")),"331",IF(AND(OR(L3131="131",M3131="131"),H3131='131-CT'!$E$7),"131",""))</f>
        <v/>
      </c>
      <c r="O3131" s="818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726"/>
    </row>
    <row r="3132" spans="1:27" s="861" customFormat="1" ht="15.75" customHeight="1">
      <c r="A3132" s="202" t="str">
        <f>IF(B3132&lt;&gt;"",IF(AND(B3132&gt;=_TM1,B3132&lt;=_TM2,OR(TH!L3132="1111",TH!M3132="1111")),TH!D3132,""),"")</f>
        <v/>
      </c>
      <c r="B3132" s="857">
        <f t="shared" si="156"/>
        <v>5</v>
      </c>
      <c r="C3132" s="858">
        <f t="shared" si="157"/>
        <v>42513</v>
      </c>
      <c r="D3132" s="858" t="s">
        <v>1548</v>
      </c>
      <c r="E3132" s="830">
        <v>42513</v>
      </c>
      <c r="F3132" s="925" t="s">
        <v>610</v>
      </c>
      <c r="G3132" s="832" t="s">
        <v>566</v>
      </c>
      <c r="H3132" s="923" t="s">
        <v>1297</v>
      </c>
      <c r="I3132" s="249">
        <v>158</v>
      </c>
      <c r="J3132" s="249">
        <v>27447.398642820812</v>
      </c>
      <c r="K3132" s="51">
        <f t="shared" si="158"/>
        <v>4336689</v>
      </c>
      <c r="L3132" s="924" t="s">
        <v>171</v>
      </c>
      <c r="M3132" s="924" t="s">
        <v>166</v>
      </c>
      <c r="N3132" s="52" t="str">
        <f>IF(AND('331-CT'!$E$7=TH!H3132,OR(L3132="331",M3132="331")),"331",IF(AND(OR(L3132="131",M3132="131"),H3132='131-CT'!$E$7),"131",""))</f>
        <v/>
      </c>
      <c r="O3132" s="818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726"/>
    </row>
    <row r="3133" spans="1:27" s="861" customFormat="1" ht="15.75" customHeight="1">
      <c r="A3133" s="202" t="str">
        <f>IF(B3133&lt;&gt;"",IF(AND(B3133&gt;=_TM1,B3133&lt;=_TM2,OR(TH!L3133="1111",TH!M3133="1111")),TH!D3133,""),"")</f>
        <v/>
      </c>
      <c r="B3133" s="857">
        <f t="shared" si="156"/>
        <v>5</v>
      </c>
      <c r="C3133" s="858">
        <f t="shared" si="157"/>
        <v>42515</v>
      </c>
      <c r="D3133" s="858" t="s">
        <v>1548</v>
      </c>
      <c r="E3133" s="830">
        <v>42515</v>
      </c>
      <c r="F3133" s="925" t="s">
        <v>1443</v>
      </c>
      <c r="G3133" s="832" t="s">
        <v>1039</v>
      </c>
      <c r="H3133" s="923" t="s">
        <v>1297</v>
      </c>
      <c r="I3133" s="249">
        <v>505</v>
      </c>
      <c r="J3133" s="249">
        <v>8097.8350033166989</v>
      </c>
      <c r="K3133" s="51">
        <f t="shared" si="158"/>
        <v>4089407</v>
      </c>
      <c r="L3133" s="924" t="s">
        <v>171</v>
      </c>
      <c r="M3133" s="924" t="s">
        <v>166</v>
      </c>
      <c r="N3133" s="52" t="str">
        <f>IF(AND('331-CT'!$E$7=TH!H3133,OR(L3133="331",M3133="331")),"331",IF(AND(OR(L3133="131",M3133="131"),H3133='131-CT'!$E$7),"131",""))</f>
        <v/>
      </c>
      <c r="O3133" s="818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726"/>
    </row>
    <row r="3134" spans="1:27" s="861" customFormat="1" ht="15.75" customHeight="1">
      <c r="A3134" s="202" t="str">
        <f>IF(B3134&lt;&gt;"",IF(AND(B3134&gt;=_TM1,B3134&lt;=_TM2,OR(TH!L3134="1111",TH!M3134="1111")),TH!D3134,""),"")</f>
        <v/>
      </c>
      <c r="B3134" s="857">
        <f t="shared" si="156"/>
        <v>5</v>
      </c>
      <c r="C3134" s="858">
        <f t="shared" si="157"/>
        <v>42517</v>
      </c>
      <c r="D3134" s="858" t="s">
        <v>1548</v>
      </c>
      <c r="E3134" s="830">
        <v>42517</v>
      </c>
      <c r="F3134" s="925" t="s">
        <v>436</v>
      </c>
      <c r="G3134" s="832" t="s">
        <v>567</v>
      </c>
      <c r="H3134" s="923" t="s">
        <v>1297</v>
      </c>
      <c r="I3134" s="249">
        <v>1021</v>
      </c>
      <c r="J3134" s="249">
        <v>5796.3450550056377</v>
      </c>
      <c r="K3134" s="51">
        <f t="shared" si="158"/>
        <v>5918068</v>
      </c>
      <c r="L3134" s="924" t="s">
        <v>171</v>
      </c>
      <c r="M3134" s="924" t="s">
        <v>166</v>
      </c>
      <c r="N3134" s="52" t="str">
        <f>IF(AND('331-CT'!$E$7=TH!H3134,OR(L3134="331",M3134="331")),"331",IF(AND(OR(L3134="131",M3134="131"),H3134='131-CT'!$E$7),"131",""))</f>
        <v/>
      </c>
      <c r="O3134" s="818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726"/>
    </row>
    <row r="3135" spans="1:27" s="861" customFormat="1" ht="15.75" customHeight="1">
      <c r="A3135" s="202" t="str">
        <f>IF(B3135&lt;&gt;"",IF(AND(B3135&gt;=_TM1,B3135&lt;=_TM2,OR(TH!L3135="1111",TH!M3135="1111")),TH!D3135,""),"")</f>
        <v/>
      </c>
      <c r="B3135" s="857">
        <f t="shared" si="156"/>
        <v>5</v>
      </c>
      <c r="C3135" s="858">
        <f t="shared" si="157"/>
        <v>42517</v>
      </c>
      <c r="D3135" s="858" t="s">
        <v>1548</v>
      </c>
      <c r="E3135" s="830">
        <v>42517</v>
      </c>
      <c r="F3135" s="925" t="s">
        <v>418</v>
      </c>
      <c r="G3135" s="832" t="s">
        <v>568</v>
      </c>
      <c r="H3135" s="923" t="s">
        <v>1297</v>
      </c>
      <c r="I3135" s="249">
        <v>246</v>
      </c>
      <c r="J3135" s="249">
        <v>61799.267130574808</v>
      </c>
      <c r="K3135" s="51">
        <f t="shared" si="158"/>
        <v>15202620</v>
      </c>
      <c r="L3135" s="924" t="s">
        <v>171</v>
      </c>
      <c r="M3135" s="924" t="s">
        <v>166</v>
      </c>
      <c r="N3135" s="52" t="str">
        <f>IF(AND('331-CT'!$E$7=TH!H3135,OR(L3135="331",M3135="331")),"331",IF(AND(OR(L3135="131",M3135="131"),H3135='131-CT'!$E$7),"131",""))</f>
        <v/>
      </c>
      <c r="O3135" s="818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726"/>
    </row>
    <row r="3136" spans="1:27" s="861" customFormat="1" ht="15.75" customHeight="1">
      <c r="A3136" s="202" t="str">
        <f>IF(B3136&lt;&gt;"",IF(AND(B3136&gt;=_TM1,B3136&lt;=_TM2,OR(TH!L3136="1111",TH!M3136="1111")),TH!D3136,""),"")</f>
        <v/>
      </c>
      <c r="B3136" s="857">
        <f t="shared" si="156"/>
        <v>5</v>
      </c>
      <c r="C3136" s="858">
        <f t="shared" si="157"/>
        <v>42517</v>
      </c>
      <c r="D3136" s="858" t="s">
        <v>1548</v>
      </c>
      <c r="E3136" s="830">
        <v>42517</v>
      </c>
      <c r="F3136" s="925" t="s">
        <v>912</v>
      </c>
      <c r="G3136" s="832" t="s">
        <v>568</v>
      </c>
      <c r="H3136" s="923" t="s">
        <v>1297</v>
      </c>
      <c r="I3136" s="249">
        <v>60</v>
      </c>
      <c r="J3136" s="249">
        <v>64441.718552709732</v>
      </c>
      <c r="K3136" s="51">
        <f t="shared" si="158"/>
        <v>3866503</v>
      </c>
      <c r="L3136" s="924" t="s">
        <v>171</v>
      </c>
      <c r="M3136" s="924" t="s">
        <v>166</v>
      </c>
      <c r="N3136" s="52" t="str">
        <f>IF(AND('331-CT'!$E$7=TH!H3136,OR(L3136="331",M3136="331")),"331",IF(AND(OR(L3136="131",M3136="131"),H3136='131-CT'!$E$7),"131",""))</f>
        <v/>
      </c>
      <c r="O3136" s="818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726"/>
    </row>
    <row r="3137" spans="1:27" s="861" customFormat="1" ht="15.75" customHeight="1">
      <c r="A3137" s="202" t="str">
        <f>IF(B3137&lt;&gt;"",IF(AND(B3137&gt;=_TM1,B3137&lt;=_TM2,OR(TH!L3137="1111",TH!M3137="1111")),TH!D3137,""),"")</f>
        <v/>
      </c>
      <c r="B3137" s="857">
        <f t="shared" si="156"/>
        <v>5</v>
      </c>
      <c r="C3137" s="858">
        <f t="shared" si="157"/>
        <v>42518</v>
      </c>
      <c r="D3137" s="858" t="s">
        <v>1548</v>
      </c>
      <c r="E3137" s="830">
        <v>42518</v>
      </c>
      <c r="F3137" s="925" t="s">
        <v>477</v>
      </c>
      <c r="G3137" s="832" t="s">
        <v>570</v>
      </c>
      <c r="H3137" s="923" t="s">
        <v>1297</v>
      </c>
      <c r="I3137" s="249">
        <v>106</v>
      </c>
      <c r="J3137" s="249">
        <v>7927.3542664047691</v>
      </c>
      <c r="K3137" s="51">
        <f t="shared" si="158"/>
        <v>840300</v>
      </c>
      <c r="L3137" s="924" t="s">
        <v>171</v>
      </c>
      <c r="M3137" s="924" t="s">
        <v>166</v>
      </c>
      <c r="N3137" s="52" t="str">
        <f>IF(AND('331-CT'!$E$7=TH!H3137,OR(L3137="331",M3137="331")),"331",IF(AND(OR(L3137="131",M3137="131"),H3137='131-CT'!$E$7),"131",""))</f>
        <v/>
      </c>
      <c r="O3137" s="818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726"/>
    </row>
    <row r="3138" spans="1:27" s="861" customFormat="1" ht="15.75" customHeight="1">
      <c r="A3138" s="202" t="str">
        <f>IF(B3138&lt;&gt;"",IF(AND(B3138&gt;=_TM1,B3138&lt;=_TM2,OR(TH!L3138="1111",TH!M3138="1111")),TH!D3138,""),"")</f>
        <v/>
      </c>
      <c r="B3138" s="857">
        <f t="shared" si="156"/>
        <v>5</v>
      </c>
      <c r="C3138" s="858">
        <f t="shared" si="157"/>
        <v>42518</v>
      </c>
      <c r="D3138" s="858" t="s">
        <v>1548</v>
      </c>
      <c r="E3138" s="830">
        <v>42518</v>
      </c>
      <c r="F3138" s="925" t="s">
        <v>415</v>
      </c>
      <c r="G3138" s="832" t="s">
        <v>570</v>
      </c>
      <c r="H3138" s="923" t="s">
        <v>1297</v>
      </c>
      <c r="I3138" s="249">
        <v>207</v>
      </c>
      <c r="J3138" s="249">
        <v>11422.209373099344</v>
      </c>
      <c r="K3138" s="51">
        <f t="shared" si="158"/>
        <v>2364397</v>
      </c>
      <c r="L3138" s="924" t="s">
        <v>171</v>
      </c>
      <c r="M3138" s="924" t="s">
        <v>166</v>
      </c>
      <c r="N3138" s="52" t="str">
        <f>IF(AND('331-CT'!$E$7=TH!H3138,OR(L3138="331",M3138="331")),"331",IF(AND(OR(L3138="131",M3138="131"),H3138='131-CT'!$E$7),"131",""))</f>
        <v/>
      </c>
      <c r="O3138" s="818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726"/>
    </row>
    <row r="3139" spans="1:27" s="861" customFormat="1" ht="15.75" customHeight="1">
      <c r="A3139" s="202" t="str">
        <f>IF(B3139&lt;&gt;"",IF(AND(B3139&gt;=_TM1,B3139&lt;=_TM2,OR(TH!L3139="1111",TH!M3139="1111")),TH!D3139,""),"")</f>
        <v/>
      </c>
      <c r="B3139" s="857">
        <f t="shared" si="156"/>
        <v>5</v>
      </c>
      <c r="C3139" s="858">
        <f t="shared" si="157"/>
        <v>42519</v>
      </c>
      <c r="D3139" s="858" t="s">
        <v>1548</v>
      </c>
      <c r="E3139" s="830">
        <v>42519</v>
      </c>
      <c r="F3139" s="925" t="s">
        <v>418</v>
      </c>
      <c r="G3139" s="832" t="s">
        <v>569</v>
      </c>
      <c r="H3139" s="923" t="s">
        <v>1297</v>
      </c>
      <c r="I3139" s="249">
        <v>150</v>
      </c>
      <c r="J3139" s="249">
        <v>61799.267130574808</v>
      </c>
      <c r="K3139" s="51">
        <f t="shared" si="158"/>
        <v>9269890</v>
      </c>
      <c r="L3139" s="924" t="s">
        <v>171</v>
      </c>
      <c r="M3139" s="924" t="s">
        <v>166</v>
      </c>
      <c r="N3139" s="52" t="str">
        <f>IF(AND('331-CT'!$E$7=TH!H3139,OR(L3139="331",M3139="331")),"331",IF(AND(OR(L3139="131",M3139="131"),H3139='131-CT'!$E$7),"131",""))</f>
        <v/>
      </c>
      <c r="O3139" s="818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726"/>
    </row>
    <row r="3140" spans="1:27" s="861" customFormat="1" ht="15.75" customHeight="1">
      <c r="A3140" s="202" t="str">
        <f>IF(B3140&lt;&gt;"",IF(AND(B3140&gt;=_TM1,B3140&lt;=_TM2,OR(TH!L3140="1111",TH!M3140="1111")),TH!D3140,""),"")</f>
        <v/>
      </c>
      <c r="B3140" s="857">
        <f t="shared" si="156"/>
        <v>5</v>
      </c>
      <c r="C3140" s="858">
        <f t="shared" si="157"/>
        <v>42520</v>
      </c>
      <c r="D3140" s="858" t="s">
        <v>1548</v>
      </c>
      <c r="E3140" s="830">
        <v>42520</v>
      </c>
      <c r="F3140" s="925" t="s">
        <v>1040</v>
      </c>
      <c r="G3140" s="832" t="s">
        <v>572</v>
      </c>
      <c r="H3140" s="923" t="s">
        <v>1297</v>
      </c>
      <c r="I3140" s="249">
        <v>306</v>
      </c>
      <c r="J3140" s="249">
        <v>7160.1909503010811</v>
      </c>
      <c r="K3140" s="51">
        <f t="shared" si="158"/>
        <v>2191018</v>
      </c>
      <c r="L3140" s="924" t="s">
        <v>171</v>
      </c>
      <c r="M3140" s="924" t="s">
        <v>166</v>
      </c>
      <c r="N3140" s="52" t="str">
        <f>IF(AND('331-CT'!$E$7=TH!H3140,OR(L3140="331",M3140="331")),"331",IF(AND(OR(L3140="131",M3140="131"),H3140='131-CT'!$E$7),"131",""))</f>
        <v/>
      </c>
      <c r="O3140" s="818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726"/>
    </row>
    <row r="3141" spans="1:27" s="861" customFormat="1" ht="15.75" customHeight="1">
      <c r="A3141" s="202" t="str">
        <f>IF(B3141&lt;&gt;"",IF(AND(B3141&gt;=_TM1,B3141&lt;=_TM2,OR(TH!L3141="1111",TH!M3141="1111")),TH!D3141,""),"")</f>
        <v/>
      </c>
      <c r="B3141" s="857">
        <f t="shared" si="156"/>
        <v>5</v>
      </c>
      <c r="C3141" s="858">
        <f t="shared" si="157"/>
        <v>42520</v>
      </c>
      <c r="D3141" s="858" t="s">
        <v>1548</v>
      </c>
      <c r="E3141" s="830">
        <v>42520</v>
      </c>
      <c r="F3141" s="925" t="s">
        <v>1041</v>
      </c>
      <c r="G3141" s="832" t="s">
        <v>572</v>
      </c>
      <c r="H3141" s="923" t="s">
        <v>1297</v>
      </c>
      <c r="I3141" s="249">
        <v>403</v>
      </c>
      <c r="J3141" s="249">
        <v>6137.3065288294983</v>
      </c>
      <c r="K3141" s="51">
        <f t="shared" si="158"/>
        <v>2473335</v>
      </c>
      <c r="L3141" s="924" t="s">
        <v>171</v>
      </c>
      <c r="M3141" s="924" t="s">
        <v>166</v>
      </c>
      <c r="N3141" s="52" t="str">
        <f>IF(AND('331-CT'!$E$7=TH!H3141,OR(L3141="331",M3141="331")),"331",IF(AND(OR(L3141="131",M3141="131"),H3141='131-CT'!$E$7),"131",""))</f>
        <v/>
      </c>
      <c r="O3141" s="818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726"/>
    </row>
    <row r="3142" spans="1:27" s="861" customFormat="1" ht="15.75" customHeight="1">
      <c r="A3142" s="202" t="str">
        <f>IF(B3142&lt;&gt;"",IF(AND(B3142&gt;=_TM1,B3142&lt;=_TM2,OR(TH!L3142="1111",TH!M3142="1111")),TH!D3142,""),"")</f>
        <v/>
      </c>
      <c r="B3142" s="857">
        <f t="shared" si="156"/>
        <v>5</v>
      </c>
      <c r="C3142" s="858">
        <f t="shared" si="157"/>
        <v>42520</v>
      </c>
      <c r="D3142" s="858" t="s">
        <v>1548</v>
      </c>
      <c r="E3142" s="830">
        <v>42520</v>
      </c>
      <c r="F3142" s="925" t="s">
        <v>1042</v>
      </c>
      <c r="G3142" s="832" t="s">
        <v>572</v>
      </c>
      <c r="H3142" s="923" t="s">
        <v>1297</v>
      </c>
      <c r="I3142" s="249">
        <v>307</v>
      </c>
      <c r="J3142" s="249">
        <v>11677.93047846724</v>
      </c>
      <c r="K3142" s="51">
        <f t="shared" si="158"/>
        <v>3585125</v>
      </c>
      <c r="L3142" s="924" t="s">
        <v>171</v>
      </c>
      <c r="M3142" s="924" t="s">
        <v>166</v>
      </c>
      <c r="N3142" s="52" t="str">
        <f>IF(AND('331-CT'!$E$7=TH!H3142,OR(L3142="331",M3142="331")),"331",IF(AND(OR(L3142="131",M3142="131"),H3142='131-CT'!$E$7),"131",""))</f>
        <v/>
      </c>
      <c r="O3142" s="818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726"/>
    </row>
    <row r="3143" spans="1:27" s="861" customFormat="1" ht="15.75" customHeight="1">
      <c r="A3143" s="202" t="str">
        <f>IF(B3143&lt;&gt;"",IF(AND(B3143&gt;=_TM1,B3143&lt;=_TM2,OR(TH!L3143="1111",TH!M3143="1111")),TH!D3143,""),"")</f>
        <v/>
      </c>
      <c r="B3143" s="857">
        <f t="shared" si="156"/>
        <v>6</v>
      </c>
      <c r="C3143" s="858">
        <f t="shared" si="157"/>
        <v>42522</v>
      </c>
      <c r="D3143" s="858" t="s">
        <v>1548</v>
      </c>
      <c r="E3143" s="830">
        <v>42522</v>
      </c>
      <c r="F3143" s="925" t="s">
        <v>389</v>
      </c>
      <c r="G3143" s="832" t="s">
        <v>573</v>
      </c>
      <c r="H3143" s="923" t="s">
        <v>1297</v>
      </c>
      <c r="I3143" s="249">
        <v>1600</v>
      </c>
      <c r="J3143" s="249">
        <v>6989.7102133891503</v>
      </c>
      <c r="K3143" s="51">
        <f t="shared" si="158"/>
        <v>11183536</v>
      </c>
      <c r="L3143" s="924" t="s">
        <v>171</v>
      </c>
      <c r="M3143" s="924" t="s">
        <v>166</v>
      </c>
      <c r="N3143" s="52" t="str">
        <f>IF(AND('331-CT'!$E$7=TH!H3143,OR(L3143="331",M3143="331")),"331",IF(AND(OR(L3143="131",M3143="131"),H3143='131-CT'!$E$7),"131",""))</f>
        <v/>
      </c>
      <c r="O3143" s="818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726"/>
    </row>
    <row r="3144" spans="1:27" s="861" customFormat="1" ht="15.75" customHeight="1">
      <c r="A3144" s="202" t="str">
        <f>IF(B3144&lt;&gt;"",IF(AND(B3144&gt;=_TM1,B3144&lt;=_TM2,OR(TH!L3144="1111",TH!M3144="1111")),TH!D3144,""),"")</f>
        <v/>
      </c>
      <c r="B3144" s="857">
        <f t="shared" si="156"/>
        <v>6</v>
      </c>
      <c r="C3144" s="858">
        <f t="shared" si="157"/>
        <v>42522</v>
      </c>
      <c r="D3144" s="858" t="s">
        <v>1548</v>
      </c>
      <c r="E3144" s="830">
        <v>42522</v>
      </c>
      <c r="F3144" s="925" t="s">
        <v>441</v>
      </c>
      <c r="G3144" s="832" t="s">
        <v>573</v>
      </c>
      <c r="H3144" s="923" t="s">
        <v>1297</v>
      </c>
      <c r="I3144" s="249">
        <v>750</v>
      </c>
      <c r="J3144" s="249">
        <v>13467.978216042511</v>
      </c>
      <c r="K3144" s="51">
        <f t="shared" si="158"/>
        <v>10100984</v>
      </c>
      <c r="L3144" s="924" t="s">
        <v>171</v>
      </c>
      <c r="M3144" s="924" t="s">
        <v>166</v>
      </c>
      <c r="N3144" s="52" t="str">
        <f>IF(AND('331-CT'!$E$7=TH!H3144,OR(L3144="331",M3144="331")),"331",IF(AND(OR(L3144="131",M3144="131"),H3144='131-CT'!$E$7),"131",""))</f>
        <v/>
      </c>
      <c r="O3144" s="818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726"/>
    </row>
    <row r="3145" spans="1:27" s="861" customFormat="1" ht="15.75" customHeight="1">
      <c r="A3145" s="202" t="str">
        <f>IF(B3145&lt;&gt;"",IF(AND(B3145&gt;=_TM1,B3145&lt;=_TM2,OR(TH!L3145="1111",TH!M3145="1111")),TH!D3145,""),"")</f>
        <v/>
      </c>
      <c r="B3145" s="857">
        <f t="shared" si="156"/>
        <v>6</v>
      </c>
      <c r="C3145" s="858">
        <f t="shared" si="157"/>
        <v>42522</v>
      </c>
      <c r="D3145" s="858" t="s">
        <v>1548</v>
      </c>
      <c r="E3145" s="830">
        <v>42522</v>
      </c>
      <c r="F3145" s="925" t="s">
        <v>418</v>
      </c>
      <c r="G3145" s="832" t="s">
        <v>574</v>
      </c>
      <c r="H3145" s="923" t="s">
        <v>1297</v>
      </c>
      <c r="I3145" s="249">
        <v>170</v>
      </c>
      <c r="J3145" s="249">
        <v>61799.267130574808</v>
      </c>
      <c r="K3145" s="51">
        <f t="shared" si="158"/>
        <v>10505875</v>
      </c>
      <c r="L3145" s="924" t="s">
        <v>171</v>
      </c>
      <c r="M3145" s="924" t="s">
        <v>166</v>
      </c>
      <c r="N3145" s="52" t="str">
        <f>IF(AND('331-CT'!$E$7=TH!H3145,OR(L3145="331",M3145="331")),"331",IF(AND(OR(L3145="131",M3145="131"),H3145='131-CT'!$E$7),"131",""))</f>
        <v/>
      </c>
      <c r="O3145" s="818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726"/>
    </row>
    <row r="3146" spans="1:27" s="861" customFormat="1" ht="15.75" customHeight="1">
      <c r="A3146" s="202" t="str">
        <f>IF(B3146&lt;&gt;"",IF(AND(B3146&gt;=_TM1,B3146&lt;=_TM2,OR(TH!L3146="1111",TH!M3146="1111")),TH!D3146,""),"")</f>
        <v/>
      </c>
      <c r="B3146" s="857">
        <f t="shared" si="156"/>
        <v>6</v>
      </c>
      <c r="C3146" s="858">
        <f t="shared" si="157"/>
        <v>42522</v>
      </c>
      <c r="D3146" s="858" t="s">
        <v>1548</v>
      </c>
      <c r="E3146" s="830">
        <v>42522</v>
      </c>
      <c r="F3146" s="925" t="s">
        <v>933</v>
      </c>
      <c r="G3146" s="832" t="s">
        <v>575</v>
      </c>
      <c r="H3146" s="923" t="s">
        <v>1297</v>
      </c>
      <c r="I3146" s="249">
        <v>245</v>
      </c>
      <c r="J3146" s="249">
        <v>12018.8919522911</v>
      </c>
      <c r="K3146" s="51">
        <f t="shared" si="158"/>
        <v>2944629</v>
      </c>
      <c r="L3146" s="924" t="s">
        <v>171</v>
      </c>
      <c r="M3146" s="924" t="s">
        <v>166</v>
      </c>
      <c r="N3146" s="52" t="str">
        <f>IF(AND('331-CT'!$E$7=TH!H3146,OR(L3146="331",M3146="331")),"331",IF(AND(OR(L3146="131",M3146="131"),H3146='131-CT'!$E$7),"131",""))</f>
        <v/>
      </c>
      <c r="O3146" s="818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726"/>
    </row>
    <row r="3147" spans="1:27" s="861" customFormat="1" ht="15.75" customHeight="1">
      <c r="A3147" s="202" t="str">
        <f>IF(B3147&lt;&gt;"",IF(AND(B3147&gt;=_TM1,B3147&lt;=_TM2,OR(TH!L3147="1111",TH!M3147="1111")),TH!D3147,""),"")</f>
        <v/>
      </c>
      <c r="B3147" s="857">
        <f t="shared" si="156"/>
        <v>6</v>
      </c>
      <c r="C3147" s="858">
        <f t="shared" si="157"/>
        <v>42522</v>
      </c>
      <c r="D3147" s="858" t="s">
        <v>1548</v>
      </c>
      <c r="E3147" s="830">
        <v>42522</v>
      </c>
      <c r="F3147" s="925" t="s">
        <v>407</v>
      </c>
      <c r="G3147" s="832" t="s">
        <v>575</v>
      </c>
      <c r="H3147" s="923" t="s">
        <v>1297</v>
      </c>
      <c r="I3147" s="249">
        <v>35</v>
      </c>
      <c r="J3147" s="249">
        <v>9035.4790563323168</v>
      </c>
      <c r="K3147" s="51">
        <f t="shared" si="158"/>
        <v>316242</v>
      </c>
      <c r="L3147" s="924" t="s">
        <v>171</v>
      </c>
      <c r="M3147" s="924" t="s">
        <v>166</v>
      </c>
      <c r="N3147" s="52" t="str">
        <f>IF(AND('331-CT'!$E$7=TH!H3147,OR(L3147="331",M3147="331")),"331",IF(AND(OR(L3147="131",M3147="131"),H3147='131-CT'!$E$7),"131",""))</f>
        <v/>
      </c>
      <c r="O3147" s="818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726"/>
    </row>
    <row r="3148" spans="1:27" s="861" customFormat="1" ht="15.75" customHeight="1">
      <c r="A3148" s="202" t="str">
        <f>IF(B3148&lt;&gt;"",IF(AND(B3148&gt;=_TM1,B3148&lt;=_TM2,OR(TH!L3148="1111",TH!M3148="1111")),TH!D3148,""),"")</f>
        <v/>
      </c>
      <c r="B3148" s="857">
        <f t="shared" si="156"/>
        <v>6</v>
      </c>
      <c r="C3148" s="858">
        <f t="shared" si="157"/>
        <v>42522</v>
      </c>
      <c r="D3148" s="858" t="s">
        <v>1548</v>
      </c>
      <c r="E3148" s="830">
        <v>42522</v>
      </c>
      <c r="F3148" s="925" t="s">
        <v>1044</v>
      </c>
      <c r="G3148" s="832" t="s">
        <v>575</v>
      </c>
      <c r="H3148" s="923" t="s">
        <v>1297</v>
      </c>
      <c r="I3148" s="249">
        <v>24</v>
      </c>
      <c r="J3148" s="249">
        <v>10484.565320083726</v>
      </c>
      <c r="K3148" s="51">
        <f t="shared" si="158"/>
        <v>251630</v>
      </c>
      <c r="L3148" s="924" t="s">
        <v>171</v>
      </c>
      <c r="M3148" s="924" t="s">
        <v>166</v>
      </c>
      <c r="N3148" s="52" t="str">
        <f>IF(AND('331-CT'!$E$7=TH!H3148,OR(L3148="331",M3148="331")),"331",IF(AND(OR(L3148="131",M3148="131"),H3148='131-CT'!$E$7),"131",""))</f>
        <v/>
      </c>
      <c r="O3148" s="818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726"/>
    </row>
    <row r="3149" spans="1:27" s="861" customFormat="1" ht="15.75" customHeight="1">
      <c r="A3149" s="202" t="str">
        <f>IF(B3149&lt;&gt;"",IF(AND(B3149&gt;=_TM1,B3149&lt;=_TM2,OR(TH!L3149="1111",TH!M3149="1111")),TH!D3149,""),"")</f>
        <v/>
      </c>
      <c r="B3149" s="857">
        <f t="shared" si="156"/>
        <v>6</v>
      </c>
      <c r="C3149" s="858">
        <f t="shared" si="157"/>
        <v>42522</v>
      </c>
      <c r="D3149" s="858" t="s">
        <v>1548</v>
      </c>
      <c r="E3149" s="830">
        <v>42522</v>
      </c>
      <c r="F3149" s="925" t="s">
        <v>933</v>
      </c>
      <c r="G3149" s="832" t="s">
        <v>575</v>
      </c>
      <c r="H3149" s="923" t="s">
        <v>1297</v>
      </c>
      <c r="I3149" s="249">
        <v>13</v>
      </c>
      <c r="J3149" s="249">
        <v>12018.8919522911</v>
      </c>
      <c r="K3149" s="51">
        <f t="shared" si="158"/>
        <v>156246</v>
      </c>
      <c r="L3149" s="924" t="s">
        <v>171</v>
      </c>
      <c r="M3149" s="924" t="s">
        <v>166</v>
      </c>
      <c r="N3149" s="52" t="str">
        <f>IF(AND('331-CT'!$E$7=TH!H3149,OR(L3149="331",M3149="331")),"331",IF(AND(OR(L3149="131",M3149="131"),H3149='131-CT'!$E$7),"131",""))</f>
        <v/>
      </c>
      <c r="O3149" s="818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726"/>
    </row>
    <row r="3150" spans="1:27" s="861" customFormat="1" ht="15.75" customHeight="1">
      <c r="A3150" s="202" t="str">
        <f>IF(B3150&lt;&gt;"",IF(AND(B3150&gt;=_TM1,B3150&lt;=_TM2,OR(TH!L3150="1111",TH!M3150="1111")),TH!D3150,""),"")</f>
        <v/>
      </c>
      <c r="B3150" s="857">
        <f t="shared" si="156"/>
        <v>6</v>
      </c>
      <c r="C3150" s="858">
        <f t="shared" si="157"/>
        <v>42522</v>
      </c>
      <c r="D3150" s="858" t="s">
        <v>1548</v>
      </c>
      <c r="E3150" s="830">
        <v>42522</v>
      </c>
      <c r="F3150" s="925" t="s">
        <v>1045</v>
      </c>
      <c r="G3150" s="832" t="s">
        <v>575</v>
      </c>
      <c r="H3150" s="923" t="s">
        <v>1297</v>
      </c>
      <c r="I3150" s="249">
        <v>90</v>
      </c>
      <c r="J3150" s="249">
        <v>10569.805688539691</v>
      </c>
      <c r="K3150" s="51">
        <f t="shared" si="158"/>
        <v>951283</v>
      </c>
      <c r="L3150" s="924" t="s">
        <v>171</v>
      </c>
      <c r="M3150" s="924" t="s">
        <v>166</v>
      </c>
      <c r="N3150" s="52" t="str">
        <f>IF(AND('331-CT'!$E$7=TH!H3150,OR(L3150="331",M3150="331")),"331",IF(AND(OR(L3150="131",M3150="131"),H3150='131-CT'!$E$7),"131",""))</f>
        <v/>
      </c>
      <c r="O3150" s="818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726"/>
    </row>
    <row r="3151" spans="1:27" s="861" customFormat="1" ht="15.75" customHeight="1">
      <c r="A3151" s="202" t="str">
        <f>IF(B3151&lt;&gt;"",IF(AND(B3151&gt;=_TM1,B3151&lt;=_TM2,OR(TH!L3151="1111",TH!M3151="1111")),TH!D3151,""),"")</f>
        <v/>
      </c>
      <c r="B3151" s="857">
        <f t="shared" si="156"/>
        <v>6</v>
      </c>
      <c r="C3151" s="858">
        <f t="shared" si="157"/>
        <v>42522</v>
      </c>
      <c r="D3151" s="858" t="s">
        <v>1548</v>
      </c>
      <c r="E3151" s="830">
        <v>42522</v>
      </c>
      <c r="F3151" s="925" t="s">
        <v>1046</v>
      </c>
      <c r="G3151" s="832" t="s">
        <v>575</v>
      </c>
      <c r="H3151" s="923" t="s">
        <v>1297</v>
      </c>
      <c r="I3151" s="249">
        <v>24</v>
      </c>
      <c r="J3151" s="249">
        <v>6989.7102133891503</v>
      </c>
      <c r="K3151" s="51">
        <f t="shared" si="158"/>
        <v>167753</v>
      </c>
      <c r="L3151" s="924" t="s">
        <v>171</v>
      </c>
      <c r="M3151" s="924" t="s">
        <v>166</v>
      </c>
      <c r="N3151" s="52" t="str">
        <f>IF(AND('331-CT'!$E$7=TH!H3151,OR(L3151="331",M3151="331")),"331",IF(AND(OR(L3151="131",M3151="131"),H3151='131-CT'!$E$7),"131",""))</f>
        <v/>
      </c>
      <c r="O3151" s="818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726"/>
    </row>
    <row r="3152" spans="1:27" s="861" customFormat="1" ht="15.75" customHeight="1">
      <c r="A3152" s="202" t="str">
        <f>IF(B3152&lt;&gt;"",IF(AND(B3152&gt;=_TM1,B3152&lt;=_TM2,OR(TH!L3152="1111",TH!M3152="1111")),TH!D3152,""),"")</f>
        <v/>
      </c>
      <c r="B3152" s="857">
        <f t="shared" si="156"/>
        <v>6</v>
      </c>
      <c r="C3152" s="858">
        <f t="shared" si="157"/>
        <v>42522</v>
      </c>
      <c r="D3152" s="858" t="s">
        <v>1548</v>
      </c>
      <c r="E3152" s="830">
        <v>42522</v>
      </c>
      <c r="F3152" s="925" t="s">
        <v>1047</v>
      </c>
      <c r="G3152" s="832" t="s">
        <v>575</v>
      </c>
      <c r="H3152" s="923" t="s">
        <v>1297</v>
      </c>
      <c r="I3152" s="249">
        <v>90</v>
      </c>
      <c r="J3152" s="249">
        <v>11848.41121537917</v>
      </c>
      <c r="K3152" s="51">
        <f t="shared" si="158"/>
        <v>1066357</v>
      </c>
      <c r="L3152" s="924" t="s">
        <v>171</v>
      </c>
      <c r="M3152" s="924" t="s">
        <v>166</v>
      </c>
      <c r="N3152" s="52" t="str">
        <f>IF(AND('331-CT'!$E$7=TH!H3152,OR(L3152="331",M3152="331")),"331",IF(AND(OR(L3152="131",M3152="131"),H3152='131-CT'!$E$7),"131",""))</f>
        <v/>
      </c>
      <c r="O3152" s="818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726"/>
    </row>
    <row r="3153" spans="1:27" s="861" customFormat="1" ht="15.75" customHeight="1">
      <c r="A3153" s="202" t="str">
        <f>IF(B3153&lt;&gt;"",IF(AND(B3153&gt;=_TM1,B3153&lt;=_TM2,OR(TH!L3153="1111",TH!M3153="1111")),TH!D3153,""),"")</f>
        <v/>
      </c>
      <c r="B3153" s="857">
        <f t="shared" si="156"/>
        <v>6</v>
      </c>
      <c r="C3153" s="858">
        <f t="shared" si="157"/>
        <v>42522</v>
      </c>
      <c r="D3153" s="858" t="s">
        <v>1548</v>
      </c>
      <c r="E3153" s="830">
        <v>42522</v>
      </c>
      <c r="F3153" s="925" t="s">
        <v>1048</v>
      </c>
      <c r="G3153" s="832" t="s">
        <v>575</v>
      </c>
      <c r="H3153" s="923" t="s">
        <v>1297</v>
      </c>
      <c r="I3153" s="249">
        <v>55</v>
      </c>
      <c r="J3153" s="249">
        <v>9973.1231093479346</v>
      </c>
      <c r="K3153" s="51">
        <f t="shared" si="158"/>
        <v>548522</v>
      </c>
      <c r="L3153" s="924" t="s">
        <v>171</v>
      </c>
      <c r="M3153" s="924" t="s">
        <v>166</v>
      </c>
      <c r="N3153" s="52" t="str">
        <f>IF(AND('331-CT'!$E$7=TH!H3153,OR(L3153="331",M3153="331")),"331",IF(AND(OR(L3153="131",M3153="131"),H3153='131-CT'!$E$7),"131",""))</f>
        <v/>
      </c>
      <c r="O3153" s="818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726"/>
    </row>
    <row r="3154" spans="1:27" s="861" customFormat="1" ht="15.75" customHeight="1">
      <c r="A3154" s="202" t="str">
        <f>IF(B3154&lt;&gt;"",IF(AND(B3154&gt;=_TM1,B3154&lt;=_TM2,OR(TH!L3154="1111",TH!M3154="1111")),TH!D3154,""),"")</f>
        <v/>
      </c>
      <c r="B3154" s="857">
        <f t="shared" si="156"/>
        <v>6</v>
      </c>
      <c r="C3154" s="858">
        <f t="shared" si="157"/>
        <v>42522</v>
      </c>
      <c r="D3154" s="858" t="s">
        <v>1548</v>
      </c>
      <c r="E3154" s="830">
        <v>42522</v>
      </c>
      <c r="F3154" s="925" t="s">
        <v>1049</v>
      </c>
      <c r="G3154" s="832" t="s">
        <v>575</v>
      </c>
      <c r="H3154" s="923" t="s">
        <v>1297</v>
      </c>
      <c r="I3154" s="249">
        <v>210</v>
      </c>
      <c r="J3154" s="249">
        <v>13723.699321410406</v>
      </c>
      <c r="K3154" s="51">
        <f t="shared" si="158"/>
        <v>2881977</v>
      </c>
      <c r="L3154" s="924" t="s">
        <v>171</v>
      </c>
      <c r="M3154" s="924" t="s">
        <v>166</v>
      </c>
      <c r="N3154" s="52" t="str">
        <f>IF(AND('331-CT'!$E$7=TH!H3154,OR(L3154="331",M3154="331")),"331",IF(AND(OR(L3154="131",M3154="131"),H3154='131-CT'!$E$7),"131",""))</f>
        <v/>
      </c>
      <c r="O3154" s="818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726"/>
    </row>
    <row r="3155" spans="1:27" s="861" customFormat="1" ht="15.75" customHeight="1">
      <c r="A3155" s="202" t="str">
        <f>IF(B3155&lt;&gt;"",IF(AND(B3155&gt;=_TM1,B3155&lt;=_TM2,OR(TH!L3155="1111",TH!M3155="1111")),TH!D3155,""),"")</f>
        <v/>
      </c>
      <c r="B3155" s="857">
        <f t="shared" si="156"/>
        <v>6</v>
      </c>
      <c r="C3155" s="858">
        <f t="shared" si="157"/>
        <v>42522</v>
      </c>
      <c r="D3155" s="858" t="s">
        <v>1548</v>
      </c>
      <c r="E3155" s="830">
        <v>42522</v>
      </c>
      <c r="F3155" s="925" t="s">
        <v>1050</v>
      </c>
      <c r="G3155" s="832" t="s">
        <v>576</v>
      </c>
      <c r="H3155" s="923" t="s">
        <v>1297</v>
      </c>
      <c r="I3155" s="249">
        <v>210</v>
      </c>
      <c r="J3155" s="249">
        <v>9376.4405301561783</v>
      </c>
      <c r="K3155" s="51">
        <f t="shared" si="158"/>
        <v>1969053</v>
      </c>
      <c r="L3155" s="924" t="s">
        <v>171</v>
      </c>
      <c r="M3155" s="924" t="s">
        <v>166</v>
      </c>
      <c r="N3155" s="52" t="str">
        <f>IF(AND('331-CT'!$E$7=TH!H3155,OR(L3155="331",M3155="331")),"331",IF(AND(OR(L3155="131",M3155="131"),H3155='131-CT'!$E$7),"131",""))</f>
        <v/>
      </c>
      <c r="O3155" s="818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726"/>
    </row>
    <row r="3156" spans="1:27" s="861" customFormat="1" ht="15.75" customHeight="1">
      <c r="A3156" s="202" t="str">
        <f>IF(B3156&lt;&gt;"",IF(AND(B3156&gt;=_TM1,B3156&lt;=_TM2,OR(TH!L3156="1111",TH!M3156="1111")),TH!D3156,""),"")</f>
        <v/>
      </c>
      <c r="B3156" s="857">
        <f t="shared" si="156"/>
        <v>6</v>
      </c>
      <c r="C3156" s="858">
        <f t="shared" si="157"/>
        <v>42522</v>
      </c>
      <c r="D3156" s="858" t="s">
        <v>1548</v>
      </c>
      <c r="E3156" s="830">
        <v>42522</v>
      </c>
      <c r="F3156" s="925" t="s">
        <v>474</v>
      </c>
      <c r="G3156" s="832" t="s">
        <v>576</v>
      </c>
      <c r="H3156" s="923" t="s">
        <v>1297</v>
      </c>
      <c r="I3156" s="249">
        <v>204</v>
      </c>
      <c r="J3156" s="249">
        <v>10910.767162363552</v>
      </c>
      <c r="K3156" s="51">
        <f t="shared" si="158"/>
        <v>2225797</v>
      </c>
      <c r="L3156" s="924" t="s">
        <v>171</v>
      </c>
      <c r="M3156" s="924" t="s">
        <v>166</v>
      </c>
      <c r="N3156" s="52" t="str">
        <f>IF(AND('331-CT'!$E$7=TH!H3156,OR(L3156="331",M3156="331")),"331",IF(AND(OR(L3156="131",M3156="131"),H3156='131-CT'!$E$7),"131",""))</f>
        <v/>
      </c>
      <c r="O3156" s="818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726"/>
    </row>
    <row r="3157" spans="1:27" s="861" customFormat="1" ht="15.75" customHeight="1">
      <c r="A3157" s="202" t="str">
        <f>IF(B3157&lt;&gt;"",IF(AND(B3157&gt;=_TM1,B3157&lt;=_TM2,OR(TH!L3157="1111",TH!M3157="1111")),TH!D3157,""),"")</f>
        <v/>
      </c>
      <c r="B3157" s="857">
        <f t="shared" si="156"/>
        <v>6</v>
      </c>
      <c r="C3157" s="858">
        <f t="shared" si="157"/>
        <v>42522</v>
      </c>
      <c r="D3157" s="858" t="s">
        <v>1548</v>
      </c>
      <c r="E3157" s="830">
        <v>42522</v>
      </c>
      <c r="F3157" s="925" t="s">
        <v>438</v>
      </c>
      <c r="G3157" s="832" t="s">
        <v>577</v>
      </c>
      <c r="H3157" s="923" t="s">
        <v>1297</v>
      </c>
      <c r="I3157" s="249">
        <v>220</v>
      </c>
      <c r="J3157" s="249">
        <v>5966.8257919175676</v>
      </c>
      <c r="K3157" s="51">
        <f t="shared" si="158"/>
        <v>1312702</v>
      </c>
      <c r="L3157" s="924" t="s">
        <v>171</v>
      </c>
      <c r="M3157" s="924" t="s">
        <v>166</v>
      </c>
      <c r="N3157" s="52" t="str">
        <f>IF(AND('331-CT'!$E$7=TH!H3157,OR(L3157="331",M3157="331")),"331",IF(AND(OR(L3157="131",M3157="131"),H3157='131-CT'!$E$7),"131",""))</f>
        <v/>
      </c>
      <c r="O3157" s="818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726"/>
    </row>
    <row r="3158" spans="1:27" s="861" customFormat="1" ht="15.75" customHeight="1">
      <c r="A3158" s="202" t="str">
        <f>IF(B3158&lt;&gt;"",IF(AND(B3158&gt;=_TM1,B3158&lt;=_TM2,OR(TH!L3158="1111",TH!M3158="1111")),TH!D3158,""),"")</f>
        <v/>
      </c>
      <c r="B3158" s="857">
        <f t="shared" ref="B3158:B3221" si="159">IF(C3158&lt;&gt;"",MONTH(C3158),"")</f>
        <v>6</v>
      </c>
      <c r="C3158" s="858">
        <f t="shared" si="157"/>
        <v>42527</v>
      </c>
      <c r="D3158" s="858" t="s">
        <v>1548</v>
      </c>
      <c r="E3158" s="830">
        <v>42527</v>
      </c>
      <c r="F3158" s="925" t="s">
        <v>414</v>
      </c>
      <c r="G3158" s="832" t="s">
        <v>578</v>
      </c>
      <c r="H3158" s="923" t="s">
        <v>1297</v>
      </c>
      <c r="I3158" s="249">
        <v>780</v>
      </c>
      <c r="J3158" s="249">
        <v>7756.8735294928383</v>
      </c>
      <c r="K3158" s="51">
        <f t="shared" si="158"/>
        <v>6050361</v>
      </c>
      <c r="L3158" s="924" t="s">
        <v>171</v>
      </c>
      <c r="M3158" s="924" t="s">
        <v>166</v>
      </c>
      <c r="N3158" s="52" t="str">
        <f>IF(AND('331-CT'!$E$7=TH!H3158,OR(L3158="331",M3158="331")),"331",IF(AND(OR(L3158="131",M3158="131"),H3158='131-CT'!$E$7),"131",""))</f>
        <v/>
      </c>
      <c r="O3158" s="818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726"/>
    </row>
    <row r="3159" spans="1:27" s="861" customFormat="1" ht="15.75" customHeight="1">
      <c r="A3159" s="202" t="str">
        <f>IF(B3159&lt;&gt;"",IF(AND(B3159&gt;=_TM1,B3159&lt;=_TM2,OR(TH!L3159="1111",TH!M3159="1111")),TH!D3159,""),"")</f>
        <v/>
      </c>
      <c r="B3159" s="857">
        <f t="shared" si="159"/>
        <v>6</v>
      </c>
      <c r="C3159" s="858">
        <f t="shared" si="157"/>
        <v>42527</v>
      </c>
      <c r="D3159" s="858" t="s">
        <v>1548</v>
      </c>
      <c r="E3159" s="830">
        <v>42527</v>
      </c>
      <c r="F3159" s="925" t="s">
        <v>646</v>
      </c>
      <c r="G3159" s="832" t="s">
        <v>579</v>
      </c>
      <c r="H3159" s="923" t="s">
        <v>1297</v>
      </c>
      <c r="I3159" s="249">
        <v>2000</v>
      </c>
      <c r="J3159" s="249">
        <v>6733.9891080212556</v>
      </c>
      <c r="K3159" s="51">
        <f t="shared" si="158"/>
        <v>13467978</v>
      </c>
      <c r="L3159" s="924" t="s">
        <v>171</v>
      </c>
      <c r="M3159" s="924" t="s">
        <v>166</v>
      </c>
      <c r="N3159" s="52" t="str">
        <f>IF(AND('331-CT'!$E$7=TH!H3159,OR(L3159="331",M3159="331")),"331",IF(AND(OR(L3159="131",M3159="131"),H3159='131-CT'!$E$7),"131",""))</f>
        <v/>
      </c>
      <c r="O3159" s="818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726"/>
    </row>
    <row r="3160" spans="1:27" s="861" customFormat="1" ht="15.75" customHeight="1">
      <c r="A3160" s="202" t="str">
        <f>IF(B3160&lt;&gt;"",IF(AND(B3160&gt;=_TM1,B3160&lt;=_TM2,OR(TH!L3160="1111",TH!M3160="1111")),TH!D3160,""),"")</f>
        <v/>
      </c>
      <c r="B3160" s="857">
        <f t="shared" si="159"/>
        <v>6</v>
      </c>
      <c r="C3160" s="858">
        <f t="shared" si="157"/>
        <v>42527</v>
      </c>
      <c r="D3160" s="858" t="s">
        <v>1548</v>
      </c>
      <c r="E3160" s="830">
        <v>42527</v>
      </c>
      <c r="F3160" s="925" t="s">
        <v>436</v>
      </c>
      <c r="G3160" s="832" t="s">
        <v>1051</v>
      </c>
      <c r="H3160" s="923" t="s">
        <v>1297</v>
      </c>
      <c r="I3160" s="249">
        <v>517</v>
      </c>
      <c r="J3160" s="249">
        <v>5796.3450550056377</v>
      </c>
      <c r="K3160" s="51">
        <f t="shared" si="158"/>
        <v>2996710</v>
      </c>
      <c r="L3160" s="924" t="s">
        <v>171</v>
      </c>
      <c r="M3160" s="924" t="s">
        <v>166</v>
      </c>
      <c r="N3160" s="52" t="str">
        <f>IF(AND('331-CT'!$E$7=TH!H3160,OR(L3160="331",M3160="331")),"331",IF(AND(OR(L3160="131",M3160="131"),H3160='131-CT'!$E$7),"131",""))</f>
        <v/>
      </c>
      <c r="O3160" s="818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726"/>
    </row>
    <row r="3161" spans="1:27" s="861" customFormat="1" ht="15.75" customHeight="1">
      <c r="A3161" s="202" t="str">
        <f>IF(B3161&lt;&gt;"",IF(AND(B3161&gt;=_TM1,B3161&lt;=_TM2,OR(TH!L3161="1111",TH!M3161="1111")),TH!D3161,""),"")</f>
        <v/>
      </c>
      <c r="B3161" s="857">
        <f t="shared" si="159"/>
        <v>6</v>
      </c>
      <c r="C3161" s="858">
        <f t="shared" si="157"/>
        <v>42528</v>
      </c>
      <c r="D3161" s="858" t="s">
        <v>1548</v>
      </c>
      <c r="E3161" s="830">
        <v>42528</v>
      </c>
      <c r="F3161" s="925" t="s">
        <v>627</v>
      </c>
      <c r="G3161" s="832" t="s">
        <v>580</v>
      </c>
      <c r="H3161" s="923" t="s">
        <v>1297</v>
      </c>
      <c r="I3161" s="249">
        <v>308</v>
      </c>
      <c r="J3161" s="249">
        <v>6393.027634197394</v>
      </c>
      <c r="K3161" s="51">
        <f t="shared" si="158"/>
        <v>1969053</v>
      </c>
      <c r="L3161" s="924" t="s">
        <v>171</v>
      </c>
      <c r="M3161" s="924" t="s">
        <v>166</v>
      </c>
      <c r="N3161" s="52" t="str">
        <f>IF(AND('331-CT'!$E$7=TH!H3161,OR(L3161="331",M3161="331")),"331",IF(AND(OR(L3161="131",M3161="131"),H3161='131-CT'!$E$7),"131",""))</f>
        <v/>
      </c>
      <c r="O3161" s="818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726"/>
    </row>
    <row r="3162" spans="1:27" s="861" customFormat="1" ht="15.75" customHeight="1">
      <c r="A3162" s="202" t="str">
        <f>IF(B3162&lt;&gt;"",IF(AND(B3162&gt;=_TM1,B3162&lt;=_TM2,OR(TH!L3162="1111",TH!M3162="1111")),TH!D3162,""),"")</f>
        <v/>
      </c>
      <c r="B3162" s="857">
        <f t="shared" si="159"/>
        <v>6</v>
      </c>
      <c r="C3162" s="858">
        <f t="shared" si="157"/>
        <v>42528</v>
      </c>
      <c r="D3162" s="858" t="s">
        <v>1548</v>
      </c>
      <c r="E3162" s="830">
        <v>42528</v>
      </c>
      <c r="F3162" s="925" t="s">
        <v>400</v>
      </c>
      <c r="G3162" s="832" t="s">
        <v>580</v>
      </c>
      <c r="H3162" s="923" t="s">
        <v>1297</v>
      </c>
      <c r="I3162" s="249">
        <v>308</v>
      </c>
      <c r="J3162" s="249">
        <v>8097.8350033166989</v>
      </c>
      <c r="K3162" s="51">
        <f t="shared" si="158"/>
        <v>2494133</v>
      </c>
      <c r="L3162" s="924" t="s">
        <v>171</v>
      </c>
      <c r="M3162" s="924" t="s">
        <v>166</v>
      </c>
      <c r="N3162" s="52" t="str">
        <f>IF(AND('331-CT'!$E$7=TH!H3162,OR(L3162="331",M3162="331")),"331",IF(AND(OR(L3162="131",M3162="131"),H3162='131-CT'!$E$7),"131",""))</f>
        <v/>
      </c>
      <c r="O3162" s="818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726"/>
    </row>
    <row r="3163" spans="1:27" s="861" customFormat="1" ht="15.75" customHeight="1">
      <c r="A3163" s="202" t="str">
        <f>IF(B3163&lt;&gt;"",IF(AND(B3163&gt;=_TM1,B3163&lt;=_TM2,OR(TH!L3163="1111",TH!M3163="1111")),TH!D3163,""),"")</f>
        <v/>
      </c>
      <c r="B3163" s="857">
        <f t="shared" si="159"/>
        <v>6</v>
      </c>
      <c r="C3163" s="858">
        <f t="shared" ref="C3163:C3226" si="160">E3163</f>
        <v>42529</v>
      </c>
      <c r="D3163" s="858" t="s">
        <v>1548</v>
      </c>
      <c r="E3163" s="830">
        <v>42529</v>
      </c>
      <c r="F3163" s="925" t="s">
        <v>436</v>
      </c>
      <c r="G3163" s="832" t="s">
        <v>581</v>
      </c>
      <c r="H3163" s="923" t="s">
        <v>1297</v>
      </c>
      <c r="I3163" s="249">
        <v>1023</v>
      </c>
      <c r="J3163" s="249">
        <v>5796.3450550056377</v>
      </c>
      <c r="K3163" s="51">
        <f t="shared" si="158"/>
        <v>5929661</v>
      </c>
      <c r="L3163" s="924" t="s">
        <v>171</v>
      </c>
      <c r="M3163" s="924" t="s">
        <v>166</v>
      </c>
      <c r="N3163" s="52" t="str">
        <f>IF(AND('331-CT'!$E$7=TH!H3163,OR(L3163="331",M3163="331")),"331",IF(AND(OR(L3163="131",M3163="131"),H3163='131-CT'!$E$7),"131",""))</f>
        <v/>
      </c>
      <c r="O3163" s="818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726"/>
    </row>
    <row r="3164" spans="1:27" s="861" customFormat="1" ht="15.75" customHeight="1">
      <c r="A3164" s="202" t="str">
        <f>IF(B3164&lt;&gt;"",IF(AND(B3164&gt;=_TM1,B3164&lt;=_TM2,OR(TH!L3164="1111",TH!M3164="1111")),TH!D3164,""),"")</f>
        <v/>
      </c>
      <c r="B3164" s="857">
        <f t="shared" si="159"/>
        <v>6</v>
      </c>
      <c r="C3164" s="858">
        <f t="shared" si="160"/>
        <v>42530</v>
      </c>
      <c r="D3164" s="858" t="s">
        <v>1548</v>
      </c>
      <c r="E3164" s="830">
        <v>42530</v>
      </c>
      <c r="F3164" s="925" t="s">
        <v>1052</v>
      </c>
      <c r="G3164" s="832" t="s">
        <v>582</v>
      </c>
      <c r="H3164" s="923" t="s">
        <v>1297</v>
      </c>
      <c r="I3164" s="249">
        <v>1010</v>
      </c>
      <c r="J3164" s="249">
        <v>11166.488267731449</v>
      </c>
      <c r="K3164" s="51">
        <f t="shared" ref="K3164:K3227" si="161">ROUND(I3164*J3164,0)</f>
        <v>11278153</v>
      </c>
      <c r="L3164" s="924" t="s">
        <v>171</v>
      </c>
      <c r="M3164" s="924" t="s">
        <v>166</v>
      </c>
      <c r="N3164" s="52" t="str">
        <f>IF(AND('331-CT'!$E$7=TH!H3164,OR(L3164="331",M3164="331")),"331",IF(AND(OR(L3164="131",M3164="131"),H3164='131-CT'!$E$7),"131",""))</f>
        <v/>
      </c>
      <c r="O3164" s="818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726"/>
    </row>
    <row r="3165" spans="1:27" s="861" customFormat="1" ht="15.75" customHeight="1">
      <c r="A3165" s="202" t="str">
        <f>IF(B3165&lt;&gt;"",IF(AND(B3165&gt;=_TM1,B3165&lt;=_TM2,OR(TH!L3165="1111",TH!M3165="1111")),TH!D3165,""),"")</f>
        <v/>
      </c>
      <c r="B3165" s="857">
        <f t="shared" si="159"/>
        <v>6</v>
      </c>
      <c r="C3165" s="858">
        <f t="shared" si="160"/>
        <v>42530</v>
      </c>
      <c r="D3165" s="858" t="s">
        <v>1548</v>
      </c>
      <c r="E3165" s="830">
        <v>42530</v>
      </c>
      <c r="F3165" s="925" t="s">
        <v>645</v>
      </c>
      <c r="G3165" s="832" t="s">
        <v>582</v>
      </c>
      <c r="H3165" s="923" t="s">
        <v>1297</v>
      </c>
      <c r="I3165" s="249">
        <v>50</v>
      </c>
      <c r="J3165" s="249">
        <v>11166.488267731449</v>
      </c>
      <c r="K3165" s="51">
        <f t="shared" si="161"/>
        <v>558324</v>
      </c>
      <c r="L3165" s="924" t="s">
        <v>171</v>
      </c>
      <c r="M3165" s="924" t="s">
        <v>166</v>
      </c>
      <c r="N3165" s="52" t="str">
        <f>IF(AND('331-CT'!$E$7=TH!H3165,OR(L3165="331",M3165="331")),"331",IF(AND(OR(L3165="131",M3165="131"),H3165='131-CT'!$E$7),"131",""))</f>
        <v/>
      </c>
      <c r="O3165" s="818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726"/>
    </row>
    <row r="3166" spans="1:27" s="861" customFormat="1" ht="15.75" customHeight="1">
      <c r="A3166" s="202" t="str">
        <f>IF(B3166&lt;&gt;"",IF(AND(B3166&gt;=_TM1,B3166&lt;=_TM2,OR(TH!L3166="1111",TH!M3166="1111")),TH!D3166,""),"")</f>
        <v/>
      </c>
      <c r="B3166" s="857">
        <f t="shared" si="159"/>
        <v>6</v>
      </c>
      <c r="C3166" s="858">
        <f t="shared" si="160"/>
        <v>42530</v>
      </c>
      <c r="D3166" s="858" t="s">
        <v>1548</v>
      </c>
      <c r="E3166" s="830">
        <v>42530</v>
      </c>
      <c r="F3166" s="925" t="s">
        <v>693</v>
      </c>
      <c r="G3166" s="832" t="s">
        <v>582</v>
      </c>
      <c r="H3166" s="923" t="s">
        <v>1297</v>
      </c>
      <c r="I3166" s="249">
        <v>2120</v>
      </c>
      <c r="J3166" s="249">
        <v>767.16331610368729</v>
      </c>
      <c r="K3166" s="51">
        <f t="shared" si="161"/>
        <v>1626386</v>
      </c>
      <c r="L3166" s="924" t="s">
        <v>171</v>
      </c>
      <c r="M3166" s="924" t="s">
        <v>166</v>
      </c>
      <c r="N3166" s="52" t="str">
        <f>IF(AND('331-CT'!$E$7=TH!H3166,OR(L3166="331",M3166="331")),"331",IF(AND(OR(L3166="131",M3166="131"),H3166='131-CT'!$E$7),"131",""))</f>
        <v/>
      </c>
      <c r="O3166" s="818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726"/>
    </row>
    <row r="3167" spans="1:27" s="861" customFormat="1" ht="15.75" customHeight="1">
      <c r="A3167" s="202" t="str">
        <f>IF(B3167&lt;&gt;"",IF(AND(B3167&gt;=_TM1,B3167&lt;=_TM2,OR(TH!L3167="1111",TH!M3167="1111")),TH!D3167,""),"")</f>
        <v/>
      </c>
      <c r="B3167" s="857">
        <f t="shared" si="159"/>
        <v>6</v>
      </c>
      <c r="C3167" s="858">
        <f t="shared" si="160"/>
        <v>42530</v>
      </c>
      <c r="D3167" s="858" t="s">
        <v>1548</v>
      </c>
      <c r="E3167" s="830">
        <v>42530</v>
      </c>
      <c r="F3167" s="925" t="s">
        <v>1029</v>
      </c>
      <c r="G3167" s="832" t="s">
        <v>583</v>
      </c>
      <c r="H3167" s="923" t="s">
        <v>1297</v>
      </c>
      <c r="I3167" s="249">
        <v>490</v>
      </c>
      <c r="J3167" s="249">
        <v>4773.460633534055</v>
      </c>
      <c r="K3167" s="51">
        <f t="shared" si="161"/>
        <v>2338996</v>
      </c>
      <c r="L3167" s="924" t="s">
        <v>171</v>
      </c>
      <c r="M3167" s="924" t="s">
        <v>166</v>
      </c>
      <c r="N3167" s="52" t="str">
        <f>IF(AND('331-CT'!$E$7=TH!H3167,OR(L3167="331",M3167="331")),"331",IF(AND(OR(L3167="131",M3167="131"),H3167='131-CT'!$E$7),"131",""))</f>
        <v/>
      </c>
      <c r="O3167" s="818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726"/>
    </row>
    <row r="3168" spans="1:27" s="861" customFormat="1" ht="15.75" customHeight="1">
      <c r="A3168" s="202" t="str">
        <f>IF(B3168&lt;&gt;"",IF(AND(B3168&gt;=_TM1,B3168&lt;=_TM2,OR(TH!L3168="1111",TH!M3168="1111")),TH!D3168,""),"")</f>
        <v/>
      </c>
      <c r="B3168" s="857">
        <f t="shared" si="159"/>
        <v>6</v>
      </c>
      <c r="C3168" s="858">
        <f t="shared" si="160"/>
        <v>42530</v>
      </c>
      <c r="D3168" s="858" t="s">
        <v>1548</v>
      </c>
      <c r="E3168" s="830">
        <v>42530</v>
      </c>
      <c r="F3168" s="925" t="s">
        <v>1054</v>
      </c>
      <c r="G3168" s="832" t="s">
        <v>583</v>
      </c>
      <c r="H3168" s="923" t="s">
        <v>1297</v>
      </c>
      <c r="I3168" s="249">
        <v>510</v>
      </c>
      <c r="J3168" s="249">
        <v>5881.5854234616017</v>
      </c>
      <c r="K3168" s="51">
        <f t="shared" si="161"/>
        <v>2999609</v>
      </c>
      <c r="L3168" s="924" t="s">
        <v>171</v>
      </c>
      <c r="M3168" s="924" t="s">
        <v>166</v>
      </c>
      <c r="N3168" s="52" t="str">
        <f>IF(AND('331-CT'!$E$7=TH!H3168,OR(L3168="331",M3168="331")),"331",IF(AND(OR(L3168="131",M3168="131"),H3168='131-CT'!$E$7),"131",""))</f>
        <v/>
      </c>
      <c r="O3168" s="818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726"/>
    </row>
    <row r="3169" spans="1:27" s="861" customFormat="1" ht="15.75" customHeight="1">
      <c r="A3169" s="202" t="str">
        <f>IF(B3169&lt;&gt;"",IF(AND(B3169&gt;=_TM1,B3169&lt;=_TM2,OR(TH!L3169="1111",TH!M3169="1111")),TH!D3169,""),"")</f>
        <v/>
      </c>
      <c r="B3169" s="857">
        <f t="shared" si="159"/>
        <v>6</v>
      </c>
      <c r="C3169" s="858">
        <f t="shared" si="160"/>
        <v>42535</v>
      </c>
      <c r="D3169" s="858" t="s">
        <v>1548</v>
      </c>
      <c r="E3169" s="830">
        <v>42535</v>
      </c>
      <c r="F3169" s="925" t="s">
        <v>436</v>
      </c>
      <c r="G3169" s="832" t="s">
        <v>584</v>
      </c>
      <c r="H3169" s="923" t="s">
        <v>1297</v>
      </c>
      <c r="I3169" s="249">
        <v>402</v>
      </c>
      <c r="J3169" s="249">
        <v>5796.3450550056377</v>
      </c>
      <c r="K3169" s="51">
        <f t="shared" si="161"/>
        <v>2330131</v>
      </c>
      <c r="L3169" s="924" t="s">
        <v>171</v>
      </c>
      <c r="M3169" s="924" t="s">
        <v>166</v>
      </c>
      <c r="N3169" s="52" t="str">
        <f>IF(AND('331-CT'!$E$7=TH!H3169,OR(L3169="331",M3169="331")),"331",IF(AND(OR(L3169="131",M3169="131"),H3169='131-CT'!$E$7),"131",""))</f>
        <v/>
      </c>
      <c r="O3169" s="818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726"/>
    </row>
    <row r="3170" spans="1:27" s="861" customFormat="1" ht="15.75" customHeight="1">
      <c r="A3170" s="202" t="str">
        <f>IF(B3170&lt;&gt;"",IF(AND(B3170&gt;=_TM1,B3170&lt;=_TM2,OR(TH!L3170="1111",TH!M3170="1111")),TH!D3170,""),"")</f>
        <v/>
      </c>
      <c r="B3170" s="857">
        <f t="shared" si="159"/>
        <v>6</v>
      </c>
      <c r="C3170" s="858">
        <f t="shared" si="160"/>
        <v>42535</v>
      </c>
      <c r="D3170" s="858" t="s">
        <v>1548</v>
      </c>
      <c r="E3170" s="830">
        <v>42535</v>
      </c>
      <c r="F3170" s="925" t="s">
        <v>512</v>
      </c>
      <c r="G3170" s="832" t="s">
        <v>584</v>
      </c>
      <c r="H3170" s="923" t="s">
        <v>1297</v>
      </c>
      <c r="I3170" s="249">
        <v>317</v>
      </c>
      <c r="J3170" s="249">
        <v>4517.7395281661584</v>
      </c>
      <c r="K3170" s="51">
        <f t="shared" si="161"/>
        <v>1432123</v>
      </c>
      <c r="L3170" s="924" t="s">
        <v>171</v>
      </c>
      <c r="M3170" s="924" t="s">
        <v>166</v>
      </c>
      <c r="N3170" s="52" t="str">
        <f>IF(AND('331-CT'!$E$7=TH!H3170,OR(L3170="331",M3170="331")),"331",IF(AND(OR(L3170="131",M3170="131"),H3170='131-CT'!$E$7),"131",""))</f>
        <v/>
      </c>
      <c r="O3170" s="818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726"/>
    </row>
    <row r="3171" spans="1:27" s="861" customFormat="1" ht="15.75" customHeight="1">
      <c r="A3171" s="202" t="str">
        <f>IF(B3171&lt;&gt;"",IF(AND(B3171&gt;=_TM1,B3171&lt;=_TM2,OR(TH!L3171="1111",TH!M3171="1111")),TH!D3171,""),"")</f>
        <v/>
      </c>
      <c r="B3171" s="857">
        <f t="shared" si="159"/>
        <v>6</v>
      </c>
      <c r="C3171" s="858">
        <f t="shared" si="160"/>
        <v>42536</v>
      </c>
      <c r="D3171" s="858" t="s">
        <v>1548</v>
      </c>
      <c r="E3171" s="830">
        <v>42536</v>
      </c>
      <c r="F3171" s="925" t="s">
        <v>1443</v>
      </c>
      <c r="G3171" s="832" t="s">
        <v>585</v>
      </c>
      <c r="H3171" s="923" t="s">
        <v>1297</v>
      </c>
      <c r="I3171" s="249">
        <v>300</v>
      </c>
      <c r="J3171" s="249">
        <v>8097.8350033166989</v>
      </c>
      <c r="K3171" s="51">
        <f t="shared" si="161"/>
        <v>2429351</v>
      </c>
      <c r="L3171" s="924" t="s">
        <v>171</v>
      </c>
      <c r="M3171" s="924" t="s">
        <v>166</v>
      </c>
      <c r="N3171" s="52" t="str">
        <f>IF(AND('331-CT'!$E$7=TH!H3171,OR(L3171="331",M3171="331")),"331",IF(AND(OR(L3171="131",M3171="131"),H3171='131-CT'!$E$7),"131",""))</f>
        <v/>
      </c>
      <c r="O3171" s="818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726"/>
    </row>
    <row r="3172" spans="1:27" s="861" customFormat="1" ht="15.75" customHeight="1">
      <c r="A3172" s="202" t="str">
        <f>IF(B3172&lt;&gt;"",IF(AND(B3172&gt;=_TM1,B3172&lt;=_TM2,OR(TH!L3172="1111",TH!M3172="1111")),TH!D3172,""),"")</f>
        <v/>
      </c>
      <c r="B3172" s="857">
        <f t="shared" si="159"/>
        <v>6</v>
      </c>
      <c r="C3172" s="858">
        <f t="shared" si="160"/>
        <v>42539</v>
      </c>
      <c r="D3172" s="858" t="s">
        <v>1548</v>
      </c>
      <c r="E3172" s="830">
        <v>42539</v>
      </c>
      <c r="F3172" s="925" t="s">
        <v>480</v>
      </c>
      <c r="G3172" s="832" t="s">
        <v>586</v>
      </c>
      <c r="H3172" s="923" t="s">
        <v>1297</v>
      </c>
      <c r="I3172" s="249">
        <v>237</v>
      </c>
      <c r="J3172" s="249">
        <v>10825.526793907587</v>
      </c>
      <c r="K3172" s="51">
        <f t="shared" si="161"/>
        <v>2565650</v>
      </c>
      <c r="L3172" s="924" t="s">
        <v>171</v>
      </c>
      <c r="M3172" s="924" t="s">
        <v>166</v>
      </c>
      <c r="N3172" s="52" t="str">
        <f>IF(AND('331-CT'!$E$7=TH!H3172,OR(L3172="331",M3172="331")),"331",IF(AND(OR(L3172="131",M3172="131"),H3172='131-CT'!$E$7),"131",""))</f>
        <v/>
      </c>
      <c r="O3172" s="818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726"/>
    </row>
    <row r="3173" spans="1:27" s="861" customFormat="1" ht="15.75" customHeight="1">
      <c r="A3173" s="202" t="str">
        <f>IF(B3173&lt;&gt;"",IF(AND(B3173&gt;=_TM1,B3173&lt;=_TM2,OR(TH!L3173="1111",TH!M3173="1111")),TH!D3173,""),"")</f>
        <v/>
      </c>
      <c r="B3173" s="857">
        <f t="shared" si="159"/>
        <v>6</v>
      </c>
      <c r="C3173" s="858">
        <f t="shared" si="160"/>
        <v>42539</v>
      </c>
      <c r="D3173" s="858" t="s">
        <v>1548</v>
      </c>
      <c r="E3173" s="830">
        <v>42539</v>
      </c>
      <c r="F3173" s="925" t="s">
        <v>473</v>
      </c>
      <c r="G3173" s="832" t="s">
        <v>586</v>
      </c>
      <c r="H3173" s="923" t="s">
        <v>1297</v>
      </c>
      <c r="I3173" s="249">
        <v>51</v>
      </c>
      <c r="J3173" s="249">
        <v>8438.7964771405605</v>
      </c>
      <c r="K3173" s="51">
        <f t="shared" si="161"/>
        <v>430379</v>
      </c>
      <c r="L3173" s="924" t="s">
        <v>171</v>
      </c>
      <c r="M3173" s="924" t="s">
        <v>166</v>
      </c>
      <c r="N3173" s="52" t="str">
        <f>IF(AND('331-CT'!$E$7=TH!H3173,OR(L3173="331",M3173="331")),"331",IF(AND(OR(L3173="131",M3173="131"),H3173='131-CT'!$E$7),"131",""))</f>
        <v/>
      </c>
      <c r="O3173" s="818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726"/>
    </row>
    <row r="3174" spans="1:27" s="861" customFormat="1" ht="15.75" customHeight="1">
      <c r="A3174" s="202" t="str">
        <f>IF(B3174&lt;&gt;"",IF(AND(B3174&gt;=_TM1,B3174&lt;=_TM2,OR(TH!L3174="1111",TH!M3174="1111")),TH!D3174,""),"")</f>
        <v/>
      </c>
      <c r="B3174" s="857">
        <f t="shared" si="159"/>
        <v>6</v>
      </c>
      <c r="C3174" s="858">
        <f t="shared" si="160"/>
        <v>42539</v>
      </c>
      <c r="D3174" s="858" t="s">
        <v>1548</v>
      </c>
      <c r="E3174" s="830">
        <v>42539</v>
      </c>
      <c r="F3174" s="925" t="s">
        <v>1048</v>
      </c>
      <c r="G3174" s="832" t="s">
        <v>586</v>
      </c>
      <c r="H3174" s="923" t="s">
        <v>1297</v>
      </c>
      <c r="I3174" s="249">
        <v>55</v>
      </c>
      <c r="J3174" s="249">
        <v>9973.1231093479346</v>
      </c>
      <c r="K3174" s="51">
        <f t="shared" si="161"/>
        <v>548522</v>
      </c>
      <c r="L3174" s="924" t="s">
        <v>171</v>
      </c>
      <c r="M3174" s="924" t="s">
        <v>166</v>
      </c>
      <c r="N3174" s="52" t="str">
        <f>IF(AND('331-CT'!$E$7=TH!H3174,OR(L3174="331",M3174="331")),"331",IF(AND(OR(L3174="131",M3174="131"),H3174='131-CT'!$E$7),"131",""))</f>
        <v/>
      </c>
      <c r="O3174" s="818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726"/>
    </row>
    <row r="3175" spans="1:27" s="861" customFormat="1" ht="15.75" customHeight="1">
      <c r="A3175" s="202" t="str">
        <f>IF(B3175&lt;&gt;"",IF(AND(B3175&gt;=_TM1,B3175&lt;=_TM2,OR(TH!L3175="1111",TH!M3175="1111")),TH!D3175,""),"")</f>
        <v/>
      </c>
      <c r="B3175" s="857">
        <f t="shared" si="159"/>
        <v>6</v>
      </c>
      <c r="C3175" s="858">
        <f t="shared" si="160"/>
        <v>42539</v>
      </c>
      <c r="D3175" s="858" t="s">
        <v>1548</v>
      </c>
      <c r="E3175" s="830">
        <v>42539</v>
      </c>
      <c r="F3175" s="925" t="s">
        <v>474</v>
      </c>
      <c r="G3175" s="832" t="s">
        <v>586</v>
      </c>
      <c r="H3175" s="923" t="s">
        <v>1297</v>
      </c>
      <c r="I3175" s="249">
        <v>357</v>
      </c>
      <c r="J3175" s="249">
        <v>10910.767162363552</v>
      </c>
      <c r="K3175" s="51">
        <f t="shared" si="161"/>
        <v>3895144</v>
      </c>
      <c r="L3175" s="924" t="s">
        <v>171</v>
      </c>
      <c r="M3175" s="924" t="s">
        <v>166</v>
      </c>
      <c r="N3175" s="52" t="str">
        <f>IF(AND('331-CT'!$E$7=TH!H3175,OR(L3175="331",M3175="331")),"331",IF(AND(OR(L3175="131",M3175="131"),H3175='131-CT'!$E$7),"131",""))</f>
        <v/>
      </c>
      <c r="O3175" s="818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726"/>
    </row>
    <row r="3176" spans="1:27" s="861" customFormat="1" ht="15.75" customHeight="1">
      <c r="A3176" s="202" t="str">
        <f>IF(B3176&lt;&gt;"",IF(AND(B3176&gt;=_TM1,B3176&lt;=_TM2,OR(TH!L3176="1111",TH!M3176="1111")),TH!D3176,""),"")</f>
        <v/>
      </c>
      <c r="B3176" s="857">
        <f t="shared" si="159"/>
        <v>6</v>
      </c>
      <c r="C3176" s="858">
        <f t="shared" si="160"/>
        <v>42539</v>
      </c>
      <c r="D3176" s="858" t="s">
        <v>1548</v>
      </c>
      <c r="E3176" s="830">
        <v>42539</v>
      </c>
      <c r="F3176" s="925" t="s">
        <v>474</v>
      </c>
      <c r="G3176" s="832" t="s">
        <v>587</v>
      </c>
      <c r="H3176" s="923" t="s">
        <v>1297</v>
      </c>
      <c r="I3176" s="249">
        <v>764</v>
      </c>
      <c r="J3176" s="249">
        <v>10910.767162363552</v>
      </c>
      <c r="K3176" s="51">
        <f t="shared" si="161"/>
        <v>8335826</v>
      </c>
      <c r="L3176" s="924" t="s">
        <v>171</v>
      </c>
      <c r="M3176" s="924" t="s">
        <v>166</v>
      </c>
      <c r="N3176" s="52" t="str">
        <f>IF(AND('331-CT'!$E$7=TH!H3176,OR(L3176="331",M3176="331")),"331",IF(AND(OR(L3176="131",M3176="131"),H3176='131-CT'!$E$7),"131",""))</f>
        <v/>
      </c>
      <c r="O3176" s="818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726"/>
    </row>
    <row r="3177" spans="1:27" s="861" customFormat="1" ht="15.75" customHeight="1">
      <c r="A3177" s="202" t="str">
        <f>IF(B3177&lt;&gt;"",IF(AND(B3177&gt;=_TM1,B3177&lt;=_TM2,OR(TH!L3177="1111",TH!M3177="1111")),TH!D3177,""),"")</f>
        <v/>
      </c>
      <c r="B3177" s="857">
        <f t="shared" si="159"/>
        <v>6</v>
      </c>
      <c r="C3177" s="858">
        <f t="shared" si="160"/>
        <v>42539</v>
      </c>
      <c r="D3177" s="858" t="s">
        <v>1548</v>
      </c>
      <c r="E3177" s="830">
        <v>42539</v>
      </c>
      <c r="F3177" s="925" t="s">
        <v>477</v>
      </c>
      <c r="G3177" s="832" t="s">
        <v>588</v>
      </c>
      <c r="H3177" s="923" t="s">
        <v>1297</v>
      </c>
      <c r="I3177" s="249">
        <v>214</v>
      </c>
      <c r="J3177" s="249">
        <v>7927.3542664047691</v>
      </c>
      <c r="K3177" s="51">
        <f t="shared" si="161"/>
        <v>1696454</v>
      </c>
      <c r="L3177" s="924" t="s">
        <v>171</v>
      </c>
      <c r="M3177" s="924" t="s">
        <v>166</v>
      </c>
      <c r="N3177" s="52" t="str">
        <f>IF(AND('331-CT'!$E$7=TH!H3177,OR(L3177="331",M3177="331")),"331",IF(AND(OR(L3177="131",M3177="131"),H3177='131-CT'!$E$7),"131",""))</f>
        <v/>
      </c>
      <c r="O3177" s="818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726"/>
    </row>
    <row r="3178" spans="1:27" s="861" customFormat="1" ht="15.75" customHeight="1">
      <c r="A3178" s="202" t="str">
        <f>IF(B3178&lt;&gt;"",IF(AND(B3178&gt;=_TM1,B3178&lt;=_TM2,OR(TH!L3178="1111",TH!M3178="1111")),TH!D3178,""),"")</f>
        <v/>
      </c>
      <c r="B3178" s="857">
        <f t="shared" si="159"/>
        <v>6</v>
      </c>
      <c r="C3178" s="858">
        <f t="shared" si="160"/>
        <v>42541</v>
      </c>
      <c r="D3178" s="858" t="s">
        <v>1548</v>
      </c>
      <c r="E3178" s="830">
        <v>42541</v>
      </c>
      <c r="F3178" s="925" t="s">
        <v>985</v>
      </c>
      <c r="G3178" s="832" t="s">
        <v>589</v>
      </c>
      <c r="H3178" s="923" t="s">
        <v>1297</v>
      </c>
      <c r="I3178" s="249">
        <v>88</v>
      </c>
      <c r="J3178" s="249">
        <v>11507.449741555311</v>
      </c>
      <c r="K3178" s="51">
        <f t="shared" si="161"/>
        <v>1012656</v>
      </c>
      <c r="L3178" s="924" t="s">
        <v>171</v>
      </c>
      <c r="M3178" s="924" t="s">
        <v>166</v>
      </c>
      <c r="N3178" s="52" t="str">
        <f>IF(AND('331-CT'!$E$7=TH!H3178,OR(L3178="331",M3178="331")),"331",IF(AND(OR(L3178="131",M3178="131"),H3178='131-CT'!$E$7),"131",""))</f>
        <v/>
      </c>
      <c r="O3178" s="818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726"/>
    </row>
    <row r="3179" spans="1:27" s="861" customFormat="1" ht="15.75" customHeight="1">
      <c r="A3179" s="202" t="str">
        <f>IF(B3179&lt;&gt;"",IF(AND(B3179&gt;=_TM1,B3179&lt;=_TM2,OR(TH!L3179="1111",TH!M3179="1111")),TH!D3179,""),"")</f>
        <v/>
      </c>
      <c r="B3179" s="857">
        <f t="shared" si="159"/>
        <v>6</v>
      </c>
      <c r="C3179" s="858">
        <f t="shared" si="160"/>
        <v>42541</v>
      </c>
      <c r="D3179" s="858" t="s">
        <v>1548</v>
      </c>
      <c r="E3179" s="830">
        <v>42541</v>
      </c>
      <c r="F3179" s="925" t="s">
        <v>1048</v>
      </c>
      <c r="G3179" s="832" t="s">
        <v>589</v>
      </c>
      <c r="H3179" s="923" t="s">
        <v>1297</v>
      </c>
      <c r="I3179" s="249">
        <v>35</v>
      </c>
      <c r="J3179" s="249">
        <v>9973.1231093479346</v>
      </c>
      <c r="K3179" s="51">
        <f t="shared" si="161"/>
        <v>349059</v>
      </c>
      <c r="L3179" s="924" t="s">
        <v>171</v>
      </c>
      <c r="M3179" s="924" t="s">
        <v>166</v>
      </c>
      <c r="N3179" s="52" t="str">
        <f>IF(AND('331-CT'!$E$7=TH!H3179,OR(L3179="331",M3179="331")),"331",IF(AND(OR(L3179="131",M3179="131"),H3179='131-CT'!$E$7),"131",""))</f>
        <v/>
      </c>
      <c r="O3179" s="818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726"/>
    </row>
    <row r="3180" spans="1:27" s="861" customFormat="1" ht="15.75" customHeight="1">
      <c r="A3180" s="202" t="str">
        <f>IF(B3180&lt;&gt;"",IF(AND(B3180&gt;=_TM1,B3180&lt;=_TM2,OR(TH!L3180="1111",TH!M3180="1111")),TH!D3180,""),"")</f>
        <v/>
      </c>
      <c r="B3180" s="857">
        <f t="shared" si="159"/>
        <v>6</v>
      </c>
      <c r="C3180" s="858">
        <f t="shared" si="160"/>
        <v>42541</v>
      </c>
      <c r="D3180" s="858" t="s">
        <v>1548</v>
      </c>
      <c r="E3180" s="830">
        <v>42541</v>
      </c>
      <c r="F3180" s="925" t="s">
        <v>662</v>
      </c>
      <c r="G3180" s="832" t="s">
        <v>589</v>
      </c>
      <c r="H3180" s="923" t="s">
        <v>1297</v>
      </c>
      <c r="I3180" s="249">
        <v>27</v>
      </c>
      <c r="J3180" s="249">
        <v>6222.5468972854633</v>
      </c>
      <c r="K3180" s="51">
        <f t="shared" si="161"/>
        <v>168009</v>
      </c>
      <c r="L3180" s="924" t="s">
        <v>171</v>
      </c>
      <c r="M3180" s="924" t="s">
        <v>166</v>
      </c>
      <c r="N3180" s="52" t="str">
        <f>IF(AND('331-CT'!$E$7=TH!H3180,OR(L3180="331",M3180="331")),"331",IF(AND(OR(L3180="131",M3180="131"),H3180='131-CT'!$E$7),"131",""))</f>
        <v/>
      </c>
      <c r="O3180" s="818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726"/>
    </row>
    <row r="3181" spans="1:27" s="861" customFormat="1" ht="15.75" customHeight="1">
      <c r="A3181" s="202" t="str">
        <f>IF(B3181&lt;&gt;"",IF(AND(B3181&gt;=_TM1,B3181&lt;=_TM2,OR(TH!L3181="1111",TH!M3181="1111")),TH!D3181,""),"")</f>
        <v/>
      </c>
      <c r="B3181" s="857">
        <f t="shared" si="159"/>
        <v>6</v>
      </c>
      <c r="C3181" s="858">
        <f t="shared" si="160"/>
        <v>42541</v>
      </c>
      <c r="D3181" s="858" t="s">
        <v>1548</v>
      </c>
      <c r="E3181" s="830">
        <v>42541</v>
      </c>
      <c r="F3181" s="925" t="s">
        <v>408</v>
      </c>
      <c r="G3181" s="832" t="s">
        <v>589</v>
      </c>
      <c r="H3181" s="923" t="s">
        <v>1297</v>
      </c>
      <c r="I3181" s="249">
        <v>51</v>
      </c>
      <c r="J3181" s="249">
        <v>11251.728636187414</v>
      </c>
      <c r="K3181" s="51">
        <f t="shared" si="161"/>
        <v>573838</v>
      </c>
      <c r="L3181" s="924" t="s">
        <v>171</v>
      </c>
      <c r="M3181" s="924" t="s">
        <v>166</v>
      </c>
      <c r="N3181" s="52" t="str">
        <f>IF(AND('331-CT'!$E$7=TH!H3181,OR(L3181="331",M3181="331")),"331",IF(AND(OR(L3181="131",M3181="131"),H3181='131-CT'!$E$7),"131",""))</f>
        <v/>
      </c>
      <c r="O3181" s="818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726"/>
    </row>
    <row r="3182" spans="1:27" s="861" customFormat="1" ht="15.75" customHeight="1">
      <c r="A3182" s="202" t="str">
        <f>IF(B3182&lt;&gt;"",IF(AND(B3182&gt;=_TM1,B3182&lt;=_TM2,OR(TH!L3182="1111",TH!M3182="1111")),TH!D3182,""),"")</f>
        <v/>
      </c>
      <c r="B3182" s="857">
        <f t="shared" si="159"/>
        <v>6</v>
      </c>
      <c r="C3182" s="858">
        <f t="shared" si="160"/>
        <v>42541</v>
      </c>
      <c r="D3182" s="858" t="s">
        <v>1548</v>
      </c>
      <c r="E3182" s="830">
        <v>42541</v>
      </c>
      <c r="F3182" s="925" t="s">
        <v>1055</v>
      </c>
      <c r="G3182" s="832" t="s">
        <v>590</v>
      </c>
      <c r="H3182" s="923" t="s">
        <v>1297</v>
      </c>
      <c r="I3182" s="249">
        <v>2250</v>
      </c>
      <c r="J3182" s="249">
        <v>3750.5762120624713</v>
      </c>
      <c r="K3182" s="51">
        <f t="shared" si="161"/>
        <v>8438796</v>
      </c>
      <c r="L3182" s="924" t="s">
        <v>171</v>
      </c>
      <c r="M3182" s="924" t="s">
        <v>166</v>
      </c>
      <c r="N3182" s="52" t="str">
        <f>IF(AND('331-CT'!$E$7=TH!H3182,OR(L3182="331",M3182="331")),"331",IF(AND(OR(L3182="131",M3182="131"),H3182='131-CT'!$E$7),"131",""))</f>
        <v/>
      </c>
      <c r="O3182" s="818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726"/>
    </row>
    <row r="3183" spans="1:27" s="861" customFormat="1" ht="15.75" customHeight="1">
      <c r="A3183" s="202" t="str">
        <f>IF(B3183&lt;&gt;"",IF(AND(B3183&gt;=_TM1,B3183&lt;=_TM2,OR(TH!L3183="1111",TH!M3183="1111")),TH!D3183,""),"")</f>
        <v/>
      </c>
      <c r="B3183" s="857">
        <f t="shared" si="159"/>
        <v>6</v>
      </c>
      <c r="C3183" s="858">
        <f t="shared" si="160"/>
        <v>42542</v>
      </c>
      <c r="D3183" s="858" t="s">
        <v>1548</v>
      </c>
      <c r="E3183" s="830">
        <v>42542</v>
      </c>
      <c r="F3183" s="925" t="s">
        <v>933</v>
      </c>
      <c r="G3183" s="832" t="s">
        <v>591</v>
      </c>
      <c r="H3183" s="923" t="s">
        <v>1297</v>
      </c>
      <c r="I3183" s="249">
        <v>245</v>
      </c>
      <c r="J3183" s="249">
        <v>12018.8919522911</v>
      </c>
      <c r="K3183" s="51">
        <f t="shared" si="161"/>
        <v>2944629</v>
      </c>
      <c r="L3183" s="924" t="s">
        <v>171</v>
      </c>
      <c r="M3183" s="924" t="s">
        <v>166</v>
      </c>
      <c r="N3183" s="52" t="str">
        <f>IF(AND('331-CT'!$E$7=TH!H3183,OR(L3183="331",M3183="331")),"331",IF(AND(OR(L3183="131",M3183="131"),H3183='131-CT'!$E$7),"131",""))</f>
        <v/>
      </c>
      <c r="O3183" s="818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726"/>
    </row>
    <row r="3184" spans="1:27" s="861" customFormat="1" ht="15.75" customHeight="1">
      <c r="A3184" s="202" t="str">
        <f>IF(B3184&lt;&gt;"",IF(AND(B3184&gt;=_TM1,B3184&lt;=_TM2,OR(TH!L3184="1111",TH!M3184="1111")),TH!D3184,""),"")</f>
        <v/>
      </c>
      <c r="B3184" s="857">
        <f t="shared" si="159"/>
        <v>6</v>
      </c>
      <c r="C3184" s="858">
        <f t="shared" si="160"/>
        <v>42542</v>
      </c>
      <c r="D3184" s="858" t="s">
        <v>1548</v>
      </c>
      <c r="E3184" s="830">
        <v>42542</v>
      </c>
      <c r="F3184" s="925" t="s">
        <v>1056</v>
      </c>
      <c r="G3184" s="832" t="s">
        <v>591</v>
      </c>
      <c r="H3184" s="923" t="s">
        <v>1297</v>
      </c>
      <c r="I3184" s="249">
        <v>30</v>
      </c>
      <c r="J3184" s="249">
        <v>9035.4790563323168</v>
      </c>
      <c r="K3184" s="51">
        <f t="shared" si="161"/>
        <v>271064</v>
      </c>
      <c r="L3184" s="924" t="s">
        <v>171</v>
      </c>
      <c r="M3184" s="924" t="s">
        <v>166</v>
      </c>
      <c r="N3184" s="52" t="str">
        <f>IF(AND('331-CT'!$E$7=TH!H3184,OR(L3184="331",M3184="331")),"331",IF(AND(OR(L3184="131",M3184="131"),H3184='131-CT'!$E$7),"131",""))</f>
        <v/>
      </c>
      <c r="O3184" s="818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726"/>
    </row>
    <row r="3185" spans="1:27" s="861" customFormat="1" ht="15.75" customHeight="1">
      <c r="A3185" s="202" t="str">
        <f>IF(B3185&lt;&gt;"",IF(AND(B3185&gt;=_TM1,B3185&lt;=_TM2,OR(TH!L3185="1111",TH!M3185="1111")),TH!D3185,""),"")</f>
        <v/>
      </c>
      <c r="B3185" s="857">
        <f t="shared" si="159"/>
        <v>6</v>
      </c>
      <c r="C3185" s="858">
        <f t="shared" si="160"/>
        <v>42542</v>
      </c>
      <c r="D3185" s="858" t="s">
        <v>1548</v>
      </c>
      <c r="E3185" s="830">
        <v>42542</v>
      </c>
      <c r="F3185" s="925" t="s">
        <v>480</v>
      </c>
      <c r="G3185" s="832" t="s">
        <v>591</v>
      </c>
      <c r="H3185" s="923" t="s">
        <v>1297</v>
      </c>
      <c r="I3185" s="249">
        <v>641</v>
      </c>
      <c r="J3185" s="249">
        <v>10825.526793907587</v>
      </c>
      <c r="K3185" s="51">
        <f t="shared" si="161"/>
        <v>6939163</v>
      </c>
      <c r="L3185" s="924" t="s">
        <v>171</v>
      </c>
      <c r="M3185" s="924" t="s">
        <v>166</v>
      </c>
      <c r="N3185" s="52" t="str">
        <f>IF(AND('331-CT'!$E$7=TH!H3185,OR(L3185="331",M3185="331")),"331",IF(AND(OR(L3185="131",M3185="131"),H3185='131-CT'!$E$7),"131",""))</f>
        <v/>
      </c>
      <c r="O3185" s="818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726"/>
    </row>
    <row r="3186" spans="1:27" s="861" customFormat="1" ht="15.75" customHeight="1">
      <c r="A3186" s="202" t="str">
        <f>IF(B3186&lt;&gt;"",IF(AND(B3186&gt;=_TM1,B3186&lt;=_TM2,OR(TH!L3186="1111",TH!M3186="1111")),TH!D3186,""),"")</f>
        <v/>
      </c>
      <c r="B3186" s="857">
        <f t="shared" si="159"/>
        <v>6</v>
      </c>
      <c r="C3186" s="858">
        <f t="shared" si="160"/>
        <v>42543</v>
      </c>
      <c r="D3186" s="858" t="s">
        <v>1548</v>
      </c>
      <c r="E3186" s="830">
        <v>42543</v>
      </c>
      <c r="F3186" s="925" t="s">
        <v>436</v>
      </c>
      <c r="G3186" s="832" t="s">
        <v>592</v>
      </c>
      <c r="H3186" s="923" t="s">
        <v>1297</v>
      </c>
      <c r="I3186" s="249">
        <v>834</v>
      </c>
      <c r="J3186" s="249">
        <v>5796.3450550056377</v>
      </c>
      <c r="K3186" s="51">
        <f t="shared" si="161"/>
        <v>4834152</v>
      </c>
      <c r="L3186" s="924" t="s">
        <v>171</v>
      </c>
      <c r="M3186" s="924" t="s">
        <v>166</v>
      </c>
      <c r="N3186" s="52" t="str">
        <f>IF(AND('331-CT'!$E$7=TH!H3186,OR(L3186="331",M3186="331")),"331",IF(AND(OR(L3186="131",M3186="131"),H3186='131-CT'!$E$7),"131",""))</f>
        <v/>
      </c>
      <c r="O3186" s="818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726"/>
    </row>
    <row r="3187" spans="1:27" s="861" customFormat="1" ht="15.75" customHeight="1">
      <c r="A3187" s="202" t="str">
        <f>IF(B3187&lt;&gt;"",IF(AND(B3187&gt;=_TM1,B3187&lt;=_TM2,OR(TH!L3187="1111",TH!M3187="1111")),TH!D3187,""),"")</f>
        <v/>
      </c>
      <c r="B3187" s="857">
        <f t="shared" si="159"/>
        <v>6</v>
      </c>
      <c r="C3187" s="858">
        <f t="shared" si="160"/>
        <v>42543</v>
      </c>
      <c r="D3187" s="858" t="s">
        <v>1548</v>
      </c>
      <c r="E3187" s="830">
        <v>42543</v>
      </c>
      <c r="F3187" s="925" t="s">
        <v>436</v>
      </c>
      <c r="G3187" s="832" t="s">
        <v>592</v>
      </c>
      <c r="H3187" s="923" t="s">
        <v>1297</v>
      </c>
      <c r="I3187" s="249">
        <v>322</v>
      </c>
      <c r="J3187" s="249">
        <v>5796.3450550056377</v>
      </c>
      <c r="K3187" s="51">
        <f t="shared" si="161"/>
        <v>1866423</v>
      </c>
      <c r="L3187" s="924" t="s">
        <v>171</v>
      </c>
      <c r="M3187" s="924" t="s">
        <v>166</v>
      </c>
      <c r="N3187" s="52" t="str">
        <f>IF(AND('331-CT'!$E$7=TH!H3187,OR(L3187="331",M3187="331")),"331",IF(AND(OR(L3187="131",M3187="131"),H3187='131-CT'!$E$7),"131",""))</f>
        <v/>
      </c>
      <c r="O3187" s="818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726"/>
    </row>
    <row r="3188" spans="1:27" s="861" customFormat="1" ht="15.75" customHeight="1">
      <c r="A3188" s="202" t="str">
        <f>IF(B3188&lt;&gt;"",IF(AND(B3188&gt;=_TM1,B3188&lt;=_TM2,OR(TH!L3188="1111",TH!M3188="1111")),TH!D3188,""),"")</f>
        <v/>
      </c>
      <c r="B3188" s="857">
        <f t="shared" si="159"/>
        <v>6</v>
      </c>
      <c r="C3188" s="858">
        <f t="shared" si="160"/>
        <v>42543</v>
      </c>
      <c r="D3188" s="858" t="s">
        <v>1548</v>
      </c>
      <c r="E3188" s="830">
        <v>42543</v>
      </c>
      <c r="F3188" s="925" t="s">
        <v>1057</v>
      </c>
      <c r="G3188" s="832" t="s">
        <v>593</v>
      </c>
      <c r="H3188" s="923" t="s">
        <v>1297</v>
      </c>
      <c r="I3188" s="249">
        <v>720</v>
      </c>
      <c r="J3188" s="249">
        <v>11848.41121537917</v>
      </c>
      <c r="K3188" s="51">
        <f t="shared" si="161"/>
        <v>8530856</v>
      </c>
      <c r="L3188" s="924" t="s">
        <v>171</v>
      </c>
      <c r="M3188" s="924" t="s">
        <v>166</v>
      </c>
      <c r="N3188" s="52" t="str">
        <f>IF(AND('331-CT'!$E$7=TH!H3188,OR(L3188="331",M3188="331")),"331",IF(AND(OR(L3188="131",M3188="131"),H3188='131-CT'!$E$7),"131",""))</f>
        <v/>
      </c>
      <c r="O3188" s="818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726"/>
    </row>
    <row r="3189" spans="1:27" s="861" customFormat="1" ht="15.75" customHeight="1">
      <c r="A3189" s="202" t="str">
        <f>IF(B3189&lt;&gt;"",IF(AND(B3189&gt;=_TM1,B3189&lt;=_TM2,OR(TH!L3189="1111",TH!M3189="1111")),TH!D3189,""),"")</f>
        <v/>
      </c>
      <c r="B3189" s="857">
        <f t="shared" si="159"/>
        <v>6</v>
      </c>
      <c r="C3189" s="858">
        <f t="shared" si="160"/>
        <v>42543</v>
      </c>
      <c r="D3189" s="858" t="s">
        <v>1548</v>
      </c>
      <c r="E3189" s="830">
        <v>42543</v>
      </c>
      <c r="F3189" s="925" t="s">
        <v>1048</v>
      </c>
      <c r="G3189" s="832" t="s">
        <v>593</v>
      </c>
      <c r="H3189" s="923" t="s">
        <v>1297</v>
      </c>
      <c r="I3189" s="249">
        <v>12</v>
      </c>
      <c r="J3189" s="249">
        <v>9973.1231093479346</v>
      </c>
      <c r="K3189" s="51">
        <f t="shared" si="161"/>
        <v>119677</v>
      </c>
      <c r="L3189" s="924" t="s">
        <v>171</v>
      </c>
      <c r="M3189" s="924" t="s">
        <v>166</v>
      </c>
      <c r="N3189" s="52" t="str">
        <f>IF(AND('331-CT'!$E$7=TH!H3189,OR(L3189="331",M3189="331")),"331",IF(AND(OR(L3189="131",M3189="131"),H3189='131-CT'!$E$7),"131",""))</f>
        <v/>
      </c>
      <c r="O3189" s="818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726"/>
    </row>
    <row r="3190" spans="1:27" s="861" customFormat="1" ht="15.75" customHeight="1">
      <c r="A3190" s="202" t="str">
        <f>IF(B3190&lt;&gt;"",IF(AND(B3190&gt;=_TM1,B3190&lt;=_TM2,OR(TH!L3190="1111",TH!M3190="1111")),TH!D3190,""),"")</f>
        <v/>
      </c>
      <c r="B3190" s="857">
        <f t="shared" si="159"/>
        <v>6</v>
      </c>
      <c r="C3190" s="858">
        <f t="shared" si="160"/>
        <v>42544</v>
      </c>
      <c r="D3190" s="858" t="s">
        <v>1548</v>
      </c>
      <c r="E3190" s="830">
        <v>42544</v>
      </c>
      <c r="F3190" s="925" t="s">
        <v>1058</v>
      </c>
      <c r="G3190" s="832" t="s">
        <v>595</v>
      </c>
      <c r="H3190" s="923" t="s">
        <v>1297</v>
      </c>
      <c r="I3190" s="249">
        <v>304</v>
      </c>
      <c r="J3190" s="249">
        <v>5370.1432127258113</v>
      </c>
      <c r="K3190" s="51">
        <f t="shared" si="161"/>
        <v>1632524</v>
      </c>
      <c r="L3190" s="924" t="s">
        <v>171</v>
      </c>
      <c r="M3190" s="924" t="s">
        <v>166</v>
      </c>
      <c r="N3190" s="52" t="str">
        <f>IF(AND('331-CT'!$E$7=TH!H3190,OR(L3190="331",M3190="331")),"331",IF(AND(OR(L3190="131",M3190="131"),H3190='131-CT'!$E$7),"131",""))</f>
        <v/>
      </c>
      <c r="O3190" s="818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726"/>
    </row>
    <row r="3191" spans="1:27" s="861" customFormat="1" ht="15.75" customHeight="1">
      <c r="A3191" s="202" t="str">
        <f>IF(B3191&lt;&gt;"",IF(AND(B3191&gt;=_TM1,B3191&lt;=_TM2,OR(TH!L3191="1111",TH!M3191="1111")),TH!D3191,""),"")</f>
        <v/>
      </c>
      <c r="B3191" s="857">
        <f t="shared" si="159"/>
        <v>6</v>
      </c>
      <c r="C3191" s="858">
        <f t="shared" si="160"/>
        <v>42545</v>
      </c>
      <c r="D3191" s="858" t="s">
        <v>1548</v>
      </c>
      <c r="E3191" s="830">
        <v>42545</v>
      </c>
      <c r="F3191" s="925" t="s">
        <v>436</v>
      </c>
      <c r="G3191" s="832" t="s">
        <v>596</v>
      </c>
      <c r="H3191" s="923" t="s">
        <v>1297</v>
      </c>
      <c r="I3191" s="249">
        <v>534</v>
      </c>
      <c r="J3191" s="249">
        <v>5796.3450550056377</v>
      </c>
      <c r="K3191" s="51">
        <f t="shared" si="161"/>
        <v>3095248</v>
      </c>
      <c r="L3191" s="924" t="s">
        <v>171</v>
      </c>
      <c r="M3191" s="924" t="s">
        <v>166</v>
      </c>
      <c r="N3191" s="52" t="str">
        <f>IF(AND('331-CT'!$E$7=TH!H3191,OR(L3191="331",M3191="331")),"331",IF(AND(OR(L3191="131",M3191="131"),H3191='131-CT'!$E$7),"131",""))</f>
        <v/>
      </c>
      <c r="O3191" s="818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726"/>
    </row>
    <row r="3192" spans="1:27" s="861" customFormat="1" ht="15.75" customHeight="1">
      <c r="A3192" s="202" t="str">
        <f>IF(B3192&lt;&gt;"",IF(AND(B3192&gt;=_TM1,B3192&lt;=_TM2,OR(TH!L3192="1111",TH!M3192="1111")),TH!D3192,""),"")</f>
        <v/>
      </c>
      <c r="B3192" s="857">
        <f t="shared" si="159"/>
        <v>6</v>
      </c>
      <c r="C3192" s="858">
        <f t="shared" si="160"/>
        <v>42545</v>
      </c>
      <c r="D3192" s="858" t="s">
        <v>1548</v>
      </c>
      <c r="E3192" s="830">
        <v>42545</v>
      </c>
      <c r="F3192" s="925" t="s">
        <v>436</v>
      </c>
      <c r="G3192" s="832" t="s">
        <v>596</v>
      </c>
      <c r="H3192" s="923" t="s">
        <v>1297</v>
      </c>
      <c r="I3192" s="249">
        <v>99</v>
      </c>
      <c r="J3192" s="249">
        <v>5796.3450550056377</v>
      </c>
      <c r="K3192" s="51">
        <f t="shared" si="161"/>
        <v>573838</v>
      </c>
      <c r="L3192" s="924" t="s">
        <v>171</v>
      </c>
      <c r="M3192" s="924" t="s">
        <v>166</v>
      </c>
      <c r="N3192" s="52" t="str">
        <f>IF(AND('331-CT'!$E$7=TH!H3192,OR(L3192="331",M3192="331")),"331",IF(AND(OR(L3192="131",M3192="131"),H3192='131-CT'!$E$7),"131",""))</f>
        <v/>
      </c>
      <c r="O3192" s="818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726"/>
    </row>
    <row r="3193" spans="1:27" s="861" customFormat="1" ht="15.75" customHeight="1">
      <c r="A3193" s="202" t="str">
        <f>IF(B3193&lt;&gt;"",IF(AND(B3193&gt;=_TM1,B3193&lt;=_TM2,OR(TH!L3193="1111",TH!M3193="1111")),TH!D3193,""),"")</f>
        <v/>
      </c>
      <c r="B3193" s="857">
        <f t="shared" si="159"/>
        <v>6</v>
      </c>
      <c r="C3193" s="858">
        <f t="shared" si="160"/>
        <v>42545</v>
      </c>
      <c r="D3193" s="858" t="s">
        <v>1548</v>
      </c>
      <c r="E3193" s="830">
        <v>42545</v>
      </c>
      <c r="F3193" s="925" t="s">
        <v>429</v>
      </c>
      <c r="G3193" s="832" t="s">
        <v>599</v>
      </c>
      <c r="H3193" s="923" t="s">
        <v>1297</v>
      </c>
      <c r="I3193" s="249">
        <v>628</v>
      </c>
      <c r="J3193" s="249">
        <v>10314.084583171796</v>
      </c>
      <c r="K3193" s="51">
        <f t="shared" si="161"/>
        <v>6477245</v>
      </c>
      <c r="L3193" s="924" t="s">
        <v>171</v>
      </c>
      <c r="M3193" s="924" t="s">
        <v>166</v>
      </c>
      <c r="N3193" s="52" t="str">
        <f>IF(AND('331-CT'!$E$7=TH!H3193,OR(L3193="331",M3193="331")),"331",IF(AND(OR(L3193="131",M3193="131"),H3193='131-CT'!$E$7),"131",""))</f>
        <v/>
      </c>
      <c r="O3193" s="818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A3193" s="726"/>
    </row>
    <row r="3194" spans="1:27" s="861" customFormat="1" ht="15.75" customHeight="1">
      <c r="A3194" s="202" t="str">
        <f>IF(B3194&lt;&gt;"",IF(AND(B3194&gt;=_TM1,B3194&lt;=_TM2,OR(TH!L3194="1111",TH!M3194="1111")),TH!D3194,""),"")</f>
        <v/>
      </c>
      <c r="B3194" s="857">
        <f t="shared" si="159"/>
        <v>6</v>
      </c>
      <c r="C3194" s="858">
        <f t="shared" si="160"/>
        <v>42545</v>
      </c>
      <c r="D3194" s="858" t="s">
        <v>1548</v>
      </c>
      <c r="E3194" s="830">
        <v>42545</v>
      </c>
      <c r="F3194" s="925" t="s">
        <v>1437</v>
      </c>
      <c r="G3194" s="832" t="s">
        <v>600</v>
      </c>
      <c r="H3194" s="923" t="s">
        <v>1297</v>
      </c>
      <c r="I3194" s="249">
        <v>3000</v>
      </c>
      <c r="J3194" s="249">
        <v>3324.3743697826449</v>
      </c>
      <c r="K3194" s="51">
        <f t="shared" si="161"/>
        <v>9973123</v>
      </c>
      <c r="L3194" s="924" t="s">
        <v>171</v>
      </c>
      <c r="M3194" s="924" t="s">
        <v>166</v>
      </c>
      <c r="N3194" s="52" t="str">
        <f>IF(AND('331-CT'!$E$7=TH!H3194,OR(L3194="331",M3194="331")),"331",IF(AND(OR(L3194="131",M3194="131"),H3194='131-CT'!$E$7),"131",""))</f>
        <v/>
      </c>
      <c r="O3194" s="818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A3194" s="726"/>
    </row>
    <row r="3195" spans="1:27" s="861" customFormat="1" ht="15.75" customHeight="1">
      <c r="A3195" s="202" t="str">
        <f>IF(B3195&lt;&gt;"",IF(AND(B3195&gt;=_TM1,B3195&lt;=_TM2,OR(TH!L3195="1111",TH!M3195="1111")),TH!D3195,""),"")</f>
        <v/>
      </c>
      <c r="B3195" s="857">
        <f t="shared" si="159"/>
        <v>6</v>
      </c>
      <c r="C3195" s="858">
        <f t="shared" si="160"/>
        <v>42548</v>
      </c>
      <c r="D3195" s="858" t="s">
        <v>1548</v>
      </c>
      <c r="E3195" s="830">
        <v>42548</v>
      </c>
      <c r="F3195" s="925" t="s">
        <v>436</v>
      </c>
      <c r="G3195" s="832" t="s">
        <v>601</v>
      </c>
      <c r="H3195" s="923" t="s">
        <v>1297</v>
      </c>
      <c r="I3195" s="249">
        <v>509</v>
      </c>
      <c r="J3195" s="249">
        <v>5796.3450550056377</v>
      </c>
      <c r="K3195" s="51">
        <f t="shared" si="161"/>
        <v>2950340</v>
      </c>
      <c r="L3195" s="924" t="s">
        <v>171</v>
      </c>
      <c r="M3195" s="924" t="s">
        <v>166</v>
      </c>
      <c r="N3195" s="52" t="str">
        <f>IF(AND('331-CT'!$E$7=TH!H3195,OR(L3195="331",M3195="331")),"331",IF(AND(OR(L3195="131",M3195="131"),H3195='131-CT'!$E$7),"131",""))</f>
        <v/>
      </c>
      <c r="O3195" s="818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A3195" s="726"/>
    </row>
    <row r="3196" spans="1:27" s="861" customFormat="1" ht="15.75" customHeight="1">
      <c r="A3196" s="202" t="str">
        <f>IF(B3196&lt;&gt;"",IF(AND(B3196&gt;=_TM1,B3196&lt;=_TM2,OR(TH!L3196="1111",TH!M3196="1111")),TH!D3196,""),"")</f>
        <v/>
      </c>
      <c r="B3196" s="857">
        <f t="shared" si="159"/>
        <v>6</v>
      </c>
      <c r="C3196" s="858">
        <f t="shared" si="160"/>
        <v>42548</v>
      </c>
      <c r="D3196" s="858" t="s">
        <v>1548</v>
      </c>
      <c r="E3196" s="830">
        <v>42548</v>
      </c>
      <c r="F3196" s="925" t="s">
        <v>436</v>
      </c>
      <c r="G3196" s="832" t="s">
        <v>601</v>
      </c>
      <c r="H3196" s="923" t="s">
        <v>1297</v>
      </c>
      <c r="I3196" s="249">
        <v>1104</v>
      </c>
      <c r="J3196" s="249">
        <v>5796.3450550056377</v>
      </c>
      <c r="K3196" s="51">
        <f t="shared" si="161"/>
        <v>6399165</v>
      </c>
      <c r="L3196" s="924" t="s">
        <v>171</v>
      </c>
      <c r="M3196" s="924" t="s">
        <v>166</v>
      </c>
      <c r="N3196" s="52" t="str">
        <f>IF(AND('331-CT'!$E$7=TH!H3196,OR(L3196="331",M3196="331")),"331",IF(AND(OR(L3196="131",M3196="131"),H3196='131-CT'!$E$7),"131",""))</f>
        <v/>
      </c>
      <c r="O3196" s="818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A3196" s="726"/>
    </row>
    <row r="3197" spans="1:27" s="861" customFormat="1" ht="15.75" customHeight="1">
      <c r="A3197" s="202" t="str">
        <f>IF(B3197&lt;&gt;"",IF(AND(B3197&gt;=_TM1,B3197&lt;=_TM2,OR(TH!L3197="1111",TH!M3197="1111")),TH!D3197,""),"")</f>
        <v/>
      </c>
      <c r="B3197" s="857">
        <f t="shared" si="159"/>
        <v>6</v>
      </c>
      <c r="C3197" s="858">
        <f t="shared" si="160"/>
        <v>42548</v>
      </c>
      <c r="D3197" s="858" t="s">
        <v>1548</v>
      </c>
      <c r="E3197" s="830">
        <v>42548</v>
      </c>
      <c r="F3197" s="925" t="s">
        <v>1443</v>
      </c>
      <c r="G3197" s="832" t="s">
        <v>602</v>
      </c>
      <c r="H3197" s="923" t="s">
        <v>1297</v>
      </c>
      <c r="I3197" s="249">
        <v>522</v>
      </c>
      <c r="J3197" s="249">
        <v>8097.8350033166989</v>
      </c>
      <c r="K3197" s="51">
        <f t="shared" si="161"/>
        <v>4227070</v>
      </c>
      <c r="L3197" s="924" t="s">
        <v>171</v>
      </c>
      <c r="M3197" s="924" t="s">
        <v>166</v>
      </c>
      <c r="N3197" s="52" t="str">
        <f>IF(AND('331-CT'!$E$7=TH!H3197,OR(L3197="331",M3197="331")),"331",IF(AND(OR(L3197="131",M3197="131"),H3197='131-CT'!$E$7),"131",""))</f>
        <v/>
      </c>
      <c r="O3197" s="818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A3197" s="726"/>
    </row>
    <row r="3198" spans="1:27" s="861" customFormat="1" ht="15.75" customHeight="1">
      <c r="A3198" s="202" t="str">
        <f>IF(B3198&lt;&gt;"",IF(AND(B3198&gt;=_TM1,B3198&lt;=_TM2,OR(TH!L3198="1111",TH!M3198="1111")),TH!D3198,""),"")</f>
        <v/>
      </c>
      <c r="B3198" s="857">
        <f t="shared" si="159"/>
        <v>6</v>
      </c>
      <c r="C3198" s="858">
        <f t="shared" si="160"/>
        <v>42549</v>
      </c>
      <c r="D3198" s="858" t="s">
        <v>1548</v>
      </c>
      <c r="E3198" s="830">
        <v>42549</v>
      </c>
      <c r="F3198" s="925" t="s">
        <v>389</v>
      </c>
      <c r="G3198" s="832" t="s">
        <v>1061</v>
      </c>
      <c r="H3198" s="923" t="s">
        <v>1297</v>
      </c>
      <c r="I3198" s="249">
        <v>1300</v>
      </c>
      <c r="J3198" s="249">
        <v>6989.7102133891503</v>
      </c>
      <c r="K3198" s="51">
        <f t="shared" si="161"/>
        <v>9086623</v>
      </c>
      <c r="L3198" s="924" t="s">
        <v>171</v>
      </c>
      <c r="M3198" s="924" t="s">
        <v>166</v>
      </c>
      <c r="N3198" s="52" t="str">
        <f>IF(AND('331-CT'!$E$7=TH!H3198,OR(L3198="331",M3198="331")),"331",IF(AND(OR(L3198="131",M3198="131"),H3198='131-CT'!$E$7),"131",""))</f>
        <v/>
      </c>
      <c r="O3198" s="818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A3198" s="726"/>
    </row>
    <row r="3199" spans="1:27" s="861" customFormat="1" ht="15.75" customHeight="1">
      <c r="A3199" s="202" t="str">
        <f>IF(B3199&lt;&gt;"",IF(AND(B3199&gt;=_TM1,B3199&lt;=_TM2,OR(TH!L3199="1111",TH!M3199="1111")),TH!D3199,""),"")</f>
        <v/>
      </c>
      <c r="B3199" s="857">
        <f t="shared" si="159"/>
        <v>6</v>
      </c>
      <c r="C3199" s="858">
        <f t="shared" si="160"/>
        <v>42549</v>
      </c>
      <c r="D3199" s="858" t="s">
        <v>1548</v>
      </c>
      <c r="E3199" s="830">
        <v>42549</v>
      </c>
      <c r="F3199" s="925" t="s">
        <v>392</v>
      </c>
      <c r="G3199" s="832" t="s">
        <v>1061</v>
      </c>
      <c r="H3199" s="923" t="s">
        <v>1297</v>
      </c>
      <c r="I3199" s="249">
        <v>338</v>
      </c>
      <c r="J3199" s="249">
        <v>8268.3157402286288</v>
      </c>
      <c r="K3199" s="51">
        <f t="shared" si="161"/>
        <v>2794691</v>
      </c>
      <c r="L3199" s="924" t="s">
        <v>171</v>
      </c>
      <c r="M3199" s="924" t="s">
        <v>166</v>
      </c>
      <c r="N3199" s="52" t="str">
        <f>IF(AND('331-CT'!$E$7=TH!H3199,OR(L3199="331",M3199="331")),"331",IF(AND(OR(L3199="131",M3199="131"),H3199='131-CT'!$E$7),"131",""))</f>
        <v/>
      </c>
      <c r="O3199" s="818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A3199" s="726"/>
    </row>
    <row r="3200" spans="1:27" s="861" customFormat="1" ht="15.75" customHeight="1">
      <c r="A3200" s="202" t="str">
        <f>IF(B3200&lt;&gt;"",IF(AND(B3200&gt;=_TM1,B3200&lt;=_TM2,OR(TH!L3200="1111",TH!M3200="1111")),TH!D3200,""),"")</f>
        <v/>
      </c>
      <c r="B3200" s="857">
        <f t="shared" si="159"/>
        <v>6</v>
      </c>
      <c r="C3200" s="858">
        <f t="shared" si="160"/>
        <v>42549</v>
      </c>
      <c r="D3200" s="858" t="s">
        <v>1548</v>
      </c>
      <c r="E3200" s="830">
        <v>42549</v>
      </c>
      <c r="F3200" s="925" t="s">
        <v>626</v>
      </c>
      <c r="G3200" s="832" t="s">
        <v>1061</v>
      </c>
      <c r="H3200" s="923" t="s">
        <v>1297</v>
      </c>
      <c r="I3200" s="249">
        <v>316</v>
      </c>
      <c r="J3200" s="249">
        <v>12615.574531482858</v>
      </c>
      <c r="K3200" s="51">
        <f t="shared" si="161"/>
        <v>3986522</v>
      </c>
      <c r="L3200" s="924" t="s">
        <v>171</v>
      </c>
      <c r="M3200" s="924" t="s">
        <v>166</v>
      </c>
      <c r="N3200" s="52" t="str">
        <f>IF(AND('331-CT'!$E$7=TH!H3200,OR(L3200="331",M3200="331")),"331",IF(AND(OR(L3200="131",M3200="131"),H3200='131-CT'!$E$7),"131",""))</f>
        <v/>
      </c>
      <c r="O3200" s="818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A3200" s="726"/>
    </row>
    <row r="3201" spans="1:27" s="861" customFormat="1" ht="15.75" customHeight="1">
      <c r="A3201" s="202" t="str">
        <f>IF(B3201&lt;&gt;"",IF(AND(B3201&gt;=_TM1,B3201&lt;=_TM2,OR(TH!L3201="1111",TH!M3201="1111")),TH!D3201,""),"")</f>
        <v/>
      </c>
      <c r="B3201" s="857">
        <f t="shared" si="159"/>
        <v>6</v>
      </c>
      <c r="C3201" s="858">
        <f t="shared" si="160"/>
        <v>42550</v>
      </c>
      <c r="D3201" s="858" t="s">
        <v>1548</v>
      </c>
      <c r="E3201" s="830">
        <v>42550</v>
      </c>
      <c r="F3201" s="925" t="s">
        <v>1062</v>
      </c>
      <c r="G3201" s="832" t="s">
        <v>603</v>
      </c>
      <c r="H3201" s="923" t="s">
        <v>1297</v>
      </c>
      <c r="I3201" s="249">
        <v>71</v>
      </c>
      <c r="J3201" s="249">
        <v>5966.8257919175676</v>
      </c>
      <c r="K3201" s="51">
        <f t="shared" si="161"/>
        <v>423645</v>
      </c>
      <c r="L3201" s="924" t="s">
        <v>171</v>
      </c>
      <c r="M3201" s="924" t="s">
        <v>166</v>
      </c>
      <c r="N3201" s="52" t="str">
        <f>IF(AND('331-CT'!$E$7=TH!H3201,OR(L3201="331",M3201="331")),"331",IF(AND(OR(L3201="131",M3201="131"),H3201='131-CT'!$E$7),"131",""))</f>
        <v/>
      </c>
      <c r="O3201" s="818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A3201" s="726"/>
    </row>
    <row r="3202" spans="1:27" s="861" customFormat="1" ht="15.75" customHeight="1">
      <c r="A3202" s="202" t="str">
        <f>IF(B3202&lt;&gt;"",IF(AND(B3202&gt;=_TM1,B3202&lt;=_TM2,OR(TH!L3202="1111",TH!M3202="1111")),TH!D3202,""),"")</f>
        <v/>
      </c>
      <c r="B3202" s="857">
        <f t="shared" si="159"/>
        <v>6</v>
      </c>
      <c r="C3202" s="858">
        <f t="shared" si="160"/>
        <v>42550</v>
      </c>
      <c r="D3202" s="858" t="s">
        <v>1548</v>
      </c>
      <c r="E3202" s="830">
        <v>42550</v>
      </c>
      <c r="F3202" s="925" t="s">
        <v>1029</v>
      </c>
      <c r="G3202" s="832" t="s">
        <v>603</v>
      </c>
      <c r="H3202" s="923" t="s">
        <v>1297</v>
      </c>
      <c r="I3202" s="249">
        <v>535</v>
      </c>
      <c r="J3202" s="249">
        <v>4773.460633534055</v>
      </c>
      <c r="K3202" s="51">
        <f t="shared" si="161"/>
        <v>2553801</v>
      </c>
      <c r="L3202" s="924" t="s">
        <v>171</v>
      </c>
      <c r="M3202" s="924" t="s">
        <v>166</v>
      </c>
      <c r="N3202" s="52" t="str">
        <f>IF(AND('331-CT'!$E$7=TH!H3202,OR(L3202="331",M3202="331")),"331",IF(AND(OR(L3202="131",M3202="131"),H3202='131-CT'!$E$7),"131",""))</f>
        <v/>
      </c>
      <c r="O3202" s="818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A3202" s="726"/>
    </row>
    <row r="3203" spans="1:27" s="861" customFormat="1" ht="15.75" customHeight="1">
      <c r="A3203" s="202" t="str">
        <f>IF(B3203&lt;&gt;"",IF(AND(B3203&gt;=_TM1,B3203&lt;=_TM2,OR(TH!L3203="1111",TH!M3203="1111")),TH!D3203,""),"")</f>
        <v/>
      </c>
      <c r="B3203" s="857">
        <f t="shared" si="159"/>
        <v>6</v>
      </c>
      <c r="C3203" s="858">
        <f t="shared" si="160"/>
        <v>42550</v>
      </c>
      <c r="D3203" s="858" t="s">
        <v>1548</v>
      </c>
      <c r="E3203" s="830">
        <v>42550</v>
      </c>
      <c r="F3203" s="925" t="s">
        <v>1063</v>
      </c>
      <c r="G3203" s="832" t="s">
        <v>603</v>
      </c>
      <c r="H3203" s="923" t="s">
        <v>1297</v>
      </c>
      <c r="I3203" s="249">
        <v>333</v>
      </c>
      <c r="J3203" s="249">
        <v>4006.2973174303665</v>
      </c>
      <c r="K3203" s="51">
        <f t="shared" si="161"/>
        <v>1334097</v>
      </c>
      <c r="L3203" s="924" t="s">
        <v>171</v>
      </c>
      <c r="M3203" s="924" t="s">
        <v>166</v>
      </c>
      <c r="N3203" s="52" t="str">
        <f>IF(AND('331-CT'!$E$7=TH!H3203,OR(L3203="331",M3203="331")),"331",IF(AND(OR(L3203="131",M3203="131"),H3203='131-CT'!$E$7),"131",""))</f>
        <v/>
      </c>
      <c r="O3203" s="818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  <c r="AA3203" s="726"/>
    </row>
    <row r="3204" spans="1:27" s="861" customFormat="1" ht="15.75" customHeight="1">
      <c r="A3204" s="202" t="str">
        <f>IF(B3204&lt;&gt;"",IF(AND(B3204&gt;=_TM1,B3204&lt;=_TM2,OR(TH!L3204="1111",TH!M3204="1111")),TH!D3204,""),"")</f>
        <v/>
      </c>
      <c r="B3204" s="857">
        <f t="shared" si="159"/>
        <v>6</v>
      </c>
      <c r="C3204" s="858">
        <f t="shared" si="160"/>
        <v>42550</v>
      </c>
      <c r="D3204" s="858" t="s">
        <v>1548</v>
      </c>
      <c r="E3204" s="830">
        <v>42550</v>
      </c>
      <c r="F3204" s="925" t="s">
        <v>645</v>
      </c>
      <c r="G3204" s="832" t="s">
        <v>1064</v>
      </c>
      <c r="H3204" s="923" t="s">
        <v>1297</v>
      </c>
      <c r="I3204" s="249">
        <v>1055</v>
      </c>
      <c r="J3204" s="249">
        <v>9717.402003980038</v>
      </c>
      <c r="K3204" s="51">
        <f t="shared" si="161"/>
        <v>10251859</v>
      </c>
      <c r="L3204" s="924" t="s">
        <v>171</v>
      </c>
      <c r="M3204" s="924" t="s">
        <v>166</v>
      </c>
      <c r="N3204" s="52" t="str">
        <f>IF(AND('331-CT'!$E$7=TH!H3204,OR(L3204="331",M3204="331")),"331",IF(AND(OR(L3204="131",M3204="131"),H3204='131-CT'!$E$7),"131",""))</f>
        <v/>
      </c>
      <c r="O3204" s="818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  <c r="AA3204" s="726"/>
    </row>
    <row r="3205" spans="1:27" s="861" customFormat="1" ht="15.75" customHeight="1">
      <c r="A3205" s="202" t="str">
        <f>IF(B3205&lt;&gt;"",IF(AND(B3205&gt;=_TM1,B3205&lt;=_TM2,OR(TH!L3205="1111",TH!M3205="1111")),TH!D3205,""),"")</f>
        <v/>
      </c>
      <c r="B3205" s="857">
        <f t="shared" si="159"/>
        <v>6</v>
      </c>
      <c r="C3205" s="858">
        <f t="shared" si="160"/>
        <v>42550</v>
      </c>
      <c r="D3205" s="858" t="s">
        <v>1548</v>
      </c>
      <c r="E3205" s="830">
        <v>42550</v>
      </c>
      <c r="F3205" s="925" t="s">
        <v>645</v>
      </c>
      <c r="G3205" s="832" t="s">
        <v>1064</v>
      </c>
      <c r="H3205" s="923" t="s">
        <v>1297</v>
      </c>
      <c r="I3205" s="249">
        <v>100</v>
      </c>
      <c r="J3205" s="249">
        <v>9717.402003980038</v>
      </c>
      <c r="K3205" s="51">
        <f t="shared" si="161"/>
        <v>971740</v>
      </c>
      <c r="L3205" s="924" t="s">
        <v>171</v>
      </c>
      <c r="M3205" s="924" t="s">
        <v>166</v>
      </c>
      <c r="N3205" s="52" t="str">
        <f>IF(AND('331-CT'!$E$7=TH!H3205,OR(L3205="331",M3205="331")),"331",IF(AND(OR(L3205="131",M3205="131"),H3205='131-CT'!$E$7),"131",""))</f>
        <v/>
      </c>
      <c r="O3205" s="818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  <c r="AA3205" s="726"/>
    </row>
    <row r="3206" spans="1:27" s="861" customFormat="1" ht="15.75" customHeight="1">
      <c r="A3206" s="202" t="str">
        <f>IF(B3206&lt;&gt;"",IF(AND(B3206&gt;=_TM1,B3206&lt;=_TM2,OR(TH!L3206="1111",TH!M3206="1111")),TH!D3206,""),"")</f>
        <v/>
      </c>
      <c r="B3206" s="857">
        <f t="shared" si="159"/>
        <v>6</v>
      </c>
      <c r="C3206" s="858">
        <f t="shared" si="160"/>
        <v>42550</v>
      </c>
      <c r="D3206" s="858" t="s">
        <v>1548</v>
      </c>
      <c r="E3206" s="830">
        <v>42550</v>
      </c>
      <c r="F3206" s="925" t="s">
        <v>693</v>
      </c>
      <c r="G3206" s="832" t="s">
        <v>1064</v>
      </c>
      <c r="H3206" s="923" t="s">
        <v>1297</v>
      </c>
      <c r="I3206" s="249">
        <v>2000</v>
      </c>
      <c r="J3206" s="249">
        <v>767.16331610368729</v>
      </c>
      <c r="K3206" s="51">
        <f t="shared" si="161"/>
        <v>1534327</v>
      </c>
      <c r="L3206" s="924" t="s">
        <v>171</v>
      </c>
      <c r="M3206" s="924" t="s">
        <v>166</v>
      </c>
      <c r="N3206" s="52" t="str">
        <f>IF(AND('331-CT'!$E$7=TH!H3206,OR(L3206="331",M3206="331")),"331",IF(AND(OR(L3206="131",M3206="131"),H3206='131-CT'!$E$7),"131",""))</f>
        <v/>
      </c>
      <c r="O3206" s="818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  <c r="AA3206" s="726"/>
    </row>
    <row r="3207" spans="1:27" s="861" customFormat="1" ht="15.75" customHeight="1">
      <c r="A3207" s="202" t="str">
        <f>IF(B3207&lt;&gt;"",IF(AND(B3207&gt;=_TM1,B3207&lt;=_TM2,OR(TH!L3207="1111",TH!M3207="1111")),TH!D3207,""),"")</f>
        <v/>
      </c>
      <c r="B3207" s="857">
        <f t="shared" si="159"/>
        <v>6</v>
      </c>
      <c r="C3207" s="858">
        <f t="shared" si="160"/>
        <v>42550</v>
      </c>
      <c r="D3207" s="858" t="s">
        <v>1548</v>
      </c>
      <c r="E3207" s="830">
        <v>42550</v>
      </c>
      <c r="F3207" s="925" t="s">
        <v>1244</v>
      </c>
      <c r="G3207" s="832" t="s">
        <v>604</v>
      </c>
      <c r="H3207" s="923" t="s">
        <v>1297</v>
      </c>
      <c r="I3207" s="249">
        <v>200</v>
      </c>
      <c r="J3207" s="249">
        <v>15002.304848249885</v>
      </c>
      <c r="K3207" s="51">
        <f t="shared" si="161"/>
        <v>3000461</v>
      </c>
      <c r="L3207" s="924" t="s">
        <v>171</v>
      </c>
      <c r="M3207" s="924" t="s">
        <v>166</v>
      </c>
      <c r="N3207" s="52" t="str">
        <f>IF(AND('331-CT'!$E$7=TH!H3207,OR(L3207="331",M3207="331")),"331",IF(AND(OR(L3207="131",M3207="131"),H3207='131-CT'!$E$7),"131",""))</f>
        <v/>
      </c>
      <c r="O3207" s="818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  <c r="AA3207" s="726"/>
    </row>
    <row r="3208" spans="1:27" s="861" customFormat="1" ht="15.75" customHeight="1">
      <c r="A3208" s="202" t="str">
        <f>IF(B3208&lt;&gt;"",IF(AND(B3208&gt;=_TM1,B3208&lt;=_TM2,OR(TH!L3208="1111",TH!M3208="1111")),TH!D3208,""),"")</f>
        <v/>
      </c>
      <c r="B3208" s="857">
        <f t="shared" si="159"/>
        <v>6</v>
      </c>
      <c r="C3208" s="858">
        <f t="shared" si="160"/>
        <v>42550</v>
      </c>
      <c r="D3208" s="858" t="s">
        <v>1548</v>
      </c>
      <c r="E3208" s="830">
        <v>42550</v>
      </c>
      <c r="F3208" s="925" t="s">
        <v>1065</v>
      </c>
      <c r="G3208" s="832" t="s">
        <v>605</v>
      </c>
      <c r="H3208" s="923" t="s">
        <v>1297</v>
      </c>
      <c r="I3208" s="249">
        <v>1320</v>
      </c>
      <c r="J3208" s="249">
        <v>9887.8827408919697</v>
      </c>
      <c r="K3208" s="51">
        <f t="shared" si="161"/>
        <v>13052005</v>
      </c>
      <c r="L3208" s="924" t="s">
        <v>171</v>
      </c>
      <c r="M3208" s="924" t="s">
        <v>166</v>
      </c>
      <c r="N3208" s="52" t="str">
        <f>IF(AND('331-CT'!$E$7=TH!H3208,OR(L3208="331",M3208="331")),"331",IF(AND(OR(L3208="131",M3208="131"),H3208='131-CT'!$E$7),"131",""))</f>
        <v/>
      </c>
      <c r="O3208" s="818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  <c r="AA3208" s="726"/>
    </row>
    <row r="3209" spans="1:27" s="861" customFormat="1" ht="15.75" customHeight="1">
      <c r="A3209" s="202" t="str">
        <f>IF(B3209&lt;&gt;"",IF(AND(B3209&gt;=_TM1,B3209&lt;=_TM2,OR(TH!L3209="1111",TH!M3209="1111")),TH!D3209,""),"")</f>
        <v/>
      </c>
      <c r="B3209" s="857">
        <f t="shared" si="159"/>
        <v>6</v>
      </c>
      <c r="C3209" s="858">
        <f t="shared" si="160"/>
        <v>42550</v>
      </c>
      <c r="D3209" s="858" t="s">
        <v>1548</v>
      </c>
      <c r="E3209" s="830">
        <v>42550</v>
      </c>
      <c r="F3209" s="925" t="s">
        <v>1066</v>
      </c>
      <c r="G3209" s="832" t="s">
        <v>605</v>
      </c>
      <c r="H3209" s="923" t="s">
        <v>1297</v>
      </c>
      <c r="I3209" s="249">
        <v>320</v>
      </c>
      <c r="J3209" s="249">
        <v>11848.41121537917</v>
      </c>
      <c r="K3209" s="51">
        <f t="shared" si="161"/>
        <v>3791492</v>
      </c>
      <c r="L3209" s="924" t="s">
        <v>171</v>
      </c>
      <c r="M3209" s="924" t="s">
        <v>166</v>
      </c>
      <c r="N3209" s="52" t="str">
        <f>IF(AND('331-CT'!$E$7=TH!H3209,OR(L3209="331",M3209="331")),"331",IF(AND(OR(L3209="131",M3209="131"),H3209='131-CT'!$E$7),"131",""))</f>
        <v/>
      </c>
      <c r="O3209" s="818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  <c r="AA3209" s="726"/>
    </row>
    <row r="3210" spans="1:27" s="861" customFormat="1" ht="15.75" customHeight="1">
      <c r="A3210" s="202" t="str">
        <f>IF(B3210&lt;&gt;"",IF(AND(B3210&gt;=_TM1,B3210&lt;=_TM2,OR(TH!L3210="1111",TH!M3210="1111")),TH!D3210,""),"")</f>
        <v/>
      </c>
      <c r="B3210" s="857">
        <f t="shared" si="159"/>
        <v>6</v>
      </c>
      <c r="C3210" s="858">
        <f t="shared" si="160"/>
        <v>42550</v>
      </c>
      <c r="D3210" s="858" t="s">
        <v>1548</v>
      </c>
      <c r="E3210" s="830">
        <v>42550</v>
      </c>
      <c r="F3210" s="925" t="s">
        <v>1067</v>
      </c>
      <c r="G3210" s="832" t="s">
        <v>605</v>
      </c>
      <c r="H3210" s="923" t="s">
        <v>1297</v>
      </c>
      <c r="I3210" s="249">
        <v>28</v>
      </c>
      <c r="J3210" s="249">
        <v>11933.651583835135</v>
      </c>
      <c r="K3210" s="51">
        <f t="shared" si="161"/>
        <v>334142</v>
      </c>
      <c r="L3210" s="924" t="s">
        <v>171</v>
      </c>
      <c r="M3210" s="924" t="s">
        <v>166</v>
      </c>
      <c r="N3210" s="52" t="str">
        <f>IF(AND('331-CT'!$E$7=TH!H3210,OR(L3210="331",M3210="331")),"331",IF(AND(OR(L3210="131",M3210="131"),H3210='131-CT'!$E$7),"131",""))</f>
        <v/>
      </c>
      <c r="O3210" s="818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  <c r="AA3210" s="726"/>
    </row>
    <row r="3211" spans="1:27" s="861" customFormat="1" ht="15.75" customHeight="1">
      <c r="A3211" s="202" t="str">
        <f>IF(B3211&lt;&gt;"",IF(AND(B3211&gt;=_TM1,B3211&lt;=_TM2,OR(TH!L3211="1111",TH!M3211="1111")),TH!D3211,""),"")</f>
        <v/>
      </c>
      <c r="B3211" s="857">
        <f t="shared" si="159"/>
        <v>6</v>
      </c>
      <c r="C3211" s="858">
        <f t="shared" si="160"/>
        <v>42550</v>
      </c>
      <c r="D3211" s="858" t="s">
        <v>1548</v>
      </c>
      <c r="E3211" s="830">
        <v>42550</v>
      </c>
      <c r="F3211" s="925" t="s">
        <v>959</v>
      </c>
      <c r="G3211" s="832" t="s">
        <v>605</v>
      </c>
      <c r="H3211" s="923" t="s">
        <v>1297</v>
      </c>
      <c r="I3211" s="249">
        <v>245</v>
      </c>
      <c r="J3211" s="249">
        <v>10996.007530819517</v>
      </c>
      <c r="K3211" s="51">
        <f t="shared" si="161"/>
        <v>2694022</v>
      </c>
      <c r="L3211" s="924" t="s">
        <v>171</v>
      </c>
      <c r="M3211" s="924" t="s">
        <v>166</v>
      </c>
      <c r="N3211" s="52" t="str">
        <f>IF(AND('331-CT'!$E$7=TH!H3211,OR(L3211="331",M3211="331")),"331",IF(AND(OR(L3211="131",M3211="131"),H3211='131-CT'!$E$7),"131",""))</f>
        <v/>
      </c>
      <c r="O3211" s="818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  <c r="AA3211" s="726"/>
    </row>
    <row r="3212" spans="1:27" s="861" customFormat="1" ht="15.75" customHeight="1">
      <c r="A3212" s="202" t="str">
        <f>IF(B3212&lt;&gt;"",IF(AND(B3212&gt;=_TM1,B3212&lt;=_TM2,OR(TH!L3212="1111",TH!M3212="1111")),TH!D3212,""),"")</f>
        <v/>
      </c>
      <c r="B3212" s="857">
        <f t="shared" si="159"/>
        <v>6</v>
      </c>
      <c r="C3212" s="858">
        <f t="shared" si="160"/>
        <v>42550</v>
      </c>
      <c r="D3212" s="858" t="s">
        <v>1548</v>
      </c>
      <c r="E3212" s="830">
        <v>42550</v>
      </c>
      <c r="F3212" s="925" t="s">
        <v>987</v>
      </c>
      <c r="G3212" s="832" t="s">
        <v>605</v>
      </c>
      <c r="H3212" s="923" t="s">
        <v>1297</v>
      </c>
      <c r="I3212" s="249">
        <v>52</v>
      </c>
      <c r="J3212" s="249">
        <v>10228.844214715829</v>
      </c>
      <c r="K3212" s="51">
        <f t="shared" si="161"/>
        <v>531900</v>
      </c>
      <c r="L3212" s="924" t="s">
        <v>171</v>
      </c>
      <c r="M3212" s="924" t="s">
        <v>166</v>
      </c>
      <c r="N3212" s="52" t="str">
        <f>IF(AND('331-CT'!$E$7=TH!H3212,OR(L3212="331",M3212="331")),"331",IF(AND(OR(L3212="131",M3212="131"),H3212='131-CT'!$E$7),"131",""))</f>
        <v/>
      </c>
      <c r="O3212" s="818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  <c r="AA3212" s="726"/>
    </row>
    <row r="3213" spans="1:27" s="861" customFormat="1" ht="15.75" customHeight="1">
      <c r="A3213" s="202" t="str">
        <f>IF(B3213&lt;&gt;"",IF(AND(B3213&gt;=_TM1,B3213&lt;=_TM2,OR(TH!L3213="1111",TH!M3213="1111")),TH!D3213,""),"")</f>
        <v/>
      </c>
      <c r="B3213" s="857">
        <f t="shared" si="159"/>
        <v>6</v>
      </c>
      <c r="C3213" s="858">
        <f t="shared" si="160"/>
        <v>42550</v>
      </c>
      <c r="D3213" s="858" t="s">
        <v>1548</v>
      </c>
      <c r="E3213" s="830">
        <v>42550</v>
      </c>
      <c r="F3213" s="925" t="s">
        <v>627</v>
      </c>
      <c r="G3213" s="832" t="s">
        <v>606</v>
      </c>
      <c r="H3213" s="923" t="s">
        <v>1297</v>
      </c>
      <c r="I3213" s="249">
        <v>410</v>
      </c>
      <c r="J3213" s="249">
        <v>6393.027634197394</v>
      </c>
      <c r="K3213" s="51">
        <f t="shared" si="161"/>
        <v>2621141</v>
      </c>
      <c r="L3213" s="924" t="s">
        <v>171</v>
      </c>
      <c r="M3213" s="924" t="s">
        <v>166</v>
      </c>
      <c r="N3213" s="52" t="str">
        <f>IF(AND('331-CT'!$E$7=TH!H3213,OR(L3213="331",M3213="331")),"331",IF(AND(OR(L3213="131",M3213="131"),H3213='131-CT'!$E$7),"131",""))</f>
        <v/>
      </c>
      <c r="O3213" s="818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  <c r="AA3213" s="726"/>
    </row>
    <row r="3214" spans="1:27" s="861" customFormat="1" ht="15.75" customHeight="1">
      <c r="A3214" s="202" t="str">
        <f>IF(B3214&lt;&gt;"",IF(AND(B3214&gt;=_TM1,B3214&lt;=_TM2,OR(TH!L3214="1111",TH!M3214="1111")),TH!D3214,""),"")</f>
        <v/>
      </c>
      <c r="B3214" s="857">
        <f t="shared" si="159"/>
        <v>6</v>
      </c>
      <c r="C3214" s="858">
        <f t="shared" si="160"/>
        <v>42550</v>
      </c>
      <c r="D3214" s="858" t="s">
        <v>1548</v>
      </c>
      <c r="E3214" s="830">
        <v>42550</v>
      </c>
      <c r="F3214" s="925" t="s">
        <v>1439</v>
      </c>
      <c r="G3214" s="832" t="s">
        <v>608</v>
      </c>
      <c r="H3214" s="923" t="s">
        <v>1297</v>
      </c>
      <c r="I3214" s="249">
        <v>800</v>
      </c>
      <c r="J3214" s="249">
        <v>6989.7102133891503</v>
      </c>
      <c r="K3214" s="51">
        <f t="shared" si="161"/>
        <v>5591768</v>
      </c>
      <c r="L3214" s="924" t="s">
        <v>171</v>
      </c>
      <c r="M3214" s="924" t="s">
        <v>166</v>
      </c>
      <c r="N3214" s="52" t="str">
        <f>IF(AND('331-CT'!$E$7=TH!H3214,OR(L3214="331",M3214="331")),"331",IF(AND(OR(L3214="131",M3214="131"),H3214='131-CT'!$E$7),"131",""))</f>
        <v/>
      </c>
      <c r="O3214" s="818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  <c r="AA3214" s="726"/>
    </row>
    <row r="3215" spans="1:27" s="861" customFormat="1" ht="15.75" customHeight="1">
      <c r="A3215" s="202" t="str">
        <f>IF(B3215&lt;&gt;"",IF(AND(B3215&gt;=_TM1,B3215&lt;=_TM2,OR(TH!L3215="1111",TH!M3215="1111")),TH!D3215,""),"")</f>
        <v/>
      </c>
      <c r="B3215" s="857">
        <f t="shared" si="159"/>
        <v>6</v>
      </c>
      <c r="C3215" s="858">
        <f t="shared" si="160"/>
        <v>42550</v>
      </c>
      <c r="D3215" s="858" t="s">
        <v>1548</v>
      </c>
      <c r="E3215" s="921">
        <v>42550</v>
      </c>
      <c r="F3215" s="925" t="s">
        <v>429</v>
      </c>
      <c r="G3215" s="832" t="s">
        <v>611</v>
      </c>
      <c r="H3215" s="923" t="s">
        <v>1297</v>
      </c>
      <c r="I3215" s="249">
        <v>628</v>
      </c>
      <c r="J3215" s="249">
        <v>10314.084583171796</v>
      </c>
      <c r="K3215" s="51">
        <f t="shared" si="161"/>
        <v>6477245</v>
      </c>
      <c r="L3215" s="924" t="s">
        <v>171</v>
      </c>
      <c r="M3215" s="924" t="s">
        <v>166</v>
      </c>
      <c r="N3215" s="52" t="str">
        <f>IF(AND('331-CT'!$E$7=TH!H3215,OR(L3215="331",M3215="331")),"331",IF(AND(OR(L3215="131",M3215="131"),H3215='131-CT'!$E$7),"131",""))</f>
        <v/>
      </c>
      <c r="O3215" s="818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  <c r="AA3215" s="726"/>
    </row>
    <row r="3216" spans="1:27" s="861" customFormat="1" ht="15.75" customHeight="1">
      <c r="A3216" s="202" t="str">
        <f>IF(B3216&lt;&gt;"",IF(AND(B3216&gt;=_TM1,B3216&lt;=_TM2,OR(TH!L3216="1111",TH!M3216="1111")),TH!D3216,""),"")</f>
        <v/>
      </c>
      <c r="B3216" s="857">
        <f t="shared" si="159"/>
        <v>6</v>
      </c>
      <c r="C3216" s="858">
        <f t="shared" si="160"/>
        <v>42550</v>
      </c>
      <c r="D3216" s="858" t="s">
        <v>1548</v>
      </c>
      <c r="E3216" s="921">
        <v>42550</v>
      </c>
      <c r="F3216" s="925" t="s">
        <v>1068</v>
      </c>
      <c r="G3216" s="832" t="s">
        <v>613</v>
      </c>
      <c r="H3216" s="923" t="s">
        <v>1297</v>
      </c>
      <c r="I3216" s="249">
        <v>53</v>
      </c>
      <c r="J3216" s="249">
        <v>72113.351713746611</v>
      </c>
      <c r="K3216" s="51">
        <f t="shared" si="161"/>
        <v>3822008</v>
      </c>
      <c r="L3216" s="924" t="s">
        <v>171</v>
      </c>
      <c r="M3216" s="924" t="s">
        <v>166</v>
      </c>
      <c r="N3216" s="52" t="str">
        <f>IF(AND('331-CT'!$E$7=TH!H3216,OR(L3216="331",M3216="331")),"331",IF(AND(OR(L3216="131",M3216="131"),H3216='131-CT'!$E$7),"131",""))</f>
        <v/>
      </c>
      <c r="O3216" s="818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  <c r="AA3216" s="726"/>
    </row>
    <row r="3217" spans="1:27" s="861" customFormat="1" ht="15.75" customHeight="1">
      <c r="A3217" s="202" t="str">
        <f>IF(B3217&lt;&gt;"",IF(AND(B3217&gt;=_TM1,B3217&lt;=_TM2,OR(TH!L3217="1111",TH!M3217="1111")),TH!D3217,""),"")</f>
        <v/>
      </c>
      <c r="B3217" s="857">
        <f t="shared" si="159"/>
        <v>6</v>
      </c>
      <c r="C3217" s="858">
        <f t="shared" si="160"/>
        <v>42550</v>
      </c>
      <c r="D3217" s="858" t="s">
        <v>1548</v>
      </c>
      <c r="E3217" s="921">
        <v>42550</v>
      </c>
      <c r="F3217" s="925" t="s">
        <v>418</v>
      </c>
      <c r="G3217" s="832" t="s">
        <v>613</v>
      </c>
      <c r="H3217" s="923" t="s">
        <v>1297</v>
      </c>
      <c r="I3217" s="249">
        <v>120</v>
      </c>
      <c r="J3217" s="249">
        <v>61799.267130574808</v>
      </c>
      <c r="K3217" s="51">
        <f t="shared" si="161"/>
        <v>7415912</v>
      </c>
      <c r="L3217" s="924" t="s">
        <v>171</v>
      </c>
      <c r="M3217" s="924" t="s">
        <v>166</v>
      </c>
      <c r="N3217" s="52" t="str">
        <f>IF(AND('331-CT'!$E$7=TH!H3217,OR(L3217="331",M3217="331")),"331",IF(AND(OR(L3217="131",M3217="131"),H3217='131-CT'!$E$7),"131",""))</f>
        <v/>
      </c>
      <c r="O3217" s="818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  <c r="AA3217" s="726"/>
    </row>
    <row r="3218" spans="1:27" s="861" customFormat="1" ht="15.75" customHeight="1">
      <c r="A3218" s="202" t="str">
        <f>IF(B3218&lt;&gt;"",IF(AND(B3218&gt;=_TM1,B3218&lt;=_TM2,OR(TH!L3218="1111",TH!M3218="1111")),TH!D3218,""),"")</f>
        <v/>
      </c>
      <c r="B3218" s="857">
        <f t="shared" si="159"/>
        <v>6</v>
      </c>
      <c r="C3218" s="858">
        <f t="shared" si="160"/>
        <v>42550</v>
      </c>
      <c r="D3218" s="858" t="s">
        <v>1548</v>
      </c>
      <c r="E3218" s="921">
        <v>42550</v>
      </c>
      <c r="F3218" s="925" t="s">
        <v>1069</v>
      </c>
      <c r="G3218" s="832" t="s">
        <v>613</v>
      </c>
      <c r="H3218" s="923" t="s">
        <v>1297</v>
      </c>
      <c r="I3218" s="249">
        <v>13</v>
      </c>
      <c r="J3218" s="249">
        <v>43728.309017910171</v>
      </c>
      <c r="K3218" s="51">
        <f t="shared" si="161"/>
        <v>568468</v>
      </c>
      <c r="L3218" s="924" t="s">
        <v>171</v>
      </c>
      <c r="M3218" s="924" t="s">
        <v>166</v>
      </c>
      <c r="N3218" s="52" t="str">
        <f>IF(AND('331-CT'!$E$7=TH!H3218,OR(L3218="331",M3218="331")),"331",IF(AND(OR(L3218="131",M3218="131"),H3218='131-CT'!$E$7),"131",""))</f>
        <v/>
      </c>
      <c r="O3218" s="818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  <c r="AA3218" s="726"/>
    </row>
    <row r="3219" spans="1:27" s="861" customFormat="1" ht="15.75" customHeight="1">
      <c r="A3219" s="202" t="str">
        <f>IF(B3219&lt;&gt;"",IF(AND(B3219&gt;=_TM1,B3219&lt;=_TM2,OR(TH!L3219="1111",TH!M3219="1111")),TH!D3219,""),"")</f>
        <v/>
      </c>
      <c r="B3219" s="857">
        <f t="shared" si="159"/>
        <v>6</v>
      </c>
      <c r="C3219" s="858">
        <f t="shared" si="160"/>
        <v>42550</v>
      </c>
      <c r="D3219" s="858" t="s">
        <v>1548</v>
      </c>
      <c r="E3219" s="830">
        <v>42550</v>
      </c>
      <c r="F3219" s="925" t="s">
        <v>495</v>
      </c>
      <c r="G3219" s="832" t="s">
        <v>613</v>
      </c>
      <c r="H3219" s="923" t="s">
        <v>1297</v>
      </c>
      <c r="I3219" s="249">
        <v>51</v>
      </c>
      <c r="J3219" s="249">
        <v>49098.452230635987</v>
      </c>
      <c r="K3219" s="51">
        <f t="shared" si="161"/>
        <v>2504021</v>
      </c>
      <c r="L3219" s="924" t="s">
        <v>171</v>
      </c>
      <c r="M3219" s="924" t="s">
        <v>166</v>
      </c>
      <c r="N3219" s="52" t="str">
        <f>IF(AND('331-CT'!$E$7=TH!H3219,OR(L3219="331",M3219="331")),"331",IF(AND(OR(L3219="131",M3219="131"),H3219='131-CT'!$E$7),"131",""))</f>
        <v/>
      </c>
      <c r="O3219" s="818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  <c r="AA3219" s="726"/>
    </row>
    <row r="3220" spans="1:27" s="861" customFormat="1" ht="15.75" customHeight="1">
      <c r="A3220" s="202" t="str">
        <f>IF(B3220&lt;&gt;"",IF(AND(B3220&gt;=_TM1,B3220&lt;=_TM2,OR(TH!L3220="1111",TH!M3220="1111")),TH!D3220,""),"")</f>
        <v/>
      </c>
      <c r="B3220" s="857">
        <f t="shared" si="159"/>
        <v>6</v>
      </c>
      <c r="C3220" s="858">
        <f t="shared" si="160"/>
        <v>42551</v>
      </c>
      <c r="D3220" s="858" t="s">
        <v>1548</v>
      </c>
      <c r="E3220" s="830">
        <v>42551</v>
      </c>
      <c r="F3220" s="925" t="s">
        <v>651</v>
      </c>
      <c r="G3220" s="832" t="s">
        <v>614</v>
      </c>
      <c r="H3220" s="923" t="s">
        <v>1297</v>
      </c>
      <c r="I3220" s="249">
        <v>220</v>
      </c>
      <c r="J3220" s="249">
        <v>7160.1909503010811</v>
      </c>
      <c r="K3220" s="51">
        <f t="shared" si="161"/>
        <v>1575242</v>
      </c>
      <c r="L3220" s="924" t="s">
        <v>171</v>
      </c>
      <c r="M3220" s="924" t="s">
        <v>166</v>
      </c>
      <c r="N3220" s="52" t="str">
        <f>IF(AND('331-CT'!$E$7=TH!H3220,OR(L3220="331",M3220="331")),"331",IF(AND(OR(L3220="131",M3220="131"),H3220='131-CT'!$E$7),"131",""))</f>
        <v/>
      </c>
      <c r="O3220" s="818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  <c r="AA3220" s="726"/>
    </row>
    <row r="3221" spans="1:27" s="861" customFormat="1" ht="15.75" customHeight="1">
      <c r="A3221" s="202" t="str">
        <f>IF(B3221&lt;&gt;"",IF(AND(B3221&gt;=_TM1,B3221&lt;=_TM2,OR(TH!L3221="1111",TH!M3221="1111")),TH!D3221,""),"")</f>
        <v/>
      </c>
      <c r="B3221" s="857">
        <f t="shared" si="159"/>
        <v>6</v>
      </c>
      <c r="C3221" s="858">
        <f t="shared" si="160"/>
        <v>42551</v>
      </c>
      <c r="D3221" s="858" t="s">
        <v>1548</v>
      </c>
      <c r="E3221" s="830">
        <v>42551</v>
      </c>
      <c r="F3221" s="925" t="s">
        <v>540</v>
      </c>
      <c r="G3221" s="832" t="s">
        <v>614</v>
      </c>
      <c r="H3221" s="923" t="s">
        <v>1297</v>
      </c>
      <c r="I3221" s="249">
        <v>529</v>
      </c>
      <c r="J3221" s="249">
        <v>8268.3157402286288</v>
      </c>
      <c r="K3221" s="51">
        <f t="shared" si="161"/>
        <v>4373939</v>
      </c>
      <c r="L3221" s="924" t="s">
        <v>171</v>
      </c>
      <c r="M3221" s="924" t="s">
        <v>166</v>
      </c>
      <c r="N3221" s="52" t="str">
        <f>IF(AND('331-CT'!$E$7=TH!H3221,OR(L3221="331",M3221="331")),"331",IF(AND(OR(L3221="131",M3221="131"),H3221='131-CT'!$E$7),"131",""))</f>
        <v/>
      </c>
      <c r="O3221" s="818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  <c r="AA3221" s="726"/>
    </row>
    <row r="3222" spans="1:27" s="788" customFormat="1" ht="15.75" customHeight="1">
      <c r="A3222" s="202" t="str">
        <f>IF(B3222&lt;&gt;"",IF(AND(B3222&gt;=_TM1,B3222&lt;=_TM2,OR(TH!L3222="1111",TH!M3222="1111")),TH!D3222,""),"")</f>
        <v/>
      </c>
      <c r="B3222" s="779">
        <f t="shared" ref="B3222:B3285" si="162">IF(C3222&lt;&gt;"",MONTH(C3222),"")</f>
        <v>7</v>
      </c>
      <c r="C3222" s="780">
        <f t="shared" si="160"/>
        <v>42556</v>
      </c>
      <c r="D3222" s="780" t="s">
        <v>1548</v>
      </c>
      <c r="E3222" s="781">
        <v>42556</v>
      </c>
      <c r="F3222" s="789" t="s">
        <v>1443</v>
      </c>
      <c r="G3222" s="783" t="s">
        <v>616</v>
      </c>
      <c r="H3222" s="784" t="s">
        <v>1297</v>
      </c>
      <c r="I3222" s="785">
        <v>498</v>
      </c>
      <c r="J3222" s="785">
        <v>11673.570112762354</v>
      </c>
      <c r="K3222" s="829">
        <f t="shared" si="161"/>
        <v>5813438</v>
      </c>
      <c r="L3222" s="891" t="s">
        <v>171</v>
      </c>
      <c r="M3222" s="891" t="s">
        <v>166</v>
      </c>
      <c r="N3222" s="52" t="str">
        <f>IF(AND('331-CT'!$E$7=TH!H3222,OR(L3222="331",M3222="331")),"331",IF(AND(OR(L3222="131",M3222="131"),H3222='131-CT'!$E$7),"131",""))</f>
        <v/>
      </c>
      <c r="O3222" s="818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>x</v>
      </c>
      <c r="AA3222" s="888"/>
    </row>
    <row r="3223" spans="1:27" s="861" customFormat="1" ht="15.75" customHeight="1">
      <c r="A3223" s="202" t="str">
        <f>IF(B3223&lt;&gt;"",IF(AND(B3223&gt;=_TM1,B3223&lt;=_TM2,OR(TH!L3223="1111",TH!M3223="1111")),TH!D3223,""),"")</f>
        <v/>
      </c>
      <c r="B3223" s="857">
        <f t="shared" si="162"/>
        <v>7</v>
      </c>
      <c r="C3223" s="858">
        <f t="shared" si="160"/>
        <v>42557</v>
      </c>
      <c r="D3223" s="858" t="s">
        <v>1548</v>
      </c>
      <c r="E3223" s="830">
        <v>42557</v>
      </c>
      <c r="F3223" s="925" t="s">
        <v>1255</v>
      </c>
      <c r="G3223" s="832" t="s">
        <v>617</v>
      </c>
      <c r="H3223" s="923" t="s">
        <v>1297</v>
      </c>
      <c r="I3223" s="249">
        <v>1320</v>
      </c>
      <c r="J3223" s="249">
        <v>10076.134202594874</v>
      </c>
      <c r="K3223" s="51">
        <f t="shared" si="161"/>
        <v>13300497</v>
      </c>
      <c r="L3223" s="924" t="s">
        <v>171</v>
      </c>
      <c r="M3223" s="924" t="s">
        <v>166</v>
      </c>
      <c r="N3223" s="52" t="str">
        <f>IF(AND('331-CT'!$E$7=TH!H3223,OR(L3223="331",M3223="331")),"331",IF(AND(OR(L3223="131",M3223="131"),H3223='131-CT'!$E$7),"131",""))</f>
        <v/>
      </c>
      <c r="O3223" s="818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>x</v>
      </c>
      <c r="AA3223" s="726"/>
    </row>
    <row r="3224" spans="1:27" s="861" customFormat="1" ht="15.75" customHeight="1">
      <c r="A3224" s="202" t="str">
        <f>IF(B3224&lt;&gt;"",IF(AND(B3224&gt;=_TM1,B3224&lt;=_TM2,OR(TH!L3224="1111",TH!M3224="1111")),TH!D3224,""),"")</f>
        <v/>
      </c>
      <c r="B3224" s="857">
        <f t="shared" si="162"/>
        <v>7</v>
      </c>
      <c r="C3224" s="858">
        <f t="shared" si="160"/>
        <v>42557</v>
      </c>
      <c r="D3224" s="858" t="s">
        <v>1548</v>
      </c>
      <c r="E3224" s="830">
        <v>42557</v>
      </c>
      <c r="F3224" s="925" t="s">
        <v>1256</v>
      </c>
      <c r="G3224" s="832" t="s">
        <v>617</v>
      </c>
      <c r="H3224" s="923" t="s">
        <v>1297</v>
      </c>
      <c r="I3224" s="249">
        <v>630</v>
      </c>
      <c r="J3224" s="249">
        <v>11182.051371172362</v>
      </c>
      <c r="K3224" s="51">
        <f t="shared" si="161"/>
        <v>7044692</v>
      </c>
      <c r="L3224" s="924" t="s">
        <v>171</v>
      </c>
      <c r="M3224" s="924" t="s">
        <v>166</v>
      </c>
      <c r="N3224" s="52" t="str">
        <f>IF(AND('331-CT'!$E$7=TH!H3224,OR(L3224="331",M3224="331")),"331",IF(AND(OR(L3224="131",M3224="131"),H3224='131-CT'!$E$7),"131",""))</f>
        <v/>
      </c>
      <c r="O3224" s="818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>x</v>
      </c>
      <c r="AA3224" s="726"/>
    </row>
    <row r="3225" spans="1:27" s="861" customFormat="1" ht="15.75" customHeight="1">
      <c r="A3225" s="202" t="str">
        <f>IF(B3225&lt;&gt;"",IF(AND(B3225&gt;=_TM1,B3225&lt;=_TM2,OR(TH!L3225="1111",TH!M3225="1111")),TH!D3225,""),"")</f>
        <v/>
      </c>
      <c r="B3225" s="857">
        <f t="shared" si="162"/>
        <v>7</v>
      </c>
      <c r="C3225" s="858">
        <f t="shared" si="160"/>
        <v>42557</v>
      </c>
      <c r="D3225" s="858" t="s">
        <v>1548</v>
      </c>
      <c r="E3225" s="921">
        <v>42557</v>
      </c>
      <c r="F3225" s="925" t="s">
        <v>594</v>
      </c>
      <c r="G3225" s="832" t="s">
        <v>617</v>
      </c>
      <c r="H3225" s="923" t="s">
        <v>1297</v>
      </c>
      <c r="I3225" s="249">
        <v>320</v>
      </c>
      <c r="J3225" s="249">
        <v>11059.171685774863</v>
      </c>
      <c r="K3225" s="51">
        <f t="shared" si="161"/>
        <v>3538935</v>
      </c>
      <c r="L3225" s="924" t="s">
        <v>171</v>
      </c>
      <c r="M3225" s="924" t="s">
        <v>166</v>
      </c>
      <c r="N3225" s="52" t="str">
        <f>IF(AND('331-CT'!$E$7=TH!H3225,OR(L3225="331",M3225="331")),"331",IF(AND(OR(L3225="131",M3225="131"),H3225='131-CT'!$E$7),"131",""))</f>
        <v/>
      </c>
      <c r="O3225" s="818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>x</v>
      </c>
      <c r="AA3225" s="726"/>
    </row>
    <row r="3226" spans="1:27" s="861" customFormat="1" ht="15.75" customHeight="1">
      <c r="A3226" s="202" t="str">
        <f>IF(B3226&lt;&gt;"",IF(AND(B3226&gt;=_TM1,B3226&lt;=_TM2,OR(TH!L3226="1111",TH!M3226="1111")),TH!D3226,""),"")</f>
        <v/>
      </c>
      <c r="B3226" s="857">
        <f t="shared" si="162"/>
        <v>7</v>
      </c>
      <c r="C3226" s="858">
        <f t="shared" si="160"/>
        <v>42557</v>
      </c>
      <c r="D3226" s="858" t="s">
        <v>1548</v>
      </c>
      <c r="E3226" s="921">
        <v>42557</v>
      </c>
      <c r="F3226" s="925" t="s">
        <v>1257</v>
      </c>
      <c r="G3226" s="832" t="s">
        <v>618</v>
      </c>
      <c r="H3226" s="923" t="s">
        <v>1297</v>
      </c>
      <c r="I3226" s="249">
        <v>230</v>
      </c>
      <c r="J3226" s="249">
        <v>9093.096719414887</v>
      </c>
      <c r="K3226" s="51">
        <f t="shared" si="161"/>
        <v>2091412</v>
      </c>
      <c r="L3226" s="924" t="s">
        <v>171</v>
      </c>
      <c r="M3226" s="924" t="s">
        <v>166</v>
      </c>
      <c r="N3226" s="52" t="str">
        <f>IF(AND('331-CT'!$E$7=TH!H3226,OR(L3226="331",M3226="331")),"331",IF(AND(OR(L3226="131",M3226="131"),H3226='131-CT'!$E$7),"131",""))</f>
        <v/>
      </c>
      <c r="O3226" s="818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>x</v>
      </c>
      <c r="AA3226" s="726"/>
    </row>
    <row r="3227" spans="1:27" s="861" customFormat="1" ht="15.75" customHeight="1">
      <c r="A3227" s="202" t="str">
        <f>IF(B3227&lt;&gt;"",IF(AND(B3227&gt;=_TM1,B3227&lt;=_TM2,OR(TH!L3227="1111",TH!M3227="1111")),TH!D3227,""),"")</f>
        <v/>
      </c>
      <c r="B3227" s="857">
        <f t="shared" si="162"/>
        <v>7</v>
      </c>
      <c r="C3227" s="858">
        <f t="shared" ref="C3227:C3290" si="163">E3227</f>
        <v>42558</v>
      </c>
      <c r="D3227" s="858" t="s">
        <v>1548</v>
      </c>
      <c r="E3227" s="921">
        <v>42558</v>
      </c>
      <c r="F3227" s="925" t="s">
        <v>1258</v>
      </c>
      <c r="G3227" s="832" t="s">
        <v>619</v>
      </c>
      <c r="H3227" s="923" t="s">
        <v>1297</v>
      </c>
      <c r="I3227" s="249">
        <v>1545</v>
      </c>
      <c r="J3227" s="249">
        <v>8355.8186070298962</v>
      </c>
      <c r="K3227" s="51">
        <f t="shared" si="161"/>
        <v>12909740</v>
      </c>
      <c r="L3227" s="924" t="s">
        <v>171</v>
      </c>
      <c r="M3227" s="924" t="s">
        <v>166</v>
      </c>
      <c r="N3227" s="52" t="str">
        <f>IF(AND('331-CT'!$E$7=TH!H3227,OR(L3227="331",M3227="331")),"331",IF(AND(OR(L3227="131",M3227="131"),H3227='131-CT'!$E$7),"131",""))</f>
        <v/>
      </c>
      <c r="O3227" s="818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>x</v>
      </c>
      <c r="AA3227" s="726"/>
    </row>
    <row r="3228" spans="1:27" s="861" customFormat="1" ht="15.75" customHeight="1">
      <c r="A3228" s="202" t="str">
        <f>IF(B3228&lt;&gt;"",IF(AND(B3228&gt;=_TM1,B3228&lt;=_TM2,OR(TH!L3228="1111",TH!M3228="1111")),TH!D3228,""),"")</f>
        <v/>
      </c>
      <c r="B3228" s="857">
        <f t="shared" si="162"/>
        <v>7</v>
      </c>
      <c r="C3228" s="858">
        <f t="shared" si="163"/>
        <v>42558</v>
      </c>
      <c r="D3228" s="858" t="s">
        <v>1548</v>
      </c>
      <c r="E3228" s="921">
        <v>42558</v>
      </c>
      <c r="F3228" s="925" t="s">
        <v>1258</v>
      </c>
      <c r="G3228" s="832" t="s">
        <v>619</v>
      </c>
      <c r="H3228" s="923" t="s">
        <v>1297</v>
      </c>
      <c r="I3228" s="249">
        <v>559</v>
      </c>
      <c r="J3228" s="249">
        <v>8355.8186070298962</v>
      </c>
      <c r="K3228" s="51">
        <f t="shared" ref="K3228:K3291" si="164">ROUND(I3228*J3228,0)</f>
        <v>4670903</v>
      </c>
      <c r="L3228" s="924" t="s">
        <v>171</v>
      </c>
      <c r="M3228" s="924" t="s">
        <v>166</v>
      </c>
      <c r="N3228" s="52" t="str">
        <f>IF(AND('331-CT'!$E$7=TH!H3228,OR(L3228="331",M3228="331")),"331",IF(AND(OR(L3228="131",M3228="131"),H3228='131-CT'!$E$7),"131",""))</f>
        <v/>
      </c>
      <c r="O3228" s="818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>x</v>
      </c>
      <c r="AA3228" s="726"/>
    </row>
    <row r="3229" spans="1:27" s="861" customFormat="1" ht="15.75" customHeight="1">
      <c r="A3229" s="202" t="str">
        <f>IF(B3229&lt;&gt;"",IF(AND(B3229&gt;=_TM1,B3229&lt;=_TM2,OR(TH!L3229="1111",TH!M3229="1111")),TH!D3229,""),"")</f>
        <v/>
      </c>
      <c r="B3229" s="857">
        <f t="shared" si="162"/>
        <v>7</v>
      </c>
      <c r="C3229" s="858">
        <f t="shared" si="163"/>
        <v>42559</v>
      </c>
      <c r="D3229" s="858" t="s">
        <v>1548</v>
      </c>
      <c r="E3229" s="921">
        <v>42559</v>
      </c>
      <c r="F3229" s="925" t="s">
        <v>988</v>
      </c>
      <c r="G3229" s="832" t="s">
        <v>620</v>
      </c>
      <c r="H3229" s="923" t="s">
        <v>1297</v>
      </c>
      <c r="I3229" s="249">
        <v>548</v>
      </c>
      <c r="J3229" s="249">
        <v>10567.652944184869</v>
      </c>
      <c r="K3229" s="51">
        <f t="shared" si="164"/>
        <v>5791074</v>
      </c>
      <c r="L3229" s="924" t="s">
        <v>171</v>
      </c>
      <c r="M3229" s="924" t="s">
        <v>166</v>
      </c>
      <c r="N3229" s="52" t="str">
        <f>IF(AND('331-CT'!$E$7=TH!H3229,OR(L3229="331",M3229="331")),"331",IF(AND(OR(L3229="131",M3229="131"),H3229='131-CT'!$E$7),"131",""))</f>
        <v/>
      </c>
      <c r="O3229" s="818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>x</v>
      </c>
      <c r="AA3229" s="726"/>
    </row>
    <row r="3230" spans="1:27" s="861" customFormat="1" ht="15.75" customHeight="1">
      <c r="A3230" s="202" t="str">
        <f>IF(B3230&lt;&gt;"",IF(AND(B3230&gt;=_TM1,B3230&lt;=_TM2,OR(TH!L3230="1111",TH!M3230="1111")),TH!D3230,""),"")</f>
        <v/>
      </c>
      <c r="B3230" s="857">
        <f t="shared" si="162"/>
        <v>7</v>
      </c>
      <c r="C3230" s="858">
        <f t="shared" si="163"/>
        <v>42563</v>
      </c>
      <c r="D3230" s="858" t="s">
        <v>1548</v>
      </c>
      <c r="E3230" s="830">
        <v>42563</v>
      </c>
      <c r="F3230" s="925" t="s">
        <v>1070</v>
      </c>
      <c r="G3230" s="832" t="s">
        <v>621</v>
      </c>
      <c r="H3230" s="923" t="s">
        <v>1297</v>
      </c>
      <c r="I3230" s="249">
        <v>220</v>
      </c>
      <c r="J3230" s="249">
        <v>33546.154113517085</v>
      </c>
      <c r="K3230" s="51">
        <f t="shared" si="164"/>
        <v>7380154</v>
      </c>
      <c r="L3230" s="924" t="s">
        <v>171</v>
      </c>
      <c r="M3230" s="924" t="s">
        <v>166</v>
      </c>
      <c r="N3230" s="52" t="str">
        <f>IF(AND('331-CT'!$E$7=TH!H3230,OR(L3230="331",M3230="331")),"331",IF(AND(OR(L3230="131",M3230="131"),H3230='131-CT'!$E$7),"131",""))</f>
        <v/>
      </c>
      <c r="O3230" s="818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>x</v>
      </c>
      <c r="AA3230" s="726"/>
    </row>
    <row r="3231" spans="1:27" s="861" customFormat="1" ht="15.75" customHeight="1">
      <c r="A3231" s="202" t="str">
        <f>IF(B3231&lt;&gt;"",IF(AND(B3231&gt;=_TM1,B3231&lt;=_TM2,OR(TH!L3231="1111",TH!M3231="1111")),TH!D3231,""),"")</f>
        <v/>
      </c>
      <c r="B3231" s="857">
        <f t="shared" si="162"/>
        <v>7</v>
      </c>
      <c r="C3231" s="858">
        <f t="shared" si="163"/>
        <v>42563</v>
      </c>
      <c r="D3231" s="858" t="s">
        <v>1548</v>
      </c>
      <c r="E3231" s="830">
        <v>42563</v>
      </c>
      <c r="F3231" s="831" t="s">
        <v>917</v>
      </c>
      <c r="G3231" s="928" t="s">
        <v>621</v>
      </c>
      <c r="H3231" s="923" t="s">
        <v>1297</v>
      </c>
      <c r="I3231" s="884">
        <v>250</v>
      </c>
      <c r="J3231" s="249">
        <v>16465.877843264796</v>
      </c>
      <c r="K3231" s="51">
        <f t="shared" si="164"/>
        <v>4116469</v>
      </c>
      <c r="L3231" s="924" t="s">
        <v>171</v>
      </c>
      <c r="M3231" s="924" t="s">
        <v>166</v>
      </c>
      <c r="N3231" s="52" t="str">
        <f>IF(AND('331-CT'!$E$7=TH!H3231,OR(L3231="331",M3231="331")),"331",IF(AND(OR(L3231="131",M3231="131"),H3231='131-CT'!$E$7),"131",""))</f>
        <v/>
      </c>
      <c r="O3231" s="818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>x</v>
      </c>
      <c r="AA3231" s="726"/>
    </row>
    <row r="3232" spans="1:27" s="861" customFormat="1" ht="15.75" customHeight="1">
      <c r="A3232" s="202" t="str">
        <f>IF(B3232&lt;&gt;"",IF(AND(B3232&gt;=_TM1,B3232&lt;=_TM2,OR(TH!L3232="1111",TH!M3232="1111")),TH!D3232,""),"")</f>
        <v/>
      </c>
      <c r="B3232" s="857">
        <f t="shared" si="162"/>
        <v>7</v>
      </c>
      <c r="C3232" s="858">
        <f t="shared" si="163"/>
        <v>42563</v>
      </c>
      <c r="D3232" s="858" t="s">
        <v>1548</v>
      </c>
      <c r="E3232" s="830">
        <v>42563</v>
      </c>
      <c r="F3232" s="831" t="s">
        <v>1071</v>
      </c>
      <c r="G3232" s="928" t="s">
        <v>621</v>
      </c>
      <c r="H3232" s="923" t="s">
        <v>1297</v>
      </c>
      <c r="I3232" s="884">
        <v>45</v>
      </c>
      <c r="J3232" s="249">
        <v>10567.652944184869</v>
      </c>
      <c r="K3232" s="51">
        <f t="shared" si="164"/>
        <v>475544</v>
      </c>
      <c r="L3232" s="924" t="s">
        <v>171</v>
      </c>
      <c r="M3232" s="924" t="s">
        <v>166</v>
      </c>
      <c r="N3232" s="52" t="str">
        <f>IF(AND('331-CT'!$E$7=TH!H3232,OR(L3232="331",M3232="331")),"331",IF(AND(OR(L3232="131",M3232="131"),H3232='131-CT'!$E$7),"131",""))</f>
        <v/>
      </c>
      <c r="O3232" s="818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>x</v>
      </c>
      <c r="AA3232" s="726"/>
    </row>
    <row r="3233" spans="1:29" s="861" customFormat="1" ht="15.75" customHeight="1">
      <c r="A3233" s="202" t="str">
        <f>IF(B3233&lt;&gt;"",IF(AND(B3233&gt;=_TM1,B3233&lt;=_TM2,OR(TH!L3233="1111",TH!M3233="1111")),TH!D3233,""),"")</f>
        <v/>
      </c>
      <c r="B3233" s="857">
        <f t="shared" si="162"/>
        <v>7</v>
      </c>
      <c r="C3233" s="858">
        <f t="shared" si="163"/>
        <v>42563</v>
      </c>
      <c r="D3233" s="858" t="s">
        <v>1548</v>
      </c>
      <c r="E3233" s="830">
        <v>42563</v>
      </c>
      <c r="F3233" s="925" t="s">
        <v>474</v>
      </c>
      <c r="G3233" s="832" t="s">
        <v>621</v>
      </c>
      <c r="H3233" s="923" t="s">
        <v>1297</v>
      </c>
      <c r="I3233" s="249">
        <v>582</v>
      </c>
      <c r="J3233" s="249">
        <v>15728.599730879805</v>
      </c>
      <c r="K3233" s="51">
        <f t="shared" si="164"/>
        <v>9154045</v>
      </c>
      <c r="L3233" s="924" t="s">
        <v>171</v>
      </c>
      <c r="M3233" s="924" t="s">
        <v>166</v>
      </c>
      <c r="N3233" s="52" t="str">
        <f>IF(AND('331-CT'!$E$7=TH!H3233,OR(L3233="331",M3233="331")),"331",IF(AND(OR(L3233="131",M3233="131"),H3233='131-CT'!$E$7),"131",""))</f>
        <v/>
      </c>
      <c r="O3233" s="818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>x</v>
      </c>
      <c r="AA3233" s="726"/>
    </row>
    <row r="3234" spans="1:29" s="861" customFormat="1" ht="15.75" customHeight="1">
      <c r="A3234" s="202" t="str">
        <f>IF(B3234&lt;&gt;"",IF(AND(B3234&gt;=_TM1,B3234&lt;=_TM2,OR(TH!L3234="1111",TH!M3234="1111")),TH!D3234,""),"")</f>
        <v/>
      </c>
      <c r="B3234" s="857">
        <f t="shared" si="162"/>
        <v>7</v>
      </c>
      <c r="C3234" s="858">
        <f t="shared" si="163"/>
        <v>42563</v>
      </c>
      <c r="D3234" s="858" t="s">
        <v>1548</v>
      </c>
      <c r="E3234" s="830">
        <v>42563</v>
      </c>
      <c r="F3234" s="925" t="s">
        <v>1072</v>
      </c>
      <c r="G3234" s="832" t="s">
        <v>621</v>
      </c>
      <c r="H3234" s="923" t="s">
        <v>1297</v>
      </c>
      <c r="I3234" s="249">
        <v>55</v>
      </c>
      <c r="J3234" s="249">
        <v>14499.802876904818</v>
      </c>
      <c r="K3234" s="51">
        <f t="shared" si="164"/>
        <v>797489</v>
      </c>
      <c r="L3234" s="924" t="s">
        <v>171</v>
      </c>
      <c r="M3234" s="924" t="s">
        <v>166</v>
      </c>
      <c r="N3234" s="52" t="str">
        <f>IF(AND('331-CT'!$E$7=TH!H3234,OR(L3234="331",M3234="331")),"331",IF(AND(OR(L3234="131",M3234="131"),H3234='131-CT'!$E$7),"131",""))</f>
        <v/>
      </c>
      <c r="O3234" s="818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>x</v>
      </c>
      <c r="AA3234" s="726"/>
    </row>
    <row r="3235" spans="1:29" s="861" customFormat="1" ht="15.75" customHeight="1">
      <c r="A3235" s="202" t="str">
        <f>IF(B3235&lt;&gt;"",IF(AND(B3235&gt;=_TM1,B3235&lt;=_TM2,OR(TH!L3235="1111",TH!M3235="1111")),TH!D3235,""),"")</f>
        <v/>
      </c>
      <c r="B3235" s="857">
        <f t="shared" si="162"/>
        <v>7</v>
      </c>
      <c r="C3235" s="858">
        <f t="shared" si="163"/>
        <v>42563</v>
      </c>
      <c r="D3235" s="858" t="s">
        <v>1548</v>
      </c>
      <c r="E3235" s="921">
        <v>42563</v>
      </c>
      <c r="F3235" s="49" t="s">
        <v>1068</v>
      </c>
      <c r="G3235" s="865" t="s">
        <v>622</v>
      </c>
      <c r="H3235" s="923" t="s">
        <v>1297</v>
      </c>
      <c r="I3235" s="930">
        <v>19</v>
      </c>
      <c r="J3235" s="930">
        <v>103956.21384628372</v>
      </c>
      <c r="K3235" s="51">
        <f t="shared" si="164"/>
        <v>1975168</v>
      </c>
      <c r="L3235" s="924" t="s">
        <v>171</v>
      </c>
      <c r="M3235" s="924" t="s">
        <v>166</v>
      </c>
      <c r="N3235" s="52" t="str">
        <f>IF(AND('331-CT'!$E$7=TH!H3235,OR(L3235="331",M3235="331")),"331",IF(AND(OR(L3235="131",M3235="131"),H3235='131-CT'!$E$7),"131",""))</f>
        <v/>
      </c>
      <c r="O3235" s="818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>x</v>
      </c>
      <c r="AA3235" s="726"/>
    </row>
    <row r="3236" spans="1:29" s="861" customFormat="1" ht="15.75" customHeight="1">
      <c r="A3236" s="202" t="str">
        <f>IF(B3236&lt;&gt;"",IF(AND(B3236&gt;=_TM1,B3236&lt;=_TM2,OR(TH!L3236="1111",TH!M3236="1111")),TH!D3236,""),"")</f>
        <v/>
      </c>
      <c r="B3236" s="857">
        <f t="shared" si="162"/>
        <v>7</v>
      </c>
      <c r="C3236" s="858">
        <f t="shared" si="163"/>
        <v>42563</v>
      </c>
      <c r="D3236" s="858" t="s">
        <v>1548</v>
      </c>
      <c r="E3236" s="921">
        <v>42563</v>
      </c>
      <c r="F3236" s="49" t="s">
        <v>418</v>
      </c>
      <c r="G3236" s="865" t="s">
        <v>622</v>
      </c>
      <c r="H3236" s="923" t="s">
        <v>1297</v>
      </c>
      <c r="I3236" s="249">
        <v>60</v>
      </c>
      <c r="J3236" s="249">
        <v>89087.771913186385</v>
      </c>
      <c r="K3236" s="51">
        <f t="shared" si="164"/>
        <v>5345266</v>
      </c>
      <c r="L3236" s="924" t="s">
        <v>171</v>
      </c>
      <c r="M3236" s="924" t="s">
        <v>166</v>
      </c>
      <c r="N3236" s="52" t="str">
        <f>IF(AND('331-CT'!$E$7=TH!H3236,OR(L3236="331",M3236="331")),"331",IF(AND(OR(L3236="131",M3236="131"),H3236='131-CT'!$E$7),"131",""))</f>
        <v/>
      </c>
      <c r="O3236" s="818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>x</v>
      </c>
      <c r="AA3236" s="726"/>
    </row>
    <row r="3237" spans="1:29" s="861" customFormat="1" ht="15.75" customHeight="1">
      <c r="A3237" s="202" t="str">
        <f>IF(B3237&lt;&gt;"",IF(AND(B3237&gt;=_TM1,B3237&lt;=_TM2,OR(TH!L3237="1111",TH!M3237="1111")),TH!D3237,""),"")</f>
        <v/>
      </c>
      <c r="B3237" s="857">
        <f t="shared" si="162"/>
        <v>8</v>
      </c>
      <c r="C3237" s="858">
        <f t="shared" si="163"/>
        <v>42604</v>
      </c>
      <c r="D3237" s="858" t="s">
        <v>1548</v>
      </c>
      <c r="E3237" s="921">
        <v>42604</v>
      </c>
      <c r="F3237" s="831" t="s">
        <v>429</v>
      </c>
      <c r="G3237" s="832" t="s">
        <v>1259</v>
      </c>
      <c r="H3237" s="923" t="s">
        <v>1297</v>
      </c>
      <c r="I3237" s="249">
        <v>489</v>
      </c>
      <c r="J3237" s="249">
        <v>14868.441933097314</v>
      </c>
      <c r="K3237" s="51">
        <f t="shared" si="164"/>
        <v>7270668</v>
      </c>
      <c r="L3237" s="924" t="s">
        <v>171</v>
      </c>
      <c r="M3237" s="924" t="s">
        <v>166</v>
      </c>
      <c r="N3237" s="52" t="str">
        <f>IF(AND('331-CT'!$E$7=TH!H3237,OR(L3237="331",M3237="331")),"331",IF(AND(OR(L3237="131",M3237="131"),H3237='131-CT'!$E$7),"131",""))</f>
        <v/>
      </c>
      <c r="O3237" s="818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>x</v>
      </c>
      <c r="AA3237" s="726"/>
      <c r="AB3237" s="860"/>
      <c r="AC3237" s="860"/>
    </row>
    <row r="3238" spans="1:29" s="861" customFormat="1" ht="15.75" customHeight="1">
      <c r="A3238" s="202" t="str">
        <f>IF(B3238&lt;&gt;"",IF(AND(B3238&gt;=_TM1,B3238&lt;=_TM2,OR(TH!L3238="1111",TH!M3238="1111")),TH!D3238,""),"")</f>
        <v/>
      </c>
      <c r="B3238" s="857">
        <f t="shared" si="162"/>
        <v>8</v>
      </c>
      <c r="C3238" s="858">
        <f t="shared" si="163"/>
        <v>42605</v>
      </c>
      <c r="D3238" s="858" t="s">
        <v>1548</v>
      </c>
      <c r="E3238" s="921">
        <v>42605</v>
      </c>
      <c r="F3238" s="831" t="s">
        <v>1262</v>
      </c>
      <c r="G3238" s="832" t="s">
        <v>1260</v>
      </c>
      <c r="H3238" s="923" t="s">
        <v>1297</v>
      </c>
      <c r="I3238" s="249">
        <v>1714</v>
      </c>
      <c r="J3238" s="249">
        <v>2457.5937079499695</v>
      </c>
      <c r="K3238" s="51">
        <f t="shared" si="164"/>
        <v>4212316</v>
      </c>
      <c r="L3238" s="924" t="s">
        <v>171</v>
      </c>
      <c r="M3238" s="924" t="s">
        <v>166</v>
      </c>
      <c r="N3238" s="52" t="str">
        <f>IF(AND('331-CT'!$E$7=TH!H3238,OR(L3238="331",M3238="331")),"331",IF(AND(OR(L3238="131",M3238="131"),H3238='131-CT'!$E$7),"131",""))</f>
        <v/>
      </c>
      <c r="O3238" s="818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>x</v>
      </c>
      <c r="AA3238" s="726"/>
      <c r="AB3238" s="860"/>
      <c r="AC3238" s="860"/>
    </row>
    <row r="3239" spans="1:29" s="861" customFormat="1" ht="15.75" customHeight="1">
      <c r="A3239" s="202" t="str">
        <f>IF(B3239&lt;&gt;"",IF(AND(B3239&gt;=_TM1,B3239&lt;=_TM2,OR(TH!L3239="1111",TH!M3239="1111")),TH!D3239,""),"")</f>
        <v/>
      </c>
      <c r="B3239" s="857">
        <f t="shared" si="162"/>
        <v>8</v>
      </c>
      <c r="C3239" s="858">
        <f t="shared" si="163"/>
        <v>42605</v>
      </c>
      <c r="D3239" s="858" t="s">
        <v>1548</v>
      </c>
      <c r="E3239" s="921">
        <v>42605</v>
      </c>
      <c r="F3239" s="925" t="s">
        <v>1263</v>
      </c>
      <c r="G3239" s="832" t="s">
        <v>1260</v>
      </c>
      <c r="H3239" s="923" t="s">
        <v>1297</v>
      </c>
      <c r="I3239" s="249">
        <v>218</v>
      </c>
      <c r="J3239" s="249">
        <v>7864.2998654399025</v>
      </c>
      <c r="K3239" s="51">
        <f t="shared" si="164"/>
        <v>1714417</v>
      </c>
      <c r="L3239" s="924" t="s">
        <v>171</v>
      </c>
      <c r="M3239" s="924" t="s">
        <v>166</v>
      </c>
      <c r="N3239" s="52" t="str">
        <f>IF(AND('331-CT'!$E$7=TH!H3239,OR(L3239="331",M3239="331")),"331",IF(AND(OR(L3239="131",M3239="131"),H3239='131-CT'!$E$7),"131",""))</f>
        <v/>
      </c>
      <c r="O3239" s="818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>x</v>
      </c>
      <c r="AA3239" s="726"/>
    </row>
    <row r="3240" spans="1:29" s="861" customFormat="1" ht="15.75" customHeight="1">
      <c r="A3240" s="202" t="str">
        <f>IF(B3240&lt;&gt;"",IF(AND(B3240&gt;=_TM1,B3240&lt;=_TM2,OR(TH!L3240="1111",TH!M3240="1111")),TH!D3240,""),"")</f>
        <v/>
      </c>
      <c r="B3240" s="857">
        <f t="shared" si="162"/>
        <v>8</v>
      </c>
      <c r="C3240" s="858">
        <f t="shared" si="163"/>
        <v>42612</v>
      </c>
      <c r="D3240" s="858" t="s">
        <v>1548</v>
      </c>
      <c r="E3240" s="921">
        <v>42612</v>
      </c>
      <c r="F3240" s="925" t="s">
        <v>1255</v>
      </c>
      <c r="G3240" s="832" t="s">
        <v>1264</v>
      </c>
      <c r="H3240" s="923" t="s">
        <v>1297</v>
      </c>
      <c r="I3240" s="249">
        <v>819</v>
      </c>
      <c r="J3240" s="249">
        <v>10076.134202594874</v>
      </c>
      <c r="K3240" s="51">
        <f t="shared" si="164"/>
        <v>8252354</v>
      </c>
      <c r="L3240" s="924" t="s">
        <v>171</v>
      </c>
      <c r="M3240" s="924" t="s">
        <v>166</v>
      </c>
      <c r="N3240" s="52" t="str">
        <f>IF(AND('331-CT'!$E$7=TH!H3240,OR(L3240="331",M3240="331")),"331",IF(AND(OR(L3240="131",M3240="131"),H3240='131-CT'!$E$7),"131",""))</f>
        <v/>
      </c>
      <c r="O3240" s="818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>x</v>
      </c>
      <c r="AA3240" s="726"/>
    </row>
    <row r="3241" spans="1:29" s="861" customFormat="1" ht="15.75" customHeight="1">
      <c r="A3241" s="202" t="str">
        <f>IF(B3241&lt;&gt;"",IF(AND(B3241&gt;=_TM1,B3241&lt;=_TM2,OR(TH!L3241="1111",TH!M3241="1111")),TH!D3241,""),"")</f>
        <v/>
      </c>
      <c r="B3241" s="857">
        <f t="shared" si="162"/>
        <v>8</v>
      </c>
      <c r="C3241" s="858">
        <f t="shared" si="163"/>
        <v>42612</v>
      </c>
      <c r="D3241" s="858" t="s">
        <v>1548</v>
      </c>
      <c r="E3241" s="830">
        <v>42612</v>
      </c>
      <c r="F3241" s="925" t="s">
        <v>1256</v>
      </c>
      <c r="G3241" s="832" t="s">
        <v>1264</v>
      </c>
      <c r="H3241" s="923" t="s">
        <v>1297</v>
      </c>
      <c r="I3241" s="249">
        <v>610</v>
      </c>
      <c r="J3241" s="249">
        <v>11182.051371172362</v>
      </c>
      <c r="K3241" s="51">
        <f t="shared" si="164"/>
        <v>6821051</v>
      </c>
      <c r="L3241" s="924" t="s">
        <v>171</v>
      </c>
      <c r="M3241" s="924" t="s">
        <v>166</v>
      </c>
      <c r="N3241" s="52" t="str">
        <f>IF(AND('331-CT'!$E$7=TH!H3241,OR(L3241="331",M3241="331")),"331",IF(AND(OR(L3241="131",M3241="131"),H3241='131-CT'!$E$7),"131",""))</f>
        <v/>
      </c>
      <c r="O3241" s="818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726"/>
    </row>
    <row r="3242" spans="1:29" s="861" customFormat="1" ht="15.75" customHeight="1">
      <c r="A3242" s="202" t="str">
        <f>IF(B3242&lt;&gt;"",IF(AND(B3242&gt;=_TM1,B3242&lt;=_TM2,OR(TH!L3242="1111",TH!M3242="1111")),TH!D3242,""),"")</f>
        <v/>
      </c>
      <c r="B3242" s="857">
        <f t="shared" si="162"/>
        <v>8</v>
      </c>
      <c r="C3242" s="858">
        <f t="shared" si="163"/>
        <v>42612</v>
      </c>
      <c r="D3242" s="858" t="s">
        <v>1548</v>
      </c>
      <c r="E3242" s="830">
        <v>42612</v>
      </c>
      <c r="F3242" s="925" t="s">
        <v>441</v>
      </c>
      <c r="G3242" s="832" t="s">
        <v>1264</v>
      </c>
      <c r="H3242" s="923" t="s">
        <v>1297</v>
      </c>
      <c r="I3242" s="930">
        <v>599</v>
      </c>
      <c r="J3242" s="930">
        <v>19414.99029280476</v>
      </c>
      <c r="K3242" s="51">
        <f t="shared" si="164"/>
        <v>11629579</v>
      </c>
      <c r="L3242" s="924" t="s">
        <v>171</v>
      </c>
      <c r="M3242" s="924" t="s">
        <v>166</v>
      </c>
      <c r="N3242" s="52" t="str">
        <f>IF(AND('331-CT'!$E$7=TH!H3242,OR(L3242="331",M3242="331")),"331",IF(AND(OR(L3242="131",M3242="131"),H3242='131-CT'!$E$7),"131",""))</f>
        <v/>
      </c>
      <c r="O3242" s="818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726"/>
    </row>
    <row r="3243" spans="1:29" s="861" customFormat="1" ht="15.75" customHeight="1">
      <c r="A3243" s="202" t="str">
        <f>IF(B3243&lt;&gt;"",IF(AND(B3243&gt;=_TM1,B3243&lt;=_TM2,OR(TH!L3243="1111",TH!M3243="1111")),TH!D3243,""),"")</f>
        <v/>
      </c>
      <c r="B3243" s="857">
        <f t="shared" si="162"/>
        <v>8</v>
      </c>
      <c r="C3243" s="858">
        <f t="shared" si="163"/>
        <v>42612</v>
      </c>
      <c r="D3243" s="858" t="s">
        <v>1548</v>
      </c>
      <c r="E3243" s="921">
        <v>42612</v>
      </c>
      <c r="F3243" s="925" t="s">
        <v>454</v>
      </c>
      <c r="G3243" s="832" t="s">
        <v>1264</v>
      </c>
      <c r="H3243" s="923" t="s">
        <v>1297</v>
      </c>
      <c r="I3243" s="249">
        <v>305</v>
      </c>
      <c r="J3243" s="249">
        <v>23592.899596319705</v>
      </c>
      <c r="K3243" s="51">
        <f t="shared" si="164"/>
        <v>7195834</v>
      </c>
      <c r="L3243" s="924" t="s">
        <v>171</v>
      </c>
      <c r="M3243" s="924" t="s">
        <v>166</v>
      </c>
      <c r="N3243" s="52" t="str">
        <f>IF(AND('331-CT'!$E$7=TH!H3243,OR(L3243="331",M3243="331")),"331",IF(AND(OR(L3243="131",M3243="131"),H3243='131-CT'!$E$7),"131",""))</f>
        <v/>
      </c>
      <c r="O3243" s="818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726"/>
    </row>
    <row r="3244" spans="1:29" s="861" customFormat="1" ht="15.75" customHeight="1">
      <c r="A3244" s="202" t="str">
        <f>IF(B3244&lt;&gt;"",IF(AND(B3244&gt;=_TM1,B3244&lt;=_TM2,OR(TH!L3244="1111",TH!M3244="1111")),TH!D3244,""),"")</f>
        <v/>
      </c>
      <c r="B3244" s="857">
        <f t="shared" si="162"/>
        <v>8</v>
      </c>
      <c r="C3244" s="858">
        <f t="shared" si="163"/>
        <v>42612</v>
      </c>
      <c r="D3244" s="858" t="s">
        <v>1548</v>
      </c>
      <c r="E3244" s="921">
        <v>42612</v>
      </c>
      <c r="F3244" s="925" t="s">
        <v>1446</v>
      </c>
      <c r="G3244" s="832" t="s">
        <v>1265</v>
      </c>
      <c r="H3244" s="923" t="s">
        <v>1297</v>
      </c>
      <c r="I3244" s="249">
        <v>100</v>
      </c>
      <c r="J3244" s="249">
        <v>25681.854248077179</v>
      </c>
      <c r="K3244" s="51">
        <f t="shared" si="164"/>
        <v>2568185</v>
      </c>
      <c r="L3244" s="924" t="s">
        <v>171</v>
      </c>
      <c r="M3244" s="924" t="s">
        <v>166</v>
      </c>
      <c r="N3244" s="52" t="str">
        <f>IF(AND('331-CT'!$E$7=TH!H3244,OR(L3244="331",M3244="331")),"331",IF(AND(OR(L3244="131",M3244="131"),H3244='131-CT'!$E$7),"131",""))</f>
        <v/>
      </c>
      <c r="O3244" s="818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726"/>
    </row>
    <row r="3245" spans="1:29" s="861" customFormat="1" ht="15.75" customHeight="1">
      <c r="A3245" s="202" t="str">
        <f>IF(B3245&lt;&gt;"",IF(AND(B3245&gt;=_TM1,B3245&lt;=_TM2,OR(TH!L3245="1111",TH!M3245="1111")),TH!D3245,""),"")</f>
        <v/>
      </c>
      <c r="B3245" s="857">
        <f t="shared" si="162"/>
        <v>8</v>
      </c>
      <c r="C3245" s="858">
        <f t="shared" si="163"/>
        <v>42612</v>
      </c>
      <c r="D3245" s="858" t="s">
        <v>1548</v>
      </c>
      <c r="E3245" s="921">
        <v>42612</v>
      </c>
      <c r="F3245" s="925" t="s">
        <v>1446</v>
      </c>
      <c r="G3245" s="832" t="s">
        <v>1265</v>
      </c>
      <c r="H3245" s="923" t="s">
        <v>1297</v>
      </c>
      <c r="I3245" s="249">
        <v>100</v>
      </c>
      <c r="J3245" s="249">
        <v>25681.854248077179</v>
      </c>
      <c r="K3245" s="51">
        <f t="shared" si="164"/>
        <v>2568185</v>
      </c>
      <c r="L3245" s="924" t="s">
        <v>171</v>
      </c>
      <c r="M3245" s="924" t="s">
        <v>166</v>
      </c>
      <c r="N3245" s="52" t="str">
        <f>IF(AND('331-CT'!$E$7=TH!H3245,OR(L3245="331",M3245="331")),"331",IF(AND(OR(L3245="131",M3245="131"),H3245='131-CT'!$E$7),"131",""))</f>
        <v/>
      </c>
      <c r="O3245" s="818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726"/>
    </row>
    <row r="3246" spans="1:29" s="861" customFormat="1" ht="15.75" customHeight="1">
      <c r="A3246" s="202" t="str">
        <f>IF(B3246&lt;&gt;"",IF(AND(B3246&gt;=_TM1,B3246&lt;=_TM2,OR(TH!L3246="1111",TH!M3246="1111")),TH!D3246,""),"")</f>
        <v/>
      </c>
      <c r="B3246" s="857">
        <f t="shared" si="162"/>
        <v>9</v>
      </c>
      <c r="C3246" s="858">
        <f t="shared" si="163"/>
        <v>42627</v>
      </c>
      <c r="D3246" s="858" t="s">
        <v>1548</v>
      </c>
      <c r="E3246" s="921">
        <v>42627</v>
      </c>
      <c r="F3246" s="831" t="s">
        <v>610</v>
      </c>
      <c r="G3246" s="832" t="s">
        <v>1266</v>
      </c>
      <c r="H3246" s="923" t="s">
        <v>1297</v>
      </c>
      <c r="I3246" s="249">
        <v>153</v>
      </c>
      <c r="J3246" s="249">
        <v>39567.258697994512</v>
      </c>
      <c r="K3246" s="51">
        <f t="shared" si="164"/>
        <v>6053791</v>
      </c>
      <c r="L3246" s="924" t="s">
        <v>171</v>
      </c>
      <c r="M3246" s="924" t="s">
        <v>166</v>
      </c>
      <c r="N3246" s="52" t="str">
        <f>IF(AND('331-CT'!$E$7=TH!H3246,OR(L3246="331",M3246="331")),"331",IF(AND(OR(L3246="131",M3246="131"),H3246='131-CT'!$E$7),"131",""))</f>
        <v/>
      </c>
      <c r="O3246" s="818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726"/>
    </row>
    <row r="3247" spans="1:29" s="861" customFormat="1" ht="15.75" customHeight="1">
      <c r="A3247" s="202" t="str">
        <f>IF(B3247&lt;&gt;"",IF(AND(B3247&gt;=_TM1,B3247&lt;=_TM2,OR(TH!L3247="1111",TH!M3247="1111")),TH!D3247,""),"")</f>
        <v/>
      </c>
      <c r="B3247" s="857">
        <f t="shared" si="162"/>
        <v>9</v>
      </c>
      <c r="C3247" s="858">
        <f t="shared" si="163"/>
        <v>42627</v>
      </c>
      <c r="D3247" s="858" t="s">
        <v>1548</v>
      </c>
      <c r="E3247" s="921">
        <v>42627</v>
      </c>
      <c r="F3247" s="831" t="s">
        <v>972</v>
      </c>
      <c r="G3247" s="832" t="s">
        <v>1267</v>
      </c>
      <c r="H3247" s="923" t="s">
        <v>1297</v>
      </c>
      <c r="I3247" s="249">
        <v>205</v>
      </c>
      <c r="J3247" s="249">
        <v>11182.051371172362</v>
      </c>
      <c r="K3247" s="51">
        <f t="shared" si="164"/>
        <v>2292321</v>
      </c>
      <c r="L3247" s="924" t="s">
        <v>171</v>
      </c>
      <c r="M3247" s="924" t="s">
        <v>166</v>
      </c>
      <c r="N3247" s="52" t="str">
        <f>IF(AND('331-CT'!$E$7=TH!H3247,OR(L3247="331",M3247="331")),"331",IF(AND(OR(L3247="131",M3247="131"),H3247='131-CT'!$E$7),"131",""))</f>
        <v/>
      </c>
      <c r="O3247" s="818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726"/>
    </row>
    <row r="3248" spans="1:29" s="861" customFormat="1" ht="15.75" customHeight="1">
      <c r="A3248" s="202" t="str">
        <f>IF(B3248&lt;&gt;"",IF(AND(B3248&gt;=_TM1,B3248&lt;=_TM2,OR(TH!L3248="1111",TH!M3248="1111")),TH!D3248,""),"")</f>
        <v/>
      </c>
      <c r="B3248" s="857">
        <f t="shared" si="162"/>
        <v>9</v>
      </c>
      <c r="C3248" s="858">
        <f t="shared" si="163"/>
        <v>42632</v>
      </c>
      <c r="D3248" s="858" t="s">
        <v>1548</v>
      </c>
      <c r="E3248" s="921">
        <v>42632</v>
      </c>
      <c r="F3248" s="925" t="s">
        <v>1443</v>
      </c>
      <c r="G3248" s="832" t="s">
        <v>1269</v>
      </c>
      <c r="H3248" s="923" t="s">
        <v>1297</v>
      </c>
      <c r="I3248" s="249">
        <v>300</v>
      </c>
      <c r="J3248" s="249">
        <v>11673.570112762354</v>
      </c>
      <c r="K3248" s="51">
        <f t="shared" si="164"/>
        <v>3502071</v>
      </c>
      <c r="L3248" s="924" t="s">
        <v>171</v>
      </c>
      <c r="M3248" s="924" t="s">
        <v>166</v>
      </c>
      <c r="N3248" s="52" t="str">
        <f>IF(AND('331-CT'!$E$7=TH!H3248,OR(L3248="331",M3248="331")),"331",IF(AND(OR(L3248="131",M3248="131"),H3248='131-CT'!$E$7),"131",""))</f>
        <v/>
      </c>
      <c r="O3248" s="818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726"/>
    </row>
    <row r="3249" spans="1:27" s="788" customFormat="1" ht="15.75" customHeight="1">
      <c r="A3249" s="202" t="str">
        <f>IF(B3249&lt;&gt;"",IF(AND(B3249&gt;=_TM1,B3249&lt;=_TM2,OR(TH!L3249="1111",TH!M3249="1111")),TH!D3249,""),"")</f>
        <v/>
      </c>
      <c r="B3249" s="779">
        <f t="shared" si="162"/>
        <v>10</v>
      </c>
      <c r="C3249" s="780">
        <f t="shared" si="163"/>
        <v>42648</v>
      </c>
      <c r="D3249" s="780" t="s">
        <v>1548</v>
      </c>
      <c r="E3249" s="851">
        <v>42648</v>
      </c>
      <c r="F3249" s="789" t="s">
        <v>1434</v>
      </c>
      <c r="G3249" s="783" t="s">
        <v>1544</v>
      </c>
      <c r="H3249" s="784" t="s">
        <v>1297</v>
      </c>
      <c r="I3249" s="902">
        <v>50</v>
      </c>
      <c r="J3249" s="902">
        <v>8605.1998042915038</v>
      </c>
      <c r="K3249" s="829">
        <f t="shared" si="164"/>
        <v>430260</v>
      </c>
      <c r="L3249" s="891" t="s">
        <v>171</v>
      </c>
      <c r="M3249" s="891" t="s">
        <v>166</v>
      </c>
      <c r="N3249" s="52" t="str">
        <f>IF(AND('331-CT'!$E$7=TH!H3249,OR(L3249="331",M3249="331")),"331",IF(AND(OR(L3249="131",M3249="131"),H3249='131-CT'!$E$7),"131",""))</f>
        <v/>
      </c>
      <c r="O3249" s="818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  <c r="AA3249" s="888"/>
    </row>
    <row r="3250" spans="1:27" s="861" customFormat="1" ht="15.75" customHeight="1">
      <c r="A3250" s="202" t="str">
        <f>IF(B3250&lt;&gt;"",IF(AND(B3250&gt;=_TM1,B3250&lt;=_TM2,OR(TH!L3250="1111",TH!M3250="1111")),TH!D3250,""),"")</f>
        <v/>
      </c>
      <c r="B3250" s="857">
        <f t="shared" si="162"/>
        <v>10</v>
      </c>
      <c r="C3250" s="858">
        <f t="shared" si="163"/>
        <v>42649</v>
      </c>
      <c r="D3250" s="858" t="s">
        <v>1548</v>
      </c>
      <c r="E3250" s="921">
        <v>42649</v>
      </c>
      <c r="F3250" s="831" t="s">
        <v>1303</v>
      </c>
      <c r="G3250" s="832" t="s">
        <v>1302</v>
      </c>
      <c r="H3250" s="923" t="s">
        <v>1297</v>
      </c>
      <c r="I3250" s="930">
        <v>1018</v>
      </c>
      <c r="J3250" s="930">
        <v>6074.2586853822377</v>
      </c>
      <c r="K3250" s="51">
        <f t="shared" si="164"/>
        <v>6183595</v>
      </c>
      <c r="L3250" s="924" t="s">
        <v>171</v>
      </c>
      <c r="M3250" s="924" t="s">
        <v>166</v>
      </c>
      <c r="N3250" s="52" t="str">
        <f>IF(AND('331-CT'!$E$7=TH!H3250,OR(L3250="331",M3250="331")),"331",IF(AND(OR(L3250="131",M3250="131"),H3250='131-CT'!$E$7),"131",""))</f>
        <v/>
      </c>
      <c r="O3250" s="818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  <c r="AA3250" s="726"/>
    </row>
    <row r="3251" spans="1:27" s="861" customFormat="1" ht="15.75" customHeight="1">
      <c r="A3251" s="202" t="str">
        <f>IF(B3251&lt;&gt;"",IF(AND(B3251&gt;=_TM1,B3251&lt;=_TM2,OR(TH!L3251="1111",TH!M3251="1111")),TH!D3251,""),"")</f>
        <v/>
      </c>
      <c r="B3251" s="857">
        <f t="shared" si="162"/>
        <v>10</v>
      </c>
      <c r="C3251" s="858">
        <f t="shared" si="163"/>
        <v>42649</v>
      </c>
      <c r="D3251" s="858" t="s">
        <v>1548</v>
      </c>
      <c r="E3251" s="921">
        <v>42649</v>
      </c>
      <c r="F3251" s="831" t="s">
        <v>1304</v>
      </c>
      <c r="G3251" s="832" t="s">
        <v>1302</v>
      </c>
      <c r="H3251" s="923" t="s">
        <v>1297</v>
      </c>
      <c r="I3251" s="930">
        <v>1020</v>
      </c>
      <c r="J3251" s="930">
        <v>4808.7881259276046</v>
      </c>
      <c r="K3251" s="51">
        <f t="shared" si="164"/>
        <v>4904964</v>
      </c>
      <c r="L3251" s="924" t="s">
        <v>171</v>
      </c>
      <c r="M3251" s="924" t="s">
        <v>166</v>
      </c>
      <c r="N3251" s="52" t="str">
        <f>IF(AND('331-CT'!$E$7=TH!H3251,OR(L3251="331",M3251="331")),"331",IF(AND(OR(L3251="131",M3251="131"),H3251='131-CT'!$E$7),"131",""))</f>
        <v/>
      </c>
      <c r="O3251" s="818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  <c r="AA3251" s="726"/>
    </row>
    <row r="3252" spans="1:27" s="861" customFormat="1" ht="15.75" customHeight="1">
      <c r="A3252" s="202" t="str">
        <f>IF(B3252&lt;&gt;"",IF(AND(B3252&gt;=_TM1,B3252&lt;=_TM2,OR(TH!L3252="1111",TH!M3252="1111")),TH!D3252,""),"")</f>
        <v/>
      </c>
      <c r="B3252" s="857">
        <f t="shared" si="162"/>
        <v>10</v>
      </c>
      <c r="C3252" s="858">
        <f t="shared" si="163"/>
        <v>42651</v>
      </c>
      <c r="D3252" s="858" t="s">
        <v>1548</v>
      </c>
      <c r="E3252" s="830">
        <v>42651</v>
      </c>
      <c r="F3252" s="925" t="s">
        <v>1255</v>
      </c>
      <c r="G3252" s="832" t="s">
        <v>1305</v>
      </c>
      <c r="H3252" s="923" t="s">
        <v>1297</v>
      </c>
      <c r="I3252" s="930">
        <v>926</v>
      </c>
      <c r="J3252" s="930">
        <v>6917.9057250186588</v>
      </c>
      <c r="K3252" s="51">
        <f t="shared" si="164"/>
        <v>6405981</v>
      </c>
      <c r="L3252" s="924" t="s">
        <v>171</v>
      </c>
      <c r="M3252" s="924" t="s">
        <v>166</v>
      </c>
      <c r="N3252" s="52" t="str">
        <f>IF(AND('331-CT'!$E$7=TH!H3252,OR(L3252="331",M3252="331")),"331",IF(AND(OR(L3252="131",M3252="131"),H3252='131-CT'!$E$7),"131",""))</f>
        <v/>
      </c>
      <c r="O3252" s="818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  <c r="AA3252" s="726"/>
    </row>
    <row r="3253" spans="1:27" s="861" customFormat="1" ht="15.75" customHeight="1">
      <c r="A3253" s="202" t="str">
        <f>IF(B3253&lt;&gt;"",IF(AND(B3253&gt;=_TM1,B3253&lt;=_TM2,OR(TH!L3253="1111",TH!M3253="1111")),TH!D3253,""),"")</f>
        <v/>
      </c>
      <c r="B3253" s="857">
        <f t="shared" si="162"/>
        <v>10</v>
      </c>
      <c r="C3253" s="858">
        <f t="shared" si="163"/>
        <v>42651</v>
      </c>
      <c r="D3253" s="858" t="s">
        <v>1548</v>
      </c>
      <c r="E3253" s="830">
        <v>42651</v>
      </c>
      <c r="F3253" s="925" t="s">
        <v>1306</v>
      </c>
      <c r="G3253" s="832" t="s">
        <v>823</v>
      </c>
      <c r="H3253" s="923" t="s">
        <v>1297</v>
      </c>
      <c r="I3253" s="930">
        <v>140</v>
      </c>
      <c r="J3253" s="930">
        <v>10461.223291491631</v>
      </c>
      <c r="K3253" s="51">
        <f t="shared" si="164"/>
        <v>1464571</v>
      </c>
      <c r="L3253" s="924" t="s">
        <v>171</v>
      </c>
      <c r="M3253" s="924" t="s">
        <v>166</v>
      </c>
      <c r="N3253" s="52" t="str">
        <f>IF(AND('331-CT'!$E$7=TH!H3253,OR(L3253="331",M3253="331")),"331",IF(AND(OR(L3253="131",M3253="131"),H3253='131-CT'!$E$7),"131",""))</f>
        <v/>
      </c>
      <c r="O3253" s="818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  <c r="AA3253" s="726"/>
    </row>
    <row r="3254" spans="1:27" s="861" customFormat="1" ht="15.75" customHeight="1">
      <c r="A3254" s="202" t="str">
        <f>IF(B3254&lt;&gt;"",IF(AND(B3254&gt;=_TM1,B3254&lt;=_TM2,OR(TH!L3254="1111",TH!M3254="1111")),TH!D3254,""),"")</f>
        <v/>
      </c>
      <c r="B3254" s="857">
        <f t="shared" si="162"/>
        <v>10</v>
      </c>
      <c r="C3254" s="858">
        <f t="shared" si="163"/>
        <v>42651</v>
      </c>
      <c r="D3254" s="858" t="s">
        <v>1548</v>
      </c>
      <c r="E3254" s="830">
        <v>42651</v>
      </c>
      <c r="F3254" s="925" t="s">
        <v>1307</v>
      </c>
      <c r="G3254" s="832" t="s">
        <v>823</v>
      </c>
      <c r="H3254" s="923" t="s">
        <v>1297</v>
      </c>
      <c r="I3254" s="930">
        <v>140</v>
      </c>
      <c r="J3254" s="930">
        <v>12823.435002473612</v>
      </c>
      <c r="K3254" s="51">
        <f t="shared" si="164"/>
        <v>1795281</v>
      </c>
      <c r="L3254" s="924" t="s">
        <v>171</v>
      </c>
      <c r="M3254" s="924" t="s">
        <v>166</v>
      </c>
      <c r="N3254" s="52" t="str">
        <f>IF(AND('331-CT'!$E$7=TH!H3254,OR(L3254="331",M3254="331")),"331",IF(AND(OR(L3254="131",M3254="131"),H3254='131-CT'!$E$7),"131",""))</f>
        <v/>
      </c>
      <c r="O3254" s="818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  <c r="AA3254" s="726"/>
    </row>
    <row r="3255" spans="1:27" s="861" customFormat="1" ht="15.75" customHeight="1">
      <c r="A3255" s="202" t="str">
        <f>IF(B3255&lt;&gt;"",IF(AND(B3255&gt;=_TM1,B3255&lt;=_TM2,OR(TH!L3255="1111",TH!M3255="1111")),TH!D3255,""),"")</f>
        <v/>
      </c>
      <c r="B3255" s="857">
        <f t="shared" si="162"/>
        <v>10</v>
      </c>
      <c r="C3255" s="858">
        <f t="shared" si="163"/>
        <v>42651</v>
      </c>
      <c r="D3255" s="858" t="s">
        <v>1548</v>
      </c>
      <c r="E3255" s="830">
        <v>42651</v>
      </c>
      <c r="F3255" s="925" t="s">
        <v>1310</v>
      </c>
      <c r="G3255" s="832" t="s">
        <v>823</v>
      </c>
      <c r="H3255" s="923" t="s">
        <v>1297</v>
      </c>
      <c r="I3255" s="930">
        <v>140</v>
      </c>
      <c r="J3255" s="930">
        <v>9195.7527320369991</v>
      </c>
      <c r="K3255" s="51">
        <f t="shared" si="164"/>
        <v>1287405</v>
      </c>
      <c r="L3255" s="924" t="s">
        <v>171</v>
      </c>
      <c r="M3255" s="924" t="s">
        <v>166</v>
      </c>
      <c r="N3255" s="52" t="str">
        <f>IF(AND('331-CT'!$E$7=TH!H3255,OR(L3255="331",M3255="331")),"331",IF(AND(OR(L3255="131",M3255="131"),H3255='131-CT'!$E$7),"131",""))</f>
        <v/>
      </c>
      <c r="O3255" s="818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  <c r="AA3255" s="726"/>
    </row>
    <row r="3256" spans="1:27" s="861" customFormat="1" ht="15.75" customHeight="1">
      <c r="A3256" s="202" t="str">
        <f>IF(B3256&lt;&gt;"",IF(AND(B3256&gt;=_TM1,B3256&lt;=_TM2,OR(TH!L3256="1111",TH!M3256="1111")),TH!D3256,""),"")</f>
        <v/>
      </c>
      <c r="B3256" s="857">
        <f t="shared" si="162"/>
        <v>10</v>
      </c>
      <c r="C3256" s="858">
        <f t="shared" si="163"/>
        <v>42651</v>
      </c>
      <c r="D3256" s="858" t="s">
        <v>1548</v>
      </c>
      <c r="E3256" s="830">
        <v>42651</v>
      </c>
      <c r="F3256" s="925" t="s">
        <v>1308</v>
      </c>
      <c r="G3256" s="832" t="s">
        <v>823</v>
      </c>
      <c r="H3256" s="923" t="s">
        <v>1297</v>
      </c>
      <c r="I3256" s="930">
        <v>140</v>
      </c>
      <c r="J3256" s="930">
        <v>10208.129179600704</v>
      </c>
      <c r="K3256" s="51">
        <f t="shared" si="164"/>
        <v>1429138</v>
      </c>
      <c r="L3256" s="924" t="s">
        <v>171</v>
      </c>
      <c r="M3256" s="924" t="s">
        <v>166</v>
      </c>
      <c r="N3256" s="52" t="str">
        <f>IF(AND('331-CT'!$E$7=TH!H3256,OR(L3256="331",M3256="331")),"331",IF(AND(OR(L3256="131",M3256="131"),H3256='131-CT'!$E$7),"131",""))</f>
        <v/>
      </c>
      <c r="O3256" s="818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  <c r="AA3256" s="726"/>
    </row>
    <row r="3257" spans="1:27" s="861" customFormat="1" ht="15.75" customHeight="1">
      <c r="A3257" s="202" t="str">
        <f>IF(B3257&lt;&gt;"",IF(AND(B3257&gt;=_TM1,B3257&lt;=_TM2,OR(TH!L3257="1111",TH!M3257="1111")),TH!D3257,""),"")</f>
        <v/>
      </c>
      <c r="B3257" s="857">
        <f t="shared" si="162"/>
        <v>10</v>
      </c>
      <c r="C3257" s="858">
        <f t="shared" si="163"/>
        <v>42651</v>
      </c>
      <c r="D3257" s="858" t="s">
        <v>1548</v>
      </c>
      <c r="E3257" s="830">
        <v>42651</v>
      </c>
      <c r="F3257" s="925" t="s">
        <v>1309</v>
      </c>
      <c r="G3257" s="832" t="s">
        <v>823</v>
      </c>
      <c r="H3257" s="923" t="s">
        <v>1297</v>
      </c>
      <c r="I3257" s="249">
        <v>400</v>
      </c>
      <c r="J3257" s="249">
        <v>11220.505627164412</v>
      </c>
      <c r="K3257" s="51">
        <f t="shared" si="164"/>
        <v>4488202</v>
      </c>
      <c r="L3257" s="924" t="s">
        <v>171</v>
      </c>
      <c r="M3257" s="924" t="s">
        <v>166</v>
      </c>
      <c r="N3257" s="52" t="str">
        <f>IF(AND('331-CT'!$E$7=TH!H3257,OR(L3257="331",M3257="331")),"331",IF(AND(OR(L3257="131",M3257="131"),H3257='131-CT'!$E$7),"131",""))</f>
        <v/>
      </c>
      <c r="O3257" s="818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  <c r="AA3257" s="726"/>
    </row>
    <row r="3258" spans="1:27" s="861" customFormat="1" ht="15.75" customHeight="1">
      <c r="A3258" s="202" t="str">
        <f>IF(B3258&lt;&gt;"",IF(AND(B3258&gt;=_TM1,B3258&lt;=_TM2,OR(TH!L3258="1111",TH!M3258="1111")),TH!D3258,""),"")</f>
        <v/>
      </c>
      <c r="B3258" s="857">
        <f t="shared" si="162"/>
        <v>10</v>
      </c>
      <c r="C3258" s="858">
        <f t="shared" si="163"/>
        <v>42651</v>
      </c>
      <c r="D3258" s="858" t="s">
        <v>1548</v>
      </c>
      <c r="E3258" s="921">
        <v>42651</v>
      </c>
      <c r="F3258" s="925" t="s">
        <v>1436</v>
      </c>
      <c r="G3258" s="832" t="s">
        <v>823</v>
      </c>
      <c r="H3258" s="923" t="s">
        <v>1297</v>
      </c>
      <c r="I3258" s="249">
        <v>100</v>
      </c>
      <c r="J3258" s="249">
        <v>17632.223128401216</v>
      </c>
      <c r="K3258" s="51">
        <f t="shared" si="164"/>
        <v>1763222</v>
      </c>
      <c r="L3258" s="924" t="s">
        <v>171</v>
      </c>
      <c r="M3258" s="924" t="s">
        <v>166</v>
      </c>
      <c r="N3258" s="52" t="str">
        <f>IF(AND('331-CT'!$E$7=TH!H3258,OR(L3258="331",M3258="331")),"331",IF(AND(OR(L3258="131",M3258="131"),H3258='131-CT'!$E$7),"131",""))</f>
        <v/>
      </c>
      <c r="O3258" s="818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  <c r="AA3258" s="726"/>
    </row>
    <row r="3259" spans="1:27" s="861" customFormat="1" ht="15.75" customHeight="1">
      <c r="A3259" s="202" t="str">
        <f>IF(B3259&lt;&gt;"",IF(AND(B3259&gt;=_TM1,B3259&lt;=_TM2,OR(TH!L3259="1111",TH!M3259="1111")),TH!D3259,""),"")</f>
        <v/>
      </c>
      <c r="B3259" s="857">
        <f t="shared" si="162"/>
        <v>10</v>
      </c>
      <c r="C3259" s="858">
        <f t="shared" si="163"/>
        <v>42651</v>
      </c>
      <c r="D3259" s="858" t="s">
        <v>1548</v>
      </c>
      <c r="E3259" s="921">
        <v>42651</v>
      </c>
      <c r="F3259" s="925" t="s">
        <v>1446</v>
      </c>
      <c r="G3259" s="832" t="s">
        <v>823</v>
      </c>
      <c r="H3259" s="923" t="s">
        <v>1297</v>
      </c>
      <c r="I3259" s="930">
        <v>170</v>
      </c>
      <c r="J3259" s="930">
        <v>17632.223128401216</v>
      </c>
      <c r="K3259" s="51">
        <f t="shared" si="164"/>
        <v>2997478</v>
      </c>
      <c r="L3259" s="924" t="s">
        <v>171</v>
      </c>
      <c r="M3259" s="924" t="s">
        <v>166</v>
      </c>
      <c r="N3259" s="52" t="str">
        <f>IF(AND('331-CT'!$E$7=TH!H3259,OR(L3259="331",M3259="331")),"331",IF(AND(OR(L3259="131",M3259="131"),H3259='131-CT'!$E$7),"131",""))</f>
        <v/>
      </c>
      <c r="O3259" s="818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  <c r="AA3259" s="726"/>
    </row>
    <row r="3260" spans="1:27" s="861" customFormat="1" ht="15.75" customHeight="1">
      <c r="A3260" s="202" t="str">
        <f>IF(B3260&lt;&gt;"",IF(AND(B3260&gt;=_TM1,B3260&lt;=_TM2,OR(TH!L3260="1111",TH!M3260="1111")),TH!D3260,""),"")</f>
        <v/>
      </c>
      <c r="B3260" s="857">
        <f t="shared" si="162"/>
        <v>10</v>
      </c>
      <c r="C3260" s="858">
        <f t="shared" si="163"/>
        <v>42653</v>
      </c>
      <c r="D3260" s="858" t="s">
        <v>1548</v>
      </c>
      <c r="E3260" s="921">
        <v>42653</v>
      </c>
      <c r="F3260" s="925" t="s">
        <v>1255</v>
      </c>
      <c r="G3260" s="832" t="s">
        <v>1543</v>
      </c>
      <c r="H3260" s="923" t="s">
        <v>1297</v>
      </c>
      <c r="I3260" s="249">
        <v>320</v>
      </c>
      <c r="J3260" s="249">
        <v>6917.9057250186588</v>
      </c>
      <c r="K3260" s="51">
        <f t="shared" si="164"/>
        <v>2213730</v>
      </c>
      <c r="L3260" s="924" t="s">
        <v>171</v>
      </c>
      <c r="M3260" s="924" t="s">
        <v>166</v>
      </c>
      <c r="N3260" s="52" t="str">
        <f>IF(AND('331-CT'!$E$7=TH!H3260,OR(L3260="331",M3260="331")),"331",IF(AND(OR(L3260="131",M3260="131"),H3260='131-CT'!$E$7),"131",""))</f>
        <v/>
      </c>
      <c r="O3260" s="818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  <c r="AA3260" s="726"/>
    </row>
    <row r="3261" spans="1:27" s="861" customFormat="1" ht="15.75" customHeight="1">
      <c r="A3261" s="202" t="str">
        <f>IF(B3261&lt;&gt;"",IF(AND(B3261&gt;=_TM1,B3261&lt;=_TM2,OR(TH!L3261="1111",TH!M3261="1111")),TH!D3261,""),"")</f>
        <v/>
      </c>
      <c r="B3261" s="857">
        <f t="shared" si="162"/>
        <v>10</v>
      </c>
      <c r="C3261" s="858">
        <f t="shared" si="163"/>
        <v>42653</v>
      </c>
      <c r="D3261" s="858" t="s">
        <v>1548</v>
      </c>
      <c r="E3261" s="921">
        <v>42653</v>
      </c>
      <c r="F3261" s="925" t="s">
        <v>441</v>
      </c>
      <c r="G3261" s="832" t="s">
        <v>1543</v>
      </c>
      <c r="H3261" s="923" t="s">
        <v>1297</v>
      </c>
      <c r="I3261" s="249">
        <v>659</v>
      </c>
      <c r="J3261" s="249">
        <v>13329.623226255466</v>
      </c>
      <c r="K3261" s="51">
        <f t="shared" si="164"/>
        <v>8784222</v>
      </c>
      <c r="L3261" s="924" t="s">
        <v>171</v>
      </c>
      <c r="M3261" s="924" t="s">
        <v>166</v>
      </c>
      <c r="N3261" s="52" t="str">
        <f>IF(AND('331-CT'!$E$7=TH!H3261,OR(L3261="331",M3261="331")),"331",IF(AND(OR(L3261="131",M3261="131"),H3261='131-CT'!$E$7),"131",""))</f>
        <v/>
      </c>
      <c r="O3261" s="818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  <c r="AA3261" s="726"/>
    </row>
    <row r="3262" spans="1:27" s="861" customFormat="1" ht="15.75" customHeight="1">
      <c r="A3262" s="202" t="str">
        <f>IF(B3262&lt;&gt;"",IF(AND(B3262&gt;=_TM1,B3262&lt;=_TM2,OR(TH!L3262="1111",TH!M3262="1111")),TH!D3262,""),"")</f>
        <v/>
      </c>
      <c r="B3262" s="857">
        <f t="shared" si="162"/>
        <v>10</v>
      </c>
      <c r="C3262" s="858">
        <f t="shared" si="163"/>
        <v>42655</v>
      </c>
      <c r="D3262" s="858" t="s">
        <v>1548</v>
      </c>
      <c r="E3262" s="921">
        <v>42655</v>
      </c>
      <c r="F3262" s="925" t="s">
        <v>418</v>
      </c>
      <c r="G3262" s="832" t="s">
        <v>1311</v>
      </c>
      <c r="H3262" s="923" t="s">
        <v>1297</v>
      </c>
      <c r="I3262" s="249">
        <v>150</v>
      </c>
      <c r="J3262" s="249">
        <v>61164.410373640589</v>
      </c>
      <c r="K3262" s="51">
        <f t="shared" si="164"/>
        <v>9174662</v>
      </c>
      <c r="L3262" s="924" t="s">
        <v>171</v>
      </c>
      <c r="M3262" s="924" t="s">
        <v>166</v>
      </c>
      <c r="N3262" s="52" t="str">
        <f>IF(AND('331-CT'!$E$7=TH!H3262,OR(L3262="331",M3262="331")),"331",IF(AND(OR(L3262="131",M3262="131"),H3262='131-CT'!$E$7),"131",""))</f>
        <v/>
      </c>
      <c r="O3262" s="818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  <c r="AA3262" s="726"/>
    </row>
    <row r="3263" spans="1:27" s="861" customFormat="1" ht="15.75" customHeight="1">
      <c r="A3263" s="202" t="str">
        <f>IF(B3263&lt;&gt;"",IF(AND(B3263&gt;=_TM1,B3263&lt;=_TM2,OR(TH!L3263="1111",TH!M3263="1111")),TH!D3263,""),"")</f>
        <v/>
      </c>
      <c r="B3263" s="857">
        <f t="shared" si="162"/>
        <v>10</v>
      </c>
      <c r="C3263" s="858">
        <f t="shared" si="163"/>
        <v>42656</v>
      </c>
      <c r="D3263" s="858" t="s">
        <v>1548</v>
      </c>
      <c r="E3263" s="921">
        <v>42656</v>
      </c>
      <c r="F3263" s="922" t="s">
        <v>1443</v>
      </c>
      <c r="G3263" s="865" t="s">
        <v>1312</v>
      </c>
      <c r="H3263" s="923" t="s">
        <v>1297</v>
      </c>
      <c r="I3263" s="249">
        <v>520</v>
      </c>
      <c r="J3263" s="249">
        <v>8014.6468765460077</v>
      </c>
      <c r="K3263" s="51">
        <f t="shared" si="164"/>
        <v>4167616</v>
      </c>
      <c r="L3263" s="924" t="s">
        <v>171</v>
      </c>
      <c r="M3263" s="924" t="s">
        <v>166</v>
      </c>
      <c r="N3263" s="52" t="str">
        <f>IF(AND('331-CT'!$E$7=TH!H3263,OR(L3263="331",M3263="331")),"331",IF(AND(OR(L3263="131",M3263="131"),H3263='131-CT'!$E$7),"131",""))</f>
        <v/>
      </c>
      <c r="O3263" s="818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  <c r="AA3263" s="726"/>
    </row>
    <row r="3264" spans="1:27" s="861" customFormat="1" ht="15.75" customHeight="1">
      <c r="A3264" s="202" t="str">
        <f>IF(B3264&lt;&gt;"",IF(AND(B3264&gt;=_TM1,B3264&lt;=_TM2,OR(TH!L3264="1111",TH!M3264="1111")),TH!D3264,""),"")</f>
        <v/>
      </c>
      <c r="B3264" s="857">
        <f t="shared" si="162"/>
        <v>10</v>
      </c>
      <c r="C3264" s="858">
        <f t="shared" si="163"/>
        <v>42656</v>
      </c>
      <c r="D3264" s="858" t="s">
        <v>1548</v>
      </c>
      <c r="E3264" s="921">
        <v>42656</v>
      </c>
      <c r="F3264" s="922" t="s">
        <v>1313</v>
      </c>
      <c r="G3264" s="865" t="s">
        <v>1312</v>
      </c>
      <c r="H3264" s="923" t="s">
        <v>1297</v>
      </c>
      <c r="I3264" s="926">
        <v>50</v>
      </c>
      <c r="J3264" s="249">
        <v>4640.0587180003204</v>
      </c>
      <c r="K3264" s="51">
        <f t="shared" si="164"/>
        <v>232003</v>
      </c>
      <c r="L3264" s="924" t="s">
        <v>171</v>
      </c>
      <c r="M3264" s="924" t="s">
        <v>166</v>
      </c>
      <c r="N3264" s="52" t="str">
        <f>IF(AND('331-CT'!$E$7=TH!H3264,OR(L3264="331",M3264="331")),"331",IF(AND(OR(L3264="131",M3264="131"),H3264='131-CT'!$E$7),"131",""))</f>
        <v/>
      </c>
      <c r="O3264" s="818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  <c r="AA3264" s="726"/>
    </row>
    <row r="3265" spans="1:27" s="861" customFormat="1" ht="15.75" customHeight="1">
      <c r="A3265" s="202" t="str">
        <f>IF(B3265&lt;&gt;"",IF(AND(B3265&gt;=_TM1,B3265&lt;=_TM2,OR(TH!L3265="1111",TH!M3265="1111")),TH!D3265,""),"")</f>
        <v/>
      </c>
      <c r="B3265" s="857">
        <f t="shared" si="162"/>
        <v>10</v>
      </c>
      <c r="C3265" s="858">
        <f t="shared" si="163"/>
        <v>42656</v>
      </c>
      <c r="D3265" s="858" t="s">
        <v>1548</v>
      </c>
      <c r="E3265" s="830">
        <v>42656</v>
      </c>
      <c r="F3265" s="922" t="s">
        <v>1315</v>
      </c>
      <c r="G3265" s="865" t="s">
        <v>1314</v>
      </c>
      <c r="H3265" s="923" t="s">
        <v>1297</v>
      </c>
      <c r="I3265" s="249">
        <v>996</v>
      </c>
      <c r="J3265" s="249">
        <v>4724.4234219639629</v>
      </c>
      <c r="K3265" s="51">
        <f t="shared" si="164"/>
        <v>4705526</v>
      </c>
      <c r="L3265" s="924" t="s">
        <v>171</v>
      </c>
      <c r="M3265" s="924" t="s">
        <v>166</v>
      </c>
      <c r="N3265" s="52" t="str">
        <f>IF(AND('331-CT'!$E$7=TH!H3265,OR(L3265="331",M3265="331")),"331",IF(AND(OR(L3265="131",M3265="131"),H3265='131-CT'!$E$7),"131",""))</f>
        <v/>
      </c>
      <c r="O3265" s="818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  <c r="AA3265" s="726"/>
    </row>
    <row r="3266" spans="1:27" s="861" customFormat="1" ht="15.75" customHeight="1">
      <c r="A3266" s="202" t="str">
        <f>IF(B3266&lt;&gt;"",IF(AND(B3266&gt;=_TM1,B3266&lt;=_TM2,OR(TH!L3266="1111",TH!M3266="1111")),TH!D3266,""),"")</f>
        <v/>
      </c>
      <c r="B3266" s="857">
        <f t="shared" si="162"/>
        <v>10</v>
      </c>
      <c r="C3266" s="858">
        <f t="shared" si="163"/>
        <v>42661</v>
      </c>
      <c r="D3266" s="858" t="s">
        <v>1548</v>
      </c>
      <c r="E3266" s="830">
        <v>42661</v>
      </c>
      <c r="F3266" s="922" t="s">
        <v>1317</v>
      </c>
      <c r="G3266" s="865" t="s">
        <v>1316</v>
      </c>
      <c r="H3266" s="923" t="s">
        <v>1297</v>
      </c>
      <c r="I3266" s="249">
        <v>510</v>
      </c>
      <c r="J3266" s="249">
        <v>6158.6233893458793</v>
      </c>
      <c r="K3266" s="51">
        <f t="shared" si="164"/>
        <v>3140898</v>
      </c>
      <c r="L3266" s="924" t="s">
        <v>171</v>
      </c>
      <c r="M3266" s="924" t="s">
        <v>166</v>
      </c>
      <c r="N3266" s="52" t="str">
        <f>IF(AND('331-CT'!$E$7=TH!H3266,OR(L3266="331",M3266="331")),"331",IF(AND(OR(L3266="131",M3266="131"),H3266='131-CT'!$E$7),"131",""))</f>
        <v/>
      </c>
      <c r="O3266" s="818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  <c r="AA3266" s="726"/>
    </row>
    <row r="3267" spans="1:27" s="861" customFormat="1" ht="15.75" customHeight="1">
      <c r="A3267" s="202" t="str">
        <f>IF(B3267&lt;&gt;"",IF(AND(B3267&gt;=_TM1,B3267&lt;=_TM2,OR(TH!L3267="1111",TH!M3267="1111")),TH!D3267,""),"")</f>
        <v/>
      </c>
      <c r="B3267" s="857">
        <f t="shared" si="162"/>
        <v>10</v>
      </c>
      <c r="C3267" s="858">
        <f t="shared" si="163"/>
        <v>42661</v>
      </c>
      <c r="D3267" s="858" t="s">
        <v>1548</v>
      </c>
      <c r="E3267" s="830">
        <v>42661</v>
      </c>
      <c r="F3267" s="922" t="s">
        <v>1320</v>
      </c>
      <c r="G3267" s="865" t="s">
        <v>1318</v>
      </c>
      <c r="H3267" s="923" t="s">
        <v>1297</v>
      </c>
      <c r="I3267" s="249">
        <v>5070</v>
      </c>
      <c r="J3267" s="249">
        <v>1856.0234872001281</v>
      </c>
      <c r="K3267" s="51">
        <f t="shared" si="164"/>
        <v>9410039</v>
      </c>
      <c r="L3267" s="924" t="s">
        <v>171</v>
      </c>
      <c r="M3267" s="924" t="s">
        <v>166</v>
      </c>
      <c r="N3267" s="52" t="str">
        <f>IF(AND('331-CT'!$E$7=TH!H3267,OR(L3267="331",M3267="331")),"331",IF(AND(OR(L3267="131",M3267="131"),H3267='131-CT'!$E$7),"131",""))</f>
        <v/>
      </c>
      <c r="O3267" s="818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  <c r="AA3267" s="726"/>
    </row>
    <row r="3268" spans="1:27" s="861" customFormat="1" ht="15.75" customHeight="1">
      <c r="A3268" s="202" t="str">
        <f>IF(B3268&lt;&gt;"",IF(AND(B3268&gt;=_TM1,B3268&lt;=_TM2,OR(TH!L3268="1111",TH!M3268="1111")),TH!D3268,""),"")</f>
        <v/>
      </c>
      <c r="B3268" s="857">
        <f t="shared" si="162"/>
        <v>10</v>
      </c>
      <c r="C3268" s="858">
        <f t="shared" si="163"/>
        <v>42661</v>
      </c>
      <c r="D3268" s="858" t="s">
        <v>1548</v>
      </c>
      <c r="E3268" s="830">
        <v>42661</v>
      </c>
      <c r="F3268" s="922" t="s">
        <v>1321</v>
      </c>
      <c r="G3268" s="865" t="s">
        <v>1318</v>
      </c>
      <c r="H3268" s="923" t="s">
        <v>1297</v>
      </c>
      <c r="I3268" s="930">
        <v>500</v>
      </c>
      <c r="J3268" s="930">
        <v>12654.705594546329</v>
      </c>
      <c r="K3268" s="51">
        <f t="shared" si="164"/>
        <v>6327353</v>
      </c>
      <c r="L3268" s="924" t="s">
        <v>171</v>
      </c>
      <c r="M3268" s="924" t="s">
        <v>166</v>
      </c>
      <c r="N3268" s="52" t="str">
        <f>IF(AND('331-CT'!$E$7=TH!H3268,OR(L3268="331",M3268="331")),"331",IF(AND(OR(L3268="131",M3268="131"),H3268='131-CT'!$E$7),"131",""))</f>
        <v/>
      </c>
      <c r="O3268" s="818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  <c r="AA3268" s="726"/>
    </row>
    <row r="3269" spans="1:27" s="861" customFormat="1" ht="15.75" customHeight="1">
      <c r="A3269" s="202" t="str">
        <f>IF(B3269&lt;&gt;"",IF(AND(B3269&gt;=_TM1,B3269&lt;=_TM2,OR(TH!L3269="1111",TH!M3269="1111")),TH!D3269,""),"")</f>
        <v/>
      </c>
      <c r="B3269" s="857">
        <f t="shared" si="162"/>
        <v>10</v>
      </c>
      <c r="C3269" s="858">
        <f t="shared" si="163"/>
        <v>42661</v>
      </c>
      <c r="D3269" s="858" t="s">
        <v>1548</v>
      </c>
      <c r="E3269" s="830">
        <v>42661</v>
      </c>
      <c r="F3269" s="925" t="s">
        <v>1325</v>
      </c>
      <c r="G3269" s="832" t="s">
        <v>1322</v>
      </c>
      <c r="H3269" s="923" t="s">
        <v>1297</v>
      </c>
      <c r="I3269" s="930">
        <v>400</v>
      </c>
      <c r="J3269" s="930">
        <v>6496.0822052004487</v>
      </c>
      <c r="K3269" s="51">
        <f t="shared" si="164"/>
        <v>2598433</v>
      </c>
      <c r="L3269" s="924" t="s">
        <v>171</v>
      </c>
      <c r="M3269" s="924" t="s">
        <v>166</v>
      </c>
      <c r="N3269" s="52" t="str">
        <f>IF(AND('331-CT'!$E$7=TH!H3269,OR(L3269="331",M3269="331")),"331",IF(AND(OR(L3269="131",M3269="131"),H3269='131-CT'!$E$7),"131",""))</f>
        <v/>
      </c>
      <c r="O3269" s="818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  <c r="AA3269" s="726"/>
    </row>
    <row r="3270" spans="1:27" s="861" customFormat="1" ht="15.75" customHeight="1">
      <c r="A3270" s="202" t="str">
        <f>IF(B3270&lt;&gt;"",IF(AND(B3270&gt;=_TM1,B3270&lt;=_TM2,OR(TH!L3270="1111",TH!M3270="1111")),TH!D3270,""),"")</f>
        <v/>
      </c>
      <c r="B3270" s="857">
        <f t="shared" si="162"/>
        <v>10</v>
      </c>
      <c r="C3270" s="858">
        <f t="shared" si="163"/>
        <v>42661</v>
      </c>
      <c r="D3270" s="858" t="s">
        <v>1548</v>
      </c>
      <c r="E3270" s="830">
        <v>42661</v>
      </c>
      <c r="F3270" s="925" t="s">
        <v>1326</v>
      </c>
      <c r="G3270" s="832" t="s">
        <v>1322</v>
      </c>
      <c r="H3270" s="923" t="s">
        <v>1297</v>
      </c>
      <c r="I3270" s="249">
        <v>338</v>
      </c>
      <c r="J3270" s="249">
        <v>8436.4703963642187</v>
      </c>
      <c r="K3270" s="51">
        <f t="shared" si="164"/>
        <v>2851527</v>
      </c>
      <c r="L3270" s="924" t="s">
        <v>171</v>
      </c>
      <c r="M3270" s="924" t="s">
        <v>166</v>
      </c>
      <c r="N3270" s="52" t="str">
        <f>IF(AND('331-CT'!$E$7=TH!H3270,OR(L3270="331",M3270="331")),"331",IF(AND(OR(L3270="131",M3270="131"),H3270='131-CT'!$E$7),"131",""))</f>
        <v/>
      </c>
      <c r="O3270" s="818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  <c r="AA3270" s="726"/>
    </row>
    <row r="3271" spans="1:27" s="861" customFormat="1" ht="15.75" customHeight="1">
      <c r="A3271" s="202" t="str">
        <f>IF(B3271&lt;&gt;"",IF(AND(B3271&gt;=_TM1,B3271&lt;=_TM2,OR(TH!L3271="1111",TH!M3271="1111")),TH!D3271,""),"")</f>
        <v/>
      </c>
      <c r="B3271" s="857">
        <f t="shared" si="162"/>
        <v>10</v>
      </c>
      <c r="C3271" s="858">
        <f t="shared" si="163"/>
        <v>42661</v>
      </c>
      <c r="D3271" s="858" t="s">
        <v>1548</v>
      </c>
      <c r="E3271" s="830">
        <v>42661</v>
      </c>
      <c r="F3271" s="831" t="s">
        <v>1327</v>
      </c>
      <c r="G3271" s="832" t="s">
        <v>1322</v>
      </c>
      <c r="H3271" s="923" t="s">
        <v>1297</v>
      </c>
      <c r="I3271" s="249">
        <v>400</v>
      </c>
      <c r="J3271" s="249">
        <v>5821.1645734913109</v>
      </c>
      <c r="K3271" s="51">
        <f t="shared" si="164"/>
        <v>2328466</v>
      </c>
      <c r="L3271" s="924" t="s">
        <v>171</v>
      </c>
      <c r="M3271" s="924" t="s">
        <v>166</v>
      </c>
      <c r="N3271" s="52" t="str">
        <f>IF(AND('331-CT'!$E$7=TH!H3271,OR(L3271="331",M3271="331")),"331",IF(AND(OR(L3271="131",M3271="131"),H3271='131-CT'!$E$7),"131",""))</f>
        <v/>
      </c>
      <c r="O3271" s="818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  <c r="AA3271" s="726"/>
    </row>
    <row r="3272" spans="1:27" s="861" customFormat="1" ht="15.75" customHeight="1">
      <c r="A3272" s="202" t="str">
        <f>IF(B3272&lt;&gt;"",IF(AND(B3272&gt;=_TM1,B3272&lt;=_TM2,OR(TH!L3272="1111",TH!M3272="1111")),TH!D3272,""),"")</f>
        <v/>
      </c>
      <c r="B3272" s="857">
        <f t="shared" si="162"/>
        <v>10</v>
      </c>
      <c r="C3272" s="858">
        <f t="shared" si="163"/>
        <v>42661</v>
      </c>
      <c r="D3272" s="858" t="s">
        <v>1548</v>
      </c>
      <c r="E3272" s="830">
        <v>42661</v>
      </c>
      <c r="F3272" s="831" t="s">
        <v>1329</v>
      </c>
      <c r="G3272" s="832" t="s">
        <v>1324</v>
      </c>
      <c r="H3272" s="923" t="s">
        <v>1297</v>
      </c>
      <c r="I3272" s="249">
        <v>203</v>
      </c>
      <c r="J3272" s="249">
        <v>6327.3527972731645</v>
      </c>
      <c r="K3272" s="51">
        <f t="shared" si="164"/>
        <v>1284453</v>
      </c>
      <c r="L3272" s="924" t="s">
        <v>171</v>
      </c>
      <c r="M3272" s="924" t="s">
        <v>166</v>
      </c>
      <c r="N3272" s="52" t="str">
        <f>IF(AND('331-CT'!$E$7=TH!H3272,OR(L3272="331",M3272="331")),"331",IF(AND(OR(L3272="131",M3272="131"),H3272='131-CT'!$E$7),"131",""))</f>
        <v/>
      </c>
      <c r="O3272" s="818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  <c r="AA3272" s="726"/>
    </row>
    <row r="3273" spans="1:27" s="861" customFormat="1" ht="15.75" customHeight="1">
      <c r="A3273" s="202" t="str">
        <f>IF(B3273&lt;&gt;"",IF(AND(B3273&gt;=_TM1,B3273&lt;=_TM2,OR(TH!L3273="1111",TH!M3273="1111")),TH!D3273,""),"")</f>
        <v/>
      </c>
      <c r="B3273" s="857">
        <f t="shared" si="162"/>
        <v>10</v>
      </c>
      <c r="C3273" s="858">
        <f t="shared" si="163"/>
        <v>42661</v>
      </c>
      <c r="D3273" s="858" t="s">
        <v>1548</v>
      </c>
      <c r="E3273" s="830">
        <v>42661</v>
      </c>
      <c r="F3273" s="831" t="s">
        <v>481</v>
      </c>
      <c r="G3273" s="832" t="s">
        <v>1324</v>
      </c>
      <c r="H3273" s="923" t="s">
        <v>1297</v>
      </c>
      <c r="I3273" s="249">
        <v>200</v>
      </c>
      <c r="J3273" s="249">
        <v>7002.2704289823014</v>
      </c>
      <c r="K3273" s="51">
        <f t="shared" si="164"/>
        <v>1400454</v>
      </c>
      <c r="L3273" s="924" t="s">
        <v>171</v>
      </c>
      <c r="M3273" s="924" t="s">
        <v>166</v>
      </c>
      <c r="N3273" s="52" t="str">
        <f>IF(AND('331-CT'!$E$7=TH!H3273,OR(L3273="331",M3273="331")),"331",IF(AND(OR(L3273="131",M3273="131"),H3273='131-CT'!$E$7),"131",""))</f>
        <v/>
      </c>
      <c r="O3273" s="818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  <c r="AA3273" s="726"/>
    </row>
    <row r="3274" spans="1:27" s="861" customFormat="1" ht="15.75" customHeight="1">
      <c r="A3274" s="202" t="str">
        <f>IF(B3274&lt;&gt;"",IF(AND(B3274&gt;=_TM1,B3274&lt;=_TM2,OR(TH!L3274="1111",TH!M3274="1111")),TH!D3274,""),"")</f>
        <v/>
      </c>
      <c r="B3274" s="857">
        <f t="shared" si="162"/>
        <v>10</v>
      </c>
      <c r="C3274" s="858">
        <f t="shared" si="163"/>
        <v>42662</v>
      </c>
      <c r="D3274" s="858" t="s">
        <v>1548</v>
      </c>
      <c r="E3274" s="830">
        <v>42662</v>
      </c>
      <c r="F3274" s="922" t="s">
        <v>1327</v>
      </c>
      <c r="G3274" s="832" t="s">
        <v>1330</v>
      </c>
      <c r="H3274" s="923" t="s">
        <v>1297</v>
      </c>
      <c r="I3274" s="249">
        <v>934</v>
      </c>
      <c r="J3274" s="249">
        <v>5821.1645734913109</v>
      </c>
      <c r="K3274" s="51">
        <f t="shared" si="164"/>
        <v>5436968</v>
      </c>
      <c r="L3274" s="924" t="s">
        <v>171</v>
      </c>
      <c r="M3274" s="924" t="s">
        <v>166</v>
      </c>
      <c r="N3274" s="52" t="str">
        <f>IF(AND('331-CT'!$E$7=TH!H3274,OR(L3274="331",M3274="331")),"331",IF(AND(OR(L3274="131",M3274="131"),H3274='131-CT'!$E$7),"131",""))</f>
        <v/>
      </c>
      <c r="O3274" s="818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  <c r="AA3274" s="726"/>
    </row>
    <row r="3275" spans="1:27" s="861" customFormat="1" ht="15.75" customHeight="1">
      <c r="A3275" s="202" t="str">
        <f>IF(B3275&lt;&gt;"",IF(AND(B3275&gt;=_TM1,B3275&lt;=_TM2,OR(TH!L3275="1111",TH!M3275="1111")),TH!D3275,""),"")</f>
        <v/>
      </c>
      <c r="B3275" s="857">
        <f t="shared" si="162"/>
        <v>10</v>
      </c>
      <c r="C3275" s="858">
        <f t="shared" si="163"/>
        <v>42662</v>
      </c>
      <c r="D3275" s="858" t="s">
        <v>1548</v>
      </c>
      <c r="E3275" s="830">
        <v>42662</v>
      </c>
      <c r="F3275" s="922" t="s">
        <v>1256</v>
      </c>
      <c r="G3275" s="832" t="s">
        <v>1331</v>
      </c>
      <c r="H3275" s="923" t="s">
        <v>1297</v>
      </c>
      <c r="I3275" s="249">
        <v>617</v>
      </c>
      <c r="J3275" s="249">
        <v>7677.1880606914392</v>
      </c>
      <c r="K3275" s="51">
        <f t="shared" si="164"/>
        <v>4736825</v>
      </c>
      <c r="L3275" s="924" t="s">
        <v>171</v>
      </c>
      <c r="M3275" s="924" t="s">
        <v>166</v>
      </c>
      <c r="N3275" s="52" t="str">
        <f>IF(AND('331-CT'!$E$7=TH!H3275,OR(L3275="331",M3275="331")),"331",IF(AND(OR(L3275="131",M3275="131"),H3275='131-CT'!$E$7),"131",""))</f>
        <v/>
      </c>
      <c r="O3275" s="818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  <c r="AA3275" s="726"/>
    </row>
    <row r="3276" spans="1:27" s="861" customFormat="1" ht="15.75" customHeight="1">
      <c r="A3276" s="202" t="str">
        <f>IF(B3276&lt;&gt;"",IF(AND(B3276&gt;=_TM1,B3276&lt;=_TM2,OR(TH!L3276="1111",TH!M3276="1111")),TH!D3276,""),"")</f>
        <v/>
      </c>
      <c r="B3276" s="857">
        <f t="shared" si="162"/>
        <v>10</v>
      </c>
      <c r="C3276" s="858">
        <f t="shared" si="163"/>
        <v>42662</v>
      </c>
      <c r="D3276" s="858" t="s">
        <v>1548</v>
      </c>
      <c r="E3276" s="830">
        <v>42662</v>
      </c>
      <c r="F3276" s="922" t="s">
        <v>626</v>
      </c>
      <c r="G3276" s="832" t="s">
        <v>1331</v>
      </c>
      <c r="H3276" s="923" t="s">
        <v>1297</v>
      </c>
      <c r="I3276" s="249">
        <v>322</v>
      </c>
      <c r="J3276" s="249">
        <v>12485.976186619044</v>
      </c>
      <c r="K3276" s="51">
        <f t="shared" si="164"/>
        <v>4020484</v>
      </c>
      <c r="L3276" s="924" t="s">
        <v>171</v>
      </c>
      <c r="M3276" s="924" t="s">
        <v>166</v>
      </c>
      <c r="N3276" s="52" t="str">
        <f>IF(AND('331-CT'!$E$7=TH!H3276,OR(L3276="331",M3276="331")),"331",IF(AND(OR(L3276="131",M3276="131"),H3276='131-CT'!$E$7),"131",""))</f>
        <v/>
      </c>
      <c r="O3276" s="818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  <c r="AA3276" s="726"/>
    </row>
    <row r="3277" spans="1:27" s="861" customFormat="1" ht="15.75" customHeight="1">
      <c r="A3277" s="202" t="str">
        <f>IF(B3277&lt;&gt;"",IF(AND(B3277&gt;=_TM1,B3277&lt;=_TM2,OR(TH!L3277="1111",TH!M3277="1111")),TH!D3277,""),"")</f>
        <v/>
      </c>
      <c r="B3277" s="857">
        <f t="shared" si="162"/>
        <v>10</v>
      </c>
      <c r="C3277" s="858">
        <f t="shared" si="163"/>
        <v>42664</v>
      </c>
      <c r="D3277" s="858" t="s">
        <v>1548</v>
      </c>
      <c r="E3277" s="830">
        <v>42664</v>
      </c>
      <c r="F3277" s="922" t="s">
        <v>1441</v>
      </c>
      <c r="G3277" s="832" t="s">
        <v>1332</v>
      </c>
      <c r="H3277" s="923" t="s">
        <v>1297</v>
      </c>
      <c r="I3277" s="249">
        <v>1800</v>
      </c>
      <c r="J3277" s="249">
        <v>3627.6822704366141</v>
      </c>
      <c r="K3277" s="51">
        <f t="shared" si="164"/>
        <v>6529828</v>
      </c>
      <c r="L3277" s="924" t="s">
        <v>171</v>
      </c>
      <c r="M3277" s="924" t="s">
        <v>166</v>
      </c>
      <c r="N3277" s="52" t="str">
        <f>IF(AND('331-CT'!$E$7=TH!H3277,OR(L3277="331",M3277="331")),"331",IF(AND(OR(L3277="131",M3277="131"),H3277='131-CT'!$E$7),"131",""))</f>
        <v/>
      </c>
      <c r="O3277" s="818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  <c r="AA3277" s="726"/>
    </row>
    <row r="3278" spans="1:27" s="861" customFormat="1" ht="15.75" customHeight="1">
      <c r="A3278" s="202" t="str">
        <f>IF(B3278&lt;&gt;"",IF(AND(B3278&gt;=_TM1,B3278&lt;=_TM2,OR(TH!L3278="1111",TH!M3278="1111")),TH!D3278,""),"")</f>
        <v/>
      </c>
      <c r="B3278" s="857">
        <f t="shared" si="162"/>
        <v>10</v>
      </c>
      <c r="C3278" s="858">
        <f t="shared" si="163"/>
        <v>42664</v>
      </c>
      <c r="D3278" s="858" t="s">
        <v>1548</v>
      </c>
      <c r="E3278" s="830">
        <v>42664</v>
      </c>
      <c r="F3278" s="922" t="s">
        <v>1307</v>
      </c>
      <c r="G3278" s="832" t="s">
        <v>1332</v>
      </c>
      <c r="H3278" s="923" t="s">
        <v>1297</v>
      </c>
      <c r="I3278" s="249">
        <v>30</v>
      </c>
      <c r="J3278" s="249">
        <v>12823.435002473612</v>
      </c>
      <c r="K3278" s="51">
        <f t="shared" si="164"/>
        <v>384703</v>
      </c>
      <c r="L3278" s="924" t="s">
        <v>171</v>
      </c>
      <c r="M3278" s="924" t="s">
        <v>166</v>
      </c>
      <c r="N3278" s="52" t="str">
        <f>IF(AND('331-CT'!$E$7=TH!H3278,OR(L3278="331",M3278="331")),"331",IF(AND(OR(L3278="131",M3278="131"),H3278='131-CT'!$E$7),"131",""))</f>
        <v/>
      </c>
      <c r="O3278" s="818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  <c r="AA3278" s="726"/>
    </row>
    <row r="3279" spans="1:27" s="861" customFormat="1" ht="15.75" customHeight="1">
      <c r="A3279" s="202" t="str">
        <f>IF(B3279&lt;&gt;"",IF(AND(B3279&gt;=_TM1,B3279&lt;=_TM2,OR(TH!L3279="1111",TH!M3279="1111")),TH!D3279,""),"")</f>
        <v/>
      </c>
      <c r="B3279" s="857">
        <f t="shared" si="162"/>
        <v>10</v>
      </c>
      <c r="C3279" s="858">
        <f t="shared" si="163"/>
        <v>42664</v>
      </c>
      <c r="D3279" s="858" t="s">
        <v>1548</v>
      </c>
      <c r="E3279" s="830">
        <v>42664</v>
      </c>
      <c r="F3279" s="922" t="s">
        <v>1307</v>
      </c>
      <c r="G3279" s="832" t="s">
        <v>1332</v>
      </c>
      <c r="H3279" s="923" t="s">
        <v>1297</v>
      </c>
      <c r="I3279" s="249">
        <v>30</v>
      </c>
      <c r="J3279" s="249">
        <v>12823.435002473612</v>
      </c>
      <c r="K3279" s="51">
        <f t="shared" si="164"/>
        <v>384703</v>
      </c>
      <c r="L3279" s="924" t="s">
        <v>171</v>
      </c>
      <c r="M3279" s="924" t="s">
        <v>166</v>
      </c>
      <c r="N3279" s="52" t="str">
        <f>IF(AND('331-CT'!$E$7=TH!H3279,OR(L3279="331",M3279="331")),"331",IF(AND(OR(L3279="131",M3279="131"),H3279='131-CT'!$E$7),"131",""))</f>
        <v/>
      </c>
      <c r="O3279" s="818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  <c r="AA3279" s="726"/>
    </row>
    <row r="3280" spans="1:27" s="861" customFormat="1" ht="15.75" customHeight="1">
      <c r="A3280" s="202" t="str">
        <f>IF(B3280&lt;&gt;"",IF(AND(B3280&gt;=_TM1,B3280&lt;=_TM2,OR(TH!L3280="1111",TH!M3280="1111")),TH!D3280,""),"")</f>
        <v/>
      </c>
      <c r="B3280" s="857">
        <f t="shared" si="162"/>
        <v>10</v>
      </c>
      <c r="C3280" s="858">
        <f t="shared" si="163"/>
        <v>42664</v>
      </c>
      <c r="D3280" s="858" t="s">
        <v>1548</v>
      </c>
      <c r="E3280" s="830">
        <v>42664</v>
      </c>
      <c r="F3280" s="831" t="s">
        <v>1310</v>
      </c>
      <c r="G3280" s="832" t="s">
        <v>1332</v>
      </c>
      <c r="H3280" s="923" t="s">
        <v>1297</v>
      </c>
      <c r="I3280" s="249">
        <v>30</v>
      </c>
      <c r="J3280" s="249">
        <v>9195.7527320369991</v>
      </c>
      <c r="K3280" s="51">
        <f t="shared" si="164"/>
        <v>275873</v>
      </c>
      <c r="L3280" s="924" t="s">
        <v>171</v>
      </c>
      <c r="M3280" s="924" t="s">
        <v>166</v>
      </c>
      <c r="N3280" s="52" t="str">
        <f>IF(AND('331-CT'!$E$7=TH!H3280,OR(L3280="331",M3280="331")),"331",IF(AND(OR(L3280="131",M3280="131"),H3280='131-CT'!$E$7),"131",""))</f>
        <v/>
      </c>
      <c r="O3280" s="818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  <c r="AA3280" s="726"/>
    </row>
    <row r="3281" spans="1:27" s="861" customFormat="1" ht="15.75" customHeight="1">
      <c r="A3281" s="202" t="str">
        <f>IF(B3281&lt;&gt;"",IF(AND(B3281&gt;=_TM1,B3281&lt;=_TM2,OR(TH!L3281="1111",TH!M3281="1111")),TH!D3281,""),"")</f>
        <v/>
      </c>
      <c r="B3281" s="857">
        <f t="shared" si="162"/>
        <v>10</v>
      </c>
      <c r="C3281" s="858">
        <f t="shared" si="163"/>
        <v>42664</v>
      </c>
      <c r="D3281" s="858" t="s">
        <v>1548</v>
      </c>
      <c r="E3281" s="830">
        <v>42664</v>
      </c>
      <c r="F3281" s="831" t="s">
        <v>1308</v>
      </c>
      <c r="G3281" s="832" t="s">
        <v>1332</v>
      </c>
      <c r="H3281" s="923" t="s">
        <v>1297</v>
      </c>
      <c r="I3281" s="249">
        <v>30</v>
      </c>
      <c r="J3281" s="249">
        <v>10208.129179600704</v>
      </c>
      <c r="K3281" s="51">
        <f t="shared" si="164"/>
        <v>306244</v>
      </c>
      <c r="L3281" s="924" t="s">
        <v>171</v>
      </c>
      <c r="M3281" s="924" t="s">
        <v>166</v>
      </c>
      <c r="N3281" s="52" t="str">
        <f>IF(AND('331-CT'!$E$7=TH!H3281,OR(L3281="331",M3281="331")),"331",IF(AND(OR(L3281="131",M3281="131"),H3281='131-CT'!$E$7),"131",""))</f>
        <v/>
      </c>
      <c r="O3281" s="818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  <c r="AA3281" s="726"/>
    </row>
    <row r="3282" spans="1:27" s="861" customFormat="1" ht="15.75" customHeight="1">
      <c r="A3282" s="202" t="str">
        <f>IF(B3282&lt;&gt;"",IF(AND(B3282&gt;=_TM1,B3282&lt;=_TM2,OR(TH!L3282="1111",TH!M3282="1111")),TH!D3282,""),"")</f>
        <v/>
      </c>
      <c r="B3282" s="857">
        <f t="shared" si="162"/>
        <v>10</v>
      </c>
      <c r="C3282" s="858">
        <f t="shared" si="163"/>
        <v>42664</v>
      </c>
      <c r="D3282" s="858" t="s">
        <v>1548</v>
      </c>
      <c r="E3282" s="830">
        <v>42664</v>
      </c>
      <c r="F3282" s="922" t="s">
        <v>1309</v>
      </c>
      <c r="G3282" s="832" t="s">
        <v>1332</v>
      </c>
      <c r="H3282" s="923" t="s">
        <v>1297</v>
      </c>
      <c r="I3282" s="249">
        <v>100</v>
      </c>
      <c r="J3282" s="249">
        <v>11220.505627164412</v>
      </c>
      <c r="K3282" s="51">
        <f t="shared" si="164"/>
        <v>1122051</v>
      </c>
      <c r="L3282" s="924" t="s">
        <v>171</v>
      </c>
      <c r="M3282" s="924" t="s">
        <v>166</v>
      </c>
      <c r="N3282" s="52" t="str">
        <f>IF(AND('331-CT'!$E$7=TH!H3282,OR(L3282="331",M3282="331")),"331",IF(AND(OR(L3282="131",M3282="131"),H3282='131-CT'!$E$7),"131",""))</f>
        <v/>
      </c>
      <c r="O3282" s="818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  <c r="AA3282" s="726"/>
    </row>
    <row r="3283" spans="1:27" s="861" customFormat="1" ht="15.75" customHeight="1">
      <c r="A3283" s="202" t="str">
        <f>IF(B3283&lt;&gt;"",IF(AND(B3283&gt;=_TM1,B3283&lt;=_TM2,OR(TH!L3283="1111",TH!M3283="1111")),TH!D3283,""),"")</f>
        <v/>
      </c>
      <c r="B3283" s="857">
        <f t="shared" si="162"/>
        <v>10</v>
      </c>
      <c r="C3283" s="858">
        <f t="shared" si="163"/>
        <v>42664</v>
      </c>
      <c r="D3283" s="858" t="s">
        <v>1548</v>
      </c>
      <c r="E3283" s="830">
        <v>42664</v>
      </c>
      <c r="F3283" s="922" t="s">
        <v>1436</v>
      </c>
      <c r="G3283" s="832" t="s">
        <v>1332</v>
      </c>
      <c r="H3283" s="923" t="s">
        <v>1297</v>
      </c>
      <c r="I3283" s="249">
        <v>30</v>
      </c>
      <c r="J3283" s="249">
        <v>17632.223128401216</v>
      </c>
      <c r="K3283" s="51">
        <f t="shared" si="164"/>
        <v>528967</v>
      </c>
      <c r="L3283" s="924" t="s">
        <v>171</v>
      </c>
      <c r="M3283" s="924" t="s">
        <v>166</v>
      </c>
      <c r="N3283" s="52" t="str">
        <f>IF(AND('331-CT'!$E$7=TH!H3283,OR(L3283="331",M3283="331")),"331",IF(AND(OR(L3283="131",M3283="131"),H3283='131-CT'!$E$7),"131",""))</f>
        <v/>
      </c>
      <c r="O3283" s="818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  <c r="AA3283" s="726"/>
    </row>
    <row r="3284" spans="1:27" s="861" customFormat="1" ht="15.75" customHeight="1">
      <c r="A3284" s="202" t="str">
        <f>IF(B3284&lt;&gt;"",IF(AND(B3284&gt;=_TM1,B3284&lt;=_TM2,OR(TH!L3284="1111",TH!M3284="1111")),TH!D3284,""),"")</f>
        <v/>
      </c>
      <c r="B3284" s="857">
        <f t="shared" si="162"/>
        <v>10</v>
      </c>
      <c r="C3284" s="858">
        <f t="shared" si="163"/>
        <v>42664</v>
      </c>
      <c r="D3284" s="858" t="s">
        <v>1548</v>
      </c>
      <c r="E3284" s="830">
        <v>42664</v>
      </c>
      <c r="F3284" s="831" t="s">
        <v>1446</v>
      </c>
      <c r="G3284" s="832" t="s">
        <v>1332</v>
      </c>
      <c r="H3284" s="923" t="s">
        <v>1297</v>
      </c>
      <c r="I3284" s="249">
        <v>70</v>
      </c>
      <c r="J3284" s="249">
        <v>17632.223128401216</v>
      </c>
      <c r="K3284" s="51">
        <f t="shared" si="164"/>
        <v>1234256</v>
      </c>
      <c r="L3284" s="924" t="s">
        <v>171</v>
      </c>
      <c r="M3284" s="924" t="s">
        <v>166</v>
      </c>
      <c r="N3284" s="52" t="str">
        <f>IF(AND('331-CT'!$E$7=TH!H3284,OR(L3284="331",M3284="331")),"331",IF(AND(OR(L3284="131",M3284="131"),H3284='131-CT'!$E$7),"131",""))</f>
        <v/>
      </c>
      <c r="O3284" s="818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  <c r="AA3284" s="726"/>
    </row>
    <row r="3285" spans="1:27" s="861" customFormat="1" ht="15.75" customHeight="1">
      <c r="A3285" s="202" t="str">
        <f>IF(B3285&lt;&gt;"",IF(AND(B3285&gt;=_TM1,B3285&lt;=_TM2,OR(TH!L3285="1111",TH!M3285="1111")),TH!D3285,""),"")</f>
        <v/>
      </c>
      <c r="B3285" s="857">
        <f t="shared" si="162"/>
        <v>10</v>
      </c>
      <c r="C3285" s="858">
        <f t="shared" si="163"/>
        <v>42665</v>
      </c>
      <c r="D3285" s="858" t="s">
        <v>1548</v>
      </c>
      <c r="E3285" s="830">
        <v>42665</v>
      </c>
      <c r="F3285" s="831" t="s">
        <v>1334</v>
      </c>
      <c r="G3285" s="832" t="s">
        <v>1333</v>
      </c>
      <c r="H3285" s="923" t="s">
        <v>1297</v>
      </c>
      <c r="I3285" s="249">
        <v>296</v>
      </c>
      <c r="J3285" s="249">
        <v>11304.870331128053</v>
      </c>
      <c r="K3285" s="51">
        <f t="shared" si="164"/>
        <v>3346242</v>
      </c>
      <c r="L3285" s="924" t="s">
        <v>171</v>
      </c>
      <c r="M3285" s="924" t="s">
        <v>166</v>
      </c>
      <c r="N3285" s="52" t="str">
        <f>IF(AND('331-CT'!$E$7=TH!H3285,OR(L3285="331",M3285="331")),"331",IF(AND(OR(L3285="131",M3285="131"),H3285='131-CT'!$E$7),"131",""))</f>
        <v/>
      </c>
      <c r="O3285" s="818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  <c r="AA3285" s="726"/>
    </row>
    <row r="3286" spans="1:27" s="861" customFormat="1" ht="15.75" customHeight="1">
      <c r="A3286" s="202" t="str">
        <f>IF(B3286&lt;&gt;"",IF(AND(B3286&gt;=_TM1,B3286&lt;=_TM2,OR(TH!L3286="1111",TH!M3286="1111")),TH!D3286,""),"")</f>
        <v/>
      </c>
      <c r="B3286" s="857">
        <f t="shared" ref="B3286:B3349" si="165">IF(C3286&lt;&gt;"",MONTH(C3286),"")</f>
        <v>10</v>
      </c>
      <c r="C3286" s="858">
        <f t="shared" si="163"/>
        <v>42665</v>
      </c>
      <c r="D3286" s="858" t="s">
        <v>1548</v>
      </c>
      <c r="E3286" s="830">
        <v>42665</v>
      </c>
      <c r="F3286" s="831" t="s">
        <v>1335</v>
      </c>
      <c r="G3286" s="832" t="s">
        <v>1333</v>
      </c>
      <c r="H3286" s="923" t="s">
        <v>1297</v>
      </c>
      <c r="I3286" s="249">
        <v>100</v>
      </c>
      <c r="J3286" s="249">
        <v>7845.9174686187234</v>
      </c>
      <c r="K3286" s="51">
        <f t="shared" si="164"/>
        <v>784592</v>
      </c>
      <c r="L3286" s="924" t="s">
        <v>171</v>
      </c>
      <c r="M3286" s="924" t="s">
        <v>166</v>
      </c>
      <c r="N3286" s="52" t="str">
        <f>IF(AND('331-CT'!$E$7=TH!H3286,OR(L3286="331",M3286="331")),"331",IF(AND(OR(L3286="131",M3286="131"),H3286='131-CT'!$E$7),"131",""))</f>
        <v/>
      </c>
      <c r="O3286" s="818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  <c r="AA3286" s="726"/>
    </row>
    <row r="3287" spans="1:27" s="861" customFormat="1" ht="15.75" customHeight="1">
      <c r="A3287" s="202" t="str">
        <f>IF(B3287&lt;&gt;"",IF(AND(B3287&gt;=_TM1,B3287&lt;=_TM2,OR(TH!L3287="1111",TH!M3287="1111")),TH!D3287,""),"")</f>
        <v/>
      </c>
      <c r="B3287" s="857">
        <f t="shared" si="165"/>
        <v>10</v>
      </c>
      <c r="C3287" s="858">
        <f t="shared" si="163"/>
        <v>42665</v>
      </c>
      <c r="D3287" s="858" t="s">
        <v>1548</v>
      </c>
      <c r="E3287" s="921">
        <v>42665</v>
      </c>
      <c r="F3287" s="922" t="s">
        <v>1336</v>
      </c>
      <c r="G3287" s="832" t="s">
        <v>1333</v>
      </c>
      <c r="H3287" s="923" t="s">
        <v>1297</v>
      </c>
      <c r="I3287" s="249">
        <v>52</v>
      </c>
      <c r="J3287" s="249">
        <v>8858.2939161824306</v>
      </c>
      <c r="K3287" s="51">
        <f t="shared" si="164"/>
        <v>460631</v>
      </c>
      <c r="L3287" s="924" t="s">
        <v>171</v>
      </c>
      <c r="M3287" s="924" t="s">
        <v>166</v>
      </c>
      <c r="N3287" s="52" t="str">
        <f>IF(AND('331-CT'!$E$7=TH!H3287,OR(L3287="331",M3287="331")),"331",IF(AND(OR(L3287="131",M3287="131"),H3287='131-CT'!$E$7),"131",""))</f>
        <v/>
      </c>
      <c r="O3287" s="818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  <c r="AA3287" s="726"/>
    </row>
    <row r="3288" spans="1:27" s="861" customFormat="1" ht="15.75" customHeight="1">
      <c r="A3288" s="202" t="str">
        <f>IF(B3288&lt;&gt;"",IF(AND(B3288&gt;=_TM1,B3288&lt;=_TM2,OR(TH!L3288="1111",TH!M3288="1111")),TH!D3288,""),"")</f>
        <v/>
      </c>
      <c r="B3288" s="857">
        <f t="shared" si="165"/>
        <v>10</v>
      </c>
      <c r="C3288" s="858">
        <f t="shared" si="163"/>
        <v>42665</v>
      </c>
      <c r="D3288" s="858" t="s">
        <v>1548</v>
      </c>
      <c r="E3288" s="921">
        <v>42665</v>
      </c>
      <c r="F3288" s="922" t="s">
        <v>1338</v>
      </c>
      <c r="G3288" s="832" t="s">
        <v>1337</v>
      </c>
      <c r="H3288" s="923" t="s">
        <v>1297</v>
      </c>
      <c r="I3288" s="249">
        <v>526</v>
      </c>
      <c r="J3288" s="249">
        <v>5230.6116457458156</v>
      </c>
      <c r="K3288" s="51">
        <f t="shared" si="164"/>
        <v>2751302</v>
      </c>
      <c r="L3288" s="924" t="s">
        <v>171</v>
      </c>
      <c r="M3288" s="924" t="s">
        <v>166</v>
      </c>
      <c r="N3288" s="52" t="str">
        <f>IF(AND('331-CT'!$E$7=TH!H3288,OR(L3288="331",M3288="331")),"331",IF(AND(OR(L3288="131",M3288="131"),H3288='131-CT'!$E$7),"131",""))</f>
        <v/>
      </c>
      <c r="O3288" s="818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  <c r="AA3288" s="726"/>
    </row>
    <row r="3289" spans="1:27" s="861" customFormat="1" ht="15.75" customHeight="1">
      <c r="A3289" s="202" t="str">
        <f>IF(B3289&lt;&gt;"",IF(AND(B3289&gt;=_TM1,B3289&lt;=_TM2,OR(TH!L3289="1111",TH!M3289="1111")),TH!D3289,""),"")</f>
        <v/>
      </c>
      <c r="B3289" s="857">
        <f t="shared" si="165"/>
        <v>10</v>
      </c>
      <c r="C3289" s="858">
        <f t="shared" si="163"/>
        <v>42667</v>
      </c>
      <c r="D3289" s="858" t="s">
        <v>1548</v>
      </c>
      <c r="E3289" s="921">
        <v>42667</v>
      </c>
      <c r="F3289" s="922" t="s">
        <v>1255</v>
      </c>
      <c r="G3289" s="832" t="s">
        <v>1339</v>
      </c>
      <c r="H3289" s="923" t="s">
        <v>1297</v>
      </c>
      <c r="I3289" s="249">
        <v>1188</v>
      </c>
      <c r="J3289" s="249">
        <v>6917.9057250186588</v>
      </c>
      <c r="K3289" s="51">
        <f t="shared" si="164"/>
        <v>8218472</v>
      </c>
      <c r="L3289" s="924" t="s">
        <v>171</v>
      </c>
      <c r="M3289" s="924" t="s">
        <v>166</v>
      </c>
      <c r="N3289" s="52" t="str">
        <f>IF(AND('331-CT'!$E$7=TH!H3289,OR(L3289="331",M3289="331")),"331",IF(AND(OR(L3289="131",M3289="131"),H3289='131-CT'!$E$7),"131",""))</f>
        <v/>
      </c>
      <c r="O3289" s="818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  <c r="AA3289" s="726"/>
    </row>
    <row r="3290" spans="1:27" s="861" customFormat="1" ht="15.75" customHeight="1">
      <c r="A3290" s="202" t="str">
        <f>IF(B3290&lt;&gt;"",IF(AND(B3290&gt;=_TM1,B3290&lt;=_TM2,OR(TH!L3290="1111",TH!M3290="1111")),TH!D3290,""),"")</f>
        <v/>
      </c>
      <c r="B3290" s="857">
        <f t="shared" si="165"/>
        <v>10</v>
      </c>
      <c r="C3290" s="858">
        <f t="shared" si="163"/>
        <v>42667</v>
      </c>
      <c r="D3290" s="858" t="s">
        <v>1548</v>
      </c>
      <c r="E3290" s="921">
        <v>42667</v>
      </c>
      <c r="F3290" s="922" t="s">
        <v>625</v>
      </c>
      <c r="G3290" s="832" t="s">
        <v>1339</v>
      </c>
      <c r="H3290" s="923" t="s">
        <v>1297</v>
      </c>
      <c r="I3290" s="249">
        <v>215</v>
      </c>
      <c r="J3290" s="249">
        <v>10967.411515273485</v>
      </c>
      <c r="K3290" s="51">
        <f t="shared" si="164"/>
        <v>2357993</v>
      </c>
      <c r="L3290" s="924" t="s">
        <v>171</v>
      </c>
      <c r="M3290" s="924" t="s">
        <v>166</v>
      </c>
      <c r="N3290" s="52" t="str">
        <f>IF(AND('331-CT'!$E$7=TH!H3290,OR(L3290="331",M3290="331")),"331",IF(AND(OR(L3290="131",M3290="131"),H3290='131-CT'!$E$7),"131",""))</f>
        <v/>
      </c>
      <c r="O3290" s="818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  <c r="AA3290" s="726"/>
    </row>
    <row r="3291" spans="1:27" s="861" customFormat="1" ht="15.75" customHeight="1">
      <c r="A3291" s="202" t="str">
        <f>IF(B3291&lt;&gt;"",IF(AND(B3291&gt;=_TM1,B3291&lt;=_TM2,OR(TH!L3291="1111",TH!M3291="1111")),TH!D3291,""),"")</f>
        <v/>
      </c>
      <c r="B3291" s="857">
        <f t="shared" si="165"/>
        <v>10</v>
      </c>
      <c r="C3291" s="858">
        <f t="shared" ref="C3291:C3354" si="166">E3291</f>
        <v>42668</v>
      </c>
      <c r="D3291" s="858" t="s">
        <v>1548</v>
      </c>
      <c r="E3291" s="921">
        <v>42668</v>
      </c>
      <c r="F3291" s="925" t="s">
        <v>1341</v>
      </c>
      <c r="G3291" s="832" t="s">
        <v>1340</v>
      </c>
      <c r="H3291" s="923" t="s">
        <v>1297</v>
      </c>
      <c r="I3291" s="249">
        <v>720</v>
      </c>
      <c r="J3291" s="249">
        <v>5399.3410536730999</v>
      </c>
      <c r="K3291" s="51">
        <f t="shared" si="164"/>
        <v>3887526</v>
      </c>
      <c r="L3291" s="924" t="s">
        <v>171</v>
      </c>
      <c r="M3291" s="924" t="s">
        <v>166</v>
      </c>
      <c r="N3291" s="52" t="str">
        <f>IF(AND('331-CT'!$E$7=TH!H3291,OR(L3291="331",M3291="331")),"331",IF(AND(OR(L3291="131",M3291="131"),H3291='131-CT'!$E$7),"131",""))</f>
        <v/>
      </c>
      <c r="O3291" s="818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  <c r="AA3291" s="726"/>
    </row>
    <row r="3292" spans="1:27" s="861" customFormat="1" ht="15.75" customHeight="1">
      <c r="A3292" s="202" t="str">
        <f>IF(B3292&lt;&gt;"",IF(AND(B3292&gt;=_TM1,B3292&lt;=_TM2,OR(TH!L3292="1111",TH!M3292="1111")),TH!D3292,""),"")</f>
        <v/>
      </c>
      <c r="B3292" s="857">
        <f t="shared" si="165"/>
        <v>10</v>
      </c>
      <c r="C3292" s="858">
        <f t="shared" si="166"/>
        <v>42668</v>
      </c>
      <c r="D3292" s="858" t="s">
        <v>1548</v>
      </c>
      <c r="E3292" s="921">
        <v>42668</v>
      </c>
      <c r="F3292" s="925" t="s">
        <v>1342</v>
      </c>
      <c r="G3292" s="832" t="s">
        <v>1340</v>
      </c>
      <c r="H3292" s="923" t="s">
        <v>1297</v>
      </c>
      <c r="I3292" s="249">
        <v>313</v>
      </c>
      <c r="J3292" s="249">
        <v>4471.3293100730361</v>
      </c>
      <c r="K3292" s="51">
        <f t="shared" ref="K3292:K3355" si="167">ROUND(I3292*J3292,0)</f>
        <v>1399526</v>
      </c>
      <c r="L3292" s="924" t="s">
        <v>171</v>
      </c>
      <c r="M3292" s="924" t="s">
        <v>166</v>
      </c>
      <c r="N3292" s="52" t="str">
        <f>IF(AND('331-CT'!$E$7=TH!H3292,OR(L3292="331",M3292="331")),"331",IF(AND(OR(L3292="131",M3292="131"),H3292='131-CT'!$E$7),"131",""))</f>
        <v/>
      </c>
      <c r="O3292" s="818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  <c r="AA3292" s="726"/>
    </row>
    <row r="3293" spans="1:27" s="861" customFormat="1" ht="15.75" customHeight="1">
      <c r="A3293" s="202" t="str">
        <f>IF(B3293&lt;&gt;"",IF(AND(B3293&gt;=_TM1,B3293&lt;=_TM2,OR(TH!L3293="1111",TH!M3293="1111")),TH!D3293,""),"")</f>
        <v/>
      </c>
      <c r="B3293" s="857">
        <f t="shared" si="165"/>
        <v>10</v>
      </c>
      <c r="C3293" s="858">
        <f t="shared" si="166"/>
        <v>42669</v>
      </c>
      <c r="D3293" s="858" t="s">
        <v>1548</v>
      </c>
      <c r="E3293" s="921">
        <v>42669</v>
      </c>
      <c r="F3293" s="831" t="s">
        <v>1068</v>
      </c>
      <c r="G3293" s="832" t="s">
        <v>1343</v>
      </c>
      <c r="H3293" s="923" t="s">
        <v>1297</v>
      </c>
      <c r="I3293" s="249">
        <v>60</v>
      </c>
      <c r="J3293" s="249">
        <v>71372.539553241295</v>
      </c>
      <c r="K3293" s="51">
        <f t="shared" si="167"/>
        <v>4282352</v>
      </c>
      <c r="L3293" s="924" t="s">
        <v>171</v>
      </c>
      <c r="M3293" s="924" t="s">
        <v>166</v>
      </c>
      <c r="N3293" s="52" t="str">
        <f>IF(AND('331-CT'!$E$7=TH!H3293,OR(L3293="331",M3293="331")),"331",IF(AND(OR(L3293="131",M3293="131"),H3293='131-CT'!$E$7),"131",""))</f>
        <v/>
      </c>
      <c r="O3293" s="818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  <c r="AA3293" s="726"/>
    </row>
    <row r="3294" spans="1:27" s="861" customFormat="1" ht="15.75" customHeight="1">
      <c r="A3294" s="202" t="str">
        <f>IF(B3294&lt;&gt;"",IF(AND(B3294&gt;=_TM1,B3294&lt;=_TM2,OR(TH!L3294="1111",TH!M3294="1111")),TH!D3294,""),"")</f>
        <v/>
      </c>
      <c r="B3294" s="857">
        <f t="shared" si="165"/>
        <v>10</v>
      </c>
      <c r="C3294" s="858">
        <f t="shared" si="166"/>
        <v>42669</v>
      </c>
      <c r="D3294" s="858" t="s">
        <v>1548</v>
      </c>
      <c r="E3294" s="921">
        <v>42669</v>
      </c>
      <c r="F3294" s="831" t="s">
        <v>418</v>
      </c>
      <c r="G3294" s="832" t="s">
        <v>1343</v>
      </c>
      <c r="H3294" s="923" t="s">
        <v>1297</v>
      </c>
      <c r="I3294" s="249">
        <v>154</v>
      </c>
      <c r="J3294" s="249">
        <v>61164.410373640589</v>
      </c>
      <c r="K3294" s="51">
        <f t="shared" si="167"/>
        <v>9419319</v>
      </c>
      <c r="L3294" s="924" t="s">
        <v>171</v>
      </c>
      <c r="M3294" s="924" t="s">
        <v>166</v>
      </c>
      <c r="N3294" s="52" t="str">
        <f>IF(AND('331-CT'!$E$7=TH!H3294,OR(L3294="331",M3294="331")),"331",IF(AND(OR(L3294="131",M3294="131"),H3294='131-CT'!$E$7),"131",""))</f>
        <v/>
      </c>
      <c r="O3294" s="818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  <c r="AA3294" s="726"/>
    </row>
    <row r="3295" spans="1:27" s="861" customFormat="1" ht="15.75" customHeight="1">
      <c r="A3295" s="202" t="str">
        <f>IF(B3295&lt;&gt;"",IF(AND(B3295&gt;=_TM1,B3295&lt;=_TM2,OR(TH!L3295="1111",TH!M3295="1111")),TH!D3295,""),"")</f>
        <v/>
      </c>
      <c r="B3295" s="857">
        <f t="shared" si="165"/>
        <v>10</v>
      </c>
      <c r="C3295" s="858">
        <f t="shared" si="166"/>
        <v>42669</v>
      </c>
      <c r="D3295" s="858" t="s">
        <v>1548</v>
      </c>
      <c r="E3295" s="921">
        <v>42669</v>
      </c>
      <c r="F3295" s="922" t="s">
        <v>1444</v>
      </c>
      <c r="G3295" s="832" t="s">
        <v>1345</v>
      </c>
      <c r="H3295" s="923" t="s">
        <v>1297</v>
      </c>
      <c r="I3295" s="249">
        <v>520</v>
      </c>
      <c r="J3295" s="249">
        <v>2699.6705268365499</v>
      </c>
      <c r="K3295" s="51">
        <f t="shared" si="167"/>
        <v>1403829</v>
      </c>
      <c r="L3295" s="924" t="s">
        <v>171</v>
      </c>
      <c r="M3295" s="924" t="s">
        <v>166</v>
      </c>
      <c r="N3295" s="52" t="str">
        <f>IF(AND('331-CT'!$E$7=TH!H3295,OR(L3295="331",M3295="331")),"331",IF(AND(OR(L3295="131",M3295="131"),H3295='131-CT'!$E$7),"131",""))</f>
        <v/>
      </c>
      <c r="O3295" s="818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  <c r="AA3295" s="726"/>
    </row>
    <row r="3296" spans="1:27" s="861" customFormat="1" ht="15.75" customHeight="1">
      <c r="A3296" s="202" t="str">
        <f>IF(B3296&lt;&gt;"",IF(AND(B3296&gt;=_TM1,B3296&lt;=_TM2,OR(TH!L3296="1111",TH!M3296="1111")),TH!D3296,""),"")</f>
        <v/>
      </c>
      <c r="B3296" s="857">
        <f t="shared" si="165"/>
        <v>10</v>
      </c>
      <c r="C3296" s="858">
        <f t="shared" si="166"/>
        <v>42669</v>
      </c>
      <c r="D3296" s="858" t="s">
        <v>1548</v>
      </c>
      <c r="E3296" s="921">
        <v>42669</v>
      </c>
      <c r="F3296" s="922" t="s">
        <v>1444</v>
      </c>
      <c r="G3296" s="832" t="s">
        <v>1345</v>
      </c>
      <c r="H3296" s="923" t="s">
        <v>1297</v>
      </c>
      <c r="I3296" s="249">
        <v>550</v>
      </c>
      <c r="J3296" s="249">
        <v>2699.6705268365499</v>
      </c>
      <c r="K3296" s="51">
        <f t="shared" si="167"/>
        <v>1484819</v>
      </c>
      <c r="L3296" s="924" t="s">
        <v>171</v>
      </c>
      <c r="M3296" s="924" t="s">
        <v>166</v>
      </c>
      <c r="N3296" s="52" t="str">
        <f>IF(AND('331-CT'!$E$7=TH!H3296,OR(L3296="331",M3296="331")),"331",IF(AND(OR(L3296="131",M3296="131"),H3296='131-CT'!$E$7),"131",""))</f>
        <v/>
      </c>
      <c r="O3296" s="818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  <c r="AA3296" s="726"/>
    </row>
    <row r="3297" spans="1:27" s="861" customFormat="1" ht="15.75" customHeight="1">
      <c r="A3297" s="202" t="str">
        <f>IF(B3297&lt;&gt;"",IF(AND(B3297&gt;=_TM1,B3297&lt;=_TM2,OR(TH!L3297="1111",TH!M3297="1111")),TH!D3297,""),"")</f>
        <v/>
      </c>
      <c r="B3297" s="857">
        <f t="shared" si="165"/>
        <v>10</v>
      </c>
      <c r="C3297" s="858">
        <f t="shared" si="166"/>
        <v>42670</v>
      </c>
      <c r="D3297" s="858" t="s">
        <v>1548</v>
      </c>
      <c r="E3297" s="921">
        <v>42670</v>
      </c>
      <c r="F3297" s="922" t="s">
        <v>1348</v>
      </c>
      <c r="G3297" s="832" t="s">
        <v>1347</v>
      </c>
      <c r="H3297" s="923" t="s">
        <v>1297</v>
      </c>
      <c r="I3297" s="249">
        <v>100</v>
      </c>
      <c r="J3297" s="249">
        <v>15860.56434516473</v>
      </c>
      <c r="K3297" s="51">
        <f t="shared" si="167"/>
        <v>1586056</v>
      </c>
      <c r="L3297" s="924" t="s">
        <v>171</v>
      </c>
      <c r="M3297" s="924" t="s">
        <v>166</v>
      </c>
      <c r="N3297" s="52" t="str">
        <f>IF(AND('331-CT'!$E$7=TH!H3297,OR(L3297="331",M3297="331")),"331",IF(AND(OR(L3297="131",M3297="131"),H3297='131-CT'!$E$7),"131",""))</f>
        <v/>
      </c>
      <c r="O3297" s="818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  <c r="AA3297" s="726"/>
    </row>
    <row r="3298" spans="1:27" s="861" customFormat="1" ht="15.75" customHeight="1">
      <c r="A3298" s="202" t="str">
        <f>IF(B3298&lt;&gt;"",IF(AND(B3298&gt;=_TM1,B3298&lt;=_TM2,OR(TH!L3298="1111",TH!M3298="1111")),TH!D3298,""),"")</f>
        <v/>
      </c>
      <c r="B3298" s="857">
        <f t="shared" si="165"/>
        <v>10</v>
      </c>
      <c r="C3298" s="858">
        <f t="shared" si="166"/>
        <v>42670</v>
      </c>
      <c r="D3298" s="858" t="s">
        <v>1548</v>
      </c>
      <c r="E3298" s="921">
        <v>42670</v>
      </c>
      <c r="F3298" s="922" t="s">
        <v>1351</v>
      </c>
      <c r="G3298" s="832" t="s">
        <v>1350</v>
      </c>
      <c r="H3298" s="923" t="s">
        <v>1297</v>
      </c>
      <c r="I3298" s="249">
        <v>25</v>
      </c>
      <c r="J3298" s="249">
        <v>8099.0115805096493</v>
      </c>
      <c r="K3298" s="51">
        <f t="shared" si="167"/>
        <v>202475</v>
      </c>
      <c r="L3298" s="924" t="s">
        <v>171</v>
      </c>
      <c r="M3298" s="924" t="s">
        <v>166</v>
      </c>
      <c r="N3298" s="52" t="str">
        <f>IF(AND('331-CT'!$E$7=TH!H3298,OR(L3298="331",M3298="331")),"331",IF(AND(OR(L3298="131",M3298="131"),H3298='131-CT'!$E$7),"131",""))</f>
        <v/>
      </c>
      <c r="O3298" s="818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  <c r="AA3298" s="726"/>
    </row>
    <row r="3299" spans="1:27" s="861" customFormat="1" ht="15.75" customHeight="1">
      <c r="A3299" s="202" t="str">
        <f>IF(B3299&lt;&gt;"",IF(AND(B3299&gt;=_TM1,B3299&lt;=_TM2,OR(TH!L3299="1111",TH!M3299="1111")),TH!D3299,""),"")</f>
        <v/>
      </c>
      <c r="B3299" s="857">
        <f t="shared" si="165"/>
        <v>11</v>
      </c>
      <c r="C3299" s="858">
        <f t="shared" si="166"/>
        <v>42676</v>
      </c>
      <c r="D3299" s="858" t="s">
        <v>1548</v>
      </c>
      <c r="E3299" s="921">
        <v>42676</v>
      </c>
      <c r="F3299" s="831" t="s">
        <v>1441</v>
      </c>
      <c r="G3299" s="832" t="s">
        <v>1352</v>
      </c>
      <c r="H3299" s="923" t="s">
        <v>1297</v>
      </c>
      <c r="I3299" s="249">
        <v>1800</v>
      </c>
      <c r="J3299" s="249">
        <v>3627.6822704366141</v>
      </c>
      <c r="K3299" s="51">
        <f t="shared" si="167"/>
        <v>6529828</v>
      </c>
      <c r="L3299" s="924" t="s">
        <v>171</v>
      </c>
      <c r="M3299" s="924" t="s">
        <v>166</v>
      </c>
      <c r="N3299" s="52" t="str">
        <f>IF(AND('331-CT'!$E$7=TH!H3299,OR(L3299="331",M3299="331")),"331",IF(AND(OR(L3299="131",M3299="131"),H3299='131-CT'!$E$7),"131",""))</f>
        <v/>
      </c>
      <c r="O3299" s="818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  <c r="AA3299" s="726"/>
    </row>
    <row r="3300" spans="1:27" s="861" customFormat="1" ht="15.75" customHeight="1">
      <c r="A3300" s="202" t="str">
        <f>IF(B3300&lt;&gt;"",IF(AND(B3300&gt;=_TM1,B3300&lt;=_TM2,OR(TH!L3300="1111",TH!M3300="1111")),TH!D3300,""),"")</f>
        <v/>
      </c>
      <c r="B3300" s="857">
        <f t="shared" si="165"/>
        <v>11</v>
      </c>
      <c r="C3300" s="858">
        <f t="shared" si="166"/>
        <v>42676</v>
      </c>
      <c r="D3300" s="858" t="s">
        <v>1548</v>
      </c>
      <c r="E3300" s="921">
        <v>42676</v>
      </c>
      <c r="F3300" s="831" t="s">
        <v>1307</v>
      </c>
      <c r="G3300" s="832" t="s">
        <v>1352</v>
      </c>
      <c r="H3300" s="923" t="s">
        <v>1297</v>
      </c>
      <c r="I3300" s="249">
        <v>30</v>
      </c>
      <c r="J3300" s="249">
        <v>12823.435002473612</v>
      </c>
      <c r="K3300" s="51">
        <f t="shared" si="167"/>
        <v>384703</v>
      </c>
      <c r="L3300" s="924" t="s">
        <v>171</v>
      </c>
      <c r="M3300" s="924" t="s">
        <v>166</v>
      </c>
      <c r="N3300" s="52" t="str">
        <f>IF(AND('331-CT'!$E$7=TH!H3300,OR(L3300="331",M3300="331")),"331",IF(AND(OR(L3300="131",M3300="131"),H3300='131-CT'!$E$7),"131",""))</f>
        <v/>
      </c>
      <c r="O3300" s="818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  <c r="AA3300" s="726"/>
    </row>
    <row r="3301" spans="1:27" s="861" customFormat="1" ht="15.75" customHeight="1">
      <c r="A3301" s="202" t="str">
        <f>IF(B3301&lt;&gt;"",IF(AND(B3301&gt;=_TM1,B3301&lt;=_TM2,OR(TH!L3301="1111",TH!M3301="1111")),TH!D3301,""),"")</f>
        <v/>
      </c>
      <c r="B3301" s="857">
        <f t="shared" si="165"/>
        <v>11</v>
      </c>
      <c r="C3301" s="858">
        <f t="shared" si="166"/>
        <v>42676</v>
      </c>
      <c r="D3301" s="858" t="s">
        <v>1548</v>
      </c>
      <c r="E3301" s="921">
        <v>42676</v>
      </c>
      <c r="F3301" s="831" t="s">
        <v>1307</v>
      </c>
      <c r="G3301" s="832" t="s">
        <v>1352</v>
      </c>
      <c r="H3301" s="923" t="s">
        <v>1297</v>
      </c>
      <c r="I3301" s="249">
        <v>30</v>
      </c>
      <c r="J3301" s="249">
        <v>12823.435002473612</v>
      </c>
      <c r="K3301" s="51">
        <f t="shared" si="167"/>
        <v>384703</v>
      </c>
      <c r="L3301" s="924" t="s">
        <v>171</v>
      </c>
      <c r="M3301" s="924" t="s">
        <v>166</v>
      </c>
      <c r="N3301" s="52" t="str">
        <f>IF(AND('331-CT'!$E$7=TH!H3301,OR(L3301="331",M3301="331")),"331",IF(AND(OR(L3301="131",M3301="131"),H3301='131-CT'!$E$7),"131",""))</f>
        <v/>
      </c>
      <c r="O3301" s="818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  <c r="AA3301" s="726"/>
    </row>
    <row r="3302" spans="1:27" s="861" customFormat="1" ht="15.75" customHeight="1">
      <c r="A3302" s="202" t="str">
        <f>IF(B3302&lt;&gt;"",IF(AND(B3302&gt;=_TM1,B3302&lt;=_TM2,OR(TH!L3302="1111",TH!M3302="1111")),TH!D3302,""),"")</f>
        <v/>
      </c>
      <c r="B3302" s="857">
        <f t="shared" si="165"/>
        <v>11</v>
      </c>
      <c r="C3302" s="858">
        <f t="shared" si="166"/>
        <v>42676</v>
      </c>
      <c r="D3302" s="858" t="s">
        <v>1548</v>
      </c>
      <c r="E3302" s="921">
        <v>42676</v>
      </c>
      <c r="F3302" s="922" t="s">
        <v>1310</v>
      </c>
      <c r="G3302" s="832" t="s">
        <v>1352</v>
      </c>
      <c r="H3302" s="923" t="s">
        <v>1297</v>
      </c>
      <c r="I3302" s="249">
        <v>30</v>
      </c>
      <c r="J3302" s="249">
        <v>9195.7527320369991</v>
      </c>
      <c r="K3302" s="51">
        <f t="shared" si="167"/>
        <v>275873</v>
      </c>
      <c r="L3302" s="924" t="s">
        <v>171</v>
      </c>
      <c r="M3302" s="924" t="s">
        <v>166</v>
      </c>
      <c r="N3302" s="52" t="str">
        <f>IF(AND('331-CT'!$E$7=TH!H3302,OR(L3302="331",M3302="331")),"331",IF(AND(OR(L3302="131",M3302="131"),H3302='131-CT'!$E$7),"131",""))</f>
        <v/>
      </c>
      <c r="O3302" s="818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  <c r="AA3302" s="726"/>
    </row>
    <row r="3303" spans="1:27" s="861" customFormat="1" ht="15.75" customHeight="1">
      <c r="A3303" s="202" t="str">
        <f>IF(B3303&lt;&gt;"",IF(AND(B3303&gt;=_TM1,B3303&lt;=_TM2,OR(TH!L3303="1111",TH!M3303="1111")),TH!D3303,""),"")</f>
        <v/>
      </c>
      <c r="B3303" s="857">
        <f t="shared" si="165"/>
        <v>11</v>
      </c>
      <c r="C3303" s="858">
        <f t="shared" si="166"/>
        <v>42676</v>
      </c>
      <c r="D3303" s="858" t="s">
        <v>1548</v>
      </c>
      <c r="E3303" s="862">
        <v>42676</v>
      </c>
      <c r="F3303" s="922" t="s">
        <v>1308</v>
      </c>
      <c r="G3303" s="832" t="s">
        <v>1352</v>
      </c>
      <c r="H3303" s="923" t="s">
        <v>1297</v>
      </c>
      <c r="I3303" s="249">
        <v>30</v>
      </c>
      <c r="J3303" s="249">
        <v>10208.129179600704</v>
      </c>
      <c r="K3303" s="51">
        <f t="shared" si="167"/>
        <v>306244</v>
      </c>
      <c r="L3303" s="924" t="s">
        <v>171</v>
      </c>
      <c r="M3303" s="924" t="s">
        <v>166</v>
      </c>
      <c r="N3303" s="52" t="str">
        <f>IF(AND('331-CT'!$E$7=TH!H3303,OR(L3303="331",M3303="331")),"331",IF(AND(OR(L3303="131",M3303="131"),H3303='131-CT'!$E$7),"131",""))</f>
        <v/>
      </c>
      <c r="O3303" s="818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  <c r="AA3303" s="726"/>
    </row>
    <row r="3304" spans="1:27" s="861" customFormat="1" ht="15.75" customHeight="1">
      <c r="A3304" s="202" t="str">
        <f>IF(B3304&lt;&gt;"",IF(AND(B3304&gt;=_TM1,B3304&lt;=_TM2,OR(TH!L3304="1111",TH!M3304="1111")),TH!D3304,""),"")</f>
        <v/>
      </c>
      <c r="B3304" s="857">
        <f t="shared" si="165"/>
        <v>11</v>
      </c>
      <c r="C3304" s="858">
        <f t="shared" si="166"/>
        <v>42676</v>
      </c>
      <c r="D3304" s="858" t="s">
        <v>1548</v>
      </c>
      <c r="E3304" s="862">
        <v>42676</v>
      </c>
      <c r="F3304" s="922" t="s">
        <v>1309</v>
      </c>
      <c r="G3304" s="832" t="s">
        <v>1352</v>
      </c>
      <c r="H3304" s="923" t="s">
        <v>1297</v>
      </c>
      <c r="I3304" s="249">
        <v>100</v>
      </c>
      <c r="J3304" s="249">
        <v>11220.505627164412</v>
      </c>
      <c r="K3304" s="51">
        <f t="shared" si="167"/>
        <v>1122051</v>
      </c>
      <c r="L3304" s="924" t="s">
        <v>171</v>
      </c>
      <c r="M3304" s="924" t="s">
        <v>166</v>
      </c>
      <c r="N3304" s="52" t="str">
        <f>IF(AND('331-CT'!$E$7=TH!H3304,OR(L3304="331",M3304="331")),"331",IF(AND(OR(L3304="131",M3304="131"),H3304='131-CT'!$E$7),"131",""))</f>
        <v/>
      </c>
      <c r="O3304" s="818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  <c r="AA3304" s="726"/>
    </row>
    <row r="3305" spans="1:27" s="861" customFormat="1" ht="15.75" customHeight="1">
      <c r="A3305" s="202" t="str">
        <f>IF(B3305&lt;&gt;"",IF(AND(B3305&gt;=_TM1,B3305&lt;=_TM2,OR(TH!L3305="1111",TH!M3305="1111")),TH!D3305,""),"")</f>
        <v/>
      </c>
      <c r="B3305" s="857">
        <f t="shared" si="165"/>
        <v>11</v>
      </c>
      <c r="C3305" s="858">
        <f t="shared" si="166"/>
        <v>42676</v>
      </c>
      <c r="D3305" s="858" t="s">
        <v>1548</v>
      </c>
      <c r="E3305" s="862">
        <v>42676</v>
      </c>
      <c r="F3305" s="922" t="s">
        <v>1436</v>
      </c>
      <c r="G3305" s="832" t="s">
        <v>1352</v>
      </c>
      <c r="H3305" s="923" t="s">
        <v>1297</v>
      </c>
      <c r="I3305" s="249">
        <v>30</v>
      </c>
      <c r="J3305" s="249">
        <v>17632.223128401216</v>
      </c>
      <c r="K3305" s="51">
        <f t="shared" si="167"/>
        <v>528967</v>
      </c>
      <c r="L3305" s="924" t="s">
        <v>171</v>
      </c>
      <c r="M3305" s="924" t="s">
        <v>166</v>
      </c>
      <c r="N3305" s="52" t="str">
        <f>IF(AND('331-CT'!$E$7=TH!H3305,OR(L3305="331",M3305="331")),"331",IF(AND(OR(L3305="131",M3305="131"),H3305='131-CT'!$E$7),"131",""))</f>
        <v/>
      </c>
      <c r="O3305" s="818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/>
      </c>
      <c r="AA3305" s="726"/>
    </row>
    <row r="3306" spans="1:27" s="861" customFormat="1" ht="15.75" customHeight="1">
      <c r="A3306" s="202" t="str">
        <f>IF(B3306&lt;&gt;"",IF(AND(B3306&gt;=_TM1,B3306&lt;=_TM2,OR(TH!L3306="1111",TH!M3306="1111")),TH!D3306,""),"")</f>
        <v/>
      </c>
      <c r="B3306" s="857">
        <f t="shared" si="165"/>
        <v>11</v>
      </c>
      <c r="C3306" s="858">
        <f t="shared" si="166"/>
        <v>42676</v>
      </c>
      <c r="D3306" s="858" t="s">
        <v>1548</v>
      </c>
      <c r="E3306" s="862">
        <v>42676</v>
      </c>
      <c r="F3306" s="922" t="s">
        <v>1446</v>
      </c>
      <c r="G3306" s="832" t="s">
        <v>1352</v>
      </c>
      <c r="H3306" s="923" t="s">
        <v>1297</v>
      </c>
      <c r="I3306" s="249">
        <v>70</v>
      </c>
      <c r="J3306" s="249">
        <v>17632.223128401216</v>
      </c>
      <c r="K3306" s="51">
        <f t="shared" si="167"/>
        <v>1234256</v>
      </c>
      <c r="L3306" s="924" t="s">
        <v>171</v>
      </c>
      <c r="M3306" s="924" t="s">
        <v>166</v>
      </c>
      <c r="N3306" s="52" t="str">
        <f>IF(AND('331-CT'!$E$7=TH!H3306,OR(L3306="331",M3306="331")),"331",IF(AND(OR(L3306="131",M3306="131"),H3306='131-CT'!$E$7),"131",""))</f>
        <v/>
      </c>
      <c r="O3306" s="818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/>
      </c>
      <c r="AA3306" s="726"/>
    </row>
    <row r="3307" spans="1:27" s="861" customFormat="1" ht="15.75" customHeight="1">
      <c r="A3307" s="202" t="str">
        <f>IF(B3307&lt;&gt;"",IF(AND(B3307&gt;=_TM1,B3307&lt;=_TM2,OR(TH!L3307="1111",TH!M3307="1111")),TH!D3307,""),"")</f>
        <v/>
      </c>
      <c r="B3307" s="857">
        <f t="shared" si="165"/>
        <v>11</v>
      </c>
      <c r="C3307" s="858">
        <f t="shared" si="166"/>
        <v>42677</v>
      </c>
      <c r="D3307" s="858" t="s">
        <v>1548</v>
      </c>
      <c r="E3307" s="921">
        <v>42677</v>
      </c>
      <c r="F3307" s="922" t="s">
        <v>1315</v>
      </c>
      <c r="G3307" s="832" t="s">
        <v>1353</v>
      </c>
      <c r="H3307" s="923" t="s">
        <v>1297</v>
      </c>
      <c r="I3307" s="249">
        <v>974</v>
      </c>
      <c r="J3307" s="249">
        <v>4724.4234219639629</v>
      </c>
      <c r="K3307" s="51">
        <f t="shared" si="167"/>
        <v>4601588</v>
      </c>
      <c r="L3307" s="924" t="s">
        <v>171</v>
      </c>
      <c r="M3307" s="924" t="s">
        <v>166</v>
      </c>
      <c r="N3307" s="52" t="str">
        <f>IF(AND('331-CT'!$E$7=TH!H3307,OR(L3307="331",M3307="331")),"331",IF(AND(OR(L3307="131",M3307="131"),H3307='131-CT'!$E$7),"131",""))</f>
        <v/>
      </c>
      <c r="O3307" s="818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/>
      </c>
      <c r="AA3307" s="726"/>
    </row>
    <row r="3308" spans="1:27" s="861" customFormat="1" ht="15.75" customHeight="1">
      <c r="A3308" s="202" t="str">
        <f>IF(B3308&lt;&gt;"",IF(AND(B3308&gt;=_TM1,B3308&lt;=_TM2,OR(TH!L3308="1111",TH!M3308="1111")),TH!D3308,""),"")</f>
        <v/>
      </c>
      <c r="B3308" s="857">
        <f t="shared" si="165"/>
        <v>11</v>
      </c>
      <c r="C3308" s="858">
        <f t="shared" si="166"/>
        <v>42679</v>
      </c>
      <c r="D3308" s="858" t="s">
        <v>1548</v>
      </c>
      <c r="E3308" s="921">
        <v>42679</v>
      </c>
      <c r="F3308" s="922" t="s">
        <v>1443</v>
      </c>
      <c r="G3308" s="832" t="s">
        <v>1354</v>
      </c>
      <c r="H3308" s="923" t="s">
        <v>1297</v>
      </c>
      <c r="I3308" s="249">
        <v>450</v>
      </c>
      <c r="J3308" s="249">
        <v>8014.6468765460077</v>
      </c>
      <c r="K3308" s="51">
        <f t="shared" si="167"/>
        <v>3606591</v>
      </c>
      <c r="L3308" s="924" t="s">
        <v>171</v>
      </c>
      <c r="M3308" s="924" t="s">
        <v>166</v>
      </c>
      <c r="N3308" s="52" t="str">
        <f>IF(AND('331-CT'!$E$7=TH!H3308,OR(L3308="331",M3308="331")),"331",IF(AND(OR(L3308="131",M3308="131"),H3308='131-CT'!$E$7),"131",""))</f>
        <v/>
      </c>
      <c r="O3308" s="818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/>
      </c>
      <c r="AA3308" s="726"/>
    </row>
    <row r="3309" spans="1:27" s="861" customFormat="1" ht="15.75" customHeight="1">
      <c r="A3309" s="202" t="str">
        <f>IF(B3309&lt;&gt;"",IF(AND(B3309&gt;=_TM1,B3309&lt;=_TM2,OR(TH!L3309="1111",TH!M3309="1111")),TH!D3309,""),"")</f>
        <v/>
      </c>
      <c r="B3309" s="857">
        <f t="shared" si="165"/>
        <v>11</v>
      </c>
      <c r="C3309" s="858">
        <f t="shared" si="166"/>
        <v>42679</v>
      </c>
      <c r="D3309" s="858" t="s">
        <v>1548</v>
      </c>
      <c r="E3309" s="921">
        <v>42679</v>
      </c>
      <c r="F3309" s="922" t="s">
        <v>1443</v>
      </c>
      <c r="G3309" s="832" t="s">
        <v>1354</v>
      </c>
      <c r="H3309" s="923" t="s">
        <v>1297</v>
      </c>
      <c r="I3309" s="930">
        <v>200</v>
      </c>
      <c r="J3309" s="930">
        <v>8014.6468765460077</v>
      </c>
      <c r="K3309" s="51">
        <f t="shared" si="167"/>
        <v>1602929</v>
      </c>
      <c r="L3309" s="924" t="s">
        <v>171</v>
      </c>
      <c r="M3309" s="924" t="s">
        <v>166</v>
      </c>
      <c r="N3309" s="52" t="str">
        <f>IF(AND('331-CT'!$E$7=TH!H3309,OR(L3309="331",M3309="331")),"331",IF(AND(OR(L3309="131",M3309="131"),H3309='131-CT'!$E$7),"131",""))</f>
        <v/>
      </c>
      <c r="O3309" s="818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/>
      </c>
      <c r="AA3309" s="726"/>
    </row>
    <row r="3310" spans="1:27" s="861" customFormat="1" ht="15.75" customHeight="1">
      <c r="A3310" s="202" t="str">
        <f>IF(B3310&lt;&gt;"",IF(AND(B3310&gt;=_TM1,B3310&lt;=_TM2,OR(TH!L3310="1111",TH!M3310="1111")),TH!D3310,""),"")</f>
        <v/>
      </c>
      <c r="B3310" s="857">
        <f t="shared" si="165"/>
        <v>11</v>
      </c>
      <c r="C3310" s="858">
        <f t="shared" si="166"/>
        <v>42679</v>
      </c>
      <c r="D3310" s="858" t="s">
        <v>1548</v>
      </c>
      <c r="E3310" s="921">
        <v>42679</v>
      </c>
      <c r="F3310" s="922" t="s">
        <v>1355</v>
      </c>
      <c r="G3310" s="832" t="s">
        <v>1354</v>
      </c>
      <c r="H3310" s="923" t="s">
        <v>1297</v>
      </c>
      <c r="I3310" s="930">
        <v>530</v>
      </c>
      <c r="J3310" s="930">
        <v>6327.3527972731645</v>
      </c>
      <c r="K3310" s="51">
        <f t="shared" si="167"/>
        <v>3353497</v>
      </c>
      <c r="L3310" s="924" t="s">
        <v>171</v>
      </c>
      <c r="M3310" s="924" t="s">
        <v>166</v>
      </c>
      <c r="N3310" s="52" t="str">
        <f>IF(AND('331-CT'!$E$7=TH!H3310,OR(L3310="331",M3310="331")),"331",IF(AND(OR(L3310="131",M3310="131"),H3310='131-CT'!$E$7),"131",""))</f>
        <v/>
      </c>
      <c r="O3310" s="818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/>
      </c>
      <c r="AA3310" s="726"/>
    </row>
    <row r="3311" spans="1:27" s="861" customFormat="1" ht="15.75" customHeight="1">
      <c r="A3311" s="202" t="str">
        <f>IF(B3311&lt;&gt;"",IF(AND(B3311&gt;=_TM1,B3311&lt;=_TM2,OR(TH!L3311="1111",TH!M3311="1111")),TH!D3311,""),"")</f>
        <v/>
      </c>
      <c r="B3311" s="857">
        <f t="shared" si="165"/>
        <v>11</v>
      </c>
      <c r="C3311" s="858">
        <f t="shared" si="166"/>
        <v>42683</v>
      </c>
      <c r="D3311" s="858" t="s">
        <v>1548</v>
      </c>
      <c r="E3311" s="921">
        <v>42683</v>
      </c>
      <c r="F3311" s="922" t="s">
        <v>1366</v>
      </c>
      <c r="G3311" s="832" t="s">
        <v>1363</v>
      </c>
      <c r="H3311" s="923" t="s">
        <v>1297</v>
      </c>
      <c r="I3311" s="249">
        <v>233</v>
      </c>
      <c r="J3311" s="249">
        <v>5652.4351655640266</v>
      </c>
      <c r="K3311" s="51">
        <f t="shared" si="167"/>
        <v>1317017</v>
      </c>
      <c r="L3311" s="924" t="s">
        <v>171</v>
      </c>
      <c r="M3311" s="924" t="s">
        <v>166</v>
      </c>
      <c r="N3311" s="52" t="str">
        <f>IF(AND('331-CT'!$E$7=TH!H3311,OR(L3311="331",M3311="331")),"331",IF(AND(OR(L3311="131",M3311="131"),H3311='131-CT'!$E$7),"131",""))</f>
        <v/>
      </c>
      <c r="O3311" s="818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/>
      </c>
      <c r="AA3311" s="726"/>
    </row>
    <row r="3312" spans="1:27" s="861" customFormat="1" ht="15.75" customHeight="1">
      <c r="A3312" s="202" t="str">
        <f>IF(B3312&lt;&gt;"",IF(AND(B3312&gt;=_TM1,B3312&lt;=_TM2,OR(TH!L3312="1111",TH!M3312="1111")),TH!D3312,""),"")</f>
        <v/>
      </c>
      <c r="B3312" s="857">
        <f t="shared" si="165"/>
        <v>11</v>
      </c>
      <c r="C3312" s="858">
        <f t="shared" si="166"/>
        <v>42683</v>
      </c>
      <c r="D3312" s="858" t="s">
        <v>1548</v>
      </c>
      <c r="E3312" s="921">
        <v>42683</v>
      </c>
      <c r="F3312" s="831" t="s">
        <v>1367</v>
      </c>
      <c r="G3312" s="832" t="s">
        <v>1363</v>
      </c>
      <c r="H3312" s="923" t="s">
        <v>1297</v>
      </c>
      <c r="I3312" s="249">
        <v>13</v>
      </c>
      <c r="J3312" s="249">
        <v>6496.0822052004487</v>
      </c>
      <c r="K3312" s="51">
        <f t="shared" si="167"/>
        <v>84449</v>
      </c>
      <c r="L3312" s="924" t="s">
        <v>171</v>
      </c>
      <c r="M3312" s="924" t="s">
        <v>166</v>
      </c>
      <c r="N3312" s="52" t="str">
        <f>IF(AND('331-CT'!$E$7=TH!H3312,OR(L3312="331",M3312="331")),"331",IF(AND(OR(L3312="131",M3312="131"),H3312='131-CT'!$E$7),"131",""))</f>
        <v/>
      </c>
      <c r="O3312" s="818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/>
      </c>
      <c r="AA3312" s="726"/>
    </row>
    <row r="3313" spans="1:27" s="861" customFormat="1" ht="15.75" customHeight="1">
      <c r="A3313" s="202" t="str">
        <f>IF(B3313&lt;&gt;"",IF(AND(B3313&gt;=_TM1,B3313&lt;=_TM2,OR(TH!L3313="1111",TH!M3313="1111")),TH!D3313,""),"")</f>
        <v/>
      </c>
      <c r="B3313" s="857">
        <f t="shared" si="165"/>
        <v>11</v>
      </c>
      <c r="C3313" s="858">
        <f t="shared" si="166"/>
        <v>42683</v>
      </c>
      <c r="D3313" s="858" t="s">
        <v>1548</v>
      </c>
      <c r="E3313" s="921">
        <v>42683</v>
      </c>
      <c r="F3313" s="831" t="s">
        <v>1368</v>
      </c>
      <c r="G3313" s="832" t="s">
        <v>1363</v>
      </c>
      <c r="H3313" s="923" t="s">
        <v>1297</v>
      </c>
      <c r="I3313" s="249">
        <v>42</v>
      </c>
      <c r="J3313" s="249">
        <v>19319.51720767406</v>
      </c>
      <c r="K3313" s="51">
        <f t="shared" si="167"/>
        <v>811420</v>
      </c>
      <c r="L3313" s="924" t="s">
        <v>171</v>
      </c>
      <c r="M3313" s="924" t="s">
        <v>166</v>
      </c>
      <c r="N3313" s="52" t="str">
        <f>IF(AND('331-CT'!$E$7=TH!H3313,OR(L3313="331",M3313="331")),"331",IF(AND(OR(L3313="131",M3313="131"),H3313='131-CT'!$E$7),"131",""))</f>
        <v/>
      </c>
      <c r="O3313" s="818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/>
      </c>
      <c r="AA3313" s="726"/>
    </row>
    <row r="3314" spans="1:27" s="861" customFormat="1" ht="15.75" customHeight="1">
      <c r="A3314" s="202" t="str">
        <f>IF(B3314&lt;&gt;"",IF(AND(B3314&gt;=_TM1,B3314&lt;=_TM2,OR(TH!L3314="1111",TH!M3314="1111")),TH!D3314,""),"")</f>
        <v/>
      </c>
      <c r="B3314" s="857">
        <f t="shared" si="165"/>
        <v>11</v>
      </c>
      <c r="C3314" s="858">
        <f t="shared" si="166"/>
        <v>42683</v>
      </c>
      <c r="D3314" s="858" t="s">
        <v>1548</v>
      </c>
      <c r="E3314" s="921">
        <v>42683</v>
      </c>
      <c r="F3314" s="831" t="s">
        <v>1369</v>
      </c>
      <c r="G3314" s="832" t="s">
        <v>1363</v>
      </c>
      <c r="H3314" s="923" t="s">
        <v>1297</v>
      </c>
      <c r="I3314" s="249">
        <v>164</v>
      </c>
      <c r="J3314" s="249">
        <v>1856.0234872001281</v>
      </c>
      <c r="K3314" s="51">
        <f t="shared" si="167"/>
        <v>304388</v>
      </c>
      <c r="L3314" s="924" t="s">
        <v>171</v>
      </c>
      <c r="M3314" s="924" t="s">
        <v>166</v>
      </c>
      <c r="N3314" s="52" t="str">
        <f>IF(AND('331-CT'!$E$7=TH!H3314,OR(L3314="331",M3314="331")),"331",IF(AND(OR(L3314="131",M3314="131"),H3314='131-CT'!$E$7),"131",""))</f>
        <v/>
      </c>
      <c r="O3314" s="818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/>
      </c>
      <c r="AA3314" s="726"/>
    </row>
    <row r="3315" spans="1:27" s="861" customFormat="1" ht="15.75" customHeight="1">
      <c r="A3315" s="202" t="str">
        <f>IF(B3315&lt;&gt;"",IF(AND(B3315&gt;=_TM1,B3315&lt;=_TM2,OR(TH!L3315="1111",TH!M3315="1111")),TH!D3315,""),"")</f>
        <v/>
      </c>
      <c r="B3315" s="857">
        <f t="shared" si="165"/>
        <v>11</v>
      </c>
      <c r="C3315" s="858">
        <f t="shared" si="166"/>
        <v>42683</v>
      </c>
      <c r="D3315" s="858" t="s">
        <v>1548</v>
      </c>
      <c r="E3315" s="921">
        <v>42683</v>
      </c>
      <c r="F3315" s="831" t="s">
        <v>1370</v>
      </c>
      <c r="G3315" s="832" t="s">
        <v>1363</v>
      </c>
      <c r="H3315" s="923" t="s">
        <v>1297</v>
      </c>
      <c r="I3315" s="249">
        <v>123</v>
      </c>
      <c r="J3315" s="249">
        <v>1181.1058554909907</v>
      </c>
      <c r="K3315" s="51">
        <f t="shared" si="167"/>
        <v>145276</v>
      </c>
      <c r="L3315" s="924" t="s">
        <v>171</v>
      </c>
      <c r="M3315" s="924" t="s">
        <v>166</v>
      </c>
      <c r="N3315" s="52" t="str">
        <f>IF(AND('331-CT'!$E$7=TH!H3315,OR(L3315="331",M3315="331")),"331",IF(AND(OR(L3315="131",M3315="131"),H3315='131-CT'!$E$7),"131",""))</f>
        <v/>
      </c>
      <c r="O3315" s="818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/>
      </c>
      <c r="AA3315" s="726"/>
    </row>
    <row r="3316" spans="1:27" s="861" customFormat="1" ht="15.75" customHeight="1">
      <c r="A3316" s="202" t="str">
        <f>IF(B3316&lt;&gt;"",IF(AND(B3316&gt;=_TM1,B3316&lt;=_TM2,OR(TH!L3316="1111",TH!M3316="1111")),TH!D3316,""),"")</f>
        <v/>
      </c>
      <c r="B3316" s="857">
        <f t="shared" si="165"/>
        <v>11</v>
      </c>
      <c r="C3316" s="858">
        <f t="shared" si="166"/>
        <v>42683</v>
      </c>
      <c r="D3316" s="858" t="s">
        <v>1548</v>
      </c>
      <c r="E3316" s="921">
        <v>42683</v>
      </c>
      <c r="F3316" s="831" t="s">
        <v>1373</v>
      </c>
      <c r="G3316" s="832" t="s">
        <v>1371</v>
      </c>
      <c r="H3316" s="923" t="s">
        <v>1297</v>
      </c>
      <c r="I3316" s="249">
        <v>92</v>
      </c>
      <c r="J3316" s="249">
        <v>9195.7527320369991</v>
      </c>
      <c r="K3316" s="51">
        <f t="shared" si="167"/>
        <v>846009</v>
      </c>
      <c r="L3316" s="924" t="s">
        <v>171</v>
      </c>
      <c r="M3316" s="924" t="s">
        <v>166</v>
      </c>
      <c r="N3316" s="52" t="str">
        <f>IF(AND('331-CT'!$E$7=TH!H3316,OR(L3316="331",M3316="331")),"331",IF(AND(OR(L3316="131",M3316="131"),H3316='131-CT'!$E$7),"131",""))</f>
        <v/>
      </c>
      <c r="O3316" s="818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/>
      </c>
      <c r="AA3316" s="726"/>
    </row>
    <row r="3317" spans="1:27" s="861" customFormat="1" ht="15.75" customHeight="1">
      <c r="A3317" s="202" t="str">
        <f>IF(B3317&lt;&gt;"",IF(AND(B3317&gt;=_TM1,B3317&lt;=_TM2,OR(TH!L3317="1111",TH!M3317="1111")),TH!D3317,""),"")</f>
        <v/>
      </c>
      <c r="B3317" s="857">
        <f t="shared" si="165"/>
        <v>11</v>
      </c>
      <c r="C3317" s="858">
        <f t="shared" si="166"/>
        <v>42683</v>
      </c>
      <c r="D3317" s="858" t="s">
        <v>1548</v>
      </c>
      <c r="E3317" s="921">
        <v>42683</v>
      </c>
      <c r="F3317" s="922" t="s">
        <v>1374</v>
      </c>
      <c r="G3317" s="832" t="s">
        <v>1371</v>
      </c>
      <c r="H3317" s="923" t="s">
        <v>1297</v>
      </c>
      <c r="I3317" s="249">
        <v>52</v>
      </c>
      <c r="J3317" s="249">
        <v>8858.2939161824306</v>
      </c>
      <c r="K3317" s="51">
        <f t="shared" si="167"/>
        <v>460631</v>
      </c>
      <c r="L3317" s="924" t="s">
        <v>171</v>
      </c>
      <c r="M3317" s="924" t="s">
        <v>166</v>
      </c>
      <c r="N3317" s="52" t="str">
        <f>IF(AND('331-CT'!$E$7=TH!H3317,OR(L3317="331",M3317="331")),"331",IF(AND(OR(L3317="131",M3317="131"),H3317='131-CT'!$E$7),"131",""))</f>
        <v/>
      </c>
      <c r="O3317" s="818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/>
      </c>
      <c r="AA3317" s="726"/>
    </row>
    <row r="3318" spans="1:27" s="861" customFormat="1" ht="15.75" customHeight="1">
      <c r="A3318" s="202" t="str">
        <f>IF(B3318&lt;&gt;"",IF(AND(B3318&gt;=_TM1,B3318&lt;=_TM2,OR(TH!L3318="1111",TH!M3318="1111")),TH!D3318,""),"")</f>
        <v/>
      </c>
      <c r="B3318" s="857">
        <f t="shared" si="165"/>
        <v>11</v>
      </c>
      <c r="C3318" s="858">
        <f t="shared" si="166"/>
        <v>42683</v>
      </c>
      <c r="D3318" s="858" t="s">
        <v>1548</v>
      </c>
      <c r="E3318" s="921">
        <v>42683</v>
      </c>
      <c r="F3318" s="922" t="s">
        <v>1375</v>
      </c>
      <c r="G3318" s="832" t="s">
        <v>1371</v>
      </c>
      <c r="H3318" s="923" t="s">
        <v>1297</v>
      </c>
      <c r="I3318" s="249">
        <v>192</v>
      </c>
      <c r="J3318" s="249">
        <v>8267.7409884369335</v>
      </c>
      <c r="K3318" s="51">
        <f t="shared" si="167"/>
        <v>1587406</v>
      </c>
      <c r="L3318" s="924" t="s">
        <v>171</v>
      </c>
      <c r="M3318" s="924" t="s">
        <v>166</v>
      </c>
      <c r="N3318" s="52" t="str">
        <f>IF(AND('331-CT'!$E$7=TH!H3318,OR(L3318="331",M3318="331")),"331",IF(AND(OR(L3318="131",M3318="131"),H3318='131-CT'!$E$7),"131",""))</f>
        <v/>
      </c>
      <c r="O3318" s="818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/>
      </c>
      <c r="AA3318" s="726"/>
    </row>
    <row r="3319" spans="1:27" s="861" customFormat="1" ht="15.75" customHeight="1">
      <c r="A3319" s="202" t="str">
        <f>IF(B3319&lt;&gt;"",IF(AND(B3319&gt;=_TM1,B3319&lt;=_TM2,OR(TH!L3319="1111",TH!M3319="1111")),TH!D3319,""),"")</f>
        <v/>
      </c>
      <c r="B3319" s="857">
        <f t="shared" si="165"/>
        <v>11</v>
      </c>
      <c r="C3319" s="858">
        <f t="shared" si="166"/>
        <v>42683</v>
      </c>
      <c r="D3319" s="858" t="s">
        <v>1548</v>
      </c>
      <c r="E3319" s="921">
        <v>42683</v>
      </c>
      <c r="F3319" s="831" t="s">
        <v>1378</v>
      </c>
      <c r="G3319" s="832" t="s">
        <v>1376</v>
      </c>
      <c r="H3319" s="923" t="s">
        <v>1297</v>
      </c>
      <c r="I3319" s="249">
        <v>364</v>
      </c>
      <c r="J3319" s="249">
        <v>9448.8468439279259</v>
      </c>
      <c r="K3319" s="51">
        <f t="shared" si="167"/>
        <v>3439380</v>
      </c>
      <c r="L3319" s="924" t="s">
        <v>171</v>
      </c>
      <c r="M3319" s="924" t="s">
        <v>166</v>
      </c>
      <c r="N3319" s="52" t="str">
        <f>IF(AND('331-CT'!$E$7=TH!H3319,OR(L3319="331",M3319="331")),"331",IF(AND(OR(L3319="131",M3319="131"),H3319='131-CT'!$E$7),"131",""))</f>
        <v/>
      </c>
      <c r="O3319" s="818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/>
      </c>
      <c r="AA3319" s="726"/>
    </row>
    <row r="3320" spans="1:27" s="861" customFormat="1" ht="15.75" customHeight="1">
      <c r="A3320" s="202" t="str">
        <f>IF(B3320&lt;&gt;"",IF(AND(B3320&gt;=_TM1,B3320&lt;=_TM2,OR(TH!L3320="1111",TH!M3320="1111")),TH!D3320,""),"")</f>
        <v/>
      </c>
      <c r="B3320" s="857">
        <f t="shared" si="165"/>
        <v>11</v>
      </c>
      <c r="C3320" s="858">
        <f t="shared" si="166"/>
        <v>42683</v>
      </c>
      <c r="D3320" s="858" t="s">
        <v>1548</v>
      </c>
      <c r="E3320" s="921">
        <v>42683</v>
      </c>
      <c r="F3320" s="831" t="s">
        <v>1379</v>
      </c>
      <c r="G3320" s="832" t="s">
        <v>1376</v>
      </c>
      <c r="H3320" s="923" t="s">
        <v>1297</v>
      </c>
      <c r="I3320" s="249">
        <v>20</v>
      </c>
      <c r="J3320" s="249">
        <v>8183.3762844732919</v>
      </c>
      <c r="K3320" s="51">
        <f t="shared" si="167"/>
        <v>163668</v>
      </c>
      <c r="L3320" s="924" t="s">
        <v>171</v>
      </c>
      <c r="M3320" s="924" t="s">
        <v>166</v>
      </c>
      <c r="N3320" s="52" t="str">
        <f>IF(AND('331-CT'!$E$7=TH!H3320,OR(L3320="331",M3320="331")),"331",IF(AND(OR(L3320="131",M3320="131"),H3320='131-CT'!$E$7),"131",""))</f>
        <v/>
      </c>
      <c r="O3320" s="818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/>
      </c>
      <c r="AA3320" s="726"/>
    </row>
    <row r="3321" spans="1:27" s="861" customFormat="1" ht="15.75" customHeight="1">
      <c r="A3321" s="202" t="str">
        <f>IF(B3321&lt;&gt;"",IF(AND(B3321&gt;=_TM1,B3321&lt;=_TM2,OR(TH!L3321="1111",TH!M3321="1111")),TH!D3321,""),"")</f>
        <v/>
      </c>
      <c r="B3321" s="857">
        <f t="shared" si="165"/>
        <v>11</v>
      </c>
      <c r="C3321" s="858">
        <f t="shared" si="166"/>
        <v>42684</v>
      </c>
      <c r="D3321" s="858" t="s">
        <v>1548</v>
      </c>
      <c r="E3321" s="921">
        <v>42684</v>
      </c>
      <c r="F3321" s="831" t="s">
        <v>1380</v>
      </c>
      <c r="G3321" s="832" t="s">
        <v>1377</v>
      </c>
      <c r="H3321" s="923" t="s">
        <v>1297</v>
      </c>
      <c r="I3321" s="249">
        <v>200</v>
      </c>
      <c r="J3321" s="249">
        <v>8183.3762844732919</v>
      </c>
      <c r="K3321" s="51">
        <f t="shared" si="167"/>
        <v>1636675</v>
      </c>
      <c r="L3321" s="924" t="s">
        <v>171</v>
      </c>
      <c r="M3321" s="924" t="s">
        <v>166</v>
      </c>
      <c r="N3321" s="52" t="str">
        <f>IF(AND('331-CT'!$E$7=TH!H3321,OR(L3321="331",M3321="331")),"331",IF(AND(OR(L3321="131",M3321="131"),H3321='131-CT'!$E$7),"131",""))</f>
        <v/>
      </c>
      <c r="O3321" s="818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/>
      </c>
      <c r="AA3321" s="726"/>
    </row>
    <row r="3322" spans="1:27" s="861" customFormat="1" ht="15.75" customHeight="1">
      <c r="A3322" s="202" t="str">
        <f>IF(B3322&lt;&gt;"",IF(AND(B3322&gt;=_TM1,B3322&lt;=_TM2,OR(TH!L3322="1111",TH!M3322="1111")),TH!D3322,""),"")</f>
        <v/>
      </c>
      <c r="B3322" s="857">
        <f t="shared" si="165"/>
        <v>11</v>
      </c>
      <c r="C3322" s="858">
        <f t="shared" si="166"/>
        <v>42684</v>
      </c>
      <c r="D3322" s="858" t="s">
        <v>1548</v>
      </c>
      <c r="E3322" s="921">
        <v>42684</v>
      </c>
      <c r="F3322" s="922" t="s">
        <v>1382</v>
      </c>
      <c r="G3322" s="832" t="s">
        <v>1381</v>
      </c>
      <c r="H3322" s="923" t="s">
        <v>1297</v>
      </c>
      <c r="I3322" s="249">
        <v>300</v>
      </c>
      <c r="J3322" s="249">
        <v>8689.5645082551455</v>
      </c>
      <c r="K3322" s="51">
        <f t="shared" si="167"/>
        <v>2606869</v>
      </c>
      <c r="L3322" s="924" t="s">
        <v>171</v>
      </c>
      <c r="M3322" s="924" t="s">
        <v>166</v>
      </c>
      <c r="N3322" s="52" t="str">
        <f>IF(AND('331-CT'!$E$7=TH!H3322,OR(L3322="331",M3322="331")),"331",IF(AND(OR(L3322="131",M3322="131"),H3322='131-CT'!$E$7),"131",""))</f>
        <v/>
      </c>
      <c r="O3322" s="818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/>
      </c>
      <c r="AA3322" s="726"/>
    </row>
    <row r="3323" spans="1:27" s="861" customFormat="1" ht="15.75" customHeight="1">
      <c r="A3323" s="202" t="str">
        <f>IF(B3323&lt;&gt;"",IF(AND(B3323&gt;=_TM1,B3323&lt;=_TM2,OR(TH!L3323="1111",TH!M3323="1111")),TH!D3323,""),"")</f>
        <v/>
      </c>
      <c r="B3323" s="857">
        <f t="shared" si="165"/>
        <v>11</v>
      </c>
      <c r="C3323" s="858">
        <f t="shared" si="166"/>
        <v>42684</v>
      </c>
      <c r="D3323" s="858" t="s">
        <v>1548</v>
      </c>
      <c r="E3323" s="921">
        <v>42684</v>
      </c>
      <c r="F3323" s="922" t="s">
        <v>1383</v>
      </c>
      <c r="G3323" s="832" t="s">
        <v>1381</v>
      </c>
      <c r="H3323" s="923" t="s">
        <v>1297</v>
      </c>
      <c r="I3323" s="249">
        <v>35</v>
      </c>
      <c r="J3323" s="249">
        <v>10545.587995455273</v>
      </c>
      <c r="K3323" s="51">
        <f t="shared" si="167"/>
        <v>369096</v>
      </c>
      <c r="L3323" s="924" t="s">
        <v>171</v>
      </c>
      <c r="M3323" s="924" t="s">
        <v>166</v>
      </c>
      <c r="N3323" s="52" t="str">
        <f>IF(AND('331-CT'!$E$7=TH!H3323,OR(L3323="331",M3323="331")),"331",IF(AND(OR(L3323="131",M3323="131"),H3323='131-CT'!$E$7),"131",""))</f>
        <v/>
      </c>
      <c r="O3323" s="818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/>
      </c>
      <c r="AA3323" s="726"/>
    </row>
    <row r="3324" spans="1:27" s="861" customFormat="1" ht="15.75" customHeight="1">
      <c r="A3324" s="202" t="str">
        <f>IF(B3324&lt;&gt;"",IF(AND(B3324&gt;=_TM1,B3324&lt;=_TM2,OR(TH!L3324="1111",TH!M3324="1111")),TH!D3324,""),"")</f>
        <v/>
      </c>
      <c r="B3324" s="857">
        <f t="shared" si="165"/>
        <v>11</v>
      </c>
      <c r="C3324" s="858">
        <f t="shared" si="166"/>
        <v>42684</v>
      </c>
      <c r="D3324" s="858" t="s">
        <v>1548</v>
      </c>
      <c r="E3324" s="921">
        <v>42684</v>
      </c>
      <c r="F3324" s="922" t="s">
        <v>1384</v>
      </c>
      <c r="G3324" s="832" t="s">
        <v>1381</v>
      </c>
      <c r="H3324" s="923" t="s">
        <v>1297</v>
      </c>
      <c r="I3324" s="249">
        <v>37</v>
      </c>
      <c r="J3324" s="249">
        <v>34673.89332905694</v>
      </c>
      <c r="K3324" s="51">
        <f t="shared" si="167"/>
        <v>1282934</v>
      </c>
      <c r="L3324" s="924" t="s">
        <v>171</v>
      </c>
      <c r="M3324" s="924" t="s">
        <v>166</v>
      </c>
      <c r="N3324" s="52" t="str">
        <f>IF(AND('331-CT'!$E$7=TH!H3324,OR(L3324="331",M3324="331")),"331",IF(AND(OR(L3324="131",M3324="131"),H3324='131-CT'!$E$7),"131",""))</f>
        <v/>
      </c>
      <c r="O3324" s="818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/>
      </c>
      <c r="AA3324" s="726"/>
    </row>
    <row r="3325" spans="1:27" s="861" customFormat="1" ht="15.75" customHeight="1">
      <c r="A3325" s="202" t="str">
        <f>IF(B3325&lt;&gt;"",IF(AND(B3325&gt;=_TM1,B3325&lt;=_TM2,OR(TH!L3325="1111",TH!M3325="1111")),TH!D3325,""),"")</f>
        <v/>
      </c>
      <c r="B3325" s="857">
        <f t="shared" si="165"/>
        <v>11</v>
      </c>
      <c r="C3325" s="858">
        <f t="shared" si="166"/>
        <v>42684</v>
      </c>
      <c r="D3325" s="858" t="s">
        <v>1548</v>
      </c>
      <c r="E3325" s="921">
        <v>42684</v>
      </c>
      <c r="F3325" s="922" t="s">
        <v>1385</v>
      </c>
      <c r="G3325" s="832" t="s">
        <v>1381</v>
      </c>
      <c r="H3325" s="923" t="s">
        <v>1297</v>
      </c>
      <c r="I3325" s="249">
        <v>85</v>
      </c>
      <c r="J3325" s="249">
        <v>10123.764475637063</v>
      </c>
      <c r="K3325" s="51">
        <f t="shared" si="167"/>
        <v>860520</v>
      </c>
      <c r="L3325" s="924" t="s">
        <v>171</v>
      </c>
      <c r="M3325" s="924" t="s">
        <v>166</v>
      </c>
      <c r="N3325" s="52" t="str">
        <f>IF(AND('331-CT'!$E$7=TH!H3325,OR(L3325="331",M3325="331")),"331",IF(AND(OR(L3325="131",M3325="131"),H3325='131-CT'!$E$7),"131",""))</f>
        <v/>
      </c>
      <c r="O3325" s="818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/>
      </c>
      <c r="AA3325" s="726"/>
    </row>
    <row r="3326" spans="1:27" s="861" customFormat="1" ht="15.75" customHeight="1">
      <c r="A3326" s="202" t="str">
        <f>IF(B3326&lt;&gt;"",IF(AND(B3326&gt;=_TM1,B3326&lt;=_TM2,OR(TH!L3326="1111",TH!M3326="1111")),TH!D3326,""),"")</f>
        <v/>
      </c>
      <c r="B3326" s="857">
        <f t="shared" si="165"/>
        <v>11</v>
      </c>
      <c r="C3326" s="858">
        <f t="shared" si="166"/>
        <v>42684</v>
      </c>
      <c r="D3326" s="858" t="s">
        <v>1548</v>
      </c>
      <c r="E3326" s="921">
        <v>42684</v>
      </c>
      <c r="F3326" s="925" t="s">
        <v>1442</v>
      </c>
      <c r="G3326" s="832" t="s">
        <v>1386</v>
      </c>
      <c r="H3326" s="923" t="s">
        <v>1297</v>
      </c>
      <c r="I3326" s="249">
        <v>300</v>
      </c>
      <c r="J3326" s="249">
        <v>5483.7057576367424</v>
      </c>
      <c r="K3326" s="51">
        <f t="shared" si="167"/>
        <v>1645112</v>
      </c>
      <c r="L3326" s="924" t="s">
        <v>171</v>
      </c>
      <c r="M3326" s="924" t="s">
        <v>166</v>
      </c>
      <c r="N3326" s="52" t="str">
        <f>IF(AND('331-CT'!$E$7=TH!H3326,OR(L3326="331",M3326="331")),"331",IF(AND(OR(L3326="131",M3326="131"),H3326='131-CT'!$E$7),"131",""))</f>
        <v/>
      </c>
      <c r="O3326" s="818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/>
      </c>
      <c r="AA3326" s="726"/>
    </row>
    <row r="3327" spans="1:27" s="861" customFormat="1" ht="15.75" customHeight="1">
      <c r="A3327" s="202" t="str">
        <f>IF(B3327&lt;&gt;"",IF(AND(B3327&gt;=_TM1,B3327&lt;=_TM2,OR(TH!L3327="1111",TH!M3327="1111")),TH!D3327,""),"")</f>
        <v/>
      </c>
      <c r="B3327" s="857">
        <f t="shared" si="165"/>
        <v>11</v>
      </c>
      <c r="C3327" s="858">
        <f t="shared" si="166"/>
        <v>42686</v>
      </c>
      <c r="D3327" s="858" t="s">
        <v>1548</v>
      </c>
      <c r="E3327" s="921">
        <v>42686</v>
      </c>
      <c r="F3327" s="925" t="s">
        <v>1388</v>
      </c>
      <c r="G3327" s="832" t="s">
        <v>1387</v>
      </c>
      <c r="H3327" s="923" t="s">
        <v>1297</v>
      </c>
      <c r="I3327" s="930">
        <v>319</v>
      </c>
      <c r="J3327" s="930">
        <v>8099.0115805096493</v>
      </c>
      <c r="K3327" s="51">
        <f t="shared" si="167"/>
        <v>2583585</v>
      </c>
      <c r="L3327" s="924" t="s">
        <v>171</v>
      </c>
      <c r="M3327" s="924" t="s">
        <v>166</v>
      </c>
      <c r="N3327" s="52" t="str">
        <f>IF(AND('331-CT'!$E$7=TH!H3327,OR(L3327="331",M3327="331")),"331",IF(AND(OR(L3327="131",M3327="131"),H3327='131-CT'!$E$7),"131",""))</f>
        <v/>
      </c>
      <c r="O3327" s="818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/>
      </c>
      <c r="AA3327" s="726"/>
    </row>
    <row r="3328" spans="1:27" s="861" customFormat="1" ht="15.75" customHeight="1">
      <c r="A3328" s="202" t="str">
        <f>IF(B3328&lt;&gt;"",IF(AND(B3328&gt;=_TM1,B3328&lt;=_TM2,OR(TH!L3328="1111",TH!M3328="1111")),TH!D3328,""),"")</f>
        <v/>
      </c>
      <c r="B3328" s="857">
        <f t="shared" si="165"/>
        <v>11</v>
      </c>
      <c r="C3328" s="858">
        <f t="shared" si="166"/>
        <v>42688</v>
      </c>
      <c r="D3328" s="858" t="s">
        <v>1548</v>
      </c>
      <c r="E3328" s="921">
        <v>42688</v>
      </c>
      <c r="F3328" s="925" t="s">
        <v>1255</v>
      </c>
      <c r="G3328" s="832" t="s">
        <v>1389</v>
      </c>
      <c r="H3328" s="923" t="s">
        <v>1297</v>
      </c>
      <c r="I3328" s="249">
        <v>980</v>
      </c>
      <c r="J3328" s="249">
        <v>6917.9057250186588</v>
      </c>
      <c r="K3328" s="51">
        <f t="shared" si="167"/>
        <v>6779548</v>
      </c>
      <c r="L3328" s="924" t="s">
        <v>171</v>
      </c>
      <c r="M3328" s="924" t="s">
        <v>166</v>
      </c>
      <c r="N3328" s="52" t="str">
        <f>IF(AND('331-CT'!$E$7=TH!H3328,OR(L3328="331",M3328="331")),"331",IF(AND(OR(L3328="131",M3328="131"),H3328='131-CT'!$E$7),"131",""))</f>
        <v/>
      </c>
      <c r="O3328" s="818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/>
      </c>
      <c r="AA3328" s="726"/>
    </row>
    <row r="3329" spans="1:27" s="861" customFormat="1" ht="15.75" customHeight="1">
      <c r="A3329" s="202" t="str">
        <f>IF(B3329&lt;&gt;"",IF(AND(B3329&gt;=_TM1,B3329&lt;=_TM2,OR(TH!L3329="1111",TH!M3329="1111")),TH!D3329,""),"")</f>
        <v/>
      </c>
      <c r="B3329" s="857">
        <f t="shared" si="165"/>
        <v>11</v>
      </c>
      <c r="C3329" s="858">
        <f t="shared" si="166"/>
        <v>42688</v>
      </c>
      <c r="D3329" s="858" t="s">
        <v>1548</v>
      </c>
      <c r="E3329" s="921">
        <v>42688</v>
      </c>
      <c r="F3329" s="922" t="s">
        <v>1256</v>
      </c>
      <c r="G3329" s="832" t="s">
        <v>1389</v>
      </c>
      <c r="H3329" s="923" t="s">
        <v>1297</v>
      </c>
      <c r="I3329" s="249">
        <v>1066</v>
      </c>
      <c r="J3329" s="249">
        <v>7677.1880606914392</v>
      </c>
      <c r="K3329" s="51">
        <f t="shared" si="167"/>
        <v>8183882</v>
      </c>
      <c r="L3329" s="924" t="s">
        <v>171</v>
      </c>
      <c r="M3329" s="924" t="s">
        <v>166</v>
      </c>
      <c r="N3329" s="52" t="str">
        <f>IF(AND('331-CT'!$E$7=TH!H3329,OR(L3329="331",M3329="331")),"331",IF(AND(OR(L3329="131",M3329="131"),H3329='131-CT'!$E$7),"131",""))</f>
        <v/>
      </c>
      <c r="O3329" s="818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/>
      </c>
      <c r="AA3329" s="726"/>
    </row>
    <row r="3330" spans="1:27" s="861" customFormat="1" ht="15.75" customHeight="1">
      <c r="A3330" s="202" t="str">
        <f>IF(B3330&lt;&gt;"",IF(AND(B3330&gt;=_TM1,B3330&lt;=_TM2,OR(TH!L3330="1111",TH!M3330="1111")),TH!D3330,""),"")</f>
        <v/>
      </c>
      <c r="B3330" s="857">
        <f t="shared" si="165"/>
        <v>11</v>
      </c>
      <c r="C3330" s="858">
        <f t="shared" si="166"/>
        <v>42688</v>
      </c>
      <c r="D3330" s="858" t="s">
        <v>1548</v>
      </c>
      <c r="E3330" s="921">
        <v>42688</v>
      </c>
      <c r="F3330" s="922" t="s">
        <v>392</v>
      </c>
      <c r="G3330" s="832" t="s">
        <v>1389</v>
      </c>
      <c r="H3330" s="923" t="s">
        <v>1297</v>
      </c>
      <c r="I3330" s="249">
        <v>560</v>
      </c>
      <c r="J3330" s="249">
        <v>8183.3762844732919</v>
      </c>
      <c r="K3330" s="51">
        <f t="shared" si="167"/>
        <v>4582691</v>
      </c>
      <c r="L3330" s="924" t="s">
        <v>171</v>
      </c>
      <c r="M3330" s="924" t="s">
        <v>166</v>
      </c>
      <c r="N3330" s="52" t="str">
        <f>IF(AND('331-CT'!$E$7=TH!H3330,OR(L3330="331",M3330="331")),"331",IF(AND(OR(L3330="131",M3330="131"),H3330='131-CT'!$E$7),"131",""))</f>
        <v/>
      </c>
      <c r="O3330" s="818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/>
      </c>
      <c r="AA3330" s="726"/>
    </row>
    <row r="3331" spans="1:27" s="861" customFormat="1" ht="15.75" customHeight="1">
      <c r="A3331" s="202" t="str">
        <f>IF(B3331&lt;&gt;"",IF(AND(B3331&gt;=_TM1,B3331&lt;=_TM2,OR(TH!L3331="1111",TH!M3331="1111")),TH!D3331,""),"")</f>
        <v/>
      </c>
      <c r="B3331" s="857">
        <f t="shared" si="165"/>
        <v>11</v>
      </c>
      <c r="C3331" s="858">
        <f t="shared" si="166"/>
        <v>42689</v>
      </c>
      <c r="D3331" s="858" t="s">
        <v>1548</v>
      </c>
      <c r="E3331" s="921">
        <v>42689</v>
      </c>
      <c r="F3331" s="922" t="s">
        <v>1541</v>
      </c>
      <c r="G3331" s="832" t="s">
        <v>1540</v>
      </c>
      <c r="H3331" s="923" t="s">
        <v>1297</v>
      </c>
      <c r="I3331" s="249">
        <v>127</v>
      </c>
      <c r="J3331" s="249">
        <v>14763.823193637383</v>
      </c>
      <c r="K3331" s="51">
        <f t="shared" si="167"/>
        <v>1875006</v>
      </c>
      <c r="L3331" s="924" t="s">
        <v>171</v>
      </c>
      <c r="M3331" s="924" t="s">
        <v>166</v>
      </c>
      <c r="N3331" s="52" t="str">
        <f>IF(AND('331-CT'!$E$7=TH!H3331,OR(L3331="331",M3331="331")),"331",IF(AND(OR(L3331="131",M3331="131"),H3331='131-CT'!$E$7),"131",""))</f>
        <v/>
      </c>
      <c r="O3331" s="818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/>
      </c>
      <c r="AA3331" s="726"/>
    </row>
    <row r="3332" spans="1:27" s="861" customFormat="1" ht="15.75" customHeight="1">
      <c r="A3332" s="202" t="str">
        <f>IF(B3332&lt;&gt;"",IF(AND(B3332&gt;=_TM1,B3332&lt;=_TM2,OR(TH!L3332="1111",TH!M3332="1111")),TH!D3332,""),"")</f>
        <v/>
      </c>
      <c r="B3332" s="857">
        <f t="shared" si="165"/>
        <v>11</v>
      </c>
      <c r="C3332" s="858">
        <f t="shared" si="166"/>
        <v>42689</v>
      </c>
      <c r="D3332" s="858" t="s">
        <v>1548</v>
      </c>
      <c r="E3332" s="921">
        <v>42689</v>
      </c>
      <c r="F3332" s="922" t="s">
        <v>1473</v>
      </c>
      <c r="G3332" s="832" t="s">
        <v>1542</v>
      </c>
      <c r="H3332" s="923" t="s">
        <v>1297</v>
      </c>
      <c r="I3332" s="249">
        <v>3900</v>
      </c>
      <c r="J3332" s="249">
        <v>7086.635132945943</v>
      </c>
      <c r="K3332" s="51">
        <f t="shared" si="167"/>
        <v>27637877</v>
      </c>
      <c r="L3332" s="924" t="s">
        <v>171</v>
      </c>
      <c r="M3332" s="924" t="s">
        <v>166</v>
      </c>
      <c r="N3332" s="52" t="str">
        <f>IF(AND('331-CT'!$E$7=TH!H3332,OR(L3332="331",M3332="331")),"331",IF(AND(OR(L3332="131",M3332="131"),H3332='131-CT'!$E$7),"131",""))</f>
        <v/>
      </c>
      <c r="O3332" s="818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/>
      </c>
      <c r="AA3332" s="726"/>
    </row>
    <row r="3333" spans="1:27" s="861" customFormat="1" ht="15.75" customHeight="1">
      <c r="A3333" s="202" t="str">
        <f>IF(B3333&lt;&gt;"",IF(AND(B3333&gt;=_TM1,B3333&lt;=_TM2,OR(TH!L3333="1111",TH!M3333="1111")),TH!D3333,""),"")</f>
        <v/>
      </c>
      <c r="B3333" s="857">
        <f t="shared" si="165"/>
        <v>11</v>
      </c>
      <c r="C3333" s="858">
        <f t="shared" si="166"/>
        <v>42690</v>
      </c>
      <c r="D3333" s="858" t="s">
        <v>1548</v>
      </c>
      <c r="E3333" s="921">
        <v>42690</v>
      </c>
      <c r="F3333" s="922" t="s">
        <v>1447</v>
      </c>
      <c r="G3333" s="832" t="s">
        <v>1390</v>
      </c>
      <c r="H3333" s="923" t="s">
        <v>1297</v>
      </c>
      <c r="I3333" s="249">
        <v>200</v>
      </c>
      <c r="J3333" s="249">
        <v>9870.670363746136</v>
      </c>
      <c r="K3333" s="51">
        <f t="shared" si="167"/>
        <v>1974134</v>
      </c>
      <c r="L3333" s="924" t="s">
        <v>171</v>
      </c>
      <c r="M3333" s="924" t="s">
        <v>166</v>
      </c>
      <c r="N3333" s="52" t="str">
        <f>IF(AND('331-CT'!$E$7=TH!H3333,OR(L3333="331",M3333="331")),"331",IF(AND(OR(L3333="131",M3333="131"),H3333='131-CT'!$E$7),"131",""))</f>
        <v/>
      </c>
      <c r="O3333" s="818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/>
      </c>
      <c r="AA3333" s="726"/>
    </row>
    <row r="3334" spans="1:27" s="861" customFormat="1" ht="15.75" customHeight="1">
      <c r="A3334" s="202" t="str">
        <f>IF(B3334&lt;&gt;"",IF(AND(B3334&gt;=_TM1,B3334&lt;=_TM2,OR(TH!L3334="1111",TH!M3334="1111")),TH!D3334,""),"")</f>
        <v/>
      </c>
      <c r="B3334" s="857">
        <f t="shared" si="165"/>
        <v>11</v>
      </c>
      <c r="C3334" s="858">
        <f t="shared" si="166"/>
        <v>42691</v>
      </c>
      <c r="D3334" s="858" t="s">
        <v>1548</v>
      </c>
      <c r="E3334" s="921">
        <v>42691</v>
      </c>
      <c r="F3334" s="922" t="s">
        <v>1392</v>
      </c>
      <c r="G3334" s="832" t="s">
        <v>1391</v>
      </c>
      <c r="H3334" s="923" t="s">
        <v>1297</v>
      </c>
      <c r="I3334" s="249">
        <v>509</v>
      </c>
      <c r="J3334" s="249">
        <v>7508.458652764155</v>
      </c>
      <c r="K3334" s="51">
        <f t="shared" si="167"/>
        <v>3821805</v>
      </c>
      <c r="L3334" s="924" t="s">
        <v>171</v>
      </c>
      <c r="M3334" s="924" t="s">
        <v>166</v>
      </c>
      <c r="N3334" s="52" t="str">
        <f>IF(AND('331-CT'!$E$7=TH!H3334,OR(L3334="331",M3334="331")),"331",IF(AND(OR(L3334="131",M3334="131"),H3334='131-CT'!$E$7),"131",""))</f>
        <v/>
      </c>
      <c r="O3334" s="818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/>
      </c>
      <c r="AA3334" s="726"/>
    </row>
    <row r="3335" spans="1:27" s="861" customFormat="1" ht="15.75" customHeight="1">
      <c r="A3335" s="202" t="str">
        <f>IF(B3335&lt;&gt;"",IF(AND(B3335&gt;=_TM1,B3335&lt;=_TM2,OR(TH!L3335="1111",TH!M3335="1111")),TH!D3335,""),"")</f>
        <v/>
      </c>
      <c r="B3335" s="857">
        <f t="shared" si="165"/>
        <v>11</v>
      </c>
      <c r="C3335" s="858">
        <f t="shared" si="166"/>
        <v>42691</v>
      </c>
      <c r="D3335" s="858" t="s">
        <v>1548</v>
      </c>
      <c r="E3335" s="921">
        <v>42691</v>
      </c>
      <c r="F3335" s="922" t="s">
        <v>1393</v>
      </c>
      <c r="G3335" s="832" t="s">
        <v>1391</v>
      </c>
      <c r="H3335" s="923" t="s">
        <v>1297</v>
      </c>
      <c r="I3335" s="249">
        <v>208</v>
      </c>
      <c r="J3335" s="249">
        <v>8183.3762844732919</v>
      </c>
      <c r="K3335" s="51">
        <f t="shared" si="167"/>
        <v>1702142</v>
      </c>
      <c r="L3335" s="924" t="s">
        <v>171</v>
      </c>
      <c r="M3335" s="924" t="s">
        <v>166</v>
      </c>
      <c r="N3335" s="52" t="str">
        <f>IF(AND('331-CT'!$E$7=TH!H3335,OR(L3335="331",M3335="331")),"331",IF(AND(OR(L3335="131",M3335="131"),H3335='131-CT'!$E$7),"131",""))</f>
        <v/>
      </c>
      <c r="O3335" s="818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/>
      </c>
      <c r="AA3335" s="726"/>
    </row>
    <row r="3336" spans="1:27" s="861" customFormat="1" ht="15.75" customHeight="1">
      <c r="A3336" s="202" t="str">
        <f>IF(B3336&lt;&gt;"",IF(AND(B3336&gt;=_TM1,B3336&lt;=_TM2,OR(TH!L3336="1111",TH!M3336="1111")),TH!D3336,""),"")</f>
        <v/>
      </c>
      <c r="B3336" s="857">
        <f t="shared" si="165"/>
        <v>11</v>
      </c>
      <c r="C3336" s="858">
        <f t="shared" si="166"/>
        <v>42691</v>
      </c>
      <c r="D3336" s="858" t="s">
        <v>1548</v>
      </c>
      <c r="E3336" s="921">
        <v>42691</v>
      </c>
      <c r="F3336" s="922" t="s">
        <v>1394</v>
      </c>
      <c r="G3336" s="832" t="s">
        <v>1391</v>
      </c>
      <c r="H3336" s="923" t="s">
        <v>1297</v>
      </c>
      <c r="I3336" s="249">
        <v>205</v>
      </c>
      <c r="J3336" s="249">
        <v>8942.6586201460723</v>
      </c>
      <c r="K3336" s="51">
        <f t="shared" si="167"/>
        <v>1833245</v>
      </c>
      <c r="L3336" s="924" t="s">
        <v>171</v>
      </c>
      <c r="M3336" s="924" t="s">
        <v>166</v>
      </c>
      <c r="N3336" s="52" t="str">
        <f>IF(AND('331-CT'!$E$7=TH!H3336,OR(L3336="331",M3336="331")),"331",IF(AND(OR(L3336="131",M3336="131"),H3336='131-CT'!$E$7),"131",""))</f>
        <v/>
      </c>
      <c r="O3336" s="818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/>
      </c>
      <c r="AA3336" s="726"/>
    </row>
    <row r="3337" spans="1:27" s="861" customFormat="1" ht="15.75" customHeight="1">
      <c r="A3337" s="202" t="str">
        <f>IF(B3337&lt;&gt;"",IF(AND(B3337&gt;=_TM1,B3337&lt;=_TM2,OR(TH!L3337="1111",TH!M3337="1111")),TH!D3337,""),"")</f>
        <v/>
      </c>
      <c r="B3337" s="857">
        <f t="shared" si="165"/>
        <v>11</v>
      </c>
      <c r="C3337" s="858">
        <f t="shared" si="166"/>
        <v>42692</v>
      </c>
      <c r="D3337" s="858" t="s">
        <v>1548</v>
      </c>
      <c r="E3337" s="921">
        <v>42692</v>
      </c>
      <c r="F3337" s="922" t="s">
        <v>532</v>
      </c>
      <c r="G3337" s="832" t="s">
        <v>1396</v>
      </c>
      <c r="H3337" s="923" t="s">
        <v>1297</v>
      </c>
      <c r="I3337" s="249">
        <v>500</v>
      </c>
      <c r="J3337" s="249">
        <v>19488.246615601347</v>
      </c>
      <c r="K3337" s="51">
        <f t="shared" si="167"/>
        <v>9744123</v>
      </c>
      <c r="L3337" s="924" t="s">
        <v>171</v>
      </c>
      <c r="M3337" s="924" t="s">
        <v>166</v>
      </c>
      <c r="N3337" s="52" t="str">
        <f>IF(AND('331-CT'!$E$7=TH!H3337,OR(L3337="331",M3337="331")),"331",IF(AND(OR(L3337="131",M3337="131"),H3337='131-CT'!$E$7),"131",""))</f>
        <v/>
      </c>
      <c r="O3337" s="818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/>
      </c>
      <c r="AA3337" s="726"/>
    </row>
    <row r="3338" spans="1:27" s="861" customFormat="1" ht="15.75" customHeight="1">
      <c r="A3338" s="202" t="str">
        <f>IF(B3338&lt;&gt;"",IF(AND(B3338&gt;=_TM1,B3338&lt;=_TM2,OR(TH!L3338="1111",TH!M3338="1111")),TH!D3338,""),"")</f>
        <v/>
      </c>
      <c r="B3338" s="857">
        <f t="shared" si="165"/>
        <v>11</v>
      </c>
      <c r="C3338" s="858">
        <f t="shared" si="166"/>
        <v>42696</v>
      </c>
      <c r="D3338" s="858" t="s">
        <v>1548</v>
      </c>
      <c r="E3338" s="921">
        <v>42696</v>
      </c>
      <c r="F3338" s="922" t="s">
        <v>923</v>
      </c>
      <c r="G3338" s="832" t="s">
        <v>1397</v>
      </c>
      <c r="H3338" s="923" t="s">
        <v>1297</v>
      </c>
      <c r="I3338" s="249">
        <v>135</v>
      </c>
      <c r="J3338" s="249">
        <v>11304.870331128053</v>
      </c>
      <c r="K3338" s="51">
        <f t="shared" si="167"/>
        <v>1526157</v>
      </c>
      <c r="L3338" s="924" t="s">
        <v>171</v>
      </c>
      <c r="M3338" s="924" t="s">
        <v>166</v>
      </c>
      <c r="N3338" s="52" t="str">
        <f>IF(AND('331-CT'!$E$7=TH!H3338,OR(L3338="331",M3338="331")),"331",IF(AND(OR(L3338="131",M3338="131"),H3338='131-CT'!$E$7),"131",""))</f>
        <v/>
      </c>
      <c r="O3338" s="818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/>
      </c>
      <c r="AA3338" s="726"/>
    </row>
    <row r="3339" spans="1:27" s="861" customFormat="1" ht="15.75" customHeight="1">
      <c r="A3339" s="202" t="str">
        <f>IF(B3339&lt;&gt;"",IF(AND(B3339&gt;=_TM1,B3339&lt;=_TM2,OR(TH!L3339="1111",TH!M3339="1111")),TH!D3339,""),"")</f>
        <v/>
      </c>
      <c r="B3339" s="857">
        <f t="shared" si="165"/>
        <v>11</v>
      </c>
      <c r="C3339" s="858">
        <f t="shared" si="166"/>
        <v>42696</v>
      </c>
      <c r="D3339" s="858" t="s">
        <v>1548</v>
      </c>
      <c r="E3339" s="921">
        <v>42696</v>
      </c>
      <c r="F3339" s="925" t="s">
        <v>1434</v>
      </c>
      <c r="G3339" s="832" t="s">
        <v>1398</v>
      </c>
      <c r="H3339" s="923" t="s">
        <v>1297</v>
      </c>
      <c r="I3339" s="249">
        <v>300</v>
      </c>
      <c r="J3339" s="249">
        <v>8605.1998042915038</v>
      </c>
      <c r="K3339" s="51">
        <f t="shared" si="167"/>
        <v>2581560</v>
      </c>
      <c r="L3339" s="924" t="s">
        <v>171</v>
      </c>
      <c r="M3339" s="924" t="s">
        <v>166</v>
      </c>
      <c r="N3339" s="52" t="str">
        <f>IF(AND('331-CT'!$E$7=TH!H3339,OR(L3339="331",M3339="331")),"331",IF(AND(OR(L3339="131",M3339="131"),H3339='131-CT'!$E$7),"131",""))</f>
        <v/>
      </c>
      <c r="O3339" s="818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/>
      </c>
      <c r="AA3339" s="726"/>
    </row>
    <row r="3340" spans="1:27" s="861" customFormat="1" ht="15.75" customHeight="1">
      <c r="A3340" s="202" t="str">
        <f>IF(B3340&lt;&gt;"",IF(AND(B3340&gt;=_TM1,B3340&lt;=_TM2,OR(TH!L3340="1111",TH!M3340="1111")),TH!D3340,""),"")</f>
        <v/>
      </c>
      <c r="B3340" s="857">
        <f t="shared" si="165"/>
        <v>11</v>
      </c>
      <c r="C3340" s="858">
        <f t="shared" si="166"/>
        <v>42697</v>
      </c>
      <c r="D3340" s="858" t="s">
        <v>1548</v>
      </c>
      <c r="E3340" s="921">
        <v>42697</v>
      </c>
      <c r="F3340" s="925" t="s">
        <v>1401</v>
      </c>
      <c r="G3340" s="832" t="s">
        <v>1399</v>
      </c>
      <c r="H3340" s="923" t="s">
        <v>1297</v>
      </c>
      <c r="I3340" s="249">
        <v>10170</v>
      </c>
      <c r="J3340" s="249">
        <v>6580.4469091640904</v>
      </c>
      <c r="K3340" s="51">
        <f t="shared" si="167"/>
        <v>66923145</v>
      </c>
      <c r="L3340" s="924" t="s">
        <v>171</v>
      </c>
      <c r="M3340" s="924" t="s">
        <v>166</v>
      </c>
      <c r="N3340" s="52" t="str">
        <f>IF(AND('331-CT'!$E$7=TH!H3340,OR(L3340="331",M3340="331")),"331",IF(AND(OR(L3340="131",M3340="131"),H3340='131-CT'!$E$7),"131",""))</f>
        <v/>
      </c>
      <c r="O3340" s="818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/>
      </c>
      <c r="AA3340" s="726"/>
    </row>
    <row r="3341" spans="1:27" s="861" customFormat="1" ht="15.75" customHeight="1">
      <c r="A3341" s="202" t="str">
        <f>IF(B3341&lt;&gt;"",IF(AND(B3341&gt;=_TM1,B3341&lt;=_TM2,OR(TH!L3341="1111",TH!M3341="1111")),TH!D3341,""),"")</f>
        <v/>
      </c>
      <c r="B3341" s="857">
        <f t="shared" si="165"/>
        <v>11</v>
      </c>
      <c r="C3341" s="858">
        <f t="shared" si="166"/>
        <v>42697</v>
      </c>
      <c r="D3341" s="858" t="s">
        <v>1548</v>
      </c>
      <c r="E3341" s="921">
        <v>42697</v>
      </c>
      <c r="F3341" s="925" t="s">
        <v>1255</v>
      </c>
      <c r="G3341" s="832" t="s">
        <v>1402</v>
      </c>
      <c r="H3341" s="923" t="s">
        <v>1297</v>
      </c>
      <c r="I3341" s="249">
        <v>637</v>
      </c>
      <c r="J3341" s="249">
        <v>6917.9057250186588</v>
      </c>
      <c r="K3341" s="51">
        <f t="shared" si="167"/>
        <v>4406706</v>
      </c>
      <c r="L3341" s="924" t="s">
        <v>171</v>
      </c>
      <c r="M3341" s="924" t="s">
        <v>166</v>
      </c>
      <c r="N3341" s="52" t="str">
        <f>IF(AND('331-CT'!$E$7=TH!H3341,OR(L3341="331",M3341="331")),"331",IF(AND(OR(L3341="131",M3341="131"),H3341='131-CT'!$E$7),"131",""))</f>
        <v/>
      </c>
      <c r="O3341" s="818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/>
      </c>
      <c r="AA3341" s="726"/>
    </row>
    <row r="3342" spans="1:27" s="861" customFormat="1" ht="15.75" customHeight="1">
      <c r="A3342" s="202" t="str">
        <f>IF(B3342&lt;&gt;"",IF(AND(B3342&gt;=_TM1,B3342&lt;=_TM2,OR(TH!L3342="1111",TH!M3342="1111")),TH!D3342,""),"")</f>
        <v/>
      </c>
      <c r="B3342" s="857">
        <f t="shared" si="165"/>
        <v>11</v>
      </c>
      <c r="C3342" s="858">
        <f t="shared" si="166"/>
        <v>42697</v>
      </c>
      <c r="D3342" s="858" t="s">
        <v>1548</v>
      </c>
      <c r="E3342" s="921">
        <v>42697</v>
      </c>
      <c r="F3342" s="922" t="s">
        <v>1403</v>
      </c>
      <c r="G3342" s="832" t="s">
        <v>1402</v>
      </c>
      <c r="H3342" s="923" t="s">
        <v>1297</v>
      </c>
      <c r="I3342" s="249">
        <v>469</v>
      </c>
      <c r="J3342" s="249">
        <v>13498.352634182751</v>
      </c>
      <c r="K3342" s="51">
        <f t="shared" si="167"/>
        <v>6330727</v>
      </c>
      <c r="L3342" s="924" t="s">
        <v>171</v>
      </c>
      <c r="M3342" s="924" t="s">
        <v>166</v>
      </c>
      <c r="N3342" s="52" t="str">
        <f>IF(AND('331-CT'!$E$7=TH!H3342,OR(L3342="331",M3342="331")),"331",IF(AND(OR(L3342="131",M3342="131"),H3342='131-CT'!$E$7),"131",""))</f>
        <v/>
      </c>
      <c r="O3342" s="818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/>
      </c>
      <c r="AA3342" s="726"/>
    </row>
    <row r="3343" spans="1:27" s="861" customFormat="1" ht="15.75" customHeight="1">
      <c r="A3343" s="202" t="str">
        <f>IF(B3343&lt;&gt;"",IF(AND(B3343&gt;=_TM1,B3343&lt;=_TM2,OR(TH!L3343="1111",TH!M3343="1111")),TH!D3343,""),"")</f>
        <v/>
      </c>
      <c r="B3343" s="857">
        <f t="shared" si="165"/>
        <v>11</v>
      </c>
      <c r="C3343" s="858">
        <f t="shared" si="166"/>
        <v>42699</v>
      </c>
      <c r="D3343" s="858" t="s">
        <v>1548</v>
      </c>
      <c r="E3343" s="921">
        <v>42699</v>
      </c>
      <c r="F3343" s="922" t="s">
        <v>1443</v>
      </c>
      <c r="G3343" s="832" t="s">
        <v>1404</v>
      </c>
      <c r="H3343" s="923" t="s">
        <v>1297</v>
      </c>
      <c r="I3343" s="249">
        <v>520</v>
      </c>
      <c r="J3343" s="249">
        <v>8014.6468765460077</v>
      </c>
      <c r="K3343" s="51">
        <f t="shared" si="167"/>
        <v>4167616</v>
      </c>
      <c r="L3343" s="924" t="s">
        <v>171</v>
      </c>
      <c r="M3343" s="924" t="s">
        <v>166</v>
      </c>
      <c r="N3343" s="52" t="str">
        <f>IF(AND('331-CT'!$E$7=TH!H3343,OR(L3343="331",M3343="331")),"331",IF(AND(OR(L3343="131",M3343="131"),H3343='131-CT'!$E$7),"131",""))</f>
        <v/>
      </c>
      <c r="O3343" s="818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/>
      </c>
      <c r="AA3343" s="726"/>
    </row>
    <row r="3344" spans="1:27" s="861" customFormat="1" ht="15.75" customHeight="1">
      <c r="A3344" s="202" t="str">
        <f>IF(B3344&lt;&gt;"",IF(AND(B3344&gt;=_TM1,B3344&lt;=_TM2,OR(TH!L3344="1111",TH!M3344="1111")),TH!D3344,""),"")</f>
        <v/>
      </c>
      <c r="B3344" s="857">
        <f t="shared" si="165"/>
        <v>11</v>
      </c>
      <c r="C3344" s="858">
        <f t="shared" si="166"/>
        <v>42699</v>
      </c>
      <c r="D3344" s="858" t="s">
        <v>1548</v>
      </c>
      <c r="E3344" s="921">
        <v>42699</v>
      </c>
      <c r="F3344" s="922" t="s">
        <v>1443</v>
      </c>
      <c r="G3344" s="832" t="s">
        <v>1404</v>
      </c>
      <c r="H3344" s="923" t="s">
        <v>1297</v>
      </c>
      <c r="I3344" s="249">
        <v>506</v>
      </c>
      <c r="J3344" s="249">
        <v>8014.6468765460077</v>
      </c>
      <c r="K3344" s="51">
        <f t="shared" si="167"/>
        <v>4055411</v>
      </c>
      <c r="L3344" s="924" t="s">
        <v>171</v>
      </c>
      <c r="M3344" s="924" t="s">
        <v>166</v>
      </c>
      <c r="N3344" s="52" t="str">
        <f>IF(AND('331-CT'!$E$7=TH!H3344,OR(L3344="331",M3344="331")),"331",IF(AND(OR(L3344="131",M3344="131"),H3344='131-CT'!$E$7),"131",""))</f>
        <v/>
      </c>
      <c r="O3344" s="818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/>
      </c>
      <c r="AA3344" s="726"/>
    </row>
    <row r="3345" spans="1:27" s="861" customFormat="1" ht="15.75" customHeight="1">
      <c r="A3345" s="202" t="str">
        <f>IF(B3345&lt;&gt;"",IF(AND(B3345&gt;=_TM1,B3345&lt;=_TM2,OR(TH!L3345="1111",TH!M3345="1111")),TH!D3345,""),"")</f>
        <v/>
      </c>
      <c r="B3345" s="857">
        <f t="shared" si="165"/>
        <v>11</v>
      </c>
      <c r="C3345" s="858">
        <f t="shared" si="166"/>
        <v>42699</v>
      </c>
      <c r="D3345" s="858" t="s">
        <v>1548</v>
      </c>
      <c r="E3345" s="921">
        <v>42699</v>
      </c>
      <c r="F3345" s="922" t="s">
        <v>1378</v>
      </c>
      <c r="G3345" s="832" t="s">
        <v>1405</v>
      </c>
      <c r="H3345" s="923" t="s">
        <v>1297</v>
      </c>
      <c r="I3345" s="249">
        <v>131</v>
      </c>
      <c r="J3345" s="249">
        <v>9448.8468439279259</v>
      </c>
      <c r="K3345" s="51">
        <f t="shared" si="167"/>
        <v>1237799</v>
      </c>
      <c r="L3345" s="924" t="s">
        <v>171</v>
      </c>
      <c r="M3345" s="924" t="s">
        <v>166</v>
      </c>
      <c r="N3345" s="52" t="str">
        <f>IF(AND('331-CT'!$E$7=TH!H3345,OR(L3345="331",M3345="331")),"331",IF(AND(OR(L3345="131",M3345="131"),H3345='131-CT'!$E$7),"131",""))</f>
        <v/>
      </c>
      <c r="O3345" s="818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/>
      </c>
      <c r="AA3345" s="726"/>
    </row>
    <row r="3346" spans="1:27" s="861" customFormat="1" ht="15.75" customHeight="1">
      <c r="A3346" s="202" t="str">
        <f>IF(B3346&lt;&gt;"",IF(AND(B3346&gt;=_TM1,B3346&lt;=_TM2,OR(TH!L3346="1111",TH!M3346="1111")),TH!D3346,""),"")</f>
        <v/>
      </c>
      <c r="B3346" s="857">
        <f t="shared" si="165"/>
        <v>11</v>
      </c>
      <c r="C3346" s="858">
        <f t="shared" si="166"/>
        <v>42699</v>
      </c>
      <c r="D3346" s="858" t="s">
        <v>1548</v>
      </c>
      <c r="E3346" s="921">
        <v>42699</v>
      </c>
      <c r="F3346" s="922" t="s">
        <v>1406</v>
      </c>
      <c r="G3346" s="832" t="s">
        <v>1405</v>
      </c>
      <c r="H3346" s="923" t="s">
        <v>1297</v>
      </c>
      <c r="I3346" s="249">
        <v>156</v>
      </c>
      <c r="J3346" s="249">
        <v>7845.9174686187234</v>
      </c>
      <c r="K3346" s="51">
        <f t="shared" si="167"/>
        <v>1223963</v>
      </c>
      <c r="L3346" s="924" t="s">
        <v>171</v>
      </c>
      <c r="M3346" s="924" t="s">
        <v>166</v>
      </c>
      <c r="N3346" s="52" t="str">
        <f>IF(AND('331-CT'!$E$7=TH!H3346,OR(L3346="331",M3346="331")),"331",IF(AND(OR(L3346="131",M3346="131"),H3346='131-CT'!$E$7),"131",""))</f>
        <v/>
      </c>
      <c r="O3346" s="818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/>
      </c>
      <c r="AA3346" s="726"/>
    </row>
    <row r="3347" spans="1:27" s="861" customFormat="1" ht="15.75" customHeight="1">
      <c r="A3347" s="202" t="str">
        <f>IF(B3347&lt;&gt;"",IF(AND(B3347&gt;=_TM1,B3347&lt;=_TM2,OR(TH!L3347="1111",TH!M3347="1111")),TH!D3347,""),"")</f>
        <v/>
      </c>
      <c r="B3347" s="857">
        <f t="shared" si="165"/>
        <v>11</v>
      </c>
      <c r="C3347" s="858">
        <f t="shared" si="166"/>
        <v>42699</v>
      </c>
      <c r="D3347" s="858" t="s">
        <v>1548</v>
      </c>
      <c r="E3347" s="921">
        <v>42699</v>
      </c>
      <c r="F3347" s="922" t="s">
        <v>1408</v>
      </c>
      <c r="G3347" s="832" t="s">
        <v>1407</v>
      </c>
      <c r="H3347" s="923" t="s">
        <v>1297</v>
      </c>
      <c r="I3347" s="249">
        <v>23</v>
      </c>
      <c r="J3347" s="249">
        <v>10208.129179600704</v>
      </c>
      <c r="K3347" s="51">
        <f t="shared" si="167"/>
        <v>234787</v>
      </c>
      <c r="L3347" s="924" t="s">
        <v>171</v>
      </c>
      <c r="M3347" s="924" t="s">
        <v>166</v>
      </c>
      <c r="N3347" s="52" t="str">
        <f>IF(AND('331-CT'!$E$7=TH!H3347,OR(L3347="331",M3347="331")),"331",IF(AND(OR(L3347="131",M3347="131"),H3347='131-CT'!$E$7),"131",""))</f>
        <v/>
      </c>
      <c r="O3347" s="818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/>
      </c>
      <c r="AA3347" s="726"/>
    </row>
    <row r="3348" spans="1:27" s="861" customFormat="1" ht="15.75" customHeight="1">
      <c r="A3348" s="202" t="str">
        <f>IF(B3348&lt;&gt;"",IF(AND(B3348&gt;=_TM1,B3348&lt;=_TM2,OR(TH!L3348="1111",TH!M3348="1111")),TH!D3348,""),"")</f>
        <v/>
      </c>
      <c r="B3348" s="857">
        <f t="shared" si="165"/>
        <v>11</v>
      </c>
      <c r="C3348" s="858">
        <f t="shared" si="166"/>
        <v>42699</v>
      </c>
      <c r="D3348" s="858" t="s">
        <v>1548</v>
      </c>
      <c r="E3348" s="921">
        <v>42699</v>
      </c>
      <c r="F3348" s="922" t="s">
        <v>1409</v>
      </c>
      <c r="G3348" s="832" t="s">
        <v>1407</v>
      </c>
      <c r="H3348" s="923" t="s">
        <v>1297</v>
      </c>
      <c r="I3348" s="249">
        <v>500</v>
      </c>
      <c r="J3348" s="249">
        <v>8942.6586201460723</v>
      </c>
      <c r="K3348" s="51">
        <f t="shared" si="167"/>
        <v>4471329</v>
      </c>
      <c r="L3348" s="924" t="s">
        <v>171</v>
      </c>
      <c r="M3348" s="924" t="s">
        <v>166</v>
      </c>
      <c r="N3348" s="52" t="str">
        <f>IF(AND('331-CT'!$E$7=TH!H3348,OR(L3348="331",M3348="331")),"331",IF(AND(OR(L3348="131",M3348="131"),H3348='131-CT'!$E$7),"131",""))</f>
        <v/>
      </c>
      <c r="O3348" s="818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/>
      </c>
      <c r="AA3348" s="726"/>
    </row>
    <row r="3349" spans="1:27" s="861" customFormat="1" ht="15.75" customHeight="1">
      <c r="A3349" s="202" t="str">
        <f>IF(B3349&lt;&gt;"",IF(AND(B3349&gt;=_TM1,B3349&lt;=_TM2,OR(TH!L3349="1111",TH!M3349="1111")),TH!D3349,""),"")</f>
        <v/>
      </c>
      <c r="B3349" s="857">
        <f t="shared" si="165"/>
        <v>11</v>
      </c>
      <c r="C3349" s="858">
        <f t="shared" si="166"/>
        <v>42700</v>
      </c>
      <c r="D3349" s="858" t="s">
        <v>1548</v>
      </c>
      <c r="E3349" s="921">
        <v>42700</v>
      </c>
      <c r="F3349" s="922" t="s">
        <v>1446</v>
      </c>
      <c r="G3349" s="832" t="s">
        <v>1414</v>
      </c>
      <c r="H3349" s="923" t="s">
        <v>1297</v>
      </c>
      <c r="I3349" s="249">
        <v>200</v>
      </c>
      <c r="J3349" s="249">
        <v>17632.223128401216</v>
      </c>
      <c r="K3349" s="51">
        <f t="shared" si="167"/>
        <v>3526445</v>
      </c>
      <c r="L3349" s="924" t="s">
        <v>171</v>
      </c>
      <c r="M3349" s="924" t="s">
        <v>166</v>
      </c>
      <c r="N3349" s="52" t="str">
        <f>IF(AND('331-CT'!$E$7=TH!H3349,OR(L3349="331",M3349="331")),"331",IF(AND(OR(L3349="131",M3349="131"),H3349='131-CT'!$E$7),"131",""))</f>
        <v/>
      </c>
      <c r="O3349" s="818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/>
      </c>
      <c r="AA3349" s="726"/>
    </row>
    <row r="3350" spans="1:27" s="861" customFormat="1" ht="15.75" customHeight="1">
      <c r="A3350" s="856" t="str">
        <f>IF(B3350&lt;&gt;"",IF(AND(B3350&gt;=_TM1,B3350&lt;=_TM2,OR(TH!L3350="1111",TH!M3350="1111")),TH!D3350,""),"")</f>
        <v/>
      </c>
      <c r="B3350" s="857">
        <f t="shared" ref="B3350:B3399" si="168">IF(C3350&lt;&gt;"",MONTH(C3350),"")</f>
        <v>11</v>
      </c>
      <c r="C3350" s="858">
        <f t="shared" si="166"/>
        <v>42700</v>
      </c>
      <c r="D3350" s="858" t="s">
        <v>1548</v>
      </c>
      <c r="E3350" s="921">
        <v>42700</v>
      </c>
      <c r="F3350" s="922" t="s">
        <v>1335</v>
      </c>
      <c r="G3350" s="832" t="s">
        <v>810</v>
      </c>
      <c r="H3350" s="923" t="s">
        <v>1297</v>
      </c>
      <c r="I3350" s="249">
        <v>259</v>
      </c>
      <c r="J3350" s="249">
        <v>7845.9174686187234</v>
      </c>
      <c r="K3350" s="51">
        <f t="shared" si="167"/>
        <v>2032093</v>
      </c>
      <c r="L3350" s="924" t="s">
        <v>171</v>
      </c>
      <c r="M3350" s="924" t="s">
        <v>166</v>
      </c>
      <c r="N3350" s="52" t="str">
        <f>IF(AND('331-CT'!$E$7=TH!H3350,OR(L3350="331",M3350="331")),"331",IF(AND(OR(L3350="131",M3350="131"),H3350='131-CT'!$E$7),"131",""))</f>
        <v/>
      </c>
      <c r="O3350" s="818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/>
      </c>
      <c r="AA3350" s="726"/>
    </row>
    <row r="3351" spans="1:27" s="861" customFormat="1" ht="15.75" customHeight="1">
      <c r="A3351" s="856" t="str">
        <f>IF(B3351&lt;&gt;"",IF(AND(B3351&gt;=_TM1,B3351&lt;=_TM2,OR(TH!L3351="1111",TH!M3351="1111")),TH!D3351,""),"")</f>
        <v/>
      </c>
      <c r="B3351" s="857">
        <f t="shared" si="168"/>
        <v>11</v>
      </c>
      <c r="C3351" s="858">
        <f t="shared" si="166"/>
        <v>42700</v>
      </c>
      <c r="D3351" s="858" t="s">
        <v>1548</v>
      </c>
      <c r="E3351" s="921">
        <v>42700</v>
      </c>
      <c r="F3351" s="922" t="s">
        <v>1415</v>
      </c>
      <c r="G3351" s="832" t="s">
        <v>810</v>
      </c>
      <c r="H3351" s="923" t="s">
        <v>1297</v>
      </c>
      <c r="I3351" s="249">
        <v>286</v>
      </c>
      <c r="J3351" s="249">
        <v>12401.611482655402</v>
      </c>
      <c r="K3351" s="51">
        <f t="shared" si="167"/>
        <v>3546861</v>
      </c>
      <c r="L3351" s="924" t="s">
        <v>171</v>
      </c>
      <c r="M3351" s="924" t="s">
        <v>166</v>
      </c>
      <c r="N3351" s="52" t="str">
        <f>IF(AND('331-CT'!$E$7=TH!H3351,OR(L3351="331",M3351="331")),"331",IF(AND(OR(L3351="131",M3351="131"),H3351='131-CT'!$E$7),"131",""))</f>
        <v/>
      </c>
      <c r="O3351" s="818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/>
      </c>
      <c r="AA3351" s="726"/>
    </row>
    <row r="3352" spans="1:27" s="861" customFormat="1" ht="15.75" customHeight="1">
      <c r="A3352" s="856" t="str">
        <f>IF(B3352&lt;&gt;"",IF(AND(B3352&gt;=_TM1,B3352&lt;=_TM2,OR(TH!L3352="1111",TH!M3352="1111")),TH!D3352,""),"")</f>
        <v/>
      </c>
      <c r="B3352" s="857">
        <f t="shared" si="168"/>
        <v>11</v>
      </c>
      <c r="C3352" s="858">
        <f t="shared" si="166"/>
        <v>42700</v>
      </c>
      <c r="D3352" s="858" t="s">
        <v>1548</v>
      </c>
      <c r="E3352" s="921">
        <v>42700</v>
      </c>
      <c r="F3352" s="922" t="s">
        <v>1416</v>
      </c>
      <c r="G3352" s="832" t="s">
        <v>810</v>
      </c>
      <c r="H3352" s="923" t="s">
        <v>1297</v>
      </c>
      <c r="I3352" s="249">
        <v>308</v>
      </c>
      <c r="J3352" s="249">
        <v>7930.2821725823651</v>
      </c>
      <c r="K3352" s="51">
        <f t="shared" si="167"/>
        <v>2442527</v>
      </c>
      <c r="L3352" s="924" t="s">
        <v>171</v>
      </c>
      <c r="M3352" s="924" t="s">
        <v>166</v>
      </c>
      <c r="N3352" s="52" t="str">
        <f>IF(AND('331-CT'!$E$7=TH!H3352,OR(L3352="331",M3352="331")),"331",IF(AND(OR(L3352="131",M3352="131"),H3352='131-CT'!$E$7),"131",""))</f>
        <v/>
      </c>
      <c r="O3352" s="818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/>
      </c>
      <c r="AA3352" s="726"/>
    </row>
    <row r="3353" spans="1:27" s="861" customFormat="1" ht="15.75" customHeight="1">
      <c r="A3353" s="856" t="str">
        <f>IF(B3353&lt;&gt;"",IF(AND(B3353&gt;=_TM1,B3353&lt;=_TM2,OR(TH!L3353="1111",TH!M3353="1111")),TH!D3353,""),"")</f>
        <v/>
      </c>
      <c r="B3353" s="857">
        <f t="shared" si="168"/>
        <v>11</v>
      </c>
      <c r="C3353" s="858">
        <f t="shared" si="166"/>
        <v>42701</v>
      </c>
      <c r="D3353" s="858" t="s">
        <v>1548</v>
      </c>
      <c r="E3353" s="921">
        <v>42701</v>
      </c>
      <c r="F3353" s="831" t="s">
        <v>1418</v>
      </c>
      <c r="G3353" s="832" t="s">
        <v>1417</v>
      </c>
      <c r="H3353" s="923" t="s">
        <v>1297</v>
      </c>
      <c r="I3353" s="249">
        <v>48</v>
      </c>
      <c r="J3353" s="249">
        <v>9786.3056597824925</v>
      </c>
      <c r="K3353" s="51">
        <f t="shared" si="167"/>
        <v>469743</v>
      </c>
      <c r="L3353" s="924" t="s">
        <v>171</v>
      </c>
      <c r="M3353" s="924" t="s">
        <v>166</v>
      </c>
      <c r="N3353" s="52" t="str">
        <f>IF(AND('331-CT'!$E$7=TH!H3353,OR(L3353="331",M3353="331")),"331",IF(AND(OR(L3353="131",M3353="131"),H3353='131-CT'!$E$7),"131",""))</f>
        <v/>
      </c>
      <c r="O3353" s="818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/>
      </c>
      <c r="AA3353" s="726"/>
    </row>
    <row r="3354" spans="1:27" s="861" customFormat="1" ht="15.75" customHeight="1">
      <c r="A3354" s="856" t="str">
        <f>IF(B3354&lt;&gt;"",IF(AND(B3354&gt;=_TM1,B3354&lt;=_TM2,OR(TH!L3354="1111",TH!M3354="1111")),TH!D3354,""),"")</f>
        <v/>
      </c>
      <c r="B3354" s="857">
        <f t="shared" si="168"/>
        <v>11</v>
      </c>
      <c r="C3354" s="858">
        <f t="shared" si="166"/>
        <v>42701</v>
      </c>
      <c r="D3354" s="858" t="s">
        <v>1548</v>
      </c>
      <c r="E3354" s="921">
        <v>42701</v>
      </c>
      <c r="F3354" s="831" t="s">
        <v>1473</v>
      </c>
      <c r="G3354" s="832" t="s">
        <v>1470</v>
      </c>
      <c r="H3354" s="923" t="s">
        <v>1297</v>
      </c>
      <c r="I3354" s="930">
        <v>4000</v>
      </c>
      <c r="J3354" s="930">
        <v>7086.635132945943</v>
      </c>
      <c r="K3354" s="51">
        <f t="shared" si="167"/>
        <v>28346541</v>
      </c>
      <c r="L3354" s="924" t="s">
        <v>171</v>
      </c>
      <c r="M3354" s="924" t="s">
        <v>166</v>
      </c>
      <c r="N3354" s="52" t="str">
        <f>IF(AND('331-CT'!$E$7=TH!H3354,OR(L3354="331",M3354="331")),"331",IF(AND(OR(L3354="131",M3354="131"),H3354='131-CT'!$E$7),"131",""))</f>
        <v/>
      </c>
      <c r="O3354" s="818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/>
      </c>
      <c r="AA3354" s="726"/>
    </row>
    <row r="3355" spans="1:27" s="861" customFormat="1" ht="15.75" customHeight="1">
      <c r="A3355" s="856" t="str">
        <f>IF(B3355&lt;&gt;"",IF(AND(B3355&gt;=_TM1,B3355&lt;=_TM2,OR(TH!L3355="1111",TH!M3355="1111")),TH!D3355,""),"")</f>
        <v/>
      </c>
      <c r="B3355" s="857">
        <f t="shared" si="168"/>
        <v>11</v>
      </c>
      <c r="C3355" s="858">
        <f t="shared" ref="C3355:C3396" si="169">E3355</f>
        <v>42702</v>
      </c>
      <c r="D3355" s="858" t="s">
        <v>1548</v>
      </c>
      <c r="E3355" s="921">
        <v>42702</v>
      </c>
      <c r="F3355" s="831" t="s">
        <v>1473</v>
      </c>
      <c r="G3355" s="832" t="s">
        <v>1474</v>
      </c>
      <c r="H3355" s="923" t="s">
        <v>1297</v>
      </c>
      <c r="I3355" s="930">
        <v>1700</v>
      </c>
      <c r="J3355" s="930">
        <v>7086.635132945943</v>
      </c>
      <c r="K3355" s="51">
        <f t="shared" si="167"/>
        <v>12047280</v>
      </c>
      <c r="L3355" s="924" t="s">
        <v>171</v>
      </c>
      <c r="M3355" s="924" t="s">
        <v>166</v>
      </c>
      <c r="N3355" s="52" t="str">
        <f>IF(AND('331-CT'!$E$7=TH!H3355,OR(L3355="331",M3355="331")),"331",IF(AND(OR(L3355="131",M3355="131"),H3355='131-CT'!$E$7),"131",""))</f>
        <v/>
      </c>
      <c r="O3355" s="818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/>
      </c>
      <c r="AA3355" s="726"/>
    </row>
    <row r="3356" spans="1:27" s="861" customFormat="1" ht="15.75" customHeight="1">
      <c r="A3356" s="856" t="str">
        <f>IF(B3356&lt;&gt;"",IF(AND(B3356&gt;=_TM1,B3356&lt;=_TM2,OR(TH!L3356="1111",TH!M3356="1111")),TH!D3356,""),"")</f>
        <v/>
      </c>
      <c r="B3356" s="857">
        <f t="shared" si="168"/>
        <v>11</v>
      </c>
      <c r="C3356" s="858">
        <f t="shared" si="169"/>
        <v>42703</v>
      </c>
      <c r="D3356" s="858" t="s">
        <v>1548</v>
      </c>
      <c r="E3356" s="921">
        <v>42703</v>
      </c>
      <c r="F3356" s="831" t="s">
        <v>1473</v>
      </c>
      <c r="G3356" s="832" t="s">
        <v>1475</v>
      </c>
      <c r="H3356" s="923" t="s">
        <v>1297</v>
      </c>
      <c r="I3356" s="249">
        <v>4000</v>
      </c>
      <c r="J3356" s="249">
        <v>7086.635132945943</v>
      </c>
      <c r="K3356" s="51">
        <f t="shared" ref="K3356:K3396" si="170">ROUND(I3356*J3356,0)</f>
        <v>28346541</v>
      </c>
      <c r="L3356" s="924" t="s">
        <v>171</v>
      </c>
      <c r="M3356" s="924" t="s">
        <v>166</v>
      </c>
      <c r="N3356" s="52" t="str">
        <f>IF(AND('331-CT'!$E$7=TH!H3356,OR(L3356="331",M3356="331")),"331",IF(AND(OR(L3356="131",M3356="131"),H3356='131-CT'!$E$7),"131",""))</f>
        <v/>
      </c>
      <c r="O3356" s="818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/>
      </c>
      <c r="AA3356" s="726"/>
    </row>
    <row r="3357" spans="1:27" s="861" customFormat="1" ht="15.75" customHeight="1">
      <c r="A3357" s="856" t="str">
        <f>IF(B3357&lt;&gt;"",IF(AND(B3357&gt;=_TM1,B3357&lt;=_TM2,OR(TH!L3357="1111",TH!M3357="1111")),TH!D3357,""),"")</f>
        <v/>
      </c>
      <c r="B3357" s="857">
        <f t="shared" si="168"/>
        <v>12</v>
      </c>
      <c r="C3357" s="858">
        <f t="shared" si="169"/>
        <v>42705</v>
      </c>
      <c r="D3357" s="858" t="s">
        <v>1548</v>
      </c>
      <c r="E3357" s="921">
        <v>42705</v>
      </c>
      <c r="F3357" s="831" t="s">
        <v>1473</v>
      </c>
      <c r="G3357" s="832" t="s">
        <v>1476</v>
      </c>
      <c r="H3357" s="923" t="s">
        <v>1297</v>
      </c>
      <c r="I3357" s="249">
        <v>4000</v>
      </c>
      <c r="J3357" s="249">
        <v>7086.635132945943</v>
      </c>
      <c r="K3357" s="51">
        <f t="shared" si="170"/>
        <v>28346541</v>
      </c>
      <c r="L3357" s="924" t="s">
        <v>171</v>
      </c>
      <c r="M3357" s="924" t="s">
        <v>166</v>
      </c>
      <c r="N3357" s="52" t="str">
        <f>IF(AND('331-CT'!$E$7=TH!H3357,OR(L3357="331",M3357="331")),"331",IF(AND(OR(L3357="131",M3357="131"),H3357='131-CT'!$E$7),"131",""))</f>
        <v/>
      </c>
      <c r="O3357" s="818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/>
      </c>
      <c r="AA3357" s="726"/>
    </row>
    <row r="3358" spans="1:27" s="861" customFormat="1" ht="15.75" customHeight="1">
      <c r="A3358" s="856" t="str">
        <f>IF(B3358&lt;&gt;"",IF(AND(B3358&gt;=_TM1,B3358&lt;=_TM2,OR(TH!L3358="1111",TH!M3358="1111")),TH!D3358,""),"")</f>
        <v/>
      </c>
      <c r="B3358" s="857">
        <f t="shared" si="168"/>
        <v>12</v>
      </c>
      <c r="C3358" s="858">
        <f t="shared" si="169"/>
        <v>42709</v>
      </c>
      <c r="D3358" s="858" t="s">
        <v>1548</v>
      </c>
      <c r="E3358" s="921">
        <v>42709</v>
      </c>
      <c r="F3358" s="831" t="s">
        <v>1255</v>
      </c>
      <c r="G3358" s="832" t="s">
        <v>1478</v>
      </c>
      <c r="H3358" s="923" t="s">
        <v>1297</v>
      </c>
      <c r="I3358" s="249">
        <v>1870</v>
      </c>
      <c r="J3358" s="249">
        <v>6917.9057250186588</v>
      </c>
      <c r="K3358" s="51">
        <f t="shared" si="170"/>
        <v>12936484</v>
      </c>
      <c r="L3358" s="924" t="s">
        <v>171</v>
      </c>
      <c r="M3358" s="924" t="s">
        <v>166</v>
      </c>
      <c r="N3358" s="52" t="str">
        <f>IF(AND('331-CT'!$E$7=TH!H3358,OR(L3358="331",M3358="331")),"331",IF(AND(OR(L3358="131",M3358="131"),H3358='131-CT'!$E$7),"131",""))</f>
        <v/>
      </c>
      <c r="O3358" s="818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/>
      </c>
      <c r="AA3358" s="726"/>
    </row>
    <row r="3359" spans="1:27" s="861" customFormat="1" ht="15.75" customHeight="1">
      <c r="A3359" s="856" t="str">
        <f>IF(B3359&lt;&gt;"",IF(AND(B3359&gt;=_TM1,B3359&lt;=_TM2,OR(TH!L3359="1111",TH!M3359="1111")),TH!D3359,""),"")</f>
        <v/>
      </c>
      <c r="B3359" s="857">
        <f t="shared" si="168"/>
        <v>12</v>
      </c>
      <c r="C3359" s="858">
        <f t="shared" si="169"/>
        <v>42709</v>
      </c>
      <c r="D3359" s="858" t="s">
        <v>1548</v>
      </c>
      <c r="E3359" s="921">
        <v>42709</v>
      </c>
      <c r="F3359" s="922" t="s">
        <v>441</v>
      </c>
      <c r="G3359" s="832" t="s">
        <v>1478</v>
      </c>
      <c r="H3359" s="923" t="s">
        <v>1297</v>
      </c>
      <c r="I3359" s="249">
        <v>535</v>
      </c>
      <c r="J3359" s="249">
        <v>13329.623226255466</v>
      </c>
      <c r="K3359" s="51">
        <f t="shared" si="170"/>
        <v>7131348</v>
      </c>
      <c r="L3359" s="924" t="s">
        <v>171</v>
      </c>
      <c r="M3359" s="924" t="s">
        <v>166</v>
      </c>
      <c r="N3359" s="52" t="str">
        <f>IF(AND('331-CT'!$E$7=TH!H3359,OR(L3359="331",M3359="331")),"331",IF(AND(OR(L3359="131",M3359="131"),H3359='131-CT'!$E$7),"131",""))</f>
        <v/>
      </c>
      <c r="O3359" s="818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/>
      </c>
      <c r="AA3359" s="726"/>
    </row>
    <row r="3360" spans="1:27" s="861" customFormat="1" ht="15.75" customHeight="1">
      <c r="A3360" s="856" t="str">
        <f>IF(B3360&lt;&gt;"",IF(AND(B3360&gt;=_TM1,B3360&lt;=_TM2,OR(TH!L3360="1111",TH!M3360="1111")),TH!D3360,""),"")</f>
        <v/>
      </c>
      <c r="B3360" s="857">
        <f t="shared" si="168"/>
        <v>12</v>
      </c>
      <c r="C3360" s="858">
        <f t="shared" si="169"/>
        <v>42709</v>
      </c>
      <c r="D3360" s="858" t="s">
        <v>1548</v>
      </c>
      <c r="E3360" s="921">
        <v>42709</v>
      </c>
      <c r="F3360" s="922" t="s">
        <v>1256</v>
      </c>
      <c r="G3360" s="832" t="s">
        <v>1478</v>
      </c>
      <c r="H3360" s="923" t="s">
        <v>1297</v>
      </c>
      <c r="I3360" s="249">
        <v>520</v>
      </c>
      <c r="J3360" s="249">
        <v>7930.2821725823651</v>
      </c>
      <c r="K3360" s="51">
        <f t="shared" si="170"/>
        <v>4123747</v>
      </c>
      <c r="L3360" s="924" t="s">
        <v>171</v>
      </c>
      <c r="M3360" s="924" t="s">
        <v>166</v>
      </c>
      <c r="N3360" s="52" t="str">
        <f>IF(AND('331-CT'!$E$7=TH!H3360,OR(L3360="331",M3360="331")),"331",IF(AND(OR(L3360="131",M3360="131"),H3360='131-CT'!$E$7),"131",""))</f>
        <v/>
      </c>
      <c r="O3360" s="818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/>
      </c>
      <c r="AA3360" s="726"/>
    </row>
    <row r="3361" spans="1:27" s="861" customFormat="1" ht="15.75" customHeight="1">
      <c r="A3361" s="856" t="str">
        <f>IF(B3361&lt;&gt;"",IF(AND(B3361&gt;=_TM1,B3361&lt;=_TM2,OR(TH!L3361="1111",TH!M3361="1111")),TH!D3361,""),"")</f>
        <v/>
      </c>
      <c r="B3361" s="857">
        <f t="shared" si="168"/>
        <v>12</v>
      </c>
      <c r="C3361" s="858">
        <f t="shared" si="169"/>
        <v>42710</v>
      </c>
      <c r="D3361" s="858" t="s">
        <v>1548</v>
      </c>
      <c r="E3361" s="921">
        <v>42710</v>
      </c>
      <c r="F3361" s="831" t="s">
        <v>1480</v>
      </c>
      <c r="G3361" s="832" t="s">
        <v>1479</v>
      </c>
      <c r="H3361" s="923" t="s">
        <v>1297</v>
      </c>
      <c r="I3361" s="249">
        <v>52</v>
      </c>
      <c r="J3361" s="249">
        <v>9955.0350677097776</v>
      </c>
      <c r="K3361" s="51">
        <f t="shared" si="170"/>
        <v>517662</v>
      </c>
      <c r="L3361" s="924" t="s">
        <v>171</v>
      </c>
      <c r="M3361" s="924" t="s">
        <v>166</v>
      </c>
      <c r="N3361" s="52" t="str">
        <f>IF(AND('331-CT'!$E$7=TH!H3361,OR(L3361="331",M3361="331")),"331",IF(AND(OR(L3361="131",M3361="131"),H3361='131-CT'!$E$7),"131",""))</f>
        <v/>
      </c>
      <c r="O3361" s="818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/>
      </c>
      <c r="AA3361" s="726"/>
    </row>
    <row r="3362" spans="1:27" s="861" customFormat="1" ht="15.75" customHeight="1">
      <c r="A3362" s="856" t="str">
        <f>IF(B3362&lt;&gt;"",IF(AND(B3362&gt;=_TM1,B3362&lt;=_TM2,OR(TH!L3362="1111",TH!M3362="1111")),TH!D3362,""),"")</f>
        <v/>
      </c>
      <c r="B3362" s="857">
        <f t="shared" si="168"/>
        <v>12</v>
      </c>
      <c r="C3362" s="858">
        <f t="shared" si="169"/>
        <v>42710</v>
      </c>
      <c r="D3362" s="858" t="s">
        <v>1548</v>
      </c>
      <c r="E3362" s="921">
        <v>42710</v>
      </c>
      <c r="F3362" s="831" t="s">
        <v>1481</v>
      </c>
      <c r="G3362" s="832" t="s">
        <v>1479</v>
      </c>
      <c r="H3362" s="923" t="s">
        <v>1297</v>
      </c>
      <c r="I3362" s="249">
        <v>114</v>
      </c>
      <c r="J3362" s="249">
        <v>9280.1174360006407</v>
      </c>
      <c r="K3362" s="51">
        <f t="shared" si="170"/>
        <v>1057933</v>
      </c>
      <c r="L3362" s="924" t="s">
        <v>171</v>
      </c>
      <c r="M3362" s="924" t="s">
        <v>166</v>
      </c>
      <c r="N3362" s="52" t="str">
        <f>IF(AND('331-CT'!$E$7=TH!H3362,OR(L3362="331",M3362="331")),"331",IF(AND(OR(L3362="131",M3362="131"),H3362='131-CT'!$E$7),"131",""))</f>
        <v/>
      </c>
      <c r="O3362" s="818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/>
      </c>
      <c r="AA3362" s="726"/>
    </row>
    <row r="3363" spans="1:27" s="861" customFormat="1" ht="15.75" customHeight="1">
      <c r="A3363" s="856" t="str">
        <f>IF(B3363&lt;&gt;"",IF(AND(B3363&gt;=_TM1,B3363&lt;=_TM2,OR(TH!L3363="1111",TH!M3363="1111")),TH!D3363,""),"")</f>
        <v/>
      </c>
      <c r="B3363" s="857">
        <f t="shared" si="168"/>
        <v>12</v>
      </c>
      <c r="C3363" s="858">
        <f t="shared" si="169"/>
        <v>42710</v>
      </c>
      <c r="D3363" s="858" t="s">
        <v>1548</v>
      </c>
      <c r="E3363" s="921">
        <v>42710</v>
      </c>
      <c r="F3363" s="831" t="s">
        <v>1484</v>
      </c>
      <c r="G3363" s="832" t="s">
        <v>1482</v>
      </c>
      <c r="H3363" s="923" t="s">
        <v>1297</v>
      </c>
      <c r="I3363" s="249">
        <v>879</v>
      </c>
      <c r="J3363" s="249">
        <v>2952.7646387274763</v>
      </c>
      <c r="K3363" s="51">
        <f t="shared" si="170"/>
        <v>2595480</v>
      </c>
      <c r="L3363" s="924" t="s">
        <v>171</v>
      </c>
      <c r="M3363" s="924" t="s">
        <v>166</v>
      </c>
      <c r="N3363" s="52" t="str">
        <f>IF(AND('331-CT'!$E$7=TH!H3363,OR(L3363="331",M3363="331")),"331",IF(AND(OR(L3363="131",M3363="131"),H3363='131-CT'!$E$7),"131",""))</f>
        <v/>
      </c>
      <c r="O3363" s="818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/>
      </c>
      <c r="AA3363" s="726"/>
    </row>
    <row r="3364" spans="1:27" s="861" customFormat="1" ht="15.75" customHeight="1">
      <c r="A3364" s="856" t="str">
        <f>IF(B3364&lt;&gt;"",IF(AND(B3364&gt;=_TM1,B3364&lt;=_TM2,OR(TH!L3364="1111",TH!M3364="1111")),TH!D3364,""),"")</f>
        <v/>
      </c>
      <c r="B3364" s="857">
        <f t="shared" si="168"/>
        <v>12</v>
      </c>
      <c r="C3364" s="858">
        <f t="shared" si="169"/>
        <v>42710</v>
      </c>
      <c r="D3364" s="858" t="s">
        <v>1548</v>
      </c>
      <c r="E3364" s="921">
        <v>42710</v>
      </c>
      <c r="F3364" s="831" t="s">
        <v>1485</v>
      </c>
      <c r="G3364" s="832" t="s">
        <v>1482</v>
      </c>
      <c r="H3364" s="923" t="s">
        <v>1297</v>
      </c>
      <c r="I3364" s="249">
        <v>523</v>
      </c>
      <c r="J3364" s="249">
        <v>4133.8704942184668</v>
      </c>
      <c r="K3364" s="51">
        <f t="shared" si="170"/>
        <v>2162014</v>
      </c>
      <c r="L3364" s="924" t="s">
        <v>171</v>
      </c>
      <c r="M3364" s="924" t="s">
        <v>166</v>
      </c>
      <c r="N3364" s="52" t="str">
        <f>IF(AND('331-CT'!$E$7=TH!H3364,OR(L3364="331",M3364="331")),"331",IF(AND(OR(L3364="131",M3364="131"),H3364='131-CT'!$E$7),"131",""))</f>
        <v/>
      </c>
      <c r="O3364" s="818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/>
      </c>
      <c r="AA3364" s="726"/>
    </row>
    <row r="3365" spans="1:27" s="861" customFormat="1" ht="15.75" customHeight="1">
      <c r="A3365" s="856" t="str">
        <f>IF(B3365&lt;&gt;"",IF(AND(B3365&gt;=_TM1,B3365&lt;=_TM2,OR(TH!L3365="1111",TH!M3365="1111")),TH!D3365,""),"")</f>
        <v/>
      </c>
      <c r="B3365" s="857">
        <f t="shared" si="168"/>
        <v>12</v>
      </c>
      <c r="C3365" s="858">
        <f t="shared" si="169"/>
        <v>42710</v>
      </c>
      <c r="D3365" s="858" t="s">
        <v>1548</v>
      </c>
      <c r="E3365" s="921">
        <v>42710</v>
      </c>
      <c r="F3365" s="831" t="s">
        <v>1473</v>
      </c>
      <c r="G3365" s="832" t="s">
        <v>1486</v>
      </c>
      <c r="H3365" s="923" t="s">
        <v>1297</v>
      </c>
      <c r="I3365" s="249">
        <v>2400</v>
      </c>
      <c r="J3365" s="249">
        <v>7086.635132945943</v>
      </c>
      <c r="K3365" s="51">
        <f t="shared" si="170"/>
        <v>17007924</v>
      </c>
      <c r="L3365" s="924" t="s">
        <v>171</v>
      </c>
      <c r="M3365" s="924" t="s">
        <v>166</v>
      </c>
      <c r="N3365" s="52" t="str">
        <f>IF(AND('331-CT'!$E$7=TH!H3365,OR(L3365="331",M3365="331")),"331",IF(AND(OR(L3365="131",M3365="131"),H3365='131-CT'!$E$7),"131",""))</f>
        <v/>
      </c>
      <c r="O3365" s="818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/>
      </c>
      <c r="AA3365" s="726"/>
    </row>
    <row r="3366" spans="1:27" s="861" customFormat="1" ht="15.75" customHeight="1">
      <c r="A3366" s="856" t="str">
        <f>IF(B3366&lt;&gt;"",IF(AND(B3366&gt;=_TM1,B3366&lt;=_TM2,OR(TH!L3366="1111",TH!M3366="1111")),TH!D3366,""),"")</f>
        <v/>
      </c>
      <c r="B3366" s="857">
        <f t="shared" si="168"/>
        <v>12</v>
      </c>
      <c r="C3366" s="858">
        <f t="shared" si="169"/>
        <v>42711</v>
      </c>
      <c r="D3366" s="858" t="s">
        <v>1548</v>
      </c>
      <c r="E3366" s="921">
        <v>42711</v>
      </c>
      <c r="F3366" s="831" t="s">
        <v>1473</v>
      </c>
      <c r="G3366" s="832" t="s">
        <v>1487</v>
      </c>
      <c r="H3366" s="923" t="s">
        <v>1297</v>
      </c>
      <c r="I3366" s="249">
        <v>2400</v>
      </c>
      <c r="J3366" s="249">
        <v>7086.635132945943</v>
      </c>
      <c r="K3366" s="51">
        <f t="shared" si="170"/>
        <v>17007924</v>
      </c>
      <c r="L3366" s="924" t="s">
        <v>171</v>
      </c>
      <c r="M3366" s="924" t="s">
        <v>166</v>
      </c>
      <c r="N3366" s="52" t="str">
        <f>IF(AND('331-CT'!$E$7=TH!H3366,OR(L3366="331",M3366="331")),"331",IF(AND(OR(L3366="131",M3366="131"),H3366='131-CT'!$E$7),"131",""))</f>
        <v/>
      </c>
      <c r="O3366" s="818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/>
      </c>
      <c r="AA3366" s="726"/>
    </row>
    <row r="3367" spans="1:27" s="861" customFormat="1" ht="15.75" customHeight="1">
      <c r="A3367" s="856" t="str">
        <f>IF(B3367&lt;&gt;"",IF(AND(B3367&gt;=_TM1,B3367&lt;=_TM2,OR(TH!L3367="1111",TH!M3367="1111")),TH!D3367,""),"")</f>
        <v/>
      </c>
      <c r="B3367" s="857">
        <f t="shared" si="168"/>
        <v>12</v>
      </c>
      <c r="C3367" s="858">
        <f t="shared" si="169"/>
        <v>42713</v>
      </c>
      <c r="D3367" s="858" t="s">
        <v>1548</v>
      </c>
      <c r="E3367" s="921">
        <v>42713</v>
      </c>
      <c r="F3367" s="925" t="s">
        <v>1303</v>
      </c>
      <c r="G3367" s="832" t="s">
        <v>1488</v>
      </c>
      <c r="H3367" s="923" t="s">
        <v>1297</v>
      </c>
      <c r="I3367" s="930">
        <v>1510</v>
      </c>
      <c r="J3367" s="930">
        <v>6074.2586853822377</v>
      </c>
      <c r="K3367" s="51">
        <f t="shared" si="170"/>
        <v>9172131</v>
      </c>
      <c r="L3367" s="924" t="s">
        <v>171</v>
      </c>
      <c r="M3367" s="924" t="s">
        <v>166</v>
      </c>
      <c r="N3367" s="52" t="str">
        <f>IF(AND('331-CT'!$E$7=TH!H3367,OR(L3367="331",M3367="331")),"331",IF(AND(OR(L3367="131",M3367="131"),H3367='131-CT'!$E$7),"131",""))</f>
        <v/>
      </c>
      <c r="O3367" s="818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/>
      </c>
      <c r="AA3367" s="726"/>
    </row>
    <row r="3368" spans="1:27" s="861" customFormat="1" ht="15.75" customHeight="1">
      <c r="A3368" s="856" t="str">
        <f>IF(B3368&lt;&gt;"",IF(AND(B3368&gt;=_TM1,B3368&lt;=_TM2,OR(TH!L3368="1111",TH!M3368="1111")),TH!D3368,""),"")</f>
        <v/>
      </c>
      <c r="B3368" s="857">
        <f t="shared" si="168"/>
        <v>12</v>
      </c>
      <c r="C3368" s="858">
        <f t="shared" si="169"/>
        <v>42713</v>
      </c>
      <c r="D3368" s="858" t="s">
        <v>1548</v>
      </c>
      <c r="E3368" s="921">
        <v>42713</v>
      </c>
      <c r="F3368" s="925" t="s">
        <v>1315</v>
      </c>
      <c r="G3368" s="832" t="s">
        <v>1488</v>
      </c>
      <c r="H3368" s="923" t="s">
        <v>1297</v>
      </c>
      <c r="I3368" s="249">
        <v>1500</v>
      </c>
      <c r="J3368" s="249">
        <v>4724.4234219639629</v>
      </c>
      <c r="K3368" s="51">
        <f t="shared" si="170"/>
        <v>7086635</v>
      </c>
      <c r="L3368" s="924" t="s">
        <v>171</v>
      </c>
      <c r="M3368" s="924" t="s">
        <v>166</v>
      </c>
      <c r="N3368" s="52" t="str">
        <f>IF(AND('331-CT'!$E$7=TH!H3368,OR(L3368="331",M3368="331")),"331",IF(AND(OR(L3368="131",M3368="131"),H3368='131-CT'!$E$7),"131",""))</f>
        <v/>
      </c>
      <c r="O3368" s="818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/>
      </c>
      <c r="AA3368" s="726"/>
    </row>
    <row r="3369" spans="1:27" s="861" customFormat="1" ht="15.75" customHeight="1">
      <c r="A3369" s="856" t="str">
        <f>IF(B3369&lt;&gt;"",IF(AND(B3369&gt;=_TM1,B3369&lt;=_TM2,OR(TH!L3369="1111",TH!M3369="1111")),TH!D3369,""),"")</f>
        <v/>
      </c>
      <c r="B3369" s="857">
        <f t="shared" si="168"/>
        <v>12</v>
      </c>
      <c r="C3369" s="858">
        <f t="shared" si="169"/>
        <v>42713</v>
      </c>
      <c r="D3369" s="858" t="s">
        <v>1548</v>
      </c>
      <c r="E3369" s="921">
        <v>42713</v>
      </c>
      <c r="F3369" s="922" t="s">
        <v>1355</v>
      </c>
      <c r="G3369" s="832" t="s">
        <v>1489</v>
      </c>
      <c r="H3369" s="923" t="s">
        <v>1297</v>
      </c>
      <c r="I3369" s="249">
        <v>535</v>
      </c>
      <c r="J3369" s="249">
        <v>6327.3527972731645</v>
      </c>
      <c r="K3369" s="51">
        <f t="shared" si="170"/>
        <v>3385134</v>
      </c>
      <c r="L3369" s="924" t="s">
        <v>171</v>
      </c>
      <c r="M3369" s="924" t="s">
        <v>166</v>
      </c>
      <c r="N3369" s="52" t="str">
        <f>IF(AND('331-CT'!$E$7=TH!H3369,OR(L3369="331",M3369="331")),"331",IF(AND(OR(L3369="131",M3369="131"),H3369='131-CT'!$E$7),"131",""))</f>
        <v/>
      </c>
      <c r="O3369" s="818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/>
      </c>
      <c r="AA3369" s="726"/>
    </row>
    <row r="3370" spans="1:27" s="861" customFormat="1" ht="15.75" customHeight="1">
      <c r="A3370" s="856" t="str">
        <f>IF(B3370&lt;&gt;"",IF(AND(B3370&gt;=_TM1,B3370&lt;=_TM2,OR(TH!L3370="1111",TH!M3370="1111")),TH!D3370,""),"")</f>
        <v/>
      </c>
      <c r="B3370" s="857">
        <f t="shared" si="168"/>
        <v>12</v>
      </c>
      <c r="C3370" s="858">
        <f t="shared" si="169"/>
        <v>42713</v>
      </c>
      <c r="D3370" s="858" t="s">
        <v>1548</v>
      </c>
      <c r="E3370" s="921">
        <v>42713</v>
      </c>
      <c r="F3370" s="922" t="s">
        <v>954</v>
      </c>
      <c r="G3370" s="832" t="s">
        <v>1489</v>
      </c>
      <c r="H3370" s="923" t="s">
        <v>1297</v>
      </c>
      <c r="I3370" s="249">
        <v>46</v>
      </c>
      <c r="J3370" s="249">
        <v>5905.5292774549525</v>
      </c>
      <c r="K3370" s="51">
        <f t="shared" si="170"/>
        <v>271654</v>
      </c>
      <c r="L3370" s="924" t="s">
        <v>171</v>
      </c>
      <c r="M3370" s="924" t="s">
        <v>166</v>
      </c>
      <c r="N3370" s="52" t="str">
        <f>IF(AND('331-CT'!$E$7=TH!H3370,OR(L3370="331",M3370="331")),"331",IF(AND(OR(L3370="131",M3370="131"),H3370='131-CT'!$E$7),"131",""))</f>
        <v/>
      </c>
      <c r="O3370" s="818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/>
      </c>
      <c r="AA3370" s="726"/>
    </row>
    <row r="3371" spans="1:27" s="861" customFormat="1" ht="15.75" customHeight="1">
      <c r="A3371" s="856" t="str">
        <f>IF(B3371&lt;&gt;"",IF(AND(B3371&gt;=_TM1,B3371&lt;=_TM2,OR(TH!L3371="1111",TH!M3371="1111")),TH!D3371,""),"")</f>
        <v/>
      </c>
      <c r="B3371" s="857">
        <f t="shared" si="168"/>
        <v>12</v>
      </c>
      <c r="C3371" s="858">
        <f t="shared" si="169"/>
        <v>42716</v>
      </c>
      <c r="D3371" s="858" t="s">
        <v>1548</v>
      </c>
      <c r="E3371" s="921">
        <v>42716</v>
      </c>
      <c r="F3371" s="922" t="s">
        <v>1434</v>
      </c>
      <c r="G3371" s="832" t="s">
        <v>1490</v>
      </c>
      <c r="H3371" s="923" t="s">
        <v>1297</v>
      </c>
      <c r="I3371" s="249">
        <v>600</v>
      </c>
      <c r="J3371" s="249">
        <v>8605.1998042915038</v>
      </c>
      <c r="K3371" s="51">
        <f t="shared" si="170"/>
        <v>5163120</v>
      </c>
      <c r="L3371" s="924" t="s">
        <v>171</v>
      </c>
      <c r="M3371" s="924" t="s">
        <v>166</v>
      </c>
      <c r="N3371" s="52" t="str">
        <f>IF(AND('331-CT'!$E$7=TH!H3371,OR(L3371="331",M3371="331")),"331",IF(AND(OR(L3371="131",M3371="131"),H3371='131-CT'!$E$7),"131",""))</f>
        <v/>
      </c>
      <c r="O3371" s="818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/>
      </c>
      <c r="AA3371" s="726"/>
    </row>
    <row r="3372" spans="1:27" s="861" customFormat="1" ht="15.75" customHeight="1">
      <c r="A3372" s="856" t="str">
        <f>IF(B3372&lt;&gt;"",IF(AND(B3372&gt;=_TM1,B3372&lt;=_TM2,OR(TH!L3372="1111",TH!M3372="1111")),TH!D3372,""),"")</f>
        <v/>
      </c>
      <c r="B3372" s="857">
        <f t="shared" si="168"/>
        <v>12</v>
      </c>
      <c r="C3372" s="858">
        <f t="shared" si="169"/>
        <v>42716</v>
      </c>
      <c r="D3372" s="858" t="s">
        <v>1548</v>
      </c>
      <c r="E3372" s="921">
        <v>42716</v>
      </c>
      <c r="F3372" s="831" t="s">
        <v>1473</v>
      </c>
      <c r="G3372" s="832" t="s">
        <v>1491</v>
      </c>
      <c r="H3372" s="923" t="s">
        <v>1297</v>
      </c>
      <c r="I3372" s="249">
        <v>800</v>
      </c>
      <c r="J3372" s="249">
        <v>7086.635132945943</v>
      </c>
      <c r="K3372" s="51">
        <f t="shared" si="170"/>
        <v>5669308</v>
      </c>
      <c r="L3372" s="924" t="s">
        <v>171</v>
      </c>
      <c r="M3372" s="924" t="s">
        <v>166</v>
      </c>
      <c r="N3372" s="52" t="str">
        <f>IF(AND('331-CT'!$E$7=TH!H3372,OR(L3372="331",M3372="331")),"331",IF(AND(OR(L3372="131",M3372="131"),H3372='131-CT'!$E$7),"131",""))</f>
        <v/>
      </c>
      <c r="O3372" s="818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/>
      </c>
      <c r="AA3372" s="726"/>
    </row>
    <row r="3373" spans="1:27" s="861" customFormat="1" ht="15.75" customHeight="1">
      <c r="A3373" s="856" t="str">
        <f>IF(B3373&lt;&gt;"",IF(AND(B3373&gt;=_TM1,B3373&lt;=_TM2,OR(TH!L3373="1111",TH!M3373="1111")),TH!D3373,""),"")</f>
        <v/>
      </c>
      <c r="B3373" s="857">
        <f t="shared" si="168"/>
        <v>12</v>
      </c>
      <c r="C3373" s="858">
        <f t="shared" si="169"/>
        <v>42716</v>
      </c>
      <c r="D3373" s="858" t="s">
        <v>1548</v>
      </c>
      <c r="E3373" s="921">
        <v>42716</v>
      </c>
      <c r="F3373" s="831" t="s">
        <v>1473</v>
      </c>
      <c r="G3373" s="832" t="s">
        <v>1492</v>
      </c>
      <c r="H3373" s="923" t="s">
        <v>1297</v>
      </c>
      <c r="I3373" s="249">
        <v>2400</v>
      </c>
      <c r="J3373" s="249">
        <v>7086.635132945943</v>
      </c>
      <c r="K3373" s="51">
        <f t="shared" si="170"/>
        <v>17007924</v>
      </c>
      <c r="L3373" s="924" t="s">
        <v>171</v>
      </c>
      <c r="M3373" s="924" t="s">
        <v>166</v>
      </c>
      <c r="N3373" s="52" t="str">
        <f>IF(AND('331-CT'!$E$7=TH!H3373,OR(L3373="331",M3373="331")),"331",IF(AND(OR(L3373="131",M3373="131"),H3373='131-CT'!$E$7),"131",""))</f>
        <v/>
      </c>
      <c r="O3373" s="818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/>
      </c>
      <c r="AA3373" s="726"/>
    </row>
    <row r="3374" spans="1:27" s="861" customFormat="1" ht="15.75" customHeight="1">
      <c r="A3374" s="856" t="str">
        <f>IF(B3374&lt;&gt;"",IF(AND(B3374&gt;=_TM1,B3374&lt;=_TM2,OR(TH!L3374="1111",TH!M3374="1111")),TH!D3374,""),"")</f>
        <v/>
      </c>
      <c r="B3374" s="857">
        <f t="shared" si="168"/>
        <v>12</v>
      </c>
      <c r="C3374" s="858">
        <f t="shared" si="169"/>
        <v>42717</v>
      </c>
      <c r="D3374" s="858" t="s">
        <v>1548</v>
      </c>
      <c r="E3374" s="830">
        <v>42717</v>
      </c>
      <c r="F3374" s="922" t="s">
        <v>1473</v>
      </c>
      <c r="G3374" s="832" t="s">
        <v>1493</v>
      </c>
      <c r="H3374" s="923" t="s">
        <v>1297</v>
      </c>
      <c r="I3374" s="249">
        <v>2400</v>
      </c>
      <c r="J3374" s="249">
        <v>7086.635132945943</v>
      </c>
      <c r="K3374" s="51">
        <f t="shared" si="170"/>
        <v>17007924</v>
      </c>
      <c r="L3374" s="924" t="s">
        <v>171</v>
      </c>
      <c r="M3374" s="924" t="s">
        <v>166</v>
      </c>
      <c r="N3374" s="52" t="str">
        <f>IF(AND('331-CT'!$E$7=TH!H3374,OR(L3374="331",M3374="331")),"331",IF(AND(OR(L3374="131",M3374="131"),H3374='131-CT'!$E$7),"131",""))</f>
        <v/>
      </c>
      <c r="O3374" s="818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/>
      </c>
      <c r="AA3374" s="726"/>
    </row>
    <row r="3375" spans="1:27" s="861" customFormat="1" ht="15.75" customHeight="1">
      <c r="A3375" s="856" t="str">
        <f>IF(B3375&lt;&gt;"",IF(AND(B3375&gt;=_TM1,B3375&lt;=_TM2,OR(TH!L3375="1111",TH!M3375="1111")),TH!D3375,""),"")</f>
        <v/>
      </c>
      <c r="B3375" s="857">
        <f t="shared" si="168"/>
        <v>12</v>
      </c>
      <c r="C3375" s="858">
        <f t="shared" si="169"/>
        <v>42718</v>
      </c>
      <c r="D3375" s="858" t="s">
        <v>1548</v>
      </c>
      <c r="E3375" s="830">
        <v>42718</v>
      </c>
      <c r="F3375" s="922" t="s">
        <v>1473</v>
      </c>
      <c r="G3375" s="832" t="s">
        <v>1494</v>
      </c>
      <c r="H3375" s="923" t="s">
        <v>1297</v>
      </c>
      <c r="I3375" s="249">
        <v>2400</v>
      </c>
      <c r="J3375" s="249">
        <v>7086.635132945943</v>
      </c>
      <c r="K3375" s="51">
        <f t="shared" si="170"/>
        <v>17007924</v>
      </c>
      <c r="L3375" s="924" t="s">
        <v>171</v>
      </c>
      <c r="M3375" s="924" t="s">
        <v>166</v>
      </c>
      <c r="N3375" s="52" t="str">
        <f>IF(AND('331-CT'!$E$7=TH!H3375,OR(L3375="331",M3375="331")),"331",IF(AND(OR(L3375="131",M3375="131"),H3375='131-CT'!$E$7),"131",""))</f>
        <v/>
      </c>
      <c r="O3375" s="818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/>
      </c>
      <c r="AA3375" s="726"/>
    </row>
    <row r="3376" spans="1:27" s="861" customFormat="1" ht="15.75" customHeight="1">
      <c r="A3376" s="856" t="str">
        <f>IF(B3376&lt;&gt;"",IF(AND(B3376&gt;=_TM1,B3376&lt;=_TM2,OR(TH!L3376="1111",TH!M3376="1111")),TH!D3376,""),"")</f>
        <v/>
      </c>
      <c r="B3376" s="857">
        <f t="shared" si="168"/>
        <v>12</v>
      </c>
      <c r="C3376" s="858">
        <f t="shared" si="169"/>
        <v>42719</v>
      </c>
      <c r="D3376" s="858" t="s">
        <v>1548</v>
      </c>
      <c r="E3376" s="830">
        <v>42719</v>
      </c>
      <c r="F3376" s="922" t="s">
        <v>1473</v>
      </c>
      <c r="G3376" s="832" t="s">
        <v>1495</v>
      </c>
      <c r="H3376" s="923" t="s">
        <v>1297</v>
      </c>
      <c r="I3376" s="249">
        <v>2400</v>
      </c>
      <c r="J3376" s="249">
        <v>7086.635132945943</v>
      </c>
      <c r="K3376" s="51">
        <f t="shared" si="170"/>
        <v>17007924</v>
      </c>
      <c r="L3376" s="924" t="s">
        <v>171</v>
      </c>
      <c r="M3376" s="924" t="s">
        <v>166</v>
      </c>
      <c r="N3376" s="52" t="str">
        <f>IF(AND('331-CT'!$E$7=TH!H3376,OR(L3376="331",M3376="331")),"331",IF(AND(OR(L3376="131",M3376="131"),H3376='131-CT'!$E$7),"131",""))</f>
        <v/>
      </c>
      <c r="O3376" s="818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/>
      </c>
      <c r="AA3376" s="726"/>
    </row>
    <row r="3377" spans="1:27" s="861" customFormat="1" ht="15.75" customHeight="1">
      <c r="A3377" s="856" t="str">
        <f>IF(B3377&lt;&gt;"",IF(AND(B3377&gt;=_TM1,B3377&lt;=_TM2,OR(TH!L3377="1111",TH!M3377="1111")),TH!D3377,""),"")</f>
        <v/>
      </c>
      <c r="B3377" s="857">
        <f t="shared" si="168"/>
        <v>12</v>
      </c>
      <c r="C3377" s="858">
        <f t="shared" si="169"/>
        <v>42720</v>
      </c>
      <c r="D3377" s="858" t="s">
        <v>1548</v>
      </c>
      <c r="E3377" s="921">
        <v>42720</v>
      </c>
      <c r="F3377" s="925" t="s">
        <v>1473</v>
      </c>
      <c r="G3377" s="832" t="s">
        <v>1496</v>
      </c>
      <c r="H3377" s="923" t="s">
        <v>1297</v>
      </c>
      <c r="I3377" s="249">
        <v>2400</v>
      </c>
      <c r="J3377" s="249">
        <v>7086.635132945943</v>
      </c>
      <c r="K3377" s="51">
        <f t="shared" si="170"/>
        <v>17007924</v>
      </c>
      <c r="L3377" s="924" t="s">
        <v>171</v>
      </c>
      <c r="M3377" s="924" t="s">
        <v>166</v>
      </c>
      <c r="N3377" s="52" t="str">
        <f>IF(AND('331-CT'!$E$7=TH!H3377,OR(L3377="331",M3377="331")),"331",IF(AND(OR(L3377="131",M3377="131"),H3377='131-CT'!$E$7),"131",""))</f>
        <v/>
      </c>
      <c r="O3377" s="818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/>
      </c>
      <c r="AA3377" s="726"/>
    </row>
    <row r="3378" spans="1:27" s="861" customFormat="1" ht="15.75" customHeight="1">
      <c r="A3378" s="856" t="str">
        <f>IF(B3378&lt;&gt;"",IF(AND(B3378&gt;=_TM1,B3378&lt;=_TM2,OR(TH!L3378="1111",TH!M3378="1111")),TH!D3378,""),"")</f>
        <v/>
      </c>
      <c r="B3378" s="857">
        <f t="shared" si="168"/>
        <v>12</v>
      </c>
      <c r="C3378" s="858">
        <f t="shared" si="169"/>
        <v>42721</v>
      </c>
      <c r="D3378" s="858" t="s">
        <v>1548</v>
      </c>
      <c r="E3378" s="921">
        <v>42721</v>
      </c>
      <c r="F3378" s="925" t="s">
        <v>1473</v>
      </c>
      <c r="G3378" s="832" t="s">
        <v>1497</v>
      </c>
      <c r="H3378" s="923" t="s">
        <v>1297</v>
      </c>
      <c r="I3378" s="249">
        <v>180</v>
      </c>
      <c r="J3378" s="249">
        <v>7086.635132945943</v>
      </c>
      <c r="K3378" s="51">
        <f t="shared" si="170"/>
        <v>1275594</v>
      </c>
      <c r="L3378" s="924" t="s">
        <v>171</v>
      </c>
      <c r="M3378" s="924" t="s">
        <v>166</v>
      </c>
      <c r="N3378" s="52" t="str">
        <f>IF(AND('331-CT'!$E$7=TH!H3378,OR(L3378="331",M3378="331")),"331",IF(AND(OR(L3378="131",M3378="131"),H3378='131-CT'!$E$7),"131",""))</f>
        <v/>
      </c>
      <c r="O3378" s="818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/>
      </c>
      <c r="AA3378" s="726"/>
    </row>
    <row r="3379" spans="1:27" s="861" customFormat="1" ht="15.75" customHeight="1">
      <c r="A3379" s="856" t="str">
        <f>IF(B3379&lt;&gt;"",IF(AND(B3379&gt;=_TM1,B3379&lt;=_TM2,OR(TH!L3379="1111",TH!M3379="1111")),TH!D3379,""),"")</f>
        <v/>
      </c>
      <c r="B3379" s="857">
        <f t="shared" si="168"/>
        <v>12</v>
      </c>
      <c r="C3379" s="858">
        <f t="shared" si="169"/>
        <v>42724</v>
      </c>
      <c r="D3379" s="858" t="s">
        <v>1548</v>
      </c>
      <c r="E3379" s="830">
        <v>42724</v>
      </c>
      <c r="F3379" s="831" t="s">
        <v>1499</v>
      </c>
      <c r="G3379" s="832" t="s">
        <v>1498</v>
      </c>
      <c r="H3379" s="923" t="s">
        <v>1297</v>
      </c>
      <c r="I3379" s="249">
        <v>397</v>
      </c>
      <c r="J3379" s="249">
        <v>8183.3762844732919</v>
      </c>
      <c r="K3379" s="51">
        <f t="shared" si="170"/>
        <v>3248800</v>
      </c>
      <c r="L3379" s="924" t="s">
        <v>171</v>
      </c>
      <c r="M3379" s="924" t="s">
        <v>166</v>
      </c>
      <c r="N3379" s="52" t="str">
        <f>IF(AND('331-CT'!$E$7=TH!H3379,OR(L3379="331",M3379="331")),"331",IF(AND(OR(L3379="131",M3379="131"),H3379='131-CT'!$E$7),"131",""))</f>
        <v/>
      </c>
      <c r="O3379" s="818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/>
      </c>
      <c r="AA3379" s="726"/>
    </row>
    <row r="3380" spans="1:27" s="861" customFormat="1" ht="15.75" customHeight="1">
      <c r="A3380" s="856" t="str">
        <f>IF(B3380&lt;&gt;"",IF(AND(B3380&gt;=_TM1,B3380&lt;=_TM2,OR(TH!L3380="1111",TH!M3380="1111")),TH!D3380,""),"")</f>
        <v/>
      </c>
      <c r="B3380" s="857">
        <f t="shared" si="168"/>
        <v>12</v>
      </c>
      <c r="C3380" s="858">
        <f t="shared" si="169"/>
        <v>42724</v>
      </c>
      <c r="D3380" s="858" t="s">
        <v>1548</v>
      </c>
      <c r="E3380" s="830">
        <v>42724</v>
      </c>
      <c r="F3380" s="831" t="s">
        <v>400</v>
      </c>
      <c r="G3380" s="832" t="s">
        <v>1498</v>
      </c>
      <c r="H3380" s="923" t="s">
        <v>1297</v>
      </c>
      <c r="I3380" s="249">
        <v>200</v>
      </c>
      <c r="J3380" s="249">
        <v>8014.6468765460077</v>
      </c>
      <c r="K3380" s="51">
        <f t="shared" si="170"/>
        <v>1602929</v>
      </c>
      <c r="L3380" s="924" t="s">
        <v>171</v>
      </c>
      <c r="M3380" s="924" t="s">
        <v>166</v>
      </c>
      <c r="N3380" s="52" t="str">
        <f>IF(AND('331-CT'!$E$7=TH!H3380,OR(L3380="331",M3380="331")),"331",IF(AND(OR(L3380="131",M3380="131"),H3380='131-CT'!$E$7),"131",""))</f>
        <v/>
      </c>
      <c r="O3380" s="818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/>
      </c>
      <c r="AA3380" s="726"/>
    </row>
    <row r="3381" spans="1:27" s="861" customFormat="1" ht="15.75" customHeight="1">
      <c r="A3381" s="856" t="str">
        <f>IF(B3381&lt;&gt;"",IF(AND(B3381&gt;=_TM1,B3381&lt;=_TM2,OR(TH!L3381="1111",TH!M3381="1111")),TH!D3381,""),"")</f>
        <v/>
      </c>
      <c r="B3381" s="857">
        <f t="shared" si="168"/>
        <v>12</v>
      </c>
      <c r="C3381" s="858">
        <f t="shared" si="169"/>
        <v>42724</v>
      </c>
      <c r="D3381" s="858" t="s">
        <v>1548</v>
      </c>
      <c r="E3381" s="830">
        <v>42724</v>
      </c>
      <c r="F3381" s="922" t="s">
        <v>400</v>
      </c>
      <c r="G3381" s="832" t="s">
        <v>1498</v>
      </c>
      <c r="H3381" s="923" t="s">
        <v>1297</v>
      </c>
      <c r="I3381" s="249">
        <v>389</v>
      </c>
      <c r="J3381" s="249">
        <v>8014.6468765460077</v>
      </c>
      <c r="K3381" s="51">
        <f t="shared" si="170"/>
        <v>3117698</v>
      </c>
      <c r="L3381" s="924" t="s">
        <v>171</v>
      </c>
      <c r="M3381" s="924" t="s">
        <v>166</v>
      </c>
      <c r="N3381" s="52" t="str">
        <f>IF(AND('331-CT'!$E$7=TH!H3381,OR(L3381="331",M3381="331")),"331",IF(AND(OR(L3381="131",M3381="131"),H3381='131-CT'!$E$7),"131",""))</f>
        <v/>
      </c>
      <c r="O3381" s="818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/>
      </c>
      <c r="AA3381" s="726"/>
    </row>
    <row r="3382" spans="1:27" s="861" customFormat="1" ht="15.75" customHeight="1">
      <c r="A3382" s="856" t="str">
        <f>IF(B3382&lt;&gt;"",IF(AND(B3382&gt;=_TM1,B3382&lt;=_TM2,OR(TH!L3382="1111",TH!M3382="1111")),TH!D3382,""),"")</f>
        <v/>
      </c>
      <c r="B3382" s="857">
        <f t="shared" si="168"/>
        <v>12</v>
      </c>
      <c r="C3382" s="858">
        <f t="shared" si="169"/>
        <v>42724</v>
      </c>
      <c r="D3382" s="858" t="s">
        <v>1548</v>
      </c>
      <c r="E3382" s="830">
        <v>42724</v>
      </c>
      <c r="F3382" s="925" t="s">
        <v>954</v>
      </c>
      <c r="G3382" s="832" t="s">
        <v>1498</v>
      </c>
      <c r="H3382" s="923" t="s">
        <v>1297</v>
      </c>
      <c r="I3382" s="249">
        <v>566</v>
      </c>
      <c r="J3382" s="249">
        <v>5905.5292774549525</v>
      </c>
      <c r="K3382" s="51">
        <f t="shared" si="170"/>
        <v>3342530</v>
      </c>
      <c r="L3382" s="924" t="s">
        <v>171</v>
      </c>
      <c r="M3382" s="924" t="s">
        <v>166</v>
      </c>
      <c r="N3382" s="52" t="str">
        <f>IF(AND('331-CT'!$E$7=TH!H3382,OR(L3382="331",M3382="331")),"331",IF(AND(OR(L3382="131",M3382="131"),H3382='131-CT'!$E$7),"131",""))</f>
        <v/>
      </c>
      <c r="O3382" s="818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/>
      </c>
      <c r="AA3382" s="726"/>
    </row>
    <row r="3383" spans="1:27" s="861" customFormat="1" ht="15.75" customHeight="1">
      <c r="A3383" s="856" t="str">
        <f>IF(B3383&lt;&gt;"",IF(AND(B3383&gt;=_TM1,B3383&lt;=_TM2,OR(TH!L3383="1111",TH!M3383="1111")),TH!D3383,""),"")</f>
        <v/>
      </c>
      <c r="B3383" s="857">
        <f t="shared" si="168"/>
        <v>12</v>
      </c>
      <c r="C3383" s="858">
        <f t="shared" si="169"/>
        <v>42724</v>
      </c>
      <c r="D3383" s="858" t="s">
        <v>1548</v>
      </c>
      <c r="E3383" s="830">
        <v>42724</v>
      </c>
      <c r="F3383" s="925" t="s">
        <v>1473</v>
      </c>
      <c r="G3383" s="832" t="s">
        <v>1500</v>
      </c>
      <c r="H3383" s="923" t="s">
        <v>1297</v>
      </c>
      <c r="I3383" s="249">
        <v>2400</v>
      </c>
      <c r="J3383" s="249">
        <v>7086.635132945943</v>
      </c>
      <c r="K3383" s="51">
        <f t="shared" si="170"/>
        <v>17007924</v>
      </c>
      <c r="L3383" s="924" t="s">
        <v>171</v>
      </c>
      <c r="M3383" s="924" t="s">
        <v>166</v>
      </c>
      <c r="N3383" s="52" t="str">
        <f>IF(AND('331-CT'!$E$7=TH!H3383,OR(L3383="331",M3383="331")),"331",IF(AND(OR(L3383="131",M3383="131"),H3383='131-CT'!$E$7),"131",""))</f>
        <v/>
      </c>
      <c r="O3383" s="818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/>
      </c>
      <c r="AA3383" s="726"/>
    </row>
    <row r="3384" spans="1:27" s="861" customFormat="1" ht="15.75" customHeight="1">
      <c r="A3384" s="856" t="str">
        <f>IF(B3384&lt;&gt;"",IF(AND(B3384&gt;=_TM1,B3384&lt;=_TM2,OR(TH!L3384="1111",TH!M3384="1111")),TH!D3384,""),"")</f>
        <v/>
      </c>
      <c r="B3384" s="857">
        <f t="shared" si="168"/>
        <v>12</v>
      </c>
      <c r="C3384" s="858">
        <f t="shared" si="169"/>
        <v>42725</v>
      </c>
      <c r="D3384" s="858" t="s">
        <v>1548</v>
      </c>
      <c r="E3384" s="830">
        <v>42725</v>
      </c>
      <c r="F3384" s="925" t="s">
        <v>1473</v>
      </c>
      <c r="G3384" s="832" t="s">
        <v>1501</v>
      </c>
      <c r="H3384" s="923" t="s">
        <v>1297</v>
      </c>
      <c r="I3384" s="249">
        <v>2400</v>
      </c>
      <c r="J3384" s="249">
        <v>7086.635132945943</v>
      </c>
      <c r="K3384" s="51">
        <f t="shared" si="170"/>
        <v>17007924</v>
      </c>
      <c r="L3384" s="924" t="s">
        <v>171</v>
      </c>
      <c r="M3384" s="924" t="s">
        <v>166</v>
      </c>
      <c r="N3384" s="52" t="str">
        <f>IF(AND('331-CT'!$E$7=TH!H3384,OR(L3384="331",M3384="331")),"331",IF(AND(OR(L3384="131",M3384="131"),H3384='131-CT'!$E$7),"131",""))</f>
        <v/>
      </c>
      <c r="O3384" s="818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/>
      </c>
      <c r="AA3384" s="726"/>
    </row>
    <row r="3385" spans="1:27" s="861" customFormat="1" ht="15.75" customHeight="1">
      <c r="A3385" s="856" t="str">
        <f>IF(B3385&lt;&gt;"",IF(AND(B3385&gt;=_TM1,B3385&lt;=_TM2,OR(TH!L3385="1111",TH!M3385="1111")),TH!D3385,""),"")</f>
        <v/>
      </c>
      <c r="B3385" s="857">
        <f t="shared" si="168"/>
        <v>12</v>
      </c>
      <c r="C3385" s="858">
        <f t="shared" si="169"/>
        <v>42725</v>
      </c>
      <c r="D3385" s="858" t="s">
        <v>1548</v>
      </c>
      <c r="E3385" s="830">
        <v>42725</v>
      </c>
      <c r="F3385" s="922" t="s">
        <v>1504</v>
      </c>
      <c r="G3385" s="832" t="s">
        <v>1502</v>
      </c>
      <c r="H3385" s="923" t="s">
        <v>1297</v>
      </c>
      <c r="I3385" s="249">
        <v>66</v>
      </c>
      <c r="J3385" s="249">
        <v>17294.764312546646</v>
      </c>
      <c r="K3385" s="51">
        <f t="shared" si="170"/>
        <v>1141454</v>
      </c>
      <c r="L3385" s="924" t="s">
        <v>171</v>
      </c>
      <c r="M3385" s="924" t="s">
        <v>166</v>
      </c>
      <c r="N3385" s="52" t="str">
        <f>IF(AND('331-CT'!$E$7=TH!H3385,OR(L3385="331",M3385="331")),"331",IF(AND(OR(L3385="131",M3385="131"),H3385='131-CT'!$E$7),"131",""))</f>
        <v/>
      </c>
      <c r="O3385" s="818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/>
      </c>
      <c r="AA3385" s="726"/>
    </row>
    <row r="3386" spans="1:27" s="861" customFormat="1" ht="15.75" customHeight="1">
      <c r="A3386" s="856" t="str">
        <f>IF(B3386&lt;&gt;"",IF(AND(B3386&gt;=_TM1,B3386&lt;=_TM2,OR(TH!L3386="1111",TH!M3386="1111")),TH!D3386,""),"")</f>
        <v/>
      </c>
      <c r="B3386" s="857">
        <f t="shared" si="168"/>
        <v>12</v>
      </c>
      <c r="C3386" s="858">
        <f t="shared" si="169"/>
        <v>42725</v>
      </c>
      <c r="D3386" s="858" t="s">
        <v>1548</v>
      </c>
      <c r="E3386" s="830">
        <v>42725</v>
      </c>
      <c r="F3386" s="922" t="s">
        <v>1503</v>
      </c>
      <c r="G3386" s="832" t="s">
        <v>1502</v>
      </c>
      <c r="H3386" s="923" t="s">
        <v>1297</v>
      </c>
      <c r="I3386" s="249">
        <v>64</v>
      </c>
      <c r="J3386" s="249">
        <v>9195.7527320369991</v>
      </c>
      <c r="K3386" s="51">
        <f t="shared" si="170"/>
        <v>588528</v>
      </c>
      <c r="L3386" s="924" t="s">
        <v>171</v>
      </c>
      <c r="M3386" s="924" t="s">
        <v>166</v>
      </c>
      <c r="N3386" s="52" t="str">
        <f>IF(AND('331-CT'!$E$7=TH!H3386,OR(L3386="331",M3386="331")),"331",IF(AND(OR(L3386="131",M3386="131"),H3386='131-CT'!$E$7),"131",""))</f>
        <v/>
      </c>
      <c r="O3386" s="818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/>
      </c>
      <c r="AA3386" s="726"/>
    </row>
    <row r="3387" spans="1:27" s="861" customFormat="1" ht="15.75" customHeight="1">
      <c r="A3387" s="856" t="str">
        <f>IF(B3387&lt;&gt;"",IF(AND(B3387&gt;=_TM1,B3387&lt;=_TM2,OR(TH!L3387="1111",TH!M3387="1111")),TH!D3387,""),"")</f>
        <v/>
      </c>
      <c r="B3387" s="857">
        <f t="shared" si="168"/>
        <v>12</v>
      </c>
      <c r="C3387" s="858">
        <f t="shared" si="169"/>
        <v>42726</v>
      </c>
      <c r="D3387" s="858" t="s">
        <v>1548</v>
      </c>
      <c r="E3387" s="830">
        <v>42726</v>
      </c>
      <c r="F3387" s="922" t="s">
        <v>1473</v>
      </c>
      <c r="G3387" s="832" t="s">
        <v>1505</v>
      </c>
      <c r="H3387" s="923" t="s">
        <v>1297</v>
      </c>
      <c r="I3387" s="249">
        <v>1939</v>
      </c>
      <c r="J3387" s="249">
        <v>7086.635132945943</v>
      </c>
      <c r="K3387" s="51">
        <f t="shared" si="170"/>
        <v>13740986</v>
      </c>
      <c r="L3387" s="924" t="s">
        <v>171</v>
      </c>
      <c r="M3387" s="924" t="s">
        <v>166</v>
      </c>
      <c r="N3387" s="52" t="str">
        <f>IF(AND('331-CT'!$E$7=TH!H3387,OR(L3387="331",M3387="331")),"331",IF(AND(OR(L3387="131",M3387="131"),H3387='131-CT'!$E$7),"131",""))</f>
        <v/>
      </c>
      <c r="O3387" s="818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/>
      </c>
      <c r="AA3387" s="726"/>
    </row>
    <row r="3388" spans="1:27" s="861" customFormat="1" ht="15.75" customHeight="1">
      <c r="A3388" s="856" t="str">
        <f>IF(B3388&lt;&gt;"",IF(AND(B3388&gt;=_TM1,B3388&lt;=_TM2,OR(TH!L3388="1111",TH!M3388="1111")),TH!D3388,""),"")</f>
        <v/>
      </c>
      <c r="B3388" s="857">
        <f t="shared" si="168"/>
        <v>12</v>
      </c>
      <c r="C3388" s="858">
        <f t="shared" si="169"/>
        <v>42726</v>
      </c>
      <c r="D3388" s="858" t="s">
        <v>1548</v>
      </c>
      <c r="E3388" s="830">
        <v>42726</v>
      </c>
      <c r="F3388" s="922" t="s">
        <v>1409</v>
      </c>
      <c r="G3388" s="832" t="s">
        <v>1506</v>
      </c>
      <c r="H3388" s="923" t="s">
        <v>1297</v>
      </c>
      <c r="I3388" s="249">
        <v>208</v>
      </c>
      <c r="J3388" s="249">
        <v>8689.5645082551455</v>
      </c>
      <c r="K3388" s="51">
        <f t="shared" si="170"/>
        <v>1807429</v>
      </c>
      <c r="L3388" s="924" t="s">
        <v>171</v>
      </c>
      <c r="M3388" s="924" t="s">
        <v>166</v>
      </c>
      <c r="N3388" s="52" t="str">
        <f>IF(AND('331-CT'!$E$7=TH!H3388,OR(L3388="331",M3388="331")),"331",IF(AND(OR(L3388="131",M3388="131"),H3388='131-CT'!$E$7),"131",""))</f>
        <v/>
      </c>
      <c r="O3388" s="818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/>
      </c>
      <c r="AA3388" s="726"/>
    </row>
    <row r="3389" spans="1:27" s="861" customFormat="1" ht="15.75" customHeight="1">
      <c r="A3389" s="856" t="str">
        <f>IF(B3389&lt;&gt;"",IF(AND(B3389&gt;=_TM1,B3389&lt;=_TM2,OR(TH!L3389="1111",TH!M3389="1111")),TH!D3389,""),"")</f>
        <v/>
      </c>
      <c r="B3389" s="857">
        <f t="shared" si="168"/>
        <v>12</v>
      </c>
      <c r="C3389" s="858">
        <f t="shared" si="169"/>
        <v>42726</v>
      </c>
      <c r="D3389" s="858" t="s">
        <v>1548</v>
      </c>
      <c r="E3389" s="830">
        <v>42726</v>
      </c>
      <c r="F3389" s="922" t="s">
        <v>1406</v>
      </c>
      <c r="G3389" s="832" t="s">
        <v>1506</v>
      </c>
      <c r="H3389" s="923" t="s">
        <v>1297</v>
      </c>
      <c r="I3389" s="249">
        <v>205</v>
      </c>
      <c r="J3389" s="249">
        <v>7845.9174686187234</v>
      </c>
      <c r="K3389" s="51">
        <f t="shared" si="170"/>
        <v>1608413</v>
      </c>
      <c r="L3389" s="924" t="s">
        <v>171</v>
      </c>
      <c r="M3389" s="924" t="s">
        <v>166</v>
      </c>
      <c r="N3389" s="52" t="str">
        <f>IF(AND('331-CT'!$E$7=TH!H3389,OR(L3389="331",M3389="331")),"331",IF(AND(OR(L3389="131",M3389="131"),H3389='131-CT'!$E$7),"131",""))</f>
        <v/>
      </c>
      <c r="O3389" s="818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/>
      </c>
      <c r="AA3389" s="726"/>
    </row>
    <row r="3390" spans="1:27" s="861" customFormat="1" ht="15.75" customHeight="1">
      <c r="A3390" s="856" t="str">
        <f>IF(B3390&lt;&gt;"",IF(AND(B3390&gt;=_TM1,B3390&lt;=_TM2,OR(TH!L3390="1111",TH!M3390="1111")),TH!D3390,""),"")</f>
        <v/>
      </c>
      <c r="B3390" s="857">
        <f t="shared" si="168"/>
        <v>12</v>
      </c>
      <c r="C3390" s="858">
        <f t="shared" si="169"/>
        <v>42726</v>
      </c>
      <c r="D3390" s="858" t="s">
        <v>1548</v>
      </c>
      <c r="E3390" s="830">
        <v>42726</v>
      </c>
      <c r="F3390" s="922" t="s">
        <v>1507</v>
      </c>
      <c r="G3390" s="832" t="s">
        <v>1506</v>
      </c>
      <c r="H3390" s="923" t="s">
        <v>1297</v>
      </c>
      <c r="I3390" s="249">
        <v>25</v>
      </c>
      <c r="J3390" s="249">
        <v>11389.235035091697</v>
      </c>
      <c r="K3390" s="51">
        <f t="shared" si="170"/>
        <v>284731</v>
      </c>
      <c r="L3390" s="924" t="s">
        <v>171</v>
      </c>
      <c r="M3390" s="924" t="s">
        <v>166</v>
      </c>
      <c r="N3390" s="52" t="str">
        <f>IF(AND('331-CT'!$E$7=TH!H3390,OR(L3390="331",M3390="331")),"331",IF(AND(OR(L3390="131",M3390="131"),H3390='131-CT'!$E$7),"131",""))</f>
        <v/>
      </c>
      <c r="O3390" s="818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/>
      </c>
      <c r="AA3390" s="726"/>
    </row>
    <row r="3391" spans="1:27" s="861" customFormat="1" ht="15.75" customHeight="1">
      <c r="A3391" s="856" t="str">
        <f>IF(B3391&lt;&gt;"",IF(AND(B3391&gt;=_TM1,B3391&lt;=_TM2,OR(TH!L3391="1111",TH!M3391="1111")),TH!D3391,""),"")</f>
        <v/>
      </c>
      <c r="B3391" s="857">
        <f t="shared" si="168"/>
        <v>12</v>
      </c>
      <c r="C3391" s="858">
        <f t="shared" si="169"/>
        <v>42728</v>
      </c>
      <c r="D3391" s="858" t="s">
        <v>1548</v>
      </c>
      <c r="E3391" s="830">
        <v>42728</v>
      </c>
      <c r="F3391" s="922" t="s">
        <v>1473</v>
      </c>
      <c r="G3391" s="832" t="s">
        <v>1508</v>
      </c>
      <c r="H3391" s="923" t="s">
        <v>1297</v>
      </c>
      <c r="I3391" s="249">
        <v>2400</v>
      </c>
      <c r="J3391" s="249">
        <v>7086.635132945943</v>
      </c>
      <c r="K3391" s="51">
        <f t="shared" si="170"/>
        <v>17007924</v>
      </c>
      <c r="L3391" s="924" t="s">
        <v>171</v>
      </c>
      <c r="M3391" s="924" t="s">
        <v>166</v>
      </c>
      <c r="N3391" s="52" t="str">
        <f>IF(AND('331-CT'!$E$7=TH!H3391,OR(L3391="331",M3391="331")),"331",IF(AND(OR(L3391="131",M3391="131"),H3391='131-CT'!$E$7),"131",""))</f>
        <v/>
      </c>
      <c r="O3391" s="818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/>
      </c>
      <c r="AA3391" s="726"/>
    </row>
    <row r="3392" spans="1:27" s="861" customFormat="1" ht="15.75" customHeight="1">
      <c r="A3392" s="856" t="str">
        <f>IF(B3392&lt;&gt;"",IF(AND(B3392&gt;=_TM1,B3392&lt;=_TM2,OR(TH!L3392="1111",TH!M3392="1111")),TH!D3392,""),"")</f>
        <v/>
      </c>
      <c r="B3392" s="857">
        <f t="shared" si="168"/>
        <v>12</v>
      </c>
      <c r="C3392" s="858">
        <f t="shared" si="169"/>
        <v>42731</v>
      </c>
      <c r="D3392" s="858" t="s">
        <v>1548</v>
      </c>
      <c r="E3392" s="830">
        <v>42731</v>
      </c>
      <c r="F3392" s="922" t="s">
        <v>1473</v>
      </c>
      <c r="G3392" s="832" t="s">
        <v>1509</v>
      </c>
      <c r="H3392" s="923" t="s">
        <v>1297</v>
      </c>
      <c r="I3392" s="249">
        <v>2030</v>
      </c>
      <c r="J3392" s="249">
        <v>7086.635132945943</v>
      </c>
      <c r="K3392" s="51">
        <f t="shared" si="170"/>
        <v>14385869</v>
      </c>
      <c r="L3392" s="924" t="s">
        <v>171</v>
      </c>
      <c r="M3392" s="924" t="s">
        <v>166</v>
      </c>
      <c r="N3392" s="52" t="str">
        <f>IF(AND('331-CT'!$E$7=TH!H3392,OR(L3392="331",M3392="331")),"331",IF(AND(OR(L3392="131",M3392="131"),H3392='131-CT'!$E$7),"131",""))</f>
        <v/>
      </c>
      <c r="O3392" s="818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/>
      </c>
      <c r="AA3392" s="726"/>
    </row>
    <row r="3393" spans="1:27" s="861" customFormat="1" ht="15.75" customHeight="1">
      <c r="A3393" s="856" t="str">
        <f>IF(B3393&lt;&gt;"",IF(AND(B3393&gt;=_TM1,B3393&lt;=_TM2,OR(TH!L3393="1111",TH!M3393="1111")),TH!D3393,""),"")</f>
        <v/>
      </c>
      <c r="B3393" s="857">
        <f t="shared" si="168"/>
        <v>12</v>
      </c>
      <c r="C3393" s="858">
        <f t="shared" si="169"/>
        <v>42732</v>
      </c>
      <c r="D3393" s="858" t="s">
        <v>1548</v>
      </c>
      <c r="E3393" s="830">
        <v>42732</v>
      </c>
      <c r="F3393" s="922" t="s">
        <v>1388</v>
      </c>
      <c r="G3393" s="832" t="s">
        <v>1510</v>
      </c>
      <c r="H3393" s="923" t="s">
        <v>1297</v>
      </c>
      <c r="I3393" s="249">
        <v>509</v>
      </c>
      <c r="J3393" s="249">
        <v>8099.0115805096493</v>
      </c>
      <c r="K3393" s="51">
        <f t="shared" si="170"/>
        <v>4122397</v>
      </c>
      <c r="L3393" s="924" t="s">
        <v>171</v>
      </c>
      <c r="M3393" s="924" t="s">
        <v>166</v>
      </c>
      <c r="N3393" s="52" t="str">
        <f>IF(AND('331-CT'!$E$7=TH!H3393,OR(L3393="331",M3393="331")),"331",IF(AND(OR(L3393="131",M3393="131"),H3393='131-CT'!$E$7),"131",""))</f>
        <v/>
      </c>
      <c r="O3393" s="818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/>
      </c>
      <c r="AA3393" s="726"/>
    </row>
    <row r="3394" spans="1:27" s="861" customFormat="1" ht="15.75" customHeight="1">
      <c r="A3394" s="856" t="str">
        <f>IF(B3394&lt;&gt;"",IF(AND(B3394&gt;=_TM1,B3394&lt;=_TM2,OR(TH!L3394="1111",TH!M3394="1111")),TH!D3394,""),"")</f>
        <v/>
      </c>
      <c r="B3394" s="857">
        <f t="shared" si="168"/>
        <v>12</v>
      </c>
      <c r="C3394" s="858">
        <f t="shared" si="169"/>
        <v>42732</v>
      </c>
      <c r="D3394" s="858" t="s">
        <v>1548</v>
      </c>
      <c r="E3394" s="830">
        <v>42732</v>
      </c>
      <c r="F3394" s="922" t="s">
        <v>1255</v>
      </c>
      <c r="G3394" s="832" t="s">
        <v>1511</v>
      </c>
      <c r="H3394" s="923" t="s">
        <v>1297</v>
      </c>
      <c r="I3394" s="249">
        <v>1049</v>
      </c>
      <c r="J3394" s="249">
        <v>6917.9057250186588</v>
      </c>
      <c r="K3394" s="51">
        <f t="shared" si="170"/>
        <v>7256883</v>
      </c>
      <c r="L3394" s="924" t="s">
        <v>171</v>
      </c>
      <c r="M3394" s="924" t="s">
        <v>166</v>
      </c>
      <c r="N3394" s="52" t="str">
        <f>IF(AND('331-CT'!$E$7=TH!H3394,OR(L3394="331",M3394="331")),"331",IF(AND(OR(L3394="131",M3394="131"),H3394='131-CT'!$E$7),"131",""))</f>
        <v/>
      </c>
      <c r="O3394" s="818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/>
      </c>
      <c r="AA3394" s="726"/>
    </row>
    <row r="3395" spans="1:27" s="861" customFormat="1" ht="15.75" customHeight="1">
      <c r="A3395" s="856" t="str">
        <f>IF(B3395&lt;&gt;"",IF(AND(B3395&gt;=_TM1,B3395&lt;=_TM2,OR(TH!L3395="1111",TH!M3395="1111")),TH!D3395,""),"")</f>
        <v/>
      </c>
      <c r="B3395" s="857">
        <f t="shared" si="168"/>
        <v>12</v>
      </c>
      <c r="C3395" s="858">
        <f t="shared" si="169"/>
        <v>42732</v>
      </c>
      <c r="D3395" s="858" t="s">
        <v>1548</v>
      </c>
      <c r="E3395" s="830">
        <v>42732</v>
      </c>
      <c r="F3395" s="922" t="s">
        <v>1256</v>
      </c>
      <c r="G3395" s="832" t="s">
        <v>1511</v>
      </c>
      <c r="H3395" s="923" t="s">
        <v>1297</v>
      </c>
      <c r="I3395" s="249">
        <v>504</v>
      </c>
      <c r="J3395" s="249">
        <v>7677.1880606914392</v>
      </c>
      <c r="K3395" s="51">
        <f t="shared" si="170"/>
        <v>3869303</v>
      </c>
      <c r="L3395" s="924" t="s">
        <v>171</v>
      </c>
      <c r="M3395" s="924" t="s">
        <v>166</v>
      </c>
      <c r="N3395" s="52" t="str">
        <f>IF(AND('331-CT'!$E$7=TH!H3395,OR(L3395="331",M3395="331")),"331",IF(AND(OR(L3395="131",M3395="131"),H3395='131-CT'!$E$7),"131",""))</f>
        <v/>
      </c>
      <c r="O3395" s="818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/>
      </c>
      <c r="AA3395" s="726"/>
    </row>
    <row r="3396" spans="1:27" s="861" customFormat="1" ht="15.75" customHeight="1">
      <c r="A3396" s="856" t="str">
        <f>IF(B3396&lt;&gt;"",IF(AND(B3396&gt;=_TM1,B3396&lt;=_TM2,OR(TH!L3396="1111",TH!M3396="1111")),TH!D3396,""),"")</f>
        <v/>
      </c>
      <c r="B3396" s="857">
        <f t="shared" si="168"/>
        <v>12</v>
      </c>
      <c r="C3396" s="858">
        <f t="shared" si="169"/>
        <v>42734</v>
      </c>
      <c r="D3396" s="858" t="s">
        <v>1548</v>
      </c>
      <c r="E3396" s="830">
        <v>42734</v>
      </c>
      <c r="F3396" s="925" t="s">
        <v>400</v>
      </c>
      <c r="G3396" s="832" t="s">
        <v>1512</v>
      </c>
      <c r="H3396" s="923" t="s">
        <v>1297</v>
      </c>
      <c r="I3396" s="249">
        <v>540</v>
      </c>
      <c r="J3396" s="249">
        <v>8014.6468765460077</v>
      </c>
      <c r="K3396" s="51">
        <f t="shared" si="170"/>
        <v>4327909</v>
      </c>
      <c r="L3396" s="924" t="s">
        <v>171</v>
      </c>
      <c r="M3396" s="924" t="s">
        <v>166</v>
      </c>
      <c r="N3396" s="52" t="str">
        <f>IF(AND('331-CT'!$E$7=TH!H3396,OR(L3396="331",M3396="331")),"331",IF(AND(OR(L3396="131",M3396="131"),H3396='131-CT'!$E$7),"131",""))</f>
        <v/>
      </c>
      <c r="O3396" s="818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/>
      </c>
      <c r="AA3396" s="726"/>
    </row>
    <row r="3397" spans="1:27" s="209" customFormat="1" ht="15.75" customHeight="1">
      <c r="A3397" s="202" t="str">
        <f>IF(B3397&lt;&gt;"",IF(AND(B3397&gt;=_TM1,B3397&lt;=_TM2,OR(TH!L3397="1111",TH!M3397="1111")),TH!D3397,""),"")</f>
        <v/>
      </c>
      <c r="B3397" s="36" t="str">
        <f t="shared" si="168"/>
        <v/>
      </c>
      <c r="C3397" s="37"/>
      <c r="D3397" s="37"/>
      <c r="E3397" s="37"/>
      <c r="F3397" s="40"/>
      <c r="G3397" s="40"/>
      <c r="H3397" s="44"/>
      <c r="I3397" s="251"/>
      <c r="J3397" s="251"/>
      <c r="K3397" s="38"/>
      <c r="L3397" s="39"/>
      <c r="M3397" s="39"/>
      <c r="N3397" s="52" t="str">
        <f>IF(AND('331-CT'!$E$7=TH!H3397,OR(L3397="331",M3397="331")),"331",IF(AND(OR(L3397="131",M3397="131"),H3397='131-CT'!$E$7),"131",""))</f>
        <v/>
      </c>
      <c r="O3397" s="818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/>
      </c>
      <c r="AA3397" s="751"/>
    </row>
    <row r="3398" spans="1:27" s="209" customFormat="1" ht="15.75" customHeight="1">
      <c r="A3398" s="202" t="str">
        <f>IF(B3398&lt;&gt;"",IF(AND(B3398&gt;=_TM1,B3398&lt;=_TM2,OR(TH!L3398="1111",TH!M3398="1111")),TH!D3398,""),"")</f>
        <v/>
      </c>
      <c r="B3398" s="36" t="str">
        <f t="shared" si="168"/>
        <v/>
      </c>
      <c r="C3398" s="37"/>
      <c r="D3398" s="37"/>
      <c r="E3398" s="37"/>
      <c r="F3398" s="40"/>
      <c r="G3398" s="40"/>
      <c r="H3398" s="44"/>
      <c r="I3398" s="251"/>
      <c r="J3398" s="251"/>
      <c r="K3398" s="38"/>
      <c r="L3398" s="39"/>
      <c r="M3398" s="39"/>
      <c r="N3398" s="52" t="str">
        <f>IF(AND('331-CT'!$E$7=TH!H3398,OR(L3398="331",M3398="331")),"331",IF(AND(OR(L3398="131",M3398="131"),H3398='131-CT'!$E$7),"131",""))</f>
        <v/>
      </c>
      <c r="O3398" s="818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/>
      </c>
      <c r="AA3398" s="751"/>
    </row>
    <row r="3399" spans="1:27" s="209" customFormat="1" ht="15.75" customHeight="1">
      <c r="A3399" s="202" t="str">
        <f>IF(B3399&lt;&gt;"",IF(AND(B3399&gt;=_TM1,B3399&lt;=_TM2,OR(TH!L3399="1111",TH!M3399="1111")),TH!D3399,""),"")</f>
        <v/>
      </c>
      <c r="B3399" s="36" t="str">
        <f t="shared" si="168"/>
        <v/>
      </c>
      <c r="C3399" s="37"/>
      <c r="D3399" s="37"/>
      <c r="E3399" s="37"/>
      <c r="F3399" s="40"/>
      <c r="G3399" s="40"/>
      <c r="H3399" s="44"/>
      <c r="I3399" s="251"/>
      <c r="J3399" s="251"/>
      <c r="K3399" s="38"/>
      <c r="L3399" s="39"/>
      <c r="M3399" s="39"/>
      <c r="N3399" s="52" t="str">
        <f>IF(AND('331-CT'!$E$7=TH!H3399,OR(L3399="331",M3399="331")),"331",IF(AND(OR(L3399="131",M3399="131"),H3399='131-CT'!$E$7),"131",""))</f>
        <v/>
      </c>
      <c r="O3399" s="818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/>
      </c>
      <c r="AA3399" s="751"/>
    </row>
    <row r="3403" spans="1:27">
      <c r="K3403" s="447">
        <f>SUBTOTAL(9,K10:K3399)</f>
        <v>43978108206</v>
      </c>
    </row>
  </sheetData>
  <autoFilter ref="A9:AD3399"/>
  <sortState ref="A23:AG1966">
    <sortCondition ref="C23:C1966"/>
  </sortState>
  <mergeCells count="19">
    <mergeCell ref="A7:A8"/>
    <mergeCell ref="B7:B8"/>
    <mergeCell ref="H7:H8"/>
    <mergeCell ref="V7:V8"/>
    <mergeCell ref="P7:R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3" customWidth="1"/>
    <col min="2" max="2" width="9.28515625" style="583" customWidth="1"/>
    <col min="3" max="3" width="10" style="583" customWidth="1"/>
    <col min="4" max="4" width="41.42578125" style="583" customWidth="1"/>
    <col min="5" max="5" width="6" style="583" customWidth="1"/>
    <col min="6" max="6" width="7.85546875" style="583" customWidth="1"/>
    <col min="7" max="7" width="8.5703125" style="583" customWidth="1"/>
    <col min="8" max="8" width="13.85546875" style="583" customWidth="1"/>
    <col min="9" max="9" width="14.140625" style="583" customWidth="1"/>
    <col min="10" max="11" width="9.140625" style="583"/>
    <col min="12" max="12" width="3.5703125" style="583" customWidth="1"/>
    <col min="13" max="256" width="9.140625" style="583"/>
    <col min="257" max="257" width="13" style="583" customWidth="1"/>
    <col min="258" max="258" width="9.140625" style="583"/>
    <col min="259" max="259" width="13" style="583" customWidth="1"/>
    <col min="260" max="260" width="29.7109375" style="583" customWidth="1"/>
    <col min="261" max="261" width="7.7109375" style="583" customWidth="1"/>
    <col min="262" max="262" width="6" style="583" customWidth="1"/>
    <col min="263" max="263" width="11.5703125" style="583" customWidth="1"/>
    <col min="264" max="264" width="13.42578125" style="583" customWidth="1"/>
    <col min="265" max="265" width="13.85546875" style="583" customWidth="1"/>
    <col min="266" max="512" width="9.140625" style="583"/>
    <col min="513" max="513" width="13" style="583" customWidth="1"/>
    <col min="514" max="514" width="9.140625" style="583"/>
    <col min="515" max="515" width="13" style="583" customWidth="1"/>
    <col min="516" max="516" width="29.7109375" style="583" customWidth="1"/>
    <col min="517" max="517" width="7.7109375" style="583" customWidth="1"/>
    <col min="518" max="518" width="6" style="583" customWidth="1"/>
    <col min="519" max="519" width="11.5703125" style="583" customWidth="1"/>
    <col min="520" max="520" width="13.42578125" style="583" customWidth="1"/>
    <col min="521" max="521" width="13.85546875" style="583" customWidth="1"/>
    <col min="522" max="768" width="9.140625" style="583"/>
    <col min="769" max="769" width="13" style="583" customWidth="1"/>
    <col min="770" max="770" width="9.140625" style="583"/>
    <col min="771" max="771" width="13" style="583" customWidth="1"/>
    <col min="772" max="772" width="29.7109375" style="583" customWidth="1"/>
    <col min="773" max="773" width="7.7109375" style="583" customWidth="1"/>
    <col min="774" max="774" width="6" style="583" customWidth="1"/>
    <col min="775" max="775" width="11.5703125" style="583" customWidth="1"/>
    <col min="776" max="776" width="13.42578125" style="583" customWidth="1"/>
    <col min="777" max="777" width="13.85546875" style="583" customWidth="1"/>
    <col min="778" max="1024" width="9.140625" style="583"/>
    <col min="1025" max="1025" width="13" style="583" customWidth="1"/>
    <col min="1026" max="1026" width="9.140625" style="583"/>
    <col min="1027" max="1027" width="13" style="583" customWidth="1"/>
    <col min="1028" max="1028" width="29.7109375" style="583" customWidth="1"/>
    <col min="1029" max="1029" width="7.7109375" style="583" customWidth="1"/>
    <col min="1030" max="1030" width="6" style="583" customWidth="1"/>
    <col min="1031" max="1031" width="11.5703125" style="583" customWidth="1"/>
    <col min="1032" max="1032" width="13.42578125" style="583" customWidth="1"/>
    <col min="1033" max="1033" width="13.85546875" style="583" customWidth="1"/>
    <col min="1034" max="1280" width="9.140625" style="583"/>
    <col min="1281" max="1281" width="13" style="583" customWidth="1"/>
    <col min="1282" max="1282" width="9.140625" style="583"/>
    <col min="1283" max="1283" width="13" style="583" customWidth="1"/>
    <col min="1284" max="1284" width="29.7109375" style="583" customWidth="1"/>
    <col min="1285" max="1285" width="7.7109375" style="583" customWidth="1"/>
    <col min="1286" max="1286" width="6" style="583" customWidth="1"/>
    <col min="1287" max="1287" width="11.5703125" style="583" customWidth="1"/>
    <col min="1288" max="1288" width="13.42578125" style="583" customWidth="1"/>
    <col min="1289" max="1289" width="13.85546875" style="583" customWidth="1"/>
    <col min="1290" max="1536" width="9.140625" style="583"/>
    <col min="1537" max="1537" width="13" style="583" customWidth="1"/>
    <col min="1538" max="1538" width="9.140625" style="583"/>
    <col min="1539" max="1539" width="13" style="583" customWidth="1"/>
    <col min="1540" max="1540" width="29.7109375" style="583" customWidth="1"/>
    <col min="1541" max="1541" width="7.7109375" style="583" customWidth="1"/>
    <col min="1542" max="1542" width="6" style="583" customWidth="1"/>
    <col min="1543" max="1543" width="11.5703125" style="583" customWidth="1"/>
    <col min="1544" max="1544" width="13.42578125" style="583" customWidth="1"/>
    <col min="1545" max="1545" width="13.85546875" style="583" customWidth="1"/>
    <col min="1546" max="1792" width="9.140625" style="583"/>
    <col min="1793" max="1793" width="13" style="583" customWidth="1"/>
    <col min="1794" max="1794" width="9.140625" style="583"/>
    <col min="1795" max="1795" width="13" style="583" customWidth="1"/>
    <col min="1796" max="1796" width="29.7109375" style="583" customWidth="1"/>
    <col min="1797" max="1797" width="7.7109375" style="583" customWidth="1"/>
    <col min="1798" max="1798" width="6" style="583" customWidth="1"/>
    <col min="1799" max="1799" width="11.5703125" style="583" customWidth="1"/>
    <col min="1800" max="1800" width="13.42578125" style="583" customWidth="1"/>
    <col min="1801" max="1801" width="13.85546875" style="583" customWidth="1"/>
    <col min="1802" max="2048" width="9.140625" style="583"/>
    <col min="2049" max="2049" width="13" style="583" customWidth="1"/>
    <col min="2050" max="2050" width="9.140625" style="583"/>
    <col min="2051" max="2051" width="13" style="583" customWidth="1"/>
    <col min="2052" max="2052" width="29.7109375" style="583" customWidth="1"/>
    <col min="2053" max="2053" width="7.7109375" style="583" customWidth="1"/>
    <col min="2054" max="2054" width="6" style="583" customWidth="1"/>
    <col min="2055" max="2055" width="11.5703125" style="583" customWidth="1"/>
    <col min="2056" max="2056" width="13.42578125" style="583" customWidth="1"/>
    <col min="2057" max="2057" width="13.85546875" style="583" customWidth="1"/>
    <col min="2058" max="2304" width="9.140625" style="583"/>
    <col min="2305" max="2305" width="13" style="583" customWidth="1"/>
    <col min="2306" max="2306" width="9.140625" style="583"/>
    <col min="2307" max="2307" width="13" style="583" customWidth="1"/>
    <col min="2308" max="2308" width="29.7109375" style="583" customWidth="1"/>
    <col min="2309" max="2309" width="7.7109375" style="583" customWidth="1"/>
    <col min="2310" max="2310" width="6" style="583" customWidth="1"/>
    <col min="2311" max="2311" width="11.5703125" style="583" customWidth="1"/>
    <col min="2312" max="2312" width="13.42578125" style="583" customWidth="1"/>
    <col min="2313" max="2313" width="13.85546875" style="583" customWidth="1"/>
    <col min="2314" max="2560" width="9.140625" style="583"/>
    <col min="2561" max="2561" width="13" style="583" customWidth="1"/>
    <col min="2562" max="2562" width="9.140625" style="583"/>
    <col min="2563" max="2563" width="13" style="583" customWidth="1"/>
    <col min="2564" max="2564" width="29.7109375" style="583" customWidth="1"/>
    <col min="2565" max="2565" width="7.7109375" style="583" customWidth="1"/>
    <col min="2566" max="2566" width="6" style="583" customWidth="1"/>
    <col min="2567" max="2567" width="11.5703125" style="583" customWidth="1"/>
    <col min="2568" max="2568" width="13.42578125" style="583" customWidth="1"/>
    <col min="2569" max="2569" width="13.85546875" style="583" customWidth="1"/>
    <col min="2570" max="2816" width="9.140625" style="583"/>
    <col min="2817" max="2817" width="13" style="583" customWidth="1"/>
    <col min="2818" max="2818" width="9.140625" style="583"/>
    <col min="2819" max="2819" width="13" style="583" customWidth="1"/>
    <col min="2820" max="2820" width="29.7109375" style="583" customWidth="1"/>
    <col min="2821" max="2821" width="7.7109375" style="583" customWidth="1"/>
    <col min="2822" max="2822" width="6" style="583" customWidth="1"/>
    <col min="2823" max="2823" width="11.5703125" style="583" customWidth="1"/>
    <col min="2824" max="2824" width="13.42578125" style="583" customWidth="1"/>
    <col min="2825" max="2825" width="13.85546875" style="583" customWidth="1"/>
    <col min="2826" max="3072" width="9.140625" style="583"/>
    <col min="3073" max="3073" width="13" style="583" customWidth="1"/>
    <col min="3074" max="3074" width="9.140625" style="583"/>
    <col min="3075" max="3075" width="13" style="583" customWidth="1"/>
    <col min="3076" max="3076" width="29.7109375" style="583" customWidth="1"/>
    <col min="3077" max="3077" width="7.7109375" style="583" customWidth="1"/>
    <col min="3078" max="3078" width="6" style="583" customWidth="1"/>
    <col min="3079" max="3079" width="11.5703125" style="583" customWidth="1"/>
    <col min="3080" max="3080" width="13.42578125" style="583" customWidth="1"/>
    <col min="3081" max="3081" width="13.85546875" style="583" customWidth="1"/>
    <col min="3082" max="3328" width="9.140625" style="583"/>
    <col min="3329" max="3329" width="13" style="583" customWidth="1"/>
    <col min="3330" max="3330" width="9.140625" style="583"/>
    <col min="3331" max="3331" width="13" style="583" customWidth="1"/>
    <col min="3332" max="3332" width="29.7109375" style="583" customWidth="1"/>
    <col min="3333" max="3333" width="7.7109375" style="583" customWidth="1"/>
    <col min="3334" max="3334" width="6" style="583" customWidth="1"/>
    <col min="3335" max="3335" width="11.5703125" style="583" customWidth="1"/>
    <col min="3336" max="3336" width="13.42578125" style="583" customWidth="1"/>
    <col min="3337" max="3337" width="13.85546875" style="583" customWidth="1"/>
    <col min="3338" max="3584" width="9.140625" style="583"/>
    <col min="3585" max="3585" width="13" style="583" customWidth="1"/>
    <col min="3586" max="3586" width="9.140625" style="583"/>
    <col min="3587" max="3587" width="13" style="583" customWidth="1"/>
    <col min="3588" max="3588" width="29.7109375" style="583" customWidth="1"/>
    <col min="3589" max="3589" width="7.7109375" style="583" customWidth="1"/>
    <col min="3590" max="3590" width="6" style="583" customWidth="1"/>
    <col min="3591" max="3591" width="11.5703125" style="583" customWidth="1"/>
    <col min="3592" max="3592" width="13.42578125" style="583" customWidth="1"/>
    <col min="3593" max="3593" width="13.85546875" style="583" customWidth="1"/>
    <col min="3594" max="3840" width="9.140625" style="583"/>
    <col min="3841" max="3841" width="13" style="583" customWidth="1"/>
    <col min="3842" max="3842" width="9.140625" style="583"/>
    <col min="3843" max="3843" width="13" style="583" customWidth="1"/>
    <col min="3844" max="3844" width="29.7109375" style="583" customWidth="1"/>
    <col min="3845" max="3845" width="7.7109375" style="583" customWidth="1"/>
    <col min="3846" max="3846" width="6" style="583" customWidth="1"/>
    <col min="3847" max="3847" width="11.5703125" style="583" customWidth="1"/>
    <col min="3848" max="3848" width="13.42578125" style="583" customWidth="1"/>
    <col min="3849" max="3849" width="13.85546875" style="583" customWidth="1"/>
    <col min="3850" max="4096" width="9.140625" style="583"/>
    <col min="4097" max="4097" width="13" style="583" customWidth="1"/>
    <col min="4098" max="4098" width="9.140625" style="583"/>
    <col min="4099" max="4099" width="13" style="583" customWidth="1"/>
    <col min="4100" max="4100" width="29.7109375" style="583" customWidth="1"/>
    <col min="4101" max="4101" width="7.7109375" style="583" customWidth="1"/>
    <col min="4102" max="4102" width="6" style="583" customWidth="1"/>
    <col min="4103" max="4103" width="11.5703125" style="583" customWidth="1"/>
    <col min="4104" max="4104" width="13.42578125" style="583" customWidth="1"/>
    <col min="4105" max="4105" width="13.85546875" style="583" customWidth="1"/>
    <col min="4106" max="4352" width="9.140625" style="583"/>
    <col min="4353" max="4353" width="13" style="583" customWidth="1"/>
    <col min="4354" max="4354" width="9.140625" style="583"/>
    <col min="4355" max="4355" width="13" style="583" customWidth="1"/>
    <col min="4356" max="4356" width="29.7109375" style="583" customWidth="1"/>
    <col min="4357" max="4357" width="7.7109375" style="583" customWidth="1"/>
    <col min="4358" max="4358" width="6" style="583" customWidth="1"/>
    <col min="4359" max="4359" width="11.5703125" style="583" customWidth="1"/>
    <col min="4360" max="4360" width="13.42578125" style="583" customWidth="1"/>
    <col min="4361" max="4361" width="13.85546875" style="583" customWidth="1"/>
    <col min="4362" max="4608" width="9.140625" style="583"/>
    <col min="4609" max="4609" width="13" style="583" customWidth="1"/>
    <col min="4610" max="4610" width="9.140625" style="583"/>
    <col min="4611" max="4611" width="13" style="583" customWidth="1"/>
    <col min="4612" max="4612" width="29.7109375" style="583" customWidth="1"/>
    <col min="4613" max="4613" width="7.7109375" style="583" customWidth="1"/>
    <col min="4614" max="4614" width="6" style="583" customWidth="1"/>
    <col min="4615" max="4615" width="11.5703125" style="583" customWidth="1"/>
    <col min="4616" max="4616" width="13.42578125" style="583" customWidth="1"/>
    <col min="4617" max="4617" width="13.85546875" style="583" customWidth="1"/>
    <col min="4618" max="4864" width="9.140625" style="583"/>
    <col min="4865" max="4865" width="13" style="583" customWidth="1"/>
    <col min="4866" max="4866" width="9.140625" style="583"/>
    <col min="4867" max="4867" width="13" style="583" customWidth="1"/>
    <col min="4868" max="4868" width="29.7109375" style="583" customWidth="1"/>
    <col min="4869" max="4869" width="7.7109375" style="583" customWidth="1"/>
    <col min="4870" max="4870" width="6" style="583" customWidth="1"/>
    <col min="4871" max="4871" width="11.5703125" style="583" customWidth="1"/>
    <col min="4872" max="4872" width="13.42578125" style="583" customWidth="1"/>
    <col min="4873" max="4873" width="13.85546875" style="583" customWidth="1"/>
    <col min="4874" max="5120" width="9.140625" style="583"/>
    <col min="5121" max="5121" width="13" style="583" customWidth="1"/>
    <col min="5122" max="5122" width="9.140625" style="583"/>
    <col min="5123" max="5123" width="13" style="583" customWidth="1"/>
    <col min="5124" max="5124" width="29.7109375" style="583" customWidth="1"/>
    <col min="5125" max="5125" width="7.7109375" style="583" customWidth="1"/>
    <col min="5126" max="5126" width="6" style="583" customWidth="1"/>
    <col min="5127" max="5127" width="11.5703125" style="583" customWidth="1"/>
    <col min="5128" max="5128" width="13.42578125" style="583" customWidth="1"/>
    <col min="5129" max="5129" width="13.85546875" style="583" customWidth="1"/>
    <col min="5130" max="5376" width="9.140625" style="583"/>
    <col min="5377" max="5377" width="13" style="583" customWidth="1"/>
    <col min="5378" max="5378" width="9.140625" style="583"/>
    <col min="5379" max="5379" width="13" style="583" customWidth="1"/>
    <col min="5380" max="5380" width="29.7109375" style="583" customWidth="1"/>
    <col min="5381" max="5381" width="7.7109375" style="583" customWidth="1"/>
    <col min="5382" max="5382" width="6" style="583" customWidth="1"/>
    <col min="5383" max="5383" width="11.5703125" style="583" customWidth="1"/>
    <col min="5384" max="5384" width="13.42578125" style="583" customWidth="1"/>
    <col min="5385" max="5385" width="13.85546875" style="583" customWidth="1"/>
    <col min="5386" max="5632" width="9.140625" style="583"/>
    <col min="5633" max="5633" width="13" style="583" customWidth="1"/>
    <col min="5634" max="5634" width="9.140625" style="583"/>
    <col min="5635" max="5635" width="13" style="583" customWidth="1"/>
    <col min="5636" max="5636" width="29.7109375" style="583" customWidth="1"/>
    <col min="5637" max="5637" width="7.7109375" style="583" customWidth="1"/>
    <col min="5638" max="5638" width="6" style="583" customWidth="1"/>
    <col min="5639" max="5639" width="11.5703125" style="583" customWidth="1"/>
    <col min="5640" max="5640" width="13.42578125" style="583" customWidth="1"/>
    <col min="5641" max="5641" width="13.85546875" style="583" customWidth="1"/>
    <col min="5642" max="5888" width="9.140625" style="583"/>
    <col min="5889" max="5889" width="13" style="583" customWidth="1"/>
    <col min="5890" max="5890" width="9.140625" style="583"/>
    <col min="5891" max="5891" width="13" style="583" customWidth="1"/>
    <col min="5892" max="5892" width="29.7109375" style="583" customWidth="1"/>
    <col min="5893" max="5893" width="7.7109375" style="583" customWidth="1"/>
    <col min="5894" max="5894" width="6" style="583" customWidth="1"/>
    <col min="5895" max="5895" width="11.5703125" style="583" customWidth="1"/>
    <col min="5896" max="5896" width="13.42578125" style="583" customWidth="1"/>
    <col min="5897" max="5897" width="13.85546875" style="583" customWidth="1"/>
    <col min="5898" max="6144" width="9.140625" style="583"/>
    <col min="6145" max="6145" width="13" style="583" customWidth="1"/>
    <col min="6146" max="6146" width="9.140625" style="583"/>
    <col min="6147" max="6147" width="13" style="583" customWidth="1"/>
    <col min="6148" max="6148" width="29.7109375" style="583" customWidth="1"/>
    <col min="6149" max="6149" width="7.7109375" style="583" customWidth="1"/>
    <col min="6150" max="6150" width="6" style="583" customWidth="1"/>
    <col min="6151" max="6151" width="11.5703125" style="583" customWidth="1"/>
    <col min="6152" max="6152" width="13.42578125" style="583" customWidth="1"/>
    <col min="6153" max="6153" width="13.85546875" style="583" customWidth="1"/>
    <col min="6154" max="6400" width="9.140625" style="583"/>
    <col min="6401" max="6401" width="13" style="583" customWidth="1"/>
    <col min="6402" max="6402" width="9.140625" style="583"/>
    <col min="6403" max="6403" width="13" style="583" customWidth="1"/>
    <col min="6404" max="6404" width="29.7109375" style="583" customWidth="1"/>
    <col min="6405" max="6405" width="7.7109375" style="583" customWidth="1"/>
    <col min="6406" max="6406" width="6" style="583" customWidth="1"/>
    <col min="6407" max="6407" width="11.5703125" style="583" customWidth="1"/>
    <col min="6408" max="6408" width="13.42578125" style="583" customWidth="1"/>
    <col min="6409" max="6409" width="13.85546875" style="583" customWidth="1"/>
    <col min="6410" max="6656" width="9.140625" style="583"/>
    <col min="6657" max="6657" width="13" style="583" customWidth="1"/>
    <col min="6658" max="6658" width="9.140625" style="583"/>
    <col min="6659" max="6659" width="13" style="583" customWidth="1"/>
    <col min="6660" max="6660" width="29.7109375" style="583" customWidth="1"/>
    <col min="6661" max="6661" width="7.7109375" style="583" customWidth="1"/>
    <col min="6662" max="6662" width="6" style="583" customWidth="1"/>
    <col min="6663" max="6663" width="11.5703125" style="583" customWidth="1"/>
    <col min="6664" max="6664" width="13.42578125" style="583" customWidth="1"/>
    <col min="6665" max="6665" width="13.85546875" style="583" customWidth="1"/>
    <col min="6666" max="6912" width="9.140625" style="583"/>
    <col min="6913" max="6913" width="13" style="583" customWidth="1"/>
    <col min="6914" max="6914" width="9.140625" style="583"/>
    <col min="6915" max="6915" width="13" style="583" customWidth="1"/>
    <col min="6916" max="6916" width="29.7109375" style="583" customWidth="1"/>
    <col min="6917" max="6917" width="7.7109375" style="583" customWidth="1"/>
    <col min="6918" max="6918" width="6" style="583" customWidth="1"/>
    <col min="6919" max="6919" width="11.5703125" style="583" customWidth="1"/>
    <col min="6920" max="6920" width="13.42578125" style="583" customWidth="1"/>
    <col min="6921" max="6921" width="13.85546875" style="583" customWidth="1"/>
    <col min="6922" max="7168" width="9.140625" style="583"/>
    <col min="7169" max="7169" width="13" style="583" customWidth="1"/>
    <col min="7170" max="7170" width="9.140625" style="583"/>
    <col min="7171" max="7171" width="13" style="583" customWidth="1"/>
    <col min="7172" max="7172" width="29.7109375" style="583" customWidth="1"/>
    <col min="7173" max="7173" width="7.7109375" style="583" customWidth="1"/>
    <col min="7174" max="7174" width="6" style="583" customWidth="1"/>
    <col min="7175" max="7175" width="11.5703125" style="583" customWidth="1"/>
    <col min="7176" max="7176" width="13.42578125" style="583" customWidth="1"/>
    <col min="7177" max="7177" width="13.85546875" style="583" customWidth="1"/>
    <col min="7178" max="7424" width="9.140625" style="583"/>
    <col min="7425" max="7425" width="13" style="583" customWidth="1"/>
    <col min="7426" max="7426" width="9.140625" style="583"/>
    <col min="7427" max="7427" width="13" style="583" customWidth="1"/>
    <col min="7428" max="7428" width="29.7109375" style="583" customWidth="1"/>
    <col min="7429" max="7429" width="7.7109375" style="583" customWidth="1"/>
    <col min="7430" max="7430" width="6" style="583" customWidth="1"/>
    <col min="7431" max="7431" width="11.5703125" style="583" customWidth="1"/>
    <col min="7432" max="7432" width="13.42578125" style="583" customWidth="1"/>
    <col min="7433" max="7433" width="13.85546875" style="583" customWidth="1"/>
    <col min="7434" max="7680" width="9.140625" style="583"/>
    <col min="7681" max="7681" width="13" style="583" customWidth="1"/>
    <col min="7682" max="7682" width="9.140625" style="583"/>
    <col min="7683" max="7683" width="13" style="583" customWidth="1"/>
    <col min="7684" max="7684" width="29.7109375" style="583" customWidth="1"/>
    <col min="7685" max="7685" width="7.7109375" style="583" customWidth="1"/>
    <col min="7686" max="7686" width="6" style="583" customWidth="1"/>
    <col min="7687" max="7687" width="11.5703125" style="583" customWidth="1"/>
    <col min="7688" max="7688" width="13.42578125" style="583" customWidth="1"/>
    <col min="7689" max="7689" width="13.85546875" style="583" customWidth="1"/>
    <col min="7690" max="7936" width="9.140625" style="583"/>
    <col min="7937" max="7937" width="13" style="583" customWidth="1"/>
    <col min="7938" max="7938" width="9.140625" style="583"/>
    <col min="7939" max="7939" width="13" style="583" customWidth="1"/>
    <col min="7940" max="7940" width="29.7109375" style="583" customWidth="1"/>
    <col min="7941" max="7941" width="7.7109375" style="583" customWidth="1"/>
    <col min="7942" max="7942" width="6" style="583" customWidth="1"/>
    <col min="7943" max="7943" width="11.5703125" style="583" customWidth="1"/>
    <col min="7944" max="7944" width="13.42578125" style="583" customWidth="1"/>
    <col min="7945" max="7945" width="13.85546875" style="583" customWidth="1"/>
    <col min="7946" max="8192" width="9.140625" style="583"/>
    <col min="8193" max="8193" width="13" style="583" customWidth="1"/>
    <col min="8194" max="8194" width="9.140625" style="583"/>
    <col min="8195" max="8195" width="13" style="583" customWidth="1"/>
    <col min="8196" max="8196" width="29.7109375" style="583" customWidth="1"/>
    <col min="8197" max="8197" width="7.7109375" style="583" customWidth="1"/>
    <col min="8198" max="8198" width="6" style="583" customWidth="1"/>
    <col min="8199" max="8199" width="11.5703125" style="583" customWidth="1"/>
    <col min="8200" max="8200" width="13.42578125" style="583" customWidth="1"/>
    <col min="8201" max="8201" width="13.85546875" style="583" customWidth="1"/>
    <col min="8202" max="8448" width="9.140625" style="583"/>
    <col min="8449" max="8449" width="13" style="583" customWidth="1"/>
    <col min="8450" max="8450" width="9.140625" style="583"/>
    <col min="8451" max="8451" width="13" style="583" customWidth="1"/>
    <col min="8452" max="8452" width="29.7109375" style="583" customWidth="1"/>
    <col min="8453" max="8453" width="7.7109375" style="583" customWidth="1"/>
    <col min="8454" max="8454" width="6" style="583" customWidth="1"/>
    <col min="8455" max="8455" width="11.5703125" style="583" customWidth="1"/>
    <col min="8456" max="8456" width="13.42578125" style="583" customWidth="1"/>
    <col min="8457" max="8457" width="13.85546875" style="583" customWidth="1"/>
    <col min="8458" max="8704" width="9.140625" style="583"/>
    <col min="8705" max="8705" width="13" style="583" customWidth="1"/>
    <col min="8706" max="8706" width="9.140625" style="583"/>
    <col min="8707" max="8707" width="13" style="583" customWidth="1"/>
    <col min="8708" max="8708" width="29.7109375" style="583" customWidth="1"/>
    <col min="8709" max="8709" width="7.7109375" style="583" customWidth="1"/>
    <col min="8710" max="8710" width="6" style="583" customWidth="1"/>
    <col min="8711" max="8711" width="11.5703125" style="583" customWidth="1"/>
    <col min="8712" max="8712" width="13.42578125" style="583" customWidth="1"/>
    <col min="8713" max="8713" width="13.85546875" style="583" customWidth="1"/>
    <col min="8714" max="8960" width="9.140625" style="583"/>
    <col min="8961" max="8961" width="13" style="583" customWidth="1"/>
    <col min="8962" max="8962" width="9.140625" style="583"/>
    <col min="8963" max="8963" width="13" style="583" customWidth="1"/>
    <col min="8964" max="8964" width="29.7109375" style="583" customWidth="1"/>
    <col min="8965" max="8965" width="7.7109375" style="583" customWidth="1"/>
    <col min="8966" max="8966" width="6" style="583" customWidth="1"/>
    <col min="8967" max="8967" width="11.5703125" style="583" customWidth="1"/>
    <col min="8968" max="8968" width="13.42578125" style="583" customWidth="1"/>
    <col min="8969" max="8969" width="13.85546875" style="583" customWidth="1"/>
    <col min="8970" max="9216" width="9.140625" style="583"/>
    <col min="9217" max="9217" width="13" style="583" customWidth="1"/>
    <col min="9218" max="9218" width="9.140625" style="583"/>
    <col min="9219" max="9219" width="13" style="583" customWidth="1"/>
    <col min="9220" max="9220" width="29.7109375" style="583" customWidth="1"/>
    <col min="9221" max="9221" width="7.7109375" style="583" customWidth="1"/>
    <col min="9222" max="9222" width="6" style="583" customWidth="1"/>
    <col min="9223" max="9223" width="11.5703125" style="583" customWidth="1"/>
    <col min="9224" max="9224" width="13.42578125" style="583" customWidth="1"/>
    <col min="9225" max="9225" width="13.85546875" style="583" customWidth="1"/>
    <col min="9226" max="9472" width="9.140625" style="583"/>
    <col min="9473" max="9473" width="13" style="583" customWidth="1"/>
    <col min="9474" max="9474" width="9.140625" style="583"/>
    <col min="9475" max="9475" width="13" style="583" customWidth="1"/>
    <col min="9476" max="9476" width="29.7109375" style="583" customWidth="1"/>
    <col min="9477" max="9477" width="7.7109375" style="583" customWidth="1"/>
    <col min="9478" max="9478" width="6" style="583" customWidth="1"/>
    <col min="9479" max="9479" width="11.5703125" style="583" customWidth="1"/>
    <col min="9480" max="9480" width="13.42578125" style="583" customWidth="1"/>
    <col min="9481" max="9481" width="13.85546875" style="583" customWidth="1"/>
    <col min="9482" max="9728" width="9.140625" style="583"/>
    <col min="9729" max="9729" width="13" style="583" customWidth="1"/>
    <col min="9730" max="9730" width="9.140625" style="583"/>
    <col min="9731" max="9731" width="13" style="583" customWidth="1"/>
    <col min="9732" max="9732" width="29.7109375" style="583" customWidth="1"/>
    <col min="9733" max="9733" width="7.7109375" style="583" customWidth="1"/>
    <col min="9734" max="9734" width="6" style="583" customWidth="1"/>
    <col min="9735" max="9735" width="11.5703125" style="583" customWidth="1"/>
    <col min="9736" max="9736" width="13.42578125" style="583" customWidth="1"/>
    <col min="9737" max="9737" width="13.85546875" style="583" customWidth="1"/>
    <col min="9738" max="9984" width="9.140625" style="583"/>
    <col min="9985" max="9985" width="13" style="583" customWidth="1"/>
    <col min="9986" max="9986" width="9.140625" style="583"/>
    <col min="9987" max="9987" width="13" style="583" customWidth="1"/>
    <col min="9988" max="9988" width="29.7109375" style="583" customWidth="1"/>
    <col min="9989" max="9989" width="7.7109375" style="583" customWidth="1"/>
    <col min="9990" max="9990" width="6" style="583" customWidth="1"/>
    <col min="9991" max="9991" width="11.5703125" style="583" customWidth="1"/>
    <col min="9992" max="9992" width="13.42578125" style="583" customWidth="1"/>
    <col min="9993" max="9993" width="13.85546875" style="583" customWidth="1"/>
    <col min="9994" max="10240" width="9.140625" style="583"/>
    <col min="10241" max="10241" width="13" style="583" customWidth="1"/>
    <col min="10242" max="10242" width="9.140625" style="583"/>
    <col min="10243" max="10243" width="13" style="583" customWidth="1"/>
    <col min="10244" max="10244" width="29.7109375" style="583" customWidth="1"/>
    <col min="10245" max="10245" width="7.7109375" style="583" customWidth="1"/>
    <col min="10246" max="10246" width="6" style="583" customWidth="1"/>
    <col min="10247" max="10247" width="11.5703125" style="583" customWidth="1"/>
    <col min="10248" max="10248" width="13.42578125" style="583" customWidth="1"/>
    <col min="10249" max="10249" width="13.85546875" style="583" customWidth="1"/>
    <col min="10250" max="10496" width="9.140625" style="583"/>
    <col min="10497" max="10497" width="13" style="583" customWidth="1"/>
    <col min="10498" max="10498" width="9.140625" style="583"/>
    <col min="10499" max="10499" width="13" style="583" customWidth="1"/>
    <col min="10500" max="10500" width="29.7109375" style="583" customWidth="1"/>
    <col min="10501" max="10501" width="7.7109375" style="583" customWidth="1"/>
    <col min="10502" max="10502" width="6" style="583" customWidth="1"/>
    <col min="10503" max="10503" width="11.5703125" style="583" customWidth="1"/>
    <col min="10504" max="10504" width="13.42578125" style="583" customWidth="1"/>
    <col min="10505" max="10505" width="13.85546875" style="583" customWidth="1"/>
    <col min="10506" max="10752" width="9.140625" style="583"/>
    <col min="10753" max="10753" width="13" style="583" customWidth="1"/>
    <col min="10754" max="10754" width="9.140625" style="583"/>
    <col min="10755" max="10755" width="13" style="583" customWidth="1"/>
    <col min="10756" max="10756" width="29.7109375" style="583" customWidth="1"/>
    <col min="10757" max="10757" width="7.7109375" style="583" customWidth="1"/>
    <col min="10758" max="10758" width="6" style="583" customWidth="1"/>
    <col min="10759" max="10759" width="11.5703125" style="583" customWidth="1"/>
    <col min="10760" max="10760" width="13.42578125" style="583" customWidth="1"/>
    <col min="10761" max="10761" width="13.85546875" style="583" customWidth="1"/>
    <col min="10762" max="11008" width="9.140625" style="583"/>
    <col min="11009" max="11009" width="13" style="583" customWidth="1"/>
    <col min="11010" max="11010" width="9.140625" style="583"/>
    <col min="11011" max="11011" width="13" style="583" customWidth="1"/>
    <col min="11012" max="11012" width="29.7109375" style="583" customWidth="1"/>
    <col min="11013" max="11013" width="7.7109375" style="583" customWidth="1"/>
    <col min="11014" max="11014" width="6" style="583" customWidth="1"/>
    <col min="11015" max="11015" width="11.5703125" style="583" customWidth="1"/>
    <col min="11016" max="11016" width="13.42578125" style="583" customWidth="1"/>
    <col min="11017" max="11017" width="13.85546875" style="583" customWidth="1"/>
    <col min="11018" max="11264" width="9.140625" style="583"/>
    <col min="11265" max="11265" width="13" style="583" customWidth="1"/>
    <col min="11266" max="11266" width="9.140625" style="583"/>
    <col min="11267" max="11267" width="13" style="583" customWidth="1"/>
    <col min="11268" max="11268" width="29.7109375" style="583" customWidth="1"/>
    <col min="11269" max="11269" width="7.7109375" style="583" customWidth="1"/>
    <col min="11270" max="11270" width="6" style="583" customWidth="1"/>
    <col min="11271" max="11271" width="11.5703125" style="583" customWidth="1"/>
    <col min="11272" max="11272" width="13.42578125" style="583" customWidth="1"/>
    <col min="11273" max="11273" width="13.85546875" style="583" customWidth="1"/>
    <col min="11274" max="11520" width="9.140625" style="583"/>
    <col min="11521" max="11521" width="13" style="583" customWidth="1"/>
    <col min="11522" max="11522" width="9.140625" style="583"/>
    <col min="11523" max="11523" width="13" style="583" customWidth="1"/>
    <col min="11524" max="11524" width="29.7109375" style="583" customWidth="1"/>
    <col min="11525" max="11525" width="7.7109375" style="583" customWidth="1"/>
    <col min="11526" max="11526" width="6" style="583" customWidth="1"/>
    <col min="11527" max="11527" width="11.5703125" style="583" customWidth="1"/>
    <col min="11528" max="11528" width="13.42578125" style="583" customWidth="1"/>
    <col min="11529" max="11529" width="13.85546875" style="583" customWidth="1"/>
    <col min="11530" max="11776" width="9.140625" style="583"/>
    <col min="11777" max="11777" width="13" style="583" customWidth="1"/>
    <col min="11778" max="11778" width="9.140625" style="583"/>
    <col min="11779" max="11779" width="13" style="583" customWidth="1"/>
    <col min="11780" max="11780" width="29.7109375" style="583" customWidth="1"/>
    <col min="11781" max="11781" width="7.7109375" style="583" customWidth="1"/>
    <col min="11782" max="11782" width="6" style="583" customWidth="1"/>
    <col min="11783" max="11783" width="11.5703125" style="583" customWidth="1"/>
    <col min="11784" max="11784" width="13.42578125" style="583" customWidth="1"/>
    <col min="11785" max="11785" width="13.85546875" style="583" customWidth="1"/>
    <col min="11786" max="12032" width="9.140625" style="583"/>
    <col min="12033" max="12033" width="13" style="583" customWidth="1"/>
    <col min="12034" max="12034" width="9.140625" style="583"/>
    <col min="12035" max="12035" width="13" style="583" customWidth="1"/>
    <col min="12036" max="12036" width="29.7109375" style="583" customWidth="1"/>
    <col min="12037" max="12037" width="7.7109375" style="583" customWidth="1"/>
    <col min="12038" max="12038" width="6" style="583" customWidth="1"/>
    <col min="12039" max="12039" width="11.5703125" style="583" customWidth="1"/>
    <col min="12040" max="12040" width="13.42578125" style="583" customWidth="1"/>
    <col min="12041" max="12041" width="13.85546875" style="583" customWidth="1"/>
    <col min="12042" max="12288" width="9.140625" style="583"/>
    <col min="12289" max="12289" width="13" style="583" customWidth="1"/>
    <col min="12290" max="12290" width="9.140625" style="583"/>
    <col min="12291" max="12291" width="13" style="583" customWidth="1"/>
    <col min="12292" max="12292" width="29.7109375" style="583" customWidth="1"/>
    <col min="12293" max="12293" width="7.7109375" style="583" customWidth="1"/>
    <col min="12294" max="12294" width="6" style="583" customWidth="1"/>
    <col min="12295" max="12295" width="11.5703125" style="583" customWidth="1"/>
    <col min="12296" max="12296" width="13.42578125" style="583" customWidth="1"/>
    <col min="12297" max="12297" width="13.85546875" style="583" customWidth="1"/>
    <col min="12298" max="12544" width="9.140625" style="583"/>
    <col min="12545" max="12545" width="13" style="583" customWidth="1"/>
    <col min="12546" max="12546" width="9.140625" style="583"/>
    <col min="12547" max="12547" width="13" style="583" customWidth="1"/>
    <col min="12548" max="12548" width="29.7109375" style="583" customWidth="1"/>
    <col min="12549" max="12549" width="7.7109375" style="583" customWidth="1"/>
    <col min="12550" max="12550" width="6" style="583" customWidth="1"/>
    <col min="12551" max="12551" width="11.5703125" style="583" customWidth="1"/>
    <col min="12552" max="12552" width="13.42578125" style="583" customWidth="1"/>
    <col min="12553" max="12553" width="13.85546875" style="583" customWidth="1"/>
    <col min="12554" max="12800" width="9.140625" style="583"/>
    <col min="12801" max="12801" width="13" style="583" customWidth="1"/>
    <col min="12802" max="12802" width="9.140625" style="583"/>
    <col min="12803" max="12803" width="13" style="583" customWidth="1"/>
    <col min="12804" max="12804" width="29.7109375" style="583" customWidth="1"/>
    <col min="12805" max="12805" width="7.7109375" style="583" customWidth="1"/>
    <col min="12806" max="12806" width="6" style="583" customWidth="1"/>
    <col min="12807" max="12807" width="11.5703125" style="583" customWidth="1"/>
    <col min="12808" max="12808" width="13.42578125" style="583" customWidth="1"/>
    <col min="12809" max="12809" width="13.85546875" style="583" customWidth="1"/>
    <col min="12810" max="13056" width="9.140625" style="583"/>
    <col min="13057" max="13057" width="13" style="583" customWidth="1"/>
    <col min="13058" max="13058" width="9.140625" style="583"/>
    <col min="13059" max="13059" width="13" style="583" customWidth="1"/>
    <col min="13060" max="13060" width="29.7109375" style="583" customWidth="1"/>
    <col min="13061" max="13061" width="7.7109375" style="583" customWidth="1"/>
    <col min="13062" max="13062" width="6" style="583" customWidth="1"/>
    <col min="13063" max="13063" width="11.5703125" style="583" customWidth="1"/>
    <col min="13064" max="13064" width="13.42578125" style="583" customWidth="1"/>
    <col min="13065" max="13065" width="13.85546875" style="583" customWidth="1"/>
    <col min="13066" max="13312" width="9.140625" style="583"/>
    <col min="13313" max="13313" width="13" style="583" customWidth="1"/>
    <col min="13314" max="13314" width="9.140625" style="583"/>
    <col min="13315" max="13315" width="13" style="583" customWidth="1"/>
    <col min="13316" max="13316" width="29.7109375" style="583" customWidth="1"/>
    <col min="13317" max="13317" width="7.7109375" style="583" customWidth="1"/>
    <col min="13318" max="13318" width="6" style="583" customWidth="1"/>
    <col min="13319" max="13319" width="11.5703125" style="583" customWidth="1"/>
    <col min="13320" max="13320" width="13.42578125" style="583" customWidth="1"/>
    <col min="13321" max="13321" width="13.85546875" style="583" customWidth="1"/>
    <col min="13322" max="13568" width="9.140625" style="583"/>
    <col min="13569" max="13569" width="13" style="583" customWidth="1"/>
    <col min="13570" max="13570" width="9.140625" style="583"/>
    <col min="13571" max="13571" width="13" style="583" customWidth="1"/>
    <col min="13572" max="13572" width="29.7109375" style="583" customWidth="1"/>
    <col min="13573" max="13573" width="7.7109375" style="583" customWidth="1"/>
    <col min="13574" max="13574" width="6" style="583" customWidth="1"/>
    <col min="13575" max="13575" width="11.5703125" style="583" customWidth="1"/>
    <col min="13576" max="13576" width="13.42578125" style="583" customWidth="1"/>
    <col min="13577" max="13577" width="13.85546875" style="583" customWidth="1"/>
    <col min="13578" max="13824" width="9.140625" style="583"/>
    <col min="13825" max="13825" width="13" style="583" customWidth="1"/>
    <col min="13826" max="13826" width="9.140625" style="583"/>
    <col min="13827" max="13827" width="13" style="583" customWidth="1"/>
    <col min="13828" max="13828" width="29.7109375" style="583" customWidth="1"/>
    <col min="13829" max="13829" width="7.7109375" style="583" customWidth="1"/>
    <col min="13830" max="13830" width="6" style="583" customWidth="1"/>
    <col min="13831" max="13831" width="11.5703125" style="583" customWidth="1"/>
    <col min="13832" max="13832" width="13.42578125" style="583" customWidth="1"/>
    <col min="13833" max="13833" width="13.85546875" style="583" customWidth="1"/>
    <col min="13834" max="14080" width="9.140625" style="583"/>
    <col min="14081" max="14081" width="13" style="583" customWidth="1"/>
    <col min="14082" max="14082" width="9.140625" style="583"/>
    <col min="14083" max="14083" width="13" style="583" customWidth="1"/>
    <col min="14084" max="14084" width="29.7109375" style="583" customWidth="1"/>
    <col min="14085" max="14085" width="7.7109375" style="583" customWidth="1"/>
    <col min="14086" max="14086" width="6" style="583" customWidth="1"/>
    <col min="14087" max="14087" width="11.5703125" style="583" customWidth="1"/>
    <col min="14088" max="14088" width="13.42578125" style="583" customWidth="1"/>
    <col min="14089" max="14089" width="13.85546875" style="583" customWidth="1"/>
    <col min="14090" max="14336" width="9.140625" style="583"/>
    <col min="14337" max="14337" width="13" style="583" customWidth="1"/>
    <col min="14338" max="14338" width="9.140625" style="583"/>
    <col min="14339" max="14339" width="13" style="583" customWidth="1"/>
    <col min="14340" max="14340" width="29.7109375" style="583" customWidth="1"/>
    <col min="14341" max="14341" width="7.7109375" style="583" customWidth="1"/>
    <col min="14342" max="14342" width="6" style="583" customWidth="1"/>
    <col min="14343" max="14343" width="11.5703125" style="583" customWidth="1"/>
    <col min="14344" max="14344" width="13.42578125" style="583" customWidth="1"/>
    <col min="14345" max="14345" width="13.85546875" style="583" customWidth="1"/>
    <col min="14346" max="14592" width="9.140625" style="583"/>
    <col min="14593" max="14593" width="13" style="583" customWidth="1"/>
    <col min="14594" max="14594" width="9.140625" style="583"/>
    <col min="14595" max="14595" width="13" style="583" customWidth="1"/>
    <col min="14596" max="14596" width="29.7109375" style="583" customWidth="1"/>
    <col min="14597" max="14597" width="7.7109375" style="583" customWidth="1"/>
    <col min="14598" max="14598" width="6" style="583" customWidth="1"/>
    <col min="14599" max="14599" width="11.5703125" style="583" customWidth="1"/>
    <col min="14600" max="14600" width="13.42578125" style="583" customWidth="1"/>
    <col min="14601" max="14601" width="13.85546875" style="583" customWidth="1"/>
    <col min="14602" max="14848" width="9.140625" style="583"/>
    <col min="14849" max="14849" width="13" style="583" customWidth="1"/>
    <col min="14850" max="14850" width="9.140625" style="583"/>
    <col min="14851" max="14851" width="13" style="583" customWidth="1"/>
    <col min="14852" max="14852" width="29.7109375" style="583" customWidth="1"/>
    <col min="14853" max="14853" width="7.7109375" style="583" customWidth="1"/>
    <col min="14854" max="14854" width="6" style="583" customWidth="1"/>
    <col min="14855" max="14855" width="11.5703125" style="583" customWidth="1"/>
    <col min="14856" max="14856" width="13.42578125" style="583" customWidth="1"/>
    <col min="14857" max="14857" width="13.85546875" style="583" customWidth="1"/>
    <col min="14858" max="15104" width="9.140625" style="583"/>
    <col min="15105" max="15105" width="13" style="583" customWidth="1"/>
    <col min="15106" max="15106" width="9.140625" style="583"/>
    <col min="15107" max="15107" width="13" style="583" customWidth="1"/>
    <col min="15108" max="15108" width="29.7109375" style="583" customWidth="1"/>
    <col min="15109" max="15109" width="7.7109375" style="583" customWidth="1"/>
    <col min="15110" max="15110" width="6" style="583" customWidth="1"/>
    <col min="15111" max="15111" width="11.5703125" style="583" customWidth="1"/>
    <col min="15112" max="15112" width="13.42578125" style="583" customWidth="1"/>
    <col min="15113" max="15113" width="13.85546875" style="583" customWidth="1"/>
    <col min="15114" max="15360" width="9.140625" style="583"/>
    <col min="15361" max="15361" width="13" style="583" customWidth="1"/>
    <col min="15362" max="15362" width="9.140625" style="583"/>
    <col min="15363" max="15363" width="13" style="583" customWidth="1"/>
    <col min="15364" max="15364" width="29.7109375" style="583" customWidth="1"/>
    <col min="15365" max="15365" width="7.7109375" style="583" customWidth="1"/>
    <col min="15366" max="15366" width="6" style="583" customWidth="1"/>
    <col min="15367" max="15367" width="11.5703125" style="583" customWidth="1"/>
    <col min="15368" max="15368" width="13.42578125" style="583" customWidth="1"/>
    <col min="15369" max="15369" width="13.85546875" style="583" customWidth="1"/>
    <col min="15370" max="15616" width="9.140625" style="583"/>
    <col min="15617" max="15617" width="13" style="583" customWidth="1"/>
    <col min="15618" max="15618" width="9.140625" style="583"/>
    <col min="15619" max="15619" width="13" style="583" customWidth="1"/>
    <col min="15620" max="15620" width="29.7109375" style="583" customWidth="1"/>
    <col min="15621" max="15621" width="7.7109375" style="583" customWidth="1"/>
    <col min="15622" max="15622" width="6" style="583" customWidth="1"/>
    <col min="15623" max="15623" width="11.5703125" style="583" customWidth="1"/>
    <col min="15624" max="15624" width="13.42578125" style="583" customWidth="1"/>
    <col min="15625" max="15625" width="13.85546875" style="583" customWidth="1"/>
    <col min="15626" max="15872" width="9.140625" style="583"/>
    <col min="15873" max="15873" width="13" style="583" customWidth="1"/>
    <col min="15874" max="15874" width="9.140625" style="583"/>
    <col min="15875" max="15875" width="13" style="583" customWidth="1"/>
    <col min="15876" max="15876" width="29.7109375" style="583" customWidth="1"/>
    <col min="15877" max="15877" width="7.7109375" style="583" customWidth="1"/>
    <col min="15878" max="15878" width="6" style="583" customWidth="1"/>
    <col min="15879" max="15879" width="11.5703125" style="583" customWidth="1"/>
    <col min="15880" max="15880" width="13.42578125" style="583" customWidth="1"/>
    <col min="15881" max="15881" width="13.85546875" style="583" customWidth="1"/>
    <col min="15882" max="16128" width="9.140625" style="583"/>
    <col min="16129" max="16129" width="13" style="583" customWidth="1"/>
    <col min="16130" max="16130" width="9.140625" style="583"/>
    <col min="16131" max="16131" width="13" style="583" customWidth="1"/>
    <col min="16132" max="16132" width="29.7109375" style="583" customWidth="1"/>
    <col min="16133" max="16133" width="7.7109375" style="583" customWidth="1"/>
    <col min="16134" max="16134" width="6" style="583" customWidth="1"/>
    <col min="16135" max="16135" width="11.5703125" style="583" customWidth="1"/>
    <col min="16136" max="16136" width="13.42578125" style="583" customWidth="1"/>
    <col min="16137" max="16137" width="13.85546875" style="583" customWidth="1"/>
    <col min="16138" max="16384" width="9.140625" style="583"/>
  </cols>
  <sheetData>
    <row r="1" spans="1:14">
      <c r="A1" s="582" t="str">
        <f>TH!A1</f>
        <v>Đơn vị: CÔNG TY TNHH SX TM KIM DUNG PHÁT</v>
      </c>
      <c r="F1" s="987" t="s">
        <v>340</v>
      </c>
      <c r="G1" s="987"/>
      <c r="H1" s="987"/>
      <c r="I1" s="987"/>
    </row>
    <row r="2" spans="1:14">
      <c r="A2" s="583" t="str">
        <f>TH!A2</f>
        <v>Địa chỉ: 1A227/1 Ấp 1, Phạm Văn Hai, Bình Chánh, TPHCM</v>
      </c>
      <c r="F2" s="986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86"/>
      <c r="H2" s="986"/>
      <c r="I2" s="986"/>
    </row>
    <row r="3" spans="1:14">
      <c r="F3" s="986"/>
      <c r="G3" s="986"/>
      <c r="H3" s="986"/>
      <c r="I3" s="986"/>
    </row>
    <row r="4" spans="1:14">
      <c r="H4" s="584"/>
      <c r="I4" s="584"/>
    </row>
    <row r="5" spans="1:14" ht="26.25" customHeight="1">
      <c r="B5" s="585"/>
      <c r="C5" s="585"/>
      <c r="D5" s="586" t="s">
        <v>341</v>
      </c>
      <c r="E5" s="585"/>
      <c r="F5" s="585"/>
      <c r="G5" s="585"/>
      <c r="H5" s="585"/>
      <c r="I5" s="585"/>
      <c r="J5" s="585"/>
      <c r="K5" s="585"/>
    </row>
    <row r="6" spans="1:14">
      <c r="B6" s="587"/>
      <c r="C6" s="587"/>
      <c r="D6" s="588" t="str">
        <f ca="1">$K$9&amp;"   -   Năm:  " &amp;YEAR(A11)</f>
        <v>Quý III   -   Năm:  2016</v>
      </c>
      <c r="E6" s="587"/>
      <c r="F6" s="587"/>
      <c r="G6" s="587"/>
      <c r="H6" s="587"/>
      <c r="I6" s="587"/>
      <c r="J6" s="587"/>
      <c r="K6" s="587"/>
    </row>
    <row r="7" spans="1:14">
      <c r="A7" s="589"/>
      <c r="B7" s="589"/>
      <c r="C7" s="589"/>
      <c r="D7" s="589"/>
      <c r="E7" s="589"/>
      <c r="F7" s="589"/>
      <c r="G7" s="589"/>
      <c r="H7" s="990" t="s">
        <v>123</v>
      </c>
      <c r="I7" s="990"/>
      <c r="J7" s="589"/>
      <c r="K7" s="589"/>
      <c r="M7" s="989" t="s">
        <v>329</v>
      </c>
      <c r="N7" s="989"/>
    </row>
    <row r="8" spans="1:14" s="728" customFormat="1" ht="23.25" customHeight="1" thickBot="1">
      <c r="A8" s="991" t="s">
        <v>342</v>
      </c>
      <c r="B8" s="993" t="s">
        <v>1</v>
      </c>
      <c r="C8" s="994"/>
      <c r="D8" s="995" t="s">
        <v>0</v>
      </c>
      <c r="E8" s="991" t="s">
        <v>343</v>
      </c>
      <c r="F8" s="988" t="s">
        <v>94</v>
      </c>
      <c r="G8" s="988"/>
      <c r="H8" s="993" t="s">
        <v>21</v>
      </c>
      <c r="I8" s="994"/>
      <c r="J8" s="727"/>
      <c r="K8" s="727"/>
      <c r="M8" s="729">
        <f>IF(K9="Quý I",1,IF(K9="Quý II",4,IF(K9="Quý III",7,IF(K9="Quý IV",10,""))))</f>
        <v>7</v>
      </c>
      <c r="N8" s="729">
        <f>IF(K9="Quý I",3,IF(K9="Quý II",6,IF(K9="Quý III",9,IF(K9="Quý IV",12,""))))</f>
        <v>9</v>
      </c>
    </row>
    <row r="9" spans="1:14" s="728" customFormat="1" ht="28.5" customHeight="1" thickBot="1">
      <c r="A9" s="992"/>
      <c r="B9" s="730" t="s">
        <v>15</v>
      </c>
      <c r="C9" s="730" t="s">
        <v>32</v>
      </c>
      <c r="D9" s="996"/>
      <c r="E9" s="992"/>
      <c r="F9" s="731" t="s">
        <v>22</v>
      </c>
      <c r="G9" s="731" t="s">
        <v>23</v>
      </c>
      <c r="H9" s="730" t="s">
        <v>344</v>
      </c>
      <c r="I9" s="730" t="s">
        <v>23</v>
      </c>
      <c r="K9" s="656" t="s">
        <v>381</v>
      </c>
    </row>
    <row r="10" spans="1:14" s="728" customFormat="1" ht="21" customHeight="1">
      <c r="A10" s="732"/>
      <c r="B10" s="732"/>
      <c r="C10" s="732"/>
      <c r="D10" s="733" t="s">
        <v>347</v>
      </c>
      <c r="E10" s="734"/>
      <c r="F10" s="732"/>
      <c r="G10" s="732"/>
      <c r="H10" s="735">
        <f>SUMIF(_M,"&lt;"&amp;$M$8,TH)</f>
        <v>14951860272</v>
      </c>
      <c r="I10" s="735">
        <f>SUMIF(_M,"&lt;"&amp;$M$8,TH)</f>
        <v>14951860272</v>
      </c>
    </row>
    <row r="11" spans="1:14" s="728" customFormat="1" ht="21" customHeight="1">
      <c r="A11" s="736">
        <f ca="1">IF(ROWS($1:1)&gt;COUNT(Dong6),"",OFFSET(TH!C$1,SMALL(Dong6,ROWS($1:1)),))</f>
        <v>42552</v>
      </c>
      <c r="B11" s="737" t="str">
        <f ca="1">IF(ROWS($1:1)&gt;COUNT(Dong6),"",OFFSET(TH!D$1,SMALL(Dong6,ROWS($1:1)),))</f>
        <v>CTGS</v>
      </c>
      <c r="C11" s="736">
        <f ca="1">IF(ROWS($1:1)&gt;COUNT(Dong6),"",OFFSET(TH!E$1,SMALL(Dong6,ROWS($1:1)),))</f>
        <v>42552</v>
      </c>
      <c r="D11" s="738" t="str">
        <f ca="1">IF(ROWS($1:1)&gt;COUNT(Dong6),"",OFFSET(TH!F$1,SMALL(Dong6,ROWS($1:1)),))</f>
        <v>Trích khấu hao TSCĐ Hữu hình</v>
      </c>
      <c r="E11" s="737">
        <f t="shared" ref="E11:E40" ca="1" si="0">IF(D11&lt;&gt;"",ROW()-10,"")</f>
        <v>1</v>
      </c>
      <c r="F11" s="739" t="str">
        <f ca="1">IF(ROWS($1:1)&gt;COUNT(Dong6),"",OFFSET(TH!L$1,SMALL(Dong6,ROWS($1:1)),))</f>
        <v>154</v>
      </c>
      <c r="G11" s="739" t="str">
        <f ca="1">IF(ROWS($1:1)&gt;COUNT(Dong6),"",OFFSET(TH!M$1,SMALL(Dong6,ROWS($1:1)),))</f>
        <v>2141</v>
      </c>
      <c r="H11" s="655">
        <f ca="1">IF(ROWS($1:1)&gt;COUNT(Dong6),"",OFFSET(TH!K$1,SMALL(Dong6,ROWS($1:1)),))</f>
        <v>6250000</v>
      </c>
      <c r="I11" s="655">
        <f ca="1">IF(ROWS($1:1)&gt;COUNT(Dong6),"",OFFSET(TH!K$1,SMALL(Dong6,ROWS($1:1)),))</f>
        <v>6250000</v>
      </c>
    </row>
    <row r="12" spans="1:14" s="728" customFormat="1" ht="21" customHeight="1">
      <c r="A12" s="736">
        <f ca="1">IF(ROWS($1:2)&gt;COUNT(Dong6),"",OFFSET(TH!C$1,SMALL(Dong6,ROWS($1:2)),))</f>
        <v>42552</v>
      </c>
      <c r="B12" s="737" t="str">
        <f ca="1">IF(ROWS($1:2)&gt;COUNT(Dong6),"",OFFSET(TH!D$1,SMALL(Dong6,ROWS($1:2)),))</f>
        <v>GBC</v>
      </c>
      <c r="C12" s="736">
        <f ca="1">IF(ROWS($1:2)&gt;COUNT(Dong6),"",OFFSET(TH!E$1,SMALL(Dong6,ROWS($1:2)),))</f>
        <v>42552</v>
      </c>
      <c r="D12" s="738" t="str">
        <f ca="1">IF(ROWS($1:2)&gt;COUNT(Dong6),"",OFFSET(TH!F$1,SMALL(Dong6,ROWS($1:2)),))</f>
        <v>Thu tiền hàng</v>
      </c>
      <c r="E12" s="737">
        <f t="shared" ca="1" si="0"/>
        <v>2</v>
      </c>
      <c r="F12" s="739" t="str">
        <f ca="1">IF(ROWS($1:2)&gt;COUNT(Dong6),"",OFFSET(TH!L$1,SMALL(Dong6,ROWS($1:2)),))</f>
        <v>1121</v>
      </c>
      <c r="G12" s="739" t="str">
        <f ca="1">IF(ROWS($1:2)&gt;COUNT(Dong6),"",OFFSET(TH!M$1,SMALL(Dong6,ROWS($1:2)),))</f>
        <v>131</v>
      </c>
      <c r="H12" s="655">
        <f ca="1">IF(ROWS($1:2)&gt;COUNT(Dong6),"",OFFSET(TH!K$1,SMALL(Dong6,ROWS($1:2)),))</f>
        <v>6820000</v>
      </c>
      <c r="I12" s="655">
        <f ca="1">IF(ROWS($1:2)&gt;COUNT(Dong6),"",OFFSET(TH!K$1,SMALL(Dong6,ROWS($1:2)),))</f>
        <v>6820000</v>
      </c>
    </row>
    <row r="13" spans="1:14" s="728" customFormat="1" ht="21" customHeight="1">
      <c r="A13" s="736">
        <f ca="1">IF(ROWS($1:3)&gt;COUNT(Dong6),"",OFFSET(TH!C$1,SMALL(Dong6,ROWS($1:3)),))</f>
        <v>42552</v>
      </c>
      <c r="B13" s="737" t="str">
        <f ca="1">IF(ROWS($1:3)&gt;COUNT(Dong6),"",OFFSET(TH!D$1,SMALL(Dong6,ROWS($1:3)),))</f>
        <v>GBC</v>
      </c>
      <c r="C13" s="736">
        <f ca="1">IF(ROWS($1:3)&gt;COUNT(Dong6),"",OFFSET(TH!E$1,SMALL(Dong6,ROWS($1:3)),))</f>
        <v>42552</v>
      </c>
      <c r="D13" s="738" t="str">
        <f ca="1">IF(ROWS($1:3)&gt;COUNT(Dong6),"",OFFSET(TH!F$1,SMALL(Dong6,ROWS($1:3)),))</f>
        <v>Thu tiền hàng</v>
      </c>
      <c r="E13" s="737">
        <f t="shared" ca="1" si="0"/>
        <v>3</v>
      </c>
      <c r="F13" s="739" t="str">
        <f ca="1">IF(ROWS($1:3)&gt;COUNT(Dong6),"",OFFSET(TH!L$1,SMALL(Dong6,ROWS($1:3)),))</f>
        <v>1121</v>
      </c>
      <c r="G13" s="739" t="str">
        <f ca="1">IF(ROWS($1:3)&gt;COUNT(Dong6),"",OFFSET(TH!M$1,SMALL(Dong6,ROWS($1:3)),))</f>
        <v>131</v>
      </c>
      <c r="H13" s="655">
        <f ca="1">IF(ROWS($1:3)&gt;COUNT(Dong6),"",OFFSET(TH!K$1,SMALL(Dong6,ROWS($1:3)),))</f>
        <v>12535644</v>
      </c>
      <c r="I13" s="655">
        <f ca="1">IF(ROWS($1:3)&gt;COUNT(Dong6),"",OFFSET(TH!K$1,SMALL(Dong6,ROWS($1:3)),))</f>
        <v>12535644</v>
      </c>
    </row>
    <row r="14" spans="1:14" s="728" customFormat="1" ht="21" customHeight="1">
      <c r="A14" s="736">
        <f ca="1">IF(ROWS($1:4)&gt;COUNT(Dong6),"",OFFSET(TH!C$1,SMALL(Dong6,ROWS($1:4)),))</f>
        <v>42555</v>
      </c>
      <c r="B14" s="737" t="str">
        <f ca="1">IF(ROWS($1:4)&gt;COUNT(Dong6),"",OFFSET(TH!D$1,SMALL(Dong6,ROWS($1:4)),))</f>
        <v>C01</v>
      </c>
      <c r="C14" s="736">
        <f ca="1">IF(ROWS($1:4)&gt;COUNT(Dong6),"",OFFSET(TH!E$1,SMALL(Dong6,ROWS($1:4)),))</f>
        <v>42555</v>
      </c>
      <c r="D14" s="738" t="str">
        <f ca="1">IF(ROWS($1:4)&gt;COUNT(Dong6),"",OFFSET(TH!F$1,SMALL(Dong6,ROWS($1:4)),))</f>
        <v>Nộp TM</v>
      </c>
      <c r="E14" s="737">
        <f t="shared" ca="1" si="0"/>
        <v>4</v>
      </c>
      <c r="F14" s="739" t="str">
        <f ca="1">IF(ROWS($1:4)&gt;COUNT(Dong6),"",OFFSET(TH!L$1,SMALL(Dong6,ROWS($1:4)),))</f>
        <v>1121</v>
      </c>
      <c r="G14" s="739" t="str">
        <f ca="1">IF(ROWS($1:4)&gt;COUNT(Dong6),"",OFFSET(TH!M$1,SMALL(Dong6,ROWS($1:4)),))</f>
        <v>1111</v>
      </c>
      <c r="H14" s="655">
        <f ca="1">IF(ROWS($1:4)&gt;COUNT(Dong6),"",OFFSET(TH!K$1,SMALL(Dong6,ROWS($1:4)),))</f>
        <v>8500000</v>
      </c>
      <c r="I14" s="655">
        <f ca="1">IF(ROWS($1:4)&gt;COUNT(Dong6),"",OFFSET(TH!K$1,SMALL(Dong6,ROWS($1:4)),))</f>
        <v>8500000</v>
      </c>
    </row>
    <row r="15" spans="1:14" s="728" customFormat="1" ht="21" customHeight="1">
      <c r="A15" s="736">
        <f ca="1">IF(ROWS($1:5)&gt;COUNT(Dong6),"",OFFSET(TH!C$1,SMALL(Dong6,ROWS($1:5)),))</f>
        <v>42555</v>
      </c>
      <c r="B15" s="737" t="str">
        <f ca="1">IF(ROWS($1:5)&gt;COUNT(Dong6),"",OFFSET(TH!D$1,SMALL(Dong6,ROWS($1:5)),))</f>
        <v>GBN</v>
      </c>
      <c r="C15" s="736">
        <f ca="1">IF(ROWS($1:5)&gt;COUNT(Dong6),"",OFFSET(TH!E$1,SMALL(Dong6,ROWS($1:5)),))</f>
        <v>42555</v>
      </c>
      <c r="D15" s="738" t="str">
        <f ca="1">IF(ROWS($1:5)&gt;COUNT(Dong6),"",OFFSET(TH!F$1,SMALL(Dong6,ROWS($1:5)),))</f>
        <v>Thanh toán tiền hàng</v>
      </c>
      <c r="E15" s="737">
        <f t="shared" ca="1" si="0"/>
        <v>5</v>
      </c>
      <c r="F15" s="739" t="str">
        <f ca="1">IF(ROWS($1:5)&gt;COUNT(Dong6),"",OFFSET(TH!L$1,SMALL(Dong6,ROWS($1:5)),))</f>
        <v>331</v>
      </c>
      <c r="G15" s="739" t="str">
        <f ca="1">IF(ROWS($1:5)&gt;COUNT(Dong6),"",OFFSET(TH!M$1,SMALL(Dong6,ROWS($1:5)),))</f>
        <v>1121</v>
      </c>
      <c r="H15" s="655">
        <f ca="1">IF(ROWS($1:5)&gt;COUNT(Dong6),"",OFFSET(TH!K$1,SMALL(Dong6,ROWS($1:5)),))</f>
        <v>28000000</v>
      </c>
      <c r="I15" s="655">
        <f ca="1">IF(ROWS($1:5)&gt;COUNT(Dong6),"",OFFSET(TH!K$1,SMALL(Dong6,ROWS($1:5)),))</f>
        <v>28000000</v>
      </c>
    </row>
    <row r="16" spans="1:14" s="728" customFormat="1" ht="21" customHeight="1">
      <c r="A16" s="736">
        <f ca="1">IF(ROWS($1:6)&gt;COUNT(Dong6),"",OFFSET(TH!C$1,SMALL(Dong6,ROWS($1:6)),))</f>
        <v>42555</v>
      </c>
      <c r="B16" s="737" t="str">
        <f ca="1">IF(ROWS($1:6)&gt;COUNT(Dong6),"",OFFSET(TH!D$1,SMALL(Dong6,ROWS($1:6)),))</f>
        <v>GBN</v>
      </c>
      <c r="C16" s="736">
        <f ca="1">IF(ROWS($1:6)&gt;COUNT(Dong6),"",OFFSET(TH!E$1,SMALL(Dong6,ROWS($1:6)),))</f>
        <v>42555</v>
      </c>
      <c r="D16" s="738" t="str">
        <f ca="1">IF(ROWS($1:6)&gt;COUNT(Dong6),"",OFFSET(TH!F$1,SMALL(Dong6,ROWS($1:6)),))</f>
        <v>Phí kiểm đếm</v>
      </c>
      <c r="E16" s="737">
        <f t="shared" ca="1" si="0"/>
        <v>6</v>
      </c>
      <c r="F16" s="739" t="str">
        <f ca="1">IF(ROWS($1:6)&gt;COUNT(Dong6),"",OFFSET(TH!L$1,SMALL(Dong6,ROWS($1:6)),))</f>
        <v>642</v>
      </c>
      <c r="G16" s="739" t="str">
        <f ca="1">IF(ROWS($1:6)&gt;COUNT(Dong6),"",OFFSET(TH!M$1,SMALL(Dong6,ROWS($1:6)),))</f>
        <v>1121</v>
      </c>
      <c r="H16" s="655">
        <f ca="1">IF(ROWS($1:6)&gt;COUNT(Dong6),"",OFFSET(TH!K$1,SMALL(Dong6,ROWS($1:6)),))</f>
        <v>13637</v>
      </c>
      <c r="I16" s="655">
        <f ca="1">IF(ROWS($1:6)&gt;COUNT(Dong6),"",OFFSET(TH!K$1,SMALL(Dong6,ROWS($1:6)),))</f>
        <v>13637</v>
      </c>
    </row>
    <row r="17" spans="1:9" s="728" customFormat="1" ht="21" customHeight="1">
      <c r="A17" s="736">
        <f ca="1">IF(ROWS($1:7)&gt;COUNT(Dong6),"",OFFSET(TH!C$1,SMALL(Dong6,ROWS($1:7)),))</f>
        <v>42555</v>
      </c>
      <c r="B17" s="737" t="str">
        <f ca="1">IF(ROWS($1:7)&gt;COUNT(Dong6),"",OFFSET(TH!D$1,SMALL(Dong6,ROWS($1:7)),))</f>
        <v>GBN</v>
      </c>
      <c r="C17" s="736">
        <f ca="1">IF(ROWS($1:7)&gt;COUNT(Dong6),"",OFFSET(TH!E$1,SMALL(Dong6,ROWS($1:7)),))</f>
        <v>42555</v>
      </c>
      <c r="D17" s="738" t="str">
        <f ca="1">IF(ROWS($1:7)&gt;COUNT(Dong6),"",OFFSET(TH!F$1,SMALL(Dong6,ROWS($1:7)),))</f>
        <v>VAT Phí kiểm đếm</v>
      </c>
      <c r="E17" s="737">
        <f t="shared" ca="1" si="0"/>
        <v>7</v>
      </c>
      <c r="F17" s="739" t="str">
        <f ca="1">IF(ROWS($1:7)&gt;COUNT(Dong6),"",OFFSET(TH!L$1,SMALL(Dong6,ROWS($1:7)),))</f>
        <v>1331</v>
      </c>
      <c r="G17" s="739" t="str">
        <f ca="1">IF(ROWS($1:7)&gt;COUNT(Dong6),"",OFFSET(TH!M$1,SMALL(Dong6,ROWS($1:7)),))</f>
        <v>1121</v>
      </c>
      <c r="H17" s="655">
        <f ca="1">IF(ROWS($1:7)&gt;COUNT(Dong6),"",OFFSET(TH!K$1,SMALL(Dong6,ROWS($1:7)),))</f>
        <v>1363</v>
      </c>
      <c r="I17" s="655">
        <f ca="1">IF(ROWS($1:7)&gt;COUNT(Dong6),"",OFFSET(TH!K$1,SMALL(Dong6,ROWS($1:7)),))</f>
        <v>1363</v>
      </c>
    </row>
    <row r="18" spans="1:9" s="728" customFormat="1" ht="21" customHeight="1">
      <c r="A18" s="736">
        <f ca="1">IF(ROWS($1:8)&gt;COUNT(Dong6),"",OFFSET(TH!C$1,SMALL(Dong6,ROWS($1:8)),))</f>
        <v>42556</v>
      </c>
      <c r="B18" s="737" t="str">
        <f ca="1">IF(ROWS($1:8)&gt;COUNT(Dong6),"",OFFSET(TH!D$1,SMALL(Dong6,ROWS($1:8)),))</f>
        <v>C02</v>
      </c>
      <c r="C18" s="736">
        <f ca="1">IF(ROWS($1:8)&gt;COUNT(Dong6),"",OFFSET(TH!E$1,SMALL(Dong6,ROWS($1:8)),))</f>
        <v>42556</v>
      </c>
      <c r="D18" s="738" t="str">
        <f ca="1">IF(ROWS($1:8)&gt;COUNT(Dong6),"",OFFSET(TH!F$1,SMALL(Dong6,ROWS($1:8)),))</f>
        <v>Nộp TM</v>
      </c>
      <c r="E18" s="737">
        <f t="shared" ca="1" si="0"/>
        <v>8</v>
      </c>
      <c r="F18" s="739" t="str">
        <f ca="1">IF(ROWS($1:8)&gt;COUNT(Dong6),"",OFFSET(TH!L$1,SMALL(Dong6,ROWS($1:8)),))</f>
        <v>1121</v>
      </c>
      <c r="G18" s="739" t="str">
        <f ca="1">IF(ROWS($1:8)&gt;COUNT(Dong6),"",OFFSET(TH!M$1,SMALL(Dong6,ROWS($1:8)),))</f>
        <v>1111</v>
      </c>
      <c r="H18" s="655">
        <f ca="1">IF(ROWS($1:8)&gt;COUNT(Dong6),"",OFFSET(TH!K$1,SMALL(Dong6,ROWS($1:8)),))</f>
        <v>10000000</v>
      </c>
      <c r="I18" s="655">
        <f ca="1">IF(ROWS($1:8)&gt;COUNT(Dong6),"",OFFSET(TH!K$1,SMALL(Dong6,ROWS($1:8)),))</f>
        <v>10000000</v>
      </c>
    </row>
    <row r="19" spans="1:9" s="728" customFormat="1" ht="21" customHeight="1">
      <c r="A19" s="736">
        <f ca="1">IF(ROWS($1:9)&gt;COUNT(Dong6),"",OFFSET(TH!C$1,SMALL(Dong6,ROWS($1:9)),))</f>
        <v>42556</v>
      </c>
      <c r="B19" s="737" t="str">
        <f ca="1">IF(ROWS($1:9)&gt;COUNT(Dong6),"",OFFSET(TH!D$1,SMALL(Dong6,ROWS($1:9)),))</f>
        <v>GBC</v>
      </c>
      <c r="C19" s="736">
        <f ca="1">IF(ROWS($1:9)&gt;COUNT(Dong6),"",OFFSET(TH!E$1,SMALL(Dong6,ROWS($1:9)),))</f>
        <v>42556</v>
      </c>
      <c r="D19" s="738" t="str">
        <f ca="1">IF(ROWS($1:9)&gt;COUNT(Dong6),"",OFFSET(TH!F$1,SMALL(Dong6,ROWS($1:9)),))</f>
        <v>Thu tiền hàng</v>
      </c>
      <c r="E19" s="737">
        <f t="shared" ca="1" si="0"/>
        <v>9</v>
      </c>
      <c r="F19" s="739" t="str">
        <f ca="1">IF(ROWS($1:9)&gt;COUNT(Dong6),"",OFFSET(TH!L$1,SMALL(Dong6,ROWS($1:9)),))</f>
        <v>1121</v>
      </c>
      <c r="G19" s="739" t="str">
        <f ca="1">IF(ROWS($1:9)&gt;COUNT(Dong6),"",OFFSET(TH!M$1,SMALL(Dong6,ROWS($1:9)),))</f>
        <v>131</v>
      </c>
      <c r="H19" s="655">
        <f ca="1">IF(ROWS($1:9)&gt;COUNT(Dong6),"",OFFSET(TH!K$1,SMALL(Dong6,ROWS($1:9)),))</f>
        <v>24116015</v>
      </c>
      <c r="I19" s="655">
        <f ca="1">IF(ROWS($1:9)&gt;COUNT(Dong6),"",OFFSET(TH!K$1,SMALL(Dong6,ROWS($1:9)),))</f>
        <v>24116015</v>
      </c>
    </row>
    <row r="20" spans="1:9" s="728" customFormat="1" ht="21" customHeight="1">
      <c r="A20" s="736">
        <f ca="1">IF(ROWS($1:10)&gt;COUNT(Dong6),"",OFFSET(TH!C$1,SMALL(Dong6,ROWS($1:10)),))</f>
        <v>42556</v>
      </c>
      <c r="B20" s="737" t="str">
        <f ca="1">IF(ROWS($1:10)&gt;COUNT(Dong6),"",OFFSET(TH!D$1,SMALL(Dong6,ROWS($1:10)),))</f>
        <v>GBN</v>
      </c>
      <c r="C20" s="736">
        <f ca="1">IF(ROWS($1:10)&gt;COUNT(Dong6),"",OFFSET(TH!E$1,SMALL(Dong6,ROWS($1:10)),))</f>
        <v>42556</v>
      </c>
      <c r="D20" s="738" t="str">
        <f ca="1">IF(ROWS($1:10)&gt;COUNT(Dong6),"",OFFSET(TH!F$1,SMALL(Dong6,ROWS($1:10)),))</f>
        <v>Thanh toán tiền hàng</v>
      </c>
      <c r="E20" s="737">
        <f t="shared" ca="1" si="0"/>
        <v>10</v>
      </c>
      <c r="F20" s="739" t="str">
        <f ca="1">IF(ROWS($1:10)&gt;COUNT(Dong6),"",OFFSET(TH!L$1,SMALL(Dong6,ROWS($1:10)),))</f>
        <v>331</v>
      </c>
      <c r="G20" s="739" t="str">
        <f ca="1">IF(ROWS($1:10)&gt;COUNT(Dong6),"",OFFSET(TH!M$1,SMALL(Dong6,ROWS($1:10)),))</f>
        <v>1121</v>
      </c>
      <c r="H20" s="655">
        <f ca="1">IF(ROWS($1:10)&gt;COUNT(Dong6),"",OFFSET(TH!K$1,SMALL(Dong6,ROWS($1:10)),))</f>
        <v>10000000</v>
      </c>
      <c r="I20" s="655">
        <f ca="1">IF(ROWS($1:10)&gt;COUNT(Dong6),"",OFFSET(TH!K$1,SMALL(Dong6,ROWS($1:10)),))</f>
        <v>10000000</v>
      </c>
    </row>
    <row r="21" spans="1:9" s="728" customFormat="1" ht="21" customHeight="1">
      <c r="A21" s="736">
        <f ca="1">IF(ROWS($1:11)&gt;COUNT(Dong6),"",OFFSET(TH!C$1,SMALL(Dong6,ROWS($1:11)),))</f>
        <v>42556</v>
      </c>
      <c r="B21" s="737" t="str">
        <f ca="1">IF(ROWS($1:11)&gt;COUNT(Dong6),"",OFFSET(TH!D$1,SMALL(Dong6,ROWS($1:11)),))</f>
        <v>GBN</v>
      </c>
      <c r="C21" s="736">
        <f ca="1">IF(ROWS($1:11)&gt;COUNT(Dong6),"",OFFSET(TH!E$1,SMALL(Dong6,ROWS($1:11)),))</f>
        <v>42556</v>
      </c>
      <c r="D21" s="738" t="str">
        <f ca="1">IF(ROWS($1:11)&gt;COUNT(Dong6),"",OFFSET(TH!F$1,SMALL(Dong6,ROWS($1:11)),))</f>
        <v>Phí kiểm đếm</v>
      </c>
      <c r="E21" s="737">
        <f t="shared" ca="1" si="0"/>
        <v>11</v>
      </c>
      <c r="F21" s="739" t="str">
        <f ca="1">IF(ROWS($1:11)&gt;COUNT(Dong6),"",OFFSET(TH!L$1,SMALL(Dong6,ROWS($1:11)),))</f>
        <v>642</v>
      </c>
      <c r="G21" s="739" t="str">
        <f ca="1">IF(ROWS($1:11)&gt;COUNT(Dong6),"",OFFSET(TH!M$1,SMALL(Dong6,ROWS($1:11)),))</f>
        <v>1121</v>
      </c>
      <c r="H21" s="655">
        <f ca="1">IF(ROWS($1:11)&gt;COUNT(Dong6),"",OFFSET(TH!K$1,SMALL(Dong6,ROWS($1:11)),))</f>
        <v>13637</v>
      </c>
      <c r="I21" s="655">
        <f ca="1">IF(ROWS($1:11)&gt;COUNT(Dong6),"",OFFSET(TH!K$1,SMALL(Dong6,ROWS($1:11)),))</f>
        <v>13637</v>
      </c>
    </row>
    <row r="22" spans="1:9" s="728" customFormat="1" ht="21" customHeight="1">
      <c r="A22" s="736">
        <f ca="1">IF(ROWS($1:12)&gt;COUNT(Dong6),"",OFFSET(TH!C$1,SMALL(Dong6,ROWS($1:12)),))</f>
        <v>42556</v>
      </c>
      <c r="B22" s="737" t="str">
        <f ca="1">IF(ROWS($1:12)&gt;COUNT(Dong6),"",OFFSET(TH!D$1,SMALL(Dong6,ROWS($1:12)),))</f>
        <v>GBN</v>
      </c>
      <c r="C22" s="736">
        <f ca="1">IF(ROWS($1:12)&gt;COUNT(Dong6),"",OFFSET(TH!E$1,SMALL(Dong6,ROWS($1:12)),))</f>
        <v>42556</v>
      </c>
      <c r="D22" s="738" t="str">
        <f ca="1">IF(ROWS($1:12)&gt;COUNT(Dong6),"",OFFSET(TH!F$1,SMALL(Dong6,ROWS($1:12)),))</f>
        <v>VAT Phí kiểm đếm</v>
      </c>
      <c r="E22" s="737">
        <f t="shared" ca="1" si="0"/>
        <v>12</v>
      </c>
      <c r="F22" s="739" t="str">
        <f ca="1">IF(ROWS($1:12)&gt;COUNT(Dong6),"",OFFSET(TH!L$1,SMALL(Dong6,ROWS($1:12)),))</f>
        <v>1331</v>
      </c>
      <c r="G22" s="739" t="str">
        <f ca="1">IF(ROWS($1:12)&gt;COUNT(Dong6),"",OFFSET(TH!M$1,SMALL(Dong6,ROWS($1:12)),))</f>
        <v>1121</v>
      </c>
      <c r="H22" s="655">
        <f ca="1">IF(ROWS($1:12)&gt;COUNT(Dong6),"",OFFSET(TH!K$1,SMALL(Dong6,ROWS($1:12)),))</f>
        <v>1363</v>
      </c>
      <c r="I22" s="655">
        <f ca="1">IF(ROWS($1:12)&gt;COUNT(Dong6),"",OFFSET(TH!K$1,SMALL(Dong6,ROWS($1:12)),))</f>
        <v>1363</v>
      </c>
    </row>
    <row r="23" spans="1:9" s="728" customFormat="1" ht="21" customHeight="1">
      <c r="A23" s="736">
        <f ca="1">IF(ROWS($1:13)&gt;COUNT(Dong6),"",OFFSET(TH!C$1,SMALL(Dong6,ROWS($1:13)),))</f>
        <v>42556</v>
      </c>
      <c r="B23" s="737" t="str">
        <f ca="1">IF(ROWS($1:13)&gt;COUNT(Dong6),"",OFFSET(TH!D$1,SMALL(Dong6,ROWS($1:13)),))</f>
        <v>GBN</v>
      </c>
      <c r="C23" s="736">
        <f ca="1">IF(ROWS($1:13)&gt;COUNT(Dong6),"",OFFSET(TH!E$1,SMALL(Dong6,ROWS($1:13)),))</f>
        <v>42556</v>
      </c>
      <c r="D23" s="738" t="str">
        <f ca="1">IF(ROWS($1:13)&gt;COUNT(Dong6),"",OFFSET(TH!F$1,SMALL(Dong6,ROWS($1:13)),))</f>
        <v>Phí chuyển tiền</v>
      </c>
      <c r="E23" s="737">
        <f t="shared" ca="1" si="0"/>
        <v>13</v>
      </c>
      <c r="F23" s="739" t="str">
        <f ca="1">IF(ROWS($1:13)&gt;COUNT(Dong6),"",OFFSET(TH!L$1,SMALL(Dong6,ROWS($1:13)),))</f>
        <v>642</v>
      </c>
      <c r="G23" s="739" t="str">
        <f ca="1">IF(ROWS($1:13)&gt;COUNT(Dong6),"",OFFSET(TH!M$1,SMALL(Dong6,ROWS($1:13)),))</f>
        <v>1121</v>
      </c>
      <c r="H23" s="655">
        <f ca="1">IF(ROWS($1:13)&gt;COUNT(Dong6),"",OFFSET(TH!K$1,SMALL(Dong6,ROWS($1:13)),))</f>
        <v>13637</v>
      </c>
      <c r="I23" s="655">
        <f ca="1">IF(ROWS($1:13)&gt;COUNT(Dong6),"",OFFSET(TH!K$1,SMALL(Dong6,ROWS($1:13)),))</f>
        <v>13637</v>
      </c>
    </row>
    <row r="24" spans="1:9" s="728" customFormat="1" ht="21" customHeight="1">
      <c r="A24" s="736">
        <f ca="1">IF(ROWS($1:14)&gt;COUNT(Dong6),"",OFFSET(TH!C$1,SMALL(Dong6,ROWS($1:14)),))</f>
        <v>42556</v>
      </c>
      <c r="B24" s="737" t="str">
        <f ca="1">IF(ROWS($1:14)&gt;COUNT(Dong6),"",OFFSET(TH!D$1,SMALL(Dong6,ROWS($1:14)),))</f>
        <v>GBN</v>
      </c>
      <c r="C24" s="736">
        <f ca="1">IF(ROWS($1:14)&gt;COUNT(Dong6),"",OFFSET(TH!E$1,SMALL(Dong6,ROWS($1:14)),))</f>
        <v>42556</v>
      </c>
      <c r="D24" s="738" t="str">
        <f ca="1">IF(ROWS($1:14)&gt;COUNT(Dong6),"",OFFSET(TH!F$1,SMALL(Dong6,ROWS($1:14)),))</f>
        <v>VAT Phí chuyển tiền</v>
      </c>
      <c r="E24" s="737">
        <f t="shared" ca="1" si="0"/>
        <v>14</v>
      </c>
      <c r="F24" s="739" t="str">
        <f ca="1">IF(ROWS($1:14)&gt;COUNT(Dong6),"",OFFSET(TH!L$1,SMALL(Dong6,ROWS($1:14)),))</f>
        <v>1331</v>
      </c>
      <c r="G24" s="739" t="str">
        <f ca="1">IF(ROWS($1:14)&gt;COUNT(Dong6),"",OFFSET(TH!M$1,SMALL(Dong6,ROWS($1:14)),))</f>
        <v>1121</v>
      </c>
      <c r="H24" s="655">
        <f ca="1">IF(ROWS($1:14)&gt;COUNT(Dong6),"",OFFSET(TH!K$1,SMALL(Dong6,ROWS($1:14)),))</f>
        <v>1363</v>
      </c>
      <c r="I24" s="655">
        <f ca="1">IF(ROWS($1:14)&gt;COUNT(Dong6),"",OFFSET(TH!K$1,SMALL(Dong6,ROWS($1:14)),))</f>
        <v>1363</v>
      </c>
    </row>
    <row r="25" spans="1:9" s="728" customFormat="1" ht="21" customHeight="1">
      <c r="A25" s="736">
        <f ca="1">IF(ROWS($1:15)&gt;COUNT(Dong6),"",OFFSET(TH!C$1,SMALL(Dong6,ROWS($1:15)),))</f>
        <v>42556</v>
      </c>
      <c r="B25" s="737" t="str">
        <f ca="1">IF(ROWS($1:15)&gt;COUNT(Dong6),"",OFFSET(TH!D$1,SMALL(Dong6,ROWS($1:15)),))</f>
        <v>TP/X01</v>
      </c>
      <c r="C25" s="736">
        <f ca="1">IF(ROWS($1:15)&gt;COUNT(Dong6),"",OFFSET(TH!E$1,SMALL(Dong6,ROWS($1:15)),))</f>
        <v>42556</v>
      </c>
      <c r="D25" s="738" t="str">
        <f ca="1">IF(ROWS($1:15)&gt;COUNT(Dong6),"",OFFSET(TH!F$1,SMALL(Dong6,ROWS($1:15)),))</f>
        <v>Thùng bột ớt (49x38x12)</v>
      </c>
      <c r="E25" s="737">
        <f t="shared" ca="1" si="0"/>
        <v>15</v>
      </c>
      <c r="F25" s="739" t="str">
        <f ca="1">IF(ROWS($1:15)&gt;COUNT(Dong6),"",OFFSET(TH!L$1,SMALL(Dong6,ROWS($1:15)),))</f>
        <v>131</v>
      </c>
      <c r="G25" s="739" t="str">
        <f ca="1">IF(ROWS($1:15)&gt;COUNT(Dong6),"",OFFSET(TH!M$1,SMALL(Dong6,ROWS($1:15)),))</f>
        <v>5112</v>
      </c>
      <c r="H25" s="655">
        <f ca="1">IF(ROWS($1:15)&gt;COUNT(Dong6),"",OFFSET(TH!K$1,SMALL(Dong6,ROWS($1:15)),))</f>
        <v>5229000</v>
      </c>
      <c r="I25" s="655">
        <f ca="1">IF(ROWS($1:15)&gt;COUNT(Dong6),"",OFFSET(TH!K$1,SMALL(Dong6,ROWS($1:15)),))</f>
        <v>5229000</v>
      </c>
    </row>
    <row r="26" spans="1:9" s="728" customFormat="1" ht="21" customHeight="1">
      <c r="A26" s="736">
        <f ca="1">IF(ROWS($1:16)&gt;COUNT(Dong6),"",OFFSET(TH!C$1,SMALL(Dong6,ROWS($1:16)),))</f>
        <v>42556</v>
      </c>
      <c r="B26" s="737" t="str">
        <f ca="1">IF(ROWS($1:16)&gt;COUNT(Dong6),"",OFFSET(TH!D$1,SMALL(Dong6,ROWS($1:16)),))</f>
        <v>TP/X01</v>
      </c>
      <c r="C26" s="736">
        <f ca="1">IF(ROWS($1:16)&gt;COUNT(Dong6),"",OFFSET(TH!E$1,SMALL(Dong6,ROWS($1:16)),))</f>
        <v>42556</v>
      </c>
      <c r="D26" s="738" t="str">
        <f ca="1">IF(ROWS($1:16)&gt;COUNT(Dong6),"",OFFSET(TH!F$1,SMALL(Dong6,ROWS($1:16)),))</f>
        <v>VAT Thùng</v>
      </c>
      <c r="E26" s="737">
        <f t="shared" ca="1" si="0"/>
        <v>16</v>
      </c>
      <c r="F26" s="739" t="str">
        <f ca="1">IF(ROWS($1:16)&gt;COUNT(Dong6),"",OFFSET(TH!L$1,SMALL(Dong6,ROWS($1:16)),))</f>
        <v>131</v>
      </c>
      <c r="G26" s="739" t="str">
        <f ca="1">IF(ROWS($1:16)&gt;COUNT(Dong6),"",OFFSET(TH!M$1,SMALL(Dong6,ROWS($1:16)),))</f>
        <v>3331</v>
      </c>
      <c r="H26" s="655">
        <f ca="1">IF(ROWS($1:16)&gt;COUNT(Dong6),"",OFFSET(TH!K$1,SMALL(Dong6,ROWS($1:16)),))</f>
        <v>522900</v>
      </c>
      <c r="I26" s="655">
        <f ca="1">IF(ROWS($1:16)&gt;COUNT(Dong6),"",OFFSET(TH!K$1,SMALL(Dong6,ROWS($1:16)),))</f>
        <v>522900</v>
      </c>
    </row>
    <row r="27" spans="1:9" s="728" customFormat="1" ht="21" customHeight="1">
      <c r="A27" s="736">
        <f ca="1">IF(ROWS($1:17)&gt;COUNT(Dong6),"",OFFSET(TH!C$1,SMALL(Dong6,ROWS($1:17)),))</f>
        <v>42557</v>
      </c>
      <c r="B27" s="737" t="str">
        <f ca="1">IF(ROWS($1:17)&gt;COUNT(Dong6),"",OFFSET(TH!D$1,SMALL(Dong6,ROWS($1:17)),))</f>
        <v>GBC</v>
      </c>
      <c r="C27" s="736">
        <f ca="1">IF(ROWS($1:17)&gt;COUNT(Dong6),"",OFFSET(TH!E$1,SMALL(Dong6,ROWS($1:17)),))</f>
        <v>42557</v>
      </c>
      <c r="D27" s="738" t="str">
        <f ca="1">IF(ROWS($1:17)&gt;COUNT(Dong6),"",OFFSET(TH!F$1,SMALL(Dong6,ROWS($1:17)),))</f>
        <v>Thu tiền hàng</v>
      </c>
      <c r="E27" s="737">
        <f t="shared" ca="1" si="0"/>
        <v>17</v>
      </c>
      <c r="F27" s="739" t="str">
        <f ca="1">IF(ROWS($1:17)&gt;COUNT(Dong6),"",OFFSET(TH!L$1,SMALL(Dong6,ROWS($1:17)),))</f>
        <v>1121</v>
      </c>
      <c r="G27" s="739" t="str">
        <f ca="1">IF(ROWS($1:17)&gt;COUNT(Dong6),"",OFFSET(TH!M$1,SMALL(Dong6,ROWS($1:17)),))</f>
        <v>131</v>
      </c>
      <c r="H27" s="655">
        <f ca="1">IF(ROWS($1:17)&gt;COUNT(Dong6),"",OFFSET(TH!K$1,SMALL(Dong6,ROWS($1:17)),))</f>
        <v>13380000</v>
      </c>
      <c r="I27" s="655">
        <f ca="1">IF(ROWS($1:17)&gt;COUNT(Dong6),"",OFFSET(TH!K$1,SMALL(Dong6,ROWS($1:17)),))</f>
        <v>13380000</v>
      </c>
    </row>
    <row r="28" spans="1:9" s="728" customFormat="1" ht="21" customHeight="1">
      <c r="A28" s="736">
        <f ca="1">IF(ROWS($1:18)&gt;COUNT(Dong6),"",OFFSET(TH!C$1,SMALL(Dong6,ROWS($1:18)),))</f>
        <v>42557</v>
      </c>
      <c r="B28" s="737" t="str">
        <f ca="1">IF(ROWS($1:18)&gt;COUNT(Dong6),"",OFFSET(TH!D$1,SMALL(Dong6,ROWS($1:18)),))</f>
        <v>TP/X02</v>
      </c>
      <c r="C28" s="736">
        <f ca="1">IF(ROWS($1:18)&gt;COUNT(Dong6),"",OFFSET(TH!E$1,SMALL(Dong6,ROWS($1:18)),))</f>
        <v>42557</v>
      </c>
      <c r="D28" s="738" t="str">
        <f ca="1">IF(ROWS($1:18)&gt;COUNT(Dong6),"",OFFSET(TH!F$1,SMALL(Dong6,ROWS($1:18)),))</f>
        <v>Thùng (52x24.5x24.5)</v>
      </c>
      <c r="E28" s="737">
        <f t="shared" ca="1" si="0"/>
        <v>18</v>
      </c>
      <c r="F28" s="739" t="str">
        <f ca="1">IF(ROWS($1:18)&gt;COUNT(Dong6),"",OFFSET(TH!L$1,SMALL(Dong6,ROWS($1:18)),))</f>
        <v>131</v>
      </c>
      <c r="G28" s="739" t="str">
        <f ca="1">IF(ROWS($1:18)&gt;COUNT(Dong6),"",OFFSET(TH!M$1,SMALL(Dong6,ROWS($1:18)),))</f>
        <v>5112</v>
      </c>
      <c r="H28" s="655">
        <f ca="1">IF(ROWS($1:18)&gt;COUNT(Dong6),"",OFFSET(TH!K$1,SMALL(Dong6,ROWS($1:18)),))</f>
        <v>6600000</v>
      </c>
      <c r="I28" s="655">
        <f ca="1">IF(ROWS($1:18)&gt;COUNT(Dong6),"",OFFSET(TH!K$1,SMALL(Dong6,ROWS($1:18)),))</f>
        <v>6600000</v>
      </c>
    </row>
    <row r="29" spans="1:9" s="728" customFormat="1" ht="21" customHeight="1">
      <c r="A29" s="736">
        <f ca="1">IF(ROWS($1:19)&gt;COUNT(Dong6),"",OFFSET(TH!C$1,SMALL(Dong6,ROWS($1:19)),))</f>
        <v>42557</v>
      </c>
      <c r="B29" s="737" t="str">
        <f ca="1">IF(ROWS($1:19)&gt;COUNT(Dong6),"",OFFSET(TH!D$1,SMALL(Dong6,ROWS($1:19)),))</f>
        <v>TP/X02</v>
      </c>
      <c r="C29" s="736">
        <f ca="1">IF(ROWS($1:19)&gt;COUNT(Dong6),"",OFFSET(TH!E$1,SMALL(Dong6,ROWS($1:19)),))</f>
        <v>42557</v>
      </c>
      <c r="D29" s="738" t="str">
        <f ca="1">IF(ROWS($1:19)&gt;COUNT(Dong6),"",OFFSET(TH!F$1,SMALL(Dong6,ROWS($1:19)),))</f>
        <v>Thùng (52x26.5x26.5)</v>
      </c>
      <c r="E29" s="737">
        <f t="shared" ca="1" si="0"/>
        <v>19</v>
      </c>
      <c r="F29" s="739" t="str">
        <f ca="1">IF(ROWS($1:19)&gt;COUNT(Dong6),"",OFFSET(TH!L$1,SMALL(Dong6,ROWS($1:19)),))</f>
        <v>131</v>
      </c>
      <c r="G29" s="739" t="str">
        <f ca="1">IF(ROWS($1:19)&gt;COUNT(Dong6),"",OFFSET(TH!M$1,SMALL(Dong6,ROWS($1:19)),))</f>
        <v>5112</v>
      </c>
      <c r="H29" s="655">
        <f ca="1">IF(ROWS($1:19)&gt;COUNT(Dong6),"",OFFSET(TH!K$1,SMALL(Dong6,ROWS($1:19)),))</f>
        <v>3496500</v>
      </c>
      <c r="I29" s="655">
        <f ca="1">IF(ROWS($1:19)&gt;COUNT(Dong6),"",OFFSET(TH!K$1,SMALL(Dong6,ROWS($1:19)),))</f>
        <v>3496500</v>
      </c>
    </row>
    <row r="30" spans="1:9" s="728" customFormat="1" ht="21" customHeight="1">
      <c r="A30" s="736">
        <f ca="1">IF(ROWS($1:20)&gt;COUNT(Dong6),"",OFFSET(TH!C$1,SMALL(Dong6,ROWS($1:20)),))</f>
        <v>42557</v>
      </c>
      <c r="B30" s="737" t="str">
        <f ca="1">IF(ROWS($1:20)&gt;COUNT(Dong6),"",OFFSET(TH!D$1,SMALL(Dong6,ROWS($1:20)),))</f>
        <v>TP/X02</v>
      </c>
      <c r="C30" s="736">
        <f ca="1">IF(ROWS($1:20)&gt;COUNT(Dong6),"",OFFSET(TH!E$1,SMALL(Dong6,ROWS($1:20)),))</f>
        <v>42557</v>
      </c>
      <c r="D30" s="738" t="str">
        <f ca="1">IF(ROWS($1:20)&gt;COUNT(Dong6),"",OFFSET(TH!F$1,SMALL(Dong6,ROWS($1:20)),))</f>
        <v>Thùng (50x25x30)</v>
      </c>
      <c r="E30" s="737">
        <f t="shared" ca="1" si="0"/>
        <v>20</v>
      </c>
      <c r="F30" s="739" t="str">
        <f ca="1">IF(ROWS($1:20)&gt;COUNT(Dong6),"",OFFSET(TH!L$1,SMALL(Dong6,ROWS($1:20)),))</f>
        <v>131</v>
      </c>
      <c r="G30" s="739" t="str">
        <f ca="1">IF(ROWS($1:20)&gt;COUNT(Dong6),"",OFFSET(TH!M$1,SMALL(Dong6,ROWS($1:20)),))</f>
        <v>5112</v>
      </c>
      <c r="H30" s="655">
        <f ca="1">IF(ROWS($1:20)&gt;COUNT(Dong6),"",OFFSET(TH!K$1,SMALL(Dong6,ROWS($1:20)),))</f>
        <v>1792000</v>
      </c>
      <c r="I30" s="655">
        <f ca="1">IF(ROWS($1:20)&gt;COUNT(Dong6),"",OFFSET(TH!K$1,SMALL(Dong6,ROWS($1:20)),))</f>
        <v>1792000</v>
      </c>
    </row>
    <row r="31" spans="1:9" s="728" customFormat="1" ht="21" customHeight="1">
      <c r="A31" s="736">
        <f ca="1">IF(ROWS($1:21)&gt;COUNT(Dong6),"",OFFSET(TH!C$1,SMALL(Dong6,ROWS($1:21)),))</f>
        <v>42557</v>
      </c>
      <c r="B31" s="737" t="str">
        <f ca="1">IF(ROWS($1:21)&gt;COUNT(Dong6),"",OFFSET(TH!D$1,SMALL(Dong6,ROWS($1:21)),))</f>
        <v>TP/X02</v>
      </c>
      <c r="C31" s="736">
        <f ca="1">IF(ROWS($1:21)&gt;COUNT(Dong6),"",OFFSET(TH!E$1,SMALL(Dong6,ROWS($1:21)),))</f>
        <v>42557</v>
      </c>
      <c r="D31" s="738" t="str">
        <f ca="1">IF(ROWS($1:21)&gt;COUNT(Dong6),"",OFFSET(TH!F$1,SMALL(Dong6,ROWS($1:21)),))</f>
        <v>VAT Thùng</v>
      </c>
      <c r="E31" s="737">
        <f t="shared" ca="1" si="0"/>
        <v>21</v>
      </c>
      <c r="F31" s="739" t="str">
        <f ca="1">IF(ROWS($1:21)&gt;COUNT(Dong6),"",OFFSET(TH!L$1,SMALL(Dong6,ROWS($1:21)),))</f>
        <v>131</v>
      </c>
      <c r="G31" s="739" t="str">
        <f ca="1">IF(ROWS($1:21)&gt;COUNT(Dong6),"",OFFSET(TH!M$1,SMALL(Dong6,ROWS($1:21)),))</f>
        <v>3331</v>
      </c>
      <c r="H31" s="655">
        <f ca="1">IF(ROWS($1:21)&gt;COUNT(Dong6),"",OFFSET(TH!K$1,SMALL(Dong6,ROWS($1:21)),))</f>
        <v>1188850</v>
      </c>
      <c r="I31" s="655">
        <f ca="1">IF(ROWS($1:21)&gt;COUNT(Dong6),"",OFFSET(TH!K$1,SMALL(Dong6,ROWS($1:21)),))</f>
        <v>1188850</v>
      </c>
    </row>
    <row r="32" spans="1:9" s="728" customFormat="1" ht="21" customHeight="1">
      <c r="A32" s="736">
        <f ca="1">IF(ROWS($1:22)&gt;COUNT(Dong6),"",OFFSET(TH!C$1,SMALL(Dong6,ROWS($1:22)),))</f>
        <v>42557</v>
      </c>
      <c r="B32" s="737" t="str">
        <f ca="1">IF(ROWS($1:22)&gt;COUNT(Dong6),"",OFFSET(TH!D$1,SMALL(Dong6,ROWS($1:22)),))</f>
        <v>TP/X03</v>
      </c>
      <c r="C32" s="736">
        <f ca="1">IF(ROWS($1:22)&gt;COUNT(Dong6),"",OFFSET(TH!E$1,SMALL(Dong6,ROWS($1:22)),))</f>
        <v>42557</v>
      </c>
      <c r="D32" s="738" t="str">
        <f ca="1">IF(ROWS($1:22)&gt;COUNT(Dong6),"",OFFSET(TH!F$1,SMALL(Dong6,ROWS($1:22)),))</f>
        <v>Thùng (29x29x29.5)</v>
      </c>
      <c r="E32" s="737">
        <f t="shared" ca="1" si="0"/>
        <v>22</v>
      </c>
      <c r="F32" s="739" t="str">
        <f ca="1">IF(ROWS($1:22)&gt;COUNT(Dong6),"",OFFSET(TH!L$1,SMALL(Dong6,ROWS($1:22)),))</f>
        <v>131</v>
      </c>
      <c r="G32" s="739" t="str">
        <f ca="1">IF(ROWS($1:22)&gt;COUNT(Dong6),"",OFFSET(TH!M$1,SMALL(Dong6,ROWS($1:22)),))</f>
        <v>5112</v>
      </c>
      <c r="H32" s="655">
        <f ca="1">IF(ROWS($1:22)&gt;COUNT(Dong6),"",OFFSET(TH!K$1,SMALL(Dong6,ROWS($1:22)),))</f>
        <v>1541000</v>
      </c>
      <c r="I32" s="655">
        <f ca="1">IF(ROWS($1:22)&gt;COUNT(Dong6),"",OFFSET(TH!K$1,SMALL(Dong6,ROWS($1:22)),))</f>
        <v>1541000</v>
      </c>
    </row>
    <row r="33" spans="1:9" s="728" customFormat="1" ht="21" customHeight="1">
      <c r="A33" s="736">
        <f ca="1">IF(ROWS($1:23)&gt;COUNT(Dong6),"",OFFSET(TH!C$1,SMALL(Dong6,ROWS($1:23)),))</f>
        <v>42557</v>
      </c>
      <c r="B33" s="737" t="str">
        <f ca="1">IF(ROWS($1:23)&gt;COUNT(Dong6),"",OFFSET(TH!D$1,SMALL(Dong6,ROWS($1:23)),))</f>
        <v>TP/X03</v>
      </c>
      <c r="C33" s="736">
        <f ca="1">IF(ROWS($1:23)&gt;COUNT(Dong6),"",OFFSET(TH!E$1,SMALL(Dong6,ROWS($1:23)),))</f>
        <v>42557</v>
      </c>
      <c r="D33" s="738" t="str">
        <f ca="1">IF(ROWS($1:23)&gt;COUNT(Dong6),"",OFFSET(TH!F$1,SMALL(Dong6,ROWS($1:23)),))</f>
        <v>VAT Thùng</v>
      </c>
      <c r="E33" s="737">
        <f t="shared" ca="1" si="0"/>
        <v>23</v>
      </c>
      <c r="F33" s="739" t="str">
        <f ca="1">IF(ROWS($1:23)&gt;COUNT(Dong6),"",OFFSET(TH!L$1,SMALL(Dong6,ROWS($1:23)),))</f>
        <v>131</v>
      </c>
      <c r="G33" s="739" t="str">
        <f ca="1">IF(ROWS($1:23)&gt;COUNT(Dong6),"",OFFSET(TH!M$1,SMALL(Dong6,ROWS($1:23)),))</f>
        <v>3331</v>
      </c>
      <c r="H33" s="655">
        <f ca="1">IF(ROWS($1:23)&gt;COUNT(Dong6),"",OFFSET(TH!K$1,SMALL(Dong6,ROWS($1:23)),))</f>
        <v>154100</v>
      </c>
      <c r="I33" s="655">
        <f ca="1">IF(ROWS($1:23)&gt;COUNT(Dong6),"",OFFSET(TH!K$1,SMALL(Dong6,ROWS($1:23)),))</f>
        <v>154100</v>
      </c>
    </row>
    <row r="34" spans="1:9" s="728" customFormat="1" ht="21" customHeight="1">
      <c r="A34" s="736">
        <f ca="1">IF(ROWS($1:24)&gt;COUNT(Dong6),"",OFFSET(TH!C$1,SMALL(Dong6,ROWS($1:24)),))</f>
        <v>42558</v>
      </c>
      <c r="B34" s="737" t="str">
        <f ca="1">IF(ROWS($1:24)&gt;COUNT(Dong6),"",OFFSET(TH!D$1,SMALL(Dong6,ROWS($1:24)),))</f>
        <v>GBC</v>
      </c>
      <c r="C34" s="736">
        <f ca="1">IF(ROWS($1:24)&gt;COUNT(Dong6),"",OFFSET(TH!E$1,SMALL(Dong6,ROWS($1:24)),))</f>
        <v>42558</v>
      </c>
      <c r="D34" s="738" t="str">
        <f ca="1">IF(ROWS($1:24)&gt;COUNT(Dong6),"",OFFSET(TH!F$1,SMALL(Dong6,ROWS($1:24)),))</f>
        <v>Thu tiền hàng</v>
      </c>
      <c r="E34" s="737">
        <f t="shared" ca="1" si="0"/>
        <v>24</v>
      </c>
      <c r="F34" s="739" t="str">
        <f ca="1">IF(ROWS($1:24)&gt;COUNT(Dong6),"",OFFSET(TH!L$1,SMALL(Dong6,ROWS($1:24)),))</f>
        <v>1121</v>
      </c>
      <c r="G34" s="739" t="str">
        <f ca="1">IF(ROWS($1:24)&gt;COUNT(Dong6),"",OFFSET(TH!M$1,SMALL(Dong6,ROWS($1:24)),))</f>
        <v>131</v>
      </c>
      <c r="H34" s="655">
        <f ca="1">IF(ROWS($1:24)&gt;COUNT(Dong6),"",OFFSET(TH!K$1,SMALL(Dong6,ROWS($1:24)),))</f>
        <v>20348900</v>
      </c>
      <c r="I34" s="655">
        <f ca="1">IF(ROWS($1:24)&gt;COUNT(Dong6),"",OFFSET(TH!K$1,SMALL(Dong6,ROWS($1:24)),))</f>
        <v>20348900</v>
      </c>
    </row>
    <row r="35" spans="1:9" s="728" customFormat="1" ht="21" customHeight="1">
      <c r="A35" s="736">
        <f ca="1">IF(ROWS($1:25)&gt;COUNT(Dong6),"",OFFSET(TH!C$1,SMALL(Dong6,ROWS($1:25)),))</f>
        <v>42558</v>
      </c>
      <c r="B35" s="737" t="str">
        <f ca="1">IF(ROWS($1:25)&gt;COUNT(Dong6),"",OFFSET(TH!D$1,SMALL(Dong6,ROWS($1:25)),))</f>
        <v>GBN</v>
      </c>
      <c r="C35" s="736">
        <f ca="1">IF(ROWS($1:25)&gt;COUNT(Dong6),"",OFFSET(TH!E$1,SMALL(Dong6,ROWS($1:25)),))</f>
        <v>42558</v>
      </c>
      <c r="D35" s="738" t="str">
        <f ca="1">IF(ROWS($1:25)&gt;COUNT(Dong6),"",OFFSET(TH!F$1,SMALL(Dong6,ROWS($1:25)),))</f>
        <v>Thanh toán tiền hàng</v>
      </c>
      <c r="E35" s="737">
        <f t="shared" ca="1" si="0"/>
        <v>25</v>
      </c>
      <c r="F35" s="739" t="str">
        <f ca="1">IF(ROWS($1:25)&gt;COUNT(Dong6),"",OFFSET(TH!L$1,SMALL(Dong6,ROWS($1:25)),))</f>
        <v>331</v>
      </c>
      <c r="G35" s="739" t="str">
        <f ca="1">IF(ROWS($1:25)&gt;COUNT(Dong6),"",OFFSET(TH!M$1,SMALL(Dong6,ROWS($1:25)),))</f>
        <v>1121</v>
      </c>
      <c r="H35" s="655">
        <f ca="1">IF(ROWS($1:25)&gt;COUNT(Dong6),"",OFFSET(TH!K$1,SMALL(Dong6,ROWS($1:25)),))</f>
        <v>34625550</v>
      </c>
      <c r="I35" s="655">
        <f ca="1">IF(ROWS($1:25)&gt;COUNT(Dong6),"",OFFSET(TH!K$1,SMALL(Dong6,ROWS($1:25)),))</f>
        <v>34625550</v>
      </c>
    </row>
    <row r="36" spans="1:9" s="728" customFormat="1" ht="21" customHeight="1">
      <c r="A36" s="736">
        <f ca="1">IF(ROWS($1:26)&gt;COUNT(Dong6),"",OFFSET(TH!C$1,SMALL(Dong6,ROWS($1:26)),))</f>
        <v>42558</v>
      </c>
      <c r="B36" s="737" t="str">
        <f ca="1">IF(ROWS($1:26)&gt;COUNT(Dong6),"",OFFSET(TH!D$1,SMALL(Dong6,ROWS($1:26)),))</f>
        <v>GBN</v>
      </c>
      <c r="C36" s="736">
        <f ca="1">IF(ROWS($1:26)&gt;COUNT(Dong6),"",OFFSET(TH!E$1,SMALL(Dong6,ROWS($1:26)),))</f>
        <v>42558</v>
      </c>
      <c r="D36" s="738" t="str">
        <f ca="1">IF(ROWS($1:26)&gt;COUNT(Dong6),"",OFFSET(TH!F$1,SMALL(Dong6,ROWS($1:26)),))</f>
        <v>Thanh toán tiền hàng</v>
      </c>
      <c r="E36" s="737">
        <f t="shared" ca="1" si="0"/>
        <v>26</v>
      </c>
      <c r="F36" s="739" t="str">
        <f ca="1">IF(ROWS($1:26)&gt;COUNT(Dong6),"",OFFSET(TH!L$1,SMALL(Dong6,ROWS($1:26)),))</f>
        <v>331</v>
      </c>
      <c r="G36" s="739" t="str">
        <f ca="1">IF(ROWS($1:26)&gt;COUNT(Dong6),"",OFFSET(TH!M$1,SMALL(Dong6,ROWS($1:26)),))</f>
        <v>1121</v>
      </c>
      <c r="H36" s="655">
        <f ca="1">IF(ROWS($1:26)&gt;COUNT(Dong6),"",OFFSET(TH!K$1,SMALL(Dong6,ROWS($1:26)),))</f>
        <v>23200000</v>
      </c>
      <c r="I36" s="655">
        <f ca="1">IF(ROWS($1:26)&gt;COUNT(Dong6),"",OFFSET(TH!K$1,SMALL(Dong6,ROWS($1:26)),))</f>
        <v>23200000</v>
      </c>
    </row>
    <row r="37" spans="1:9" s="728" customFormat="1" ht="21" customHeight="1">
      <c r="A37" s="736">
        <f ca="1">IF(ROWS($1:27)&gt;COUNT(Dong6),"",OFFSET(TH!C$1,SMALL(Dong6,ROWS($1:27)),))</f>
        <v>42558</v>
      </c>
      <c r="B37" s="737" t="str">
        <f ca="1">IF(ROWS($1:27)&gt;COUNT(Dong6),"",OFFSET(TH!D$1,SMALL(Dong6,ROWS($1:27)),))</f>
        <v>GBN</v>
      </c>
      <c r="C37" s="736">
        <f ca="1">IF(ROWS($1:27)&gt;COUNT(Dong6),"",OFFSET(TH!E$1,SMALL(Dong6,ROWS($1:27)),))</f>
        <v>42558</v>
      </c>
      <c r="D37" s="738" t="str">
        <f ca="1">IF(ROWS($1:27)&gt;COUNT(Dong6),"",OFFSET(TH!F$1,SMALL(Dong6,ROWS($1:27)),))</f>
        <v>Phí chuyển tiền</v>
      </c>
      <c r="E37" s="737">
        <f t="shared" ca="1" si="0"/>
        <v>27</v>
      </c>
      <c r="F37" s="739" t="str">
        <f ca="1">IF(ROWS($1:27)&gt;COUNT(Dong6),"",OFFSET(TH!L$1,SMALL(Dong6,ROWS($1:27)),))</f>
        <v>642</v>
      </c>
      <c r="G37" s="739" t="str">
        <f ca="1">IF(ROWS($1:27)&gt;COUNT(Dong6),"",OFFSET(TH!M$1,SMALL(Dong6,ROWS($1:27)),))</f>
        <v>1121</v>
      </c>
      <c r="H37" s="655">
        <f ca="1">IF(ROWS($1:27)&gt;COUNT(Dong6),"",OFFSET(TH!K$1,SMALL(Dong6,ROWS($1:27)),))</f>
        <v>13637</v>
      </c>
      <c r="I37" s="655">
        <f ca="1">IF(ROWS($1:27)&gt;COUNT(Dong6),"",OFFSET(TH!K$1,SMALL(Dong6,ROWS($1:27)),))</f>
        <v>13637</v>
      </c>
    </row>
    <row r="38" spans="1:9" s="728" customFormat="1" ht="21" customHeight="1">
      <c r="A38" s="736">
        <f ca="1">IF(ROWS($1:28)&gt;COUNT(Dong6),"",OFFSET(TH!C$1,SMALL(Dong6,ROWS($1:28)),))</f>
        <v>42558</v>
      </c>
      <c r="B38" s="737" t="str">
        <f ca="1">IF(ROWS($1:28)&gt;COUNT(Dong6),"",OFFSET(TH!D$1,SMALL(Dong6,ROWS($1:28)),))</f>
        <v>GBN</v>
      </c>
      <c r="C38" s="736">
        <f ca="1">IF(ROWS($1:28)&gt;COUNT(Dong6),"",OFFSET(TH!E$1,SMALL(Dong6,ROWS($1:28)),))</f>
        <v>42558</v>
      </c>
      <c r="D38" s="738" t="str">
        <f ca="1">IF(ROWS($1:28)&gt;COUNT(Dong6),"",OFFSET(TH!F$1,SMALL(Dong6,ROWS($1:28)),))</f>
        <v>VAT Phí chuyển tiền</v>
      </c>
      <c r="E38" s="737">
        <f t="shared" ca="1" si="0"/>
        <v>28</v>
      </c>
      <c r="F38" s="739" t="str">
        <f ca="1">IF(ROWS($1:28)&gt;COUNT(Dong6),"",OFFSET(TH!L$1,SMALL(Dong6,ROWS($1:28)),))</f>
        <v>1331</v>
      </c>
      <c r="G38" s="739" t="str">
        <f ca="1">IF(ROWS($1:28)&gt;COUNT(Dong6),"",OFFSET(TH!M$1,SMALL(Dong6,ROWS($1:28)),))</f>
        <v>1121</v>
      </c>
      <c r="H38" s="655">
        <f ca="1">IF(ROWS($1:28)&gt;COUNT(Dong6),"",OFFSET(TH!K$1,SMALL(Dong6,ROWS($1:28)),))</f>
        <v>1363</v>
      </c>
      <c r="I38" s="655">
        <f ca="1">IF(ROWS($1:28)&gt;COUNT(Dong6),"",OFFSET(TH!K$1,SMALL(Dong6,ROWS($1:28)),))</f>
        <v>1363</v>
      </c>
    </row>
    <row r="39" spans="1:9" s="728" customFormat="1" ht="21" customHeight="1">
      <c r="A39" s="736">
        <f ca="1">IF(ROWS($1:29)&gt;COUNT(Dong6),"",OFFSET(TH!C$1,SMALL(Dong6,ROWS($1:29)),))</f>
        <v>42558</v>
      </c>
      <c r="B39" s="737" t="str">
        <f ca="1">IF(ROWS($1:29)&gt;COUNT(Dong6),"",OFFSET(TH!D$1,SMALL(Dong6,ROWS($1:29)),))</f>
        <v>TP/X04</v>
      </c>
      <c r="C39" s="736">
        <f ca="1">IF(ROWS($1:29)&gt;COUNT(Dong6),"",OFFSET(TH!E$1,SMALL(Dong6,ROWS($1:29)),))</f>
        <v>42558</v>
      </c>
      <c r="D39" s="738" t="str">
        <f ca="1">IF(ROWS($1:29)&gt;COUNT(Dong6),"",OFFSET(TH!F$1,SMALL(Dong6,ROWS($1:29)),))</f>
        <v>Thùng (37.5x25.3x23.9)</v>
      </c>
      <c r="E39" s="737">
        <f t="shared" ca="1" si="0"/>
        <v>29</v>
      </c>
      <c r="F39" s="739" t="str">
        <f ca="1">IF(ROWS($1:29)&gt;COUNT(Dong6),"",OFFSET(TH!L$1,SMALL(Dong6,ROWS($1:29)),))</f>
        <v>131</v>
      </c>
      <c r="G39" s="739" t="str">
        <f ca="1">IF(ROWS($1:29)&gt;COUNT(Dong6),"",OFFSET(TH!M$1,SMALL(Dong6,ROWS($1:29)),))</f>
        <v>5112</v>
      </c>
      <c r="H39" s="655">
        <f ca="1">IF(ROWS($1:29)&gt;COUNT(Dong6),"",OFFSET(TH!K$1,SMALL(Dong6,ROWS($1:29)),))</f>
        <v>9115500</v>
      </c>
      <c r="I39" s="655">
        <f ca="1">IF(ROWS($1:29)&gt;COUNT(Dong6),"",OFFSET(TH!K$1,SMALL(Dong6,ROWS($1:29)),))</f>
        <v>9115500</v>
      </c>
    </row>
    <row r="40" spans="1:9" s="728" customFormat="1" ht="21" customHeight="1">
      <c r="A40" s="736">
        <f ca="1">IF(ROWS($1:30)&gt;COUNT(Dong6),"",OFFSET(TH!C$1,SMALL(Dong6,ROWS($1:30)),))</f>
        <v>42558</v>
      </c>
      <c r="B40" s="737" t="str">
        <f ca="1">IF(ROWS($1:30)&gt;COUNT(Dong6),"",OFFSET(TH!D$1,SMALL(Dong6,ROWS($1:30)),))</f>
        <v>TP/X04</v>
      </c>
      <c r="C40" s="736">
        <f ca="1">IF(ROWS($1:30)&gt;COUNT(Dong6),"",OFFSET(TH!E$1,SMALL(Dong6,ROWS($1:30)),))</f>
        <v>42558</v>
      </c>
      <c r="D40" s="738" t="str">
        <f ca="1">IF(ROWS($1:30)&gt;COUNT(Dong6),"",OFFSET(TH!F$1,SMALL(Dong6,ROWS($1:30)),))</f>
        <v>Thùng (37.5x25.3x23.9)</v>
      </c>
      <c r="E40" s="737">
        <f t="shared" ca="1" si="0"/>
        <v>30</v>
      </c>
      <c r="F40" s="739" t="str">
        <f ca="1">IF(ROWS($1:30)&gt;COUNT(Dong6),"",OFFSET(TH!L$1,SMALL(Dong6,ROWS($1:30)),))</f>
        <v>131</v>
      </c>
      <c r="G40" s="739" t="str">
        <f ca="1">IF(ROWS($1:30)&gt;COUNT(Dong6),"",OFFSET(TH!M$1,SMALL(Dong6,ROWS($1:30)),))</f>
        <v>5112</v>
      </c>
      <c r="H40" s="655">
        <f ca="1">IF(ROWS($1:30)&gt;COUNT(Dong6),"",OFFSET(TH!K$1,SMALL(Dong6,ROWS($1:30)),))</f>
        <v>4080700</v>
      </c>
      <c r="I40" s="655">
        <f ca="1">IF(ROWS($1:30)&gt;COUNT(Dong6),"",OFFSET(TH!K$1,SMALL(Dong6,ROWS($1:30)),))</f>
        <v>4080700</v>
      </c>
    </row>
    <row r="41" spans="1:9" s="728" customFormat="1" ht="21" customHeight="1">
      <c r="A41" s="736">
        <f ca="1">IF(ROWS($1:31)&gt;COUNT(Dong6),"",OFFSET(TH!C$1,SMALL(Dong6,ROWS($1:31)),))</f>
        <v>42558</v>
      </c>
      <c r="B41" s="737" t="str">
        <f ca="1">IF(ROWS($1:31)&gt;COUNT(Dong6),"",OFFSET(TH!D$1,SMALL(Dong6,ROWS($1:31)),))</f>
        <v>TP/X04</v>
      </c>
      <c r="C41" s="736">
        <f ca="1">IF(ROWS($1:31)&gt;COUNT(Dong6),"",OFFSET(TH!E$1,SMALL(Dong6,ROWS($1:31)),))</f>
        <v>42558</v>
      </c>
      <c r="D41" s="738" t="str">
        <f ca="1">IF(ROWS($1:31)&gt;COUNT(Dong6),"",OFFSET(TH!F$1,SMALL(Dong6,ROWS($1:31)),))</f>
        <v>VAT Thùng</v>
      </c>
      <c r="E41" s="737">
        <f t="shared" ref="E41:E50" ca="1" si="1">IF(D41&lt;&gt;"",ROW()-10,"")</f>
        <v>31</v>
      </c>
      <c r="F41" s="739" t="str">
        <f ca="1">IF(ROWS($1:31)&gt;COUNT(Dong6),"",OFFSET(TH!L$1,SMALL(Dong6,ROWS($1:31)),))</f>
        <v>131</v>
      </c>
      <c r="G41" s="739" t="str">
        <f ca="1">IF(ROWS($1:31)&gt;COUNT(Dong6),"",OFFSET(TH!M$1,SMALL(Dong6,ROWS($1:31)),))</f>
        <v>3331</v>
      </c>
      <c r="H41" s="655">
        <f ca="1">IF(ROWS($1:31)&gt;COUNT(Dong6),"",OFFSET(TH!K$1,SMALL(Dong6,ROWS($1:31)),))</f>
        <v>1319620</v>
      </c>
      <c r="I41" s="655">
        <f ca="1">IF(ROWS($1:31)&gt;COUNT(Dong6),"",OFFSET(TH!K$1,SMALL(Dong6,ROWS($1:31)),))</f>
        <v>1319620</v>
      </c>
    </row>
    <row r="42" spans="1:9" s="728" customFormat="1" ht="21" customHeight="1">
      <c r="A42" s="736">
        <f ca="1">IF(ROWS($1:32)&gt;COUNT(Dong6),"",OFFSET(TH!C$1,SMALL(Dong6,ROWS($1:32)),))</f>
        <v>42559</v>
      </c>
      <c r="B42" s="737" t="str">
        <f ca="1">IF(ROWS($1:32)&gt;COUNT(Dong6),"",OFFSET(TH!D$1,SMALL(Dong6,ROWS($1:32)),))</f>
        <v>TP/X05</v>
      </c>
      <c r="C42" s="736">
        <f ca="1">IF(ROWS($1:32)&gt;COUNT(Dong6),"",OFFSET(TH!E$1,SMALL(Dong6,ROWS($1:32)),))</f>
        <v>42559</v>
      </c>
      <c r="D42" s="738" t="str">
        <f ca="1">IF(ROWS($1:32)&gt;COUNT(Dong6),"",OFFSET(TH!F$1,SMALL(Dong6,ROWS($1:32)),))</f>
        <v>Thùng (33x33x27)</v>
      </c>
      <c r="E42" s="737">
        <f t="shared" ca="1" si="1"/>
        <v>32</v>
      </c>
      <c r="F42" s="739" t="str">
        <f ca="1">IF(ROWS($1:32)&gt;COUNT(Dong6),"",OFFSET(TH!L$1,SMALL(Dong6,ROWS($1:32)),))</f>
        <v>131</v>
      </c>
      <c r="G42" s="739" t="str">
        <f ca="1">IF(ROWS($1:32)&gt;COUNT(Dong6),"",OFFSET(TH!M$1,SMALL(Dong6,ROWS($1:32)),))</f>
        <v>5112</v>
      </c>
      <c r="H42" s="655">
        <f ca="1">IF(ROWS($1:32)&gt;COUNT(Dong6),"",OFFSET(TH!K$1,SMALL(Dong6,ROWS($1:32)),))</f>
        <v>3644200</v>
      </c>
      <c r="I42" s="655">
        <f ca="1">IF(ROWS($1:32)&gt;COUNT(Dong6),"",OFFSET(TH!K$1,SMALL(Dong6,ROWS($1:32)),))</f>
        <v>3644200</v>
      </c>
    </row>
    <row r="43" spans="1:9" s="728" customFormat="1" ht="21" customHeight="1">
      <c r="A43" s="736">
        <f ca="1">IF(ROWS($1:33)&gt;COUNT(Dong6),"",OFFSET(TH!C$1,SMALL(Dong6,ROWS($1:33)),))</f>
        <v>42559</v>
      </c>
      <c r="B43" s="737" t="str">
        <f ca="1">IF(ROWS($1:33)&gt;COUNT(Dong6),"",OFFSET(TH!D$1,SMALL(Dong6,ROWS($1:33)),))</f>
        <v>TP/X05</v>
      </c>
      <c r="C43" s="736">
        <f ca="1">IF(ROWS($1:33)&gt;COUNT(Dong6),"",OFFSET(TH!E$1,SMALL(Dong6,ROWS($1:33)),))</f>
        <v>42559</v>
      </c>
      <c r="D43" s="738" t="str">
        <f ca="1">IF(ROWS($1:33)&gt;COUNT(Dong6),"",OFFSET(TH!F$1,SMALL(Dong6,ROWS($1:33)),))</f>
        <v>VAT Thùng</v>
      </c>
      <c r="E43" s="737">
        <f t="shared" ca="1" si="1"/>
        <v>33</v>
      </c>
      <c r="F43" s="739" t="str">
        <f ca="1">IF(ROWS($1:33)&gt;COUNT(Dong6),"",OFFSET(TH!L$1,SMALL(Dong6,ROWS($1:33)),))</f>
        <v>131</v>
      </c>
      <c r="G43" s="739" t="str">
        <f ca="1">IF(ROWS($1:33)&gt;COUNT(Dong6),"",OFFSET(TH!M$1,SMALL(Dong6,ROWS($1:33)),))</f>
        <v>3331</v>
      </c>
      <c r="H43" s="655">
        <f ca="1">IF(ROWS($1:33)&gt;COUNT(Dong6),"",OFFSET(TH!K$1,SMALL(Dong6,ROWS($1:33)),))</f>
        <v>364420</v>
      </c>
      <c r="I43" s="655">
        <f ca="1">IF(ROWS($1:33)&gt;COUNT(Dong6),"",OFFSET(TH!K$1,SMALL(Dong6,ROWS($1:33)),))</f>
        <v>364420</v>
      </c>
    </row>
    <row r="44" spans="1:9" s="728" customFormat="1" ht="21" customHeight="1">
      <c r="A44" s="736">
        <f ca="1">IF(ROWS($1:34)&gt;COUNT(Dong6),"",OFFSET(TH!C$1,SMALL(Dong6,ROWS($1:34)),))</f>
        <v>42563</v>
      </c>
      <c r="B44" s="737" t="str">
        <f ca="1">IF(ROWS($1:34)&gt;COUNT(Dong6),"",OFFSET(TH!D$1,SMALL(Dong6,ROWS($1:34)),))</f>
        <v>GBC</v>
      </c>
      <c r="C44" s="736">
        <f ca="1">IF(ROWS($1:34)&gt;COUNT(Dong6),"",OFFSET(TH!E$1,SMALL(Dong6,ROWS($1:34)),))</f>
        <v>42563</v>
      </c>
      <c r="D44" s="738" t="str">
        <f ca="1">IF(ROWS($1:34)&gt;COUNT(Dong6),"",OFFSET(TH!F$1,SMALL(Dong6,ROWS($1:34)),))</f>
        <v>Thu tiền hàng</v>
      </c>
      <c r="E44" s="737">
        <f t="shared" ca="1" si="1"/>
        <v>34</v>
      </c>
      <c r="F44" s="739" t="str">
        <f ca="1">IF(ROWS($1:34)&gt;COUNT(Dong6),"",OFFSET(TH!L$1,SMALL(Dong6,ROWS($1:34)),))</f>
        <v>1121</v>
      </c>
      <c r="G44" s="739" t="str">
        <f ca="1">IF(ROWS($1:34)&gt;COUNT(Dong6),"",OFFSET(TH!M$1,SMALL(Dong6,ROWS($1:34)),))</f>
        <v>131</v>
      </c>
      <c r="H44" s="655">
        <f ca="1">IF(ROWS($1:34)&gt;COUNT(Dong6),"",OFFSET(TH!K$1,SMALL(Dong6,ROWS($1:34)),))</f>
        <v>4171860</v>
      </c>
      <c r="I44" s="655">
        <f ca="1">IF(ROWS($1:34)&gt;COUNT(Dong6),"",OFFSET(TH!K$1,SMALL(Dong6,ROWS($1:34)),))</f>
        <v>4171860</v>
      </c>
    </row>
    <row r="45" spans="1:9" s="728" customFormat="1" ht="21" customHeight="1">
      <c r="A45" s="736">
        <f ca="1">IF(ROWS($1:35)&gt;COUNT(Dong6),"",OFFSET(TH!C$1,SMALL(Dong6,ROWS($1:35)),))</f>
        <v>42563</v>
      </c>
      <c r="B45" s="737" t="str">
        <f ca="1">IF(ROWS($1:35)&gt;COUNT(Dong6),"",OFFSET(TH!D$1,SMALL(Dong6,ROWS($1:35)),))</f>
        <v>C03</v>
      </c>
      <c r="C45" s="736">
        <f ca="1">IF(ROWS($1:35)&gt;COUNT(Dong6),"",OFFSET(TH!E$1,SMALL(Dong6,ROWS($1:35)),))</f>
        <v>42563</v>
      </c>
      <c r="D45" s="738" t="str">
        <f ca="1">IF(ROWS($1:35)&gt;COUNT(Dong6),"",OFFSET(TH!F$1,SMALL(Dong6,ROWS($1:35)),))</f>
        <v>Nộp TM</v>
      </c>
      <c r="E45" s="737">
        <f t="shared" ca="1" si="1"/>
        <v>35</v>
      </c>
      <c r="F45" s="739" t="str">
        <f ca="1">IF(ROWS($1:35)&gt;COUNT(Dong6),"",OFFSET(TH!L$1,SMALL(Dong6,ROWS($1:35)),))</f>
        <v>1121</v>
      </c>
      <c r="G45" s="739" t="str">
        <f ca="1">IF(ROWS($1:35)&gt;COUNT(Dong6),"",OFFSET(TH!M$1,SMALL(Dong6,ROWS($1:35)),))</f>
        <v>1111</v>
      </c>
      <c r="H45" s="655">
        <f ca="1">IF(ROWS($1:35)&gt;COUNT(Dong6),"",OFFSET(TH!K$1,SMALL(Dong6,ROWS($1:35)),))</f>
        <v>26000000</v>
      </c>
      <c r="I45" s="655">
        <f ca="1">IF(ROWS($1:35)&gt;COUNT(Dong6),"",OFFSET(TH!K$1,SMALL(Dong6,ROWS($1:35)),))</f>
        <v>26000000</v>
      </c>
    </row>
    <row r="46" spans="1:9" s="728" customFormat="1" ht="21" customHeight="1">
      <c r="A46" s="736">
        <f ca="1">IF(ROWS($1:36)&gt;COUNT(Dong6),"",OFFSET(TH!C$1,SMALL(Dong6,ROWS($1:36)),))</f>
        <v>42563</v>
      </c>
      <c r="B46" s="737" t="str">
        <f ca="1">IF(ROWS($1:36)&gt;COUNT(Dong6),"",OFFSET(TH!D$1,SMALL(Dong6,ROWS($1:36)),))</f>
        <v>GBN</v>
      </c>
      <c r="C46" s="736">
        <f ca="1">IF(ROWS($1:36)&gt;COUNT(Dong6),"",OFFSET(TH!E$1,SMALL(Dong6,ROWS($1:36)),))</f>
        <v>42563</v>
      </c>
      <c r="D46" s="738" t="str">
        <f ca="1">IF(ROWS($1:36)&gt;COUNT(Dong6),"",OFFSET(TH!F$1,SMALL(Dong6,ROWS($1:36)),))</f>
        <v>Thanh toán tiền hàng</v>
      </c>
      <c r="E46" s="737">
        <f t="shared" ca="1" si="1"/>
        <v>36</v>
      </c>
      <c r="F46" s="739" t="str">
        <f ca="1">IF(ROWS($1:36)&gt;COUNT(Dong6),"",OFFSET(TH!L$1,SMALL(Dong6,ROWS($1:36)),))</f>
        <v>331</v>
      </c>
      <c r="G46" s="739" t="str">
        <f ca="1">IF(ROWS($1:36)&gt;COUNT(Dong6),"",OFFSET(TH!M$1,SMALL(Dong6,ROWS($1:36)),))</f>
        <v>1121</v>
      </c>
      <c r="H46" s="655">
        <f ca="1">IF(ROWS($1:36)&gt;COUNT(Dong6),"",OFFSET(TH!K$1,SMALL(Dong6,ROWS($1:36)),))</f>
        <v>30000000</v>
      </c>
      <c r="I46" s="655">
        <f ca="1">IF(ROWS($1:36)&gt;COUNT(Dong6),"",OFFSET(TH!K$1,SMALL(Dong6,ROWS($1:36)),))</f>
        <v>30000000</v>
      </c>
    </row>
    <row r="47" spans="1:9" s="728" customFormat="1" ht="21" customHeight="1">
      <c r="A47" s="736">
        <f ca="1">IF(ROWS($1:37)&gt;COUNT(Dong6),"",OFFSET(TH!C$1,SMALL(Dong6,ROWS($1:37)),))</f>
        <v>42563</v>
      </c>
      <c r="B47" s="737" t="str">
        <f ca="1">IF(ROWS($1:37)&gt;COUNT(Dong6),"",OFFSET(TH!D$1,SMALL(Dong6,ROWS($1:37)),))</f>
        <v>GBN</v>
      </c>
      <c r="C47" s="736">
        <f ca="1">IF(ROWS($1:37)&gt;COUNT(Dong6),"",OFFSET(TH!E$1,SMALL(Dong6,ROWS($1:37)),))</f>
        <v>42563</v>
      </c>
      <c r="D47" s="738" t="str">
        <f ca="1">IF(ROWS($1:37)&gt;COUNT(Dong6),"",OFFSET(TH!F$1,SMALL(Dong6,ROWS($1:37)),))</f>
        <v>Phí kiểm đếm</v>
      </c>
      <c r="E47" s="737">
        <f t="shared" ca="1" si="1"/>
        <v>37</v>
      </c>
      <c r="F47" s="739" t="str">
        <f ca="1">IF(ROWS($1:37)&gt;COUNT(Dong6),"",OFFSET(TH!L$1,SMALL(Dong6,ROWS($1:37)),))</f>
        <v>642</v>
      </c>
      <c r="G47" s="739" t="str">
        <f ca="1">IF(ROWS($1:37)&gt;COUNT(Dong6),"",OFFSET(TH!M$1,SMALL(Dong6,ROWS($1:37)),))</f>
        <v>1121</v>
      </c>
      <c r="H47" s="655">
        <f ca="1">IF(ROWS($1:37)&gt;COUNT(Dong6),"",OFFSET(TH!K$1,SMALL(Dong6,ROWS($1:37)),))</f>
        <v>13637</v>
      </c>
      <c r="I47" s="655">
        <f ca="1">IF(ROWS($1:37)&gt;COUNT(Dong6),"",OFFSET(TH!K$1,SMALL(Dong6,ROWS($1:37)),))</f>
        <v>13637</v>
      </c>
    </row>
    <row r="48" spans="1:9" s="728" customFormat="1" ht="21" customHeight="1">
      <c r="A48" s="736">
        <f ca="1">IF(ROWS($1:38)&gt;COUNT(Dong6),"",OFFSET(TH!C$1,SMALL(Dong6,ROWS($1:38)),))</f>
        <v>42563</v>
      </c>
      <c r="B48" s="737" t="str">
        <f ca="1">IF(ROWS($1:38)&gt;COUNT(Dong6),"",OFFSET(TH!D$1,SMALL(Dong6,ROWS($1:38)),))</f>
        <v>GBN</v>
      </c>
      <c r="C48" s="736">
        <f ca="1">IF(ROWS($1:38)&gt;COUNT(Dong6),"",OFFSET(TH!E$1,SMALL(Dong6,ROWS($1:38)),))</f>
        <v>42563</v>
      </c>
      <c r="D48" s="738" t="str">
        <f ca="1">IF(ROWS($1:38)&gt;COUNT(Dong6),"",OFFSET(TH!F$1,SMALL(Dong6,ROWS($1:38)),))</f>
        <v>VAT Phí kiểm đếm</v>
      </c>
      <c r="E48" s="737">
        <f t="shared" ca="1" si="1"/>
        <v>38</v>
      </c>
      <c r="F48" s="739" t="str">
        <f ca="1">IF(ROWS($1:38)&gt;COUNT(Dong6),"",OFFSET(TH!L$1,SMALL(Dong6,ROWS($1:38)),))</f>
        <v>1331</v>
      </c>
      <c r="G48" s="739" t="str">
        <f ca="1">IF(ROWS($1:38)&gt;COUNT(Dong6),"",OFFSET(TH!M$1,SMALL(Dong6,ROWS($1:38)),))</f>
        <v>1121</v>
      </c>
      <c r="H48" s="655">
        <f ca="1">IF(ROWS($1:38)&gt;COUNT(Dong6),"",OFFSET(TH!K$1,SMALL(Dong6,ROWS($1:38)),))</f>
        <v>1363</v>
      </c>
      <c r="I48" s="655">
        <f ca="1">IF(ROWS($1:38)&gt;COUNT(Dong6),"",OFFSET(TH!K$1,SMALL(Dong6,ROWS($1:38)),))</f>
        <v>1363</v>
      </c>
    </row>
    <row r="49" spans="1:10" s="728" customFormat="1" ht="21" customHeight="1">
      <c r="A49" s="736">
        <f ca="1">IF(ROWS($1:39)&gt;COUNT(Dong6),"",OFFSET(TH!C$1,SMALL(Dong6,ROWS($1:39)),))</f>
        <v>42563</v>
      </c>
      <c r="B49" s="737" t="str">
        <f ca="1">IF(ROWS($1:39)&gt;COUNT(Dong6),"",OFFSET(TH!D$1,SMALL(Dong6,ROWS($1:39)),))</f>
        <v>GBN</v>
      </c>
      <c r="C49" s="736">
        <f ca="1">IF(ROWS($1:39)&gt;COUNT(Dong6),"",OFFSET(TH!E$1,SMALL(Dong6,ROWS($1:39)),))</f>
        <v>42563</v>
      </c>
      <c r="D49" s="738" t="str">
        <f ca="1">IF(ROWS($1:39)&gt;COUNT(Dong6),"",OFFSET(TH!F$1,SMALL(Dong6,ROWS($1:39)),))</f>
        <v>Phí chuyển tiền</v>
      </c>
      <c r="E49" s="737">
        <f t="shared" ca="1" si="1"/>
        <v>39</v>
      </c>
      <c r="F49" s="739" t="str">
        <f ca="1">IF(ROWS($1:39)&gt;COUNT(Dong6),"",OFFSET(TH!L$1,SMALL(Dong6,ROWS($1:39)),))</f>
        <v>642</v>
      </c>
      <c r="G49" s="739" t="str">
        <f ca="1">IF(ROWS($1:39)&gt;COUNT(Dong6),"",OFFSET(TH!M$1,SMALL(Dong6,ROWS($1:39)),))</f>
        <v>1121</v>
      </c>
      <c r="H49" s="655">
        <f ca="1">IF(ROWS($1:39)&gt;COUNT(Dong6),"",OFFSET(TH!K$1,SMALL(Dong6,ROWS($1:39)),))</f>
        <v>13637</v>
      </c>
      <c r="I49" s="655">
        <f ca="1">IF(ROWS($1:39)&gt;COUNT(Dong6),"",OFFSET(TH!K$1,SMALL(Dong6,ROWS($1:39)),))</f>
        <v>13637</v>
      </c>
    </row>
    <row r="50" spans="1:10" s="728" customFormat="1" ht="21" customHeight="1">
      <c r="A50" s="736">
        <f ca="1">IF(ROWS($1:40)&gt;COUNT(Dong6),"",OFFSET(TH!C$1,SMALL(Dong6,ROWS($1:40)),))</f>
        <v>42563</v>
      </c>
      <c r="B50" s="737" t="str">
        <f ca="1">IF(ROWS($1:40)&gt;COUNT(Dong6),"",OFFSET(TH!D$1,SMALL(Dong6,ROWS($1:40)),))</f>
        <v>GBN</v>
      </c>
      <c r="C50" s="736">
        <f ca="1">IF(ROWS($1:40)&gt;COUNT(Dong6),"",OFFSET(TH!E$1,SMALL(Dong6,ROWS($1:40)),))</f>
        <v>42563</v>
      </c>
      <c r="D50" s="738" t="str">
        <f ca="1">IF(ROWS($1:40)&gt;COUNT(Dong6),"",OFFSET(TH!F$1,SMALL(Dong6,ROWS($1:40)),))</f>
        <v>VAT Phí chuyển tiền</v>
      </c>
      <c r="E50" s="737">
        <f t="shared" ca="1" si="1"/>
        <v>40</v>
      </c>
      <c r="F50" s="739" t="str">
        <f ca="1">IF(ROWS($1:40)&gt;COUNT(Dong6),"",OFFSET(TH!L$1,SMALL(Dong6,ROWS($1:40)),))</f>
        <v>1331</v>
      </c>
      <c r="G50" s="739" t="str">
        <f ca="1">IF(ROWS($1:40)&gt;COUNT(Dong6),"",OFFSET(TH!M$1,SMALL(Dong6,ROWS($1:40)),))</f>
        <v>1121</v>
      </c>
      <c r="H50" s="655">
        <f ca="1">IF(ROWS($1:40)&gt;COUNT(Dong6),"",OFFSET(TH!K$1,SMALL(Dong6,ROWS($1:40)),))</f>
        <v>1363</v>
      </c>
      <c r="I50" s="655">
        <f ca="1">IF(ROWS($1:40)&gt;COUNT(Dong6),"",OFFSET(TH!K$1,SMALL(Dong6,ROWS($1:40)),))</f>
        <v>1363</v>
      </c>
    </row>
    <row r="51" spans="1:10" s="728" customFormat="1" ht="21" customHeight="1">
      <c r="A51" s="736"/>
      <c r="B51" s="737"/>
      <c r="C51" s="736"/>
      <c r="D51" s="738"/>
      <c r="E51" s="737"/>
      <c r="F51" s="739"/>
      <c r="G51" s="739"/>
      <c r="H51" s="655"/>
      <c r="I51" s="655"/>
    </row>
    <row r="52" spans="1:10" s="728" customFormat="1" ht="21" customHeight="1">
      <c r="A52" s="740"/>
      <c r="B52" s="740"/>
      <c r="C52" s="740"/>
      <c r="D52" s="741" t="s">
        <v>348</v>
      </c>
      <c r="E52" s="742" t="s">
        <v>19</v>
      </c>
      <c r="F52" s="742"/>
      <c r="G52" s="742" t="s">
        <v>19</v>
      </c>
      <c r="H52" s="743">
        <f ca="1">SUBTOTAL(9,$H$10:$H$51)</f>
        <v>15248947031</v>
      </c>
      <c r="I52" s="743">
        <f ca="1">SUBTOTAL(9,I10:I51)</f>
        <v>15248947031</v>
      </c>
    </row>
    <row r="53" spans="1:10" s="728" customFormat="1" ht="15">
      <c r="A53" s="744" t="s">
        <v>386</v>
      </c>
    </row>
    <row r="54" spans="1:10" s="728" customFormat="1" ht="15">
      <c r="A54" s="744" t="str">
        <f ca="1">"- Ngày mở sổ: "&amp;DAY($A$11)&amp;"/"&amp;MONTH($A$11)&amp;"/ " &amp;YEAR($A$11)</f>
        <v>- Ngày mở sổ: 1/7/ 2016</v>
      </c>
    </row>
    <row r="55" spans="1:10" s="728" customFormat="1" ht="15">
      <c r="H55" s="134" t="str">
        <f ca="1">"Ngày "&amp;IF(OR($L$11=4,$L$11=6,$L$11=9,$L$11=11),"30",IF($L$11=2,"28","31"))&amp;" tháng "&amp;$N$8&amp;"  năm  "&amp;YEAR($A$14)</f>
        <v>Ngày 31 tháng 9  năm  2016</v>
      </c>
      <c r="I55" s="745"/>
      <c r="J55" s="745"/>
    </row>
    <row r="56" spans="1:10" s="728" customFormat="1" ht="15">
      <c r="B56" s="745" t="s">
        <v>345</v>
      </c>
      <c r="D56" s="745" t="s">
        <v>12</v>
      </c>
      <c r="H56" s="745" t="s">
        <v>346</v>
      </c>
      <c r="I56" s="745"/>
      <c r="J56" s="745"/>
    </row>
    <row r="57" spans="1:10" s="728" customFormat="1" ht="15">
      <c r="B57" s="745" t="s">
        <v>13</v>
      </c>
      <c r="D57" s="745" t="s">
        <v>13</v>
      </c>
      <c r="H57" s="745" t="s">
        <v>136</v>
      </c>
      <c r="I57" s="745"/>
      <c r="J57" s="745"/>
    </row>
    <row r="58" spans="1:10" s="728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01" t="s">
        <v>145</v>
      </c>
      <c r="H2" s="1001"/>
      <c r="I2" s="1001"/>
    </row>
    <row r="3" spans="1:9" ht="15.75" customHeight="1">
      <c r="A3" s="1" t="str">
        <f>TH!A2</f>
        <v>Địa chỉ: 1A227/1 Ấp 1, Phạm Văn Hai, Bình Chánh, TPHCM</v>
      </c>
      <c r="G3" s="1002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02"/>
      <c r="I3" s="1002"/>
    </row>
    <row r="4" spans="1:9">
      <c r="F4" s="17"/>
      <c r="G4" s="1002"/>
      <c r="H4" s="1002"/>
      <c r="I4" s="1002"/>
    </row>
    <row r="5" spans="1:9" ht="17.25" customHeight="1">
      <c r="A5" s="1003" t="s">
        <v>146</v>
      </c>
      <c r="B5" s="1003"/>
      <c r="C5" s="1003"/>
      <c r="D5" s="1003"/>
      <c r="E5" s="1003"/>
      <c r="F5" s="1003"/>
      <c r="G5" s="1003"/>
      <c r="H5" s="1003"/>
      <c r="I5" s="1003"/>
    </row>
    <row r="6" spans="1:9">
      <c r="A6" s="1004" t="s">
        <v>147</v>
      </c>
      <c r="B6" s="1005"/>
      <c r="C6" s="1005"/>
      <c r="D6" s="1005"/>
      <c r="E6" s="1005"/>
      <c r="F6" s="1005"/>
      <c r="G6" s="1005"/>
      <c r="H6" s="1005"/>
      <c r="I6" s="1005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1005" t="s">
        <v>29</v>
      </c>
      <c r="B9" s="1006"/>
      <c r="C9" s="1006"/>
      <c r="D9" s="1006"/>
      <c r="E9" s="1006"/>
      <c r="F9" s="1006"/>
      <c r="G9" s="1006"/>
      <c r="H9" s="1006"/>
      <c r="I9" s="1006"/>
    </row>
    <row r="10" spans="1:9" ht="9.75" customHeight="1">
      <c r="C10" s="1007"/>
      <c r="D10" s="1008"/>
      <c r="E10" s="1008"/>
      <c r="F10" s="1008"/>
      <c r="G10" s="1008"/>
      <c r="H10" s="1008"/>
      <c r="I10" s="1008"/>
    </row>
    <row r="11" spans="1:9" s="18" customFormat="1" ht="19.5" customHeight="1">
      <c r="A11" s="1009" t="s">
        <v>20</v>
      </c>
      <c r="B11" s="999" t="s">
        <v>1</v>
      </c>
      <c r="C11" s="1010"/>
      <c r="D11" s="1009" t="s">
        <v>0</v>
      </c>
      <c r="E11" s="1009" t="s">
        <v>14</v>
      </c>
      <c r="F11" s="999" t="s">
        <v>21</v>
      </c>
      <c r="G11" s="1010"/>
      <c r="H11" s="999" t="s">
        <v>31</v>
      </c>
      <c r="I11" s="1000"/>
    </row>
    <row r="12" spans="1:9" s="18" customFormat="1" ht="32.25" customHeight="1">
      <c r="A12" s="1009"/>
      <c r="B12" s="237" t="s">
        <v>15</v>
      </c>
      <c r="C12" s="237" t="s">
        <v>32</v>
      </c>
      <c r="D12" s="1009"/>
      <c r="E12" s="1009"/>
      <c r="F12" s="237" t="s">
        <v>22</v>
      </c>
      <c r="G12" s="237" t="s">
        <v>23</v>
      </c>
      <c r="H12" s="237" t="s">
        <v>22</v>
      </c>
      <c r="I12" s="237" t="s">
        <v>23</v>
      </c>
    </row>
    <row r="13" spans="1:9" s="212" customFormat="1" ht="11.25" customHeight="1">
      <c r="A13" s="213" t="s">
        <v>2</v>
      </c>
      <c r="B13" s="214" t="s">
        <v>3</v>
      </c>
      <c r="C13" s="213" t="s">
        <v>4</v>
      </c>
      <c r="D13" s="213" t="s">
        <v>5</v>
      </c>
      <c r="E13" s="213" t="s">
        <v>6</v>
      </c>
      <c r="F13" s="213">
        <v>1</v>
      </c>
      <c r="G13" s="213">
        <v>2</v>
      </c>
      <c r="H13" s="213">
        <v>3</v>
      </c>
      <c r="I13" s="213">
        <v>4</v>
      </c>
    </row>
    <row r="14" spans="1:9" s="18" customFormat="1" ht="18" customHeight="1">
      <c r="A14" s="238"/>
      <c r="B14" s="233"/>
      <c r="C14" s="238"/>
      <c r="D14" s="232" t="s">
        <v>7</v>
      </c>
      <c r="E14" s="233"/>
      <c r="F14" s="239"/>
      <c r="G14" s="239"/>
      <c r="H14" s="239">
        <f>VLOOKUP($E$7,DSTK,3,0)</f>
        <v>0</v>
      </c>
      <c r="I14" s="239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40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41">
        <f ca="1">IF(ROWS($1:1)&gt;COUNT(Dong5),0,IF(OFFSET(TH!L$1,SMALL(Dong5,ROWS($1:1)),)=$E$7,OFFSET(TH!K$1,SMALL(Dong5,ROWS($1:1)),),0))</f>
        <v>0</v>
      </c>
      <c r="G15" s="239">
        <f ca="1">IF(ROWS($1:1)&gt;COUNT(Dong5),0,IF(OFFSET(TH!M$1,SMALL(Dong5,ROWS($1:1)),)=$E$7,OFFSET(TH!K$1,SMALL(Dong5,ROWS($1:1)),),0))</f>
        <v>236027608</v>
      </c>
      <c r="H15" s="242">
        <f ca="1">IF(D15&lt;&gt;"",MAX(H14+F15-G15-I14,0),0)</f>
        <v>0</v>
      </c>
      <c r="I15" s="242">
        <f ca="1">IF(D15&lt;&gt;"",MAX(I14+G15-H14-F15,0),0)</f>
        <v>236027608</v>
      </c>
    </row>
    <row r="16" spans="1:9" s="18" customFormat="1" ht="18" customHeight="1">
      <c r="A16" s="197">
        <f ca="1">IF(ROWS($1:2)&gt;COUNT(Dong5),"",OFFSET(TH!C$1,SMALL(Dong5,ROWS($1:2)),))</f>
        <v>42373</v>
      </c>
      <c r="B16" s="197" t="str">
        <f ca="1">IF(ROWS($1:2)&gt;COUNT(Dong5),"",OFFSET(TH!D$1,SMALL(Dong5,ROWS($1:2)),))</f>
        <v>C01</v>
      </c>
      <c r="C16" s="197">
        <f ca="1">IF(ROWS($1:2)&gt;COUNT(Dong5),"",OFFSET(TH!E$1,SMALL(Dong5,ROWS($1:2)),))</f>
        <v>42373</v>
      </c>
      <c r="D16" s="240" t="str">
        <f ca="1">IF(ROWS($1:2)&gt;COUNT(Dong5),"",OFFSET(TH!F$1,SMALL(Dong5,ROWS($1:2)),))</f>
        <v>Kiểm định xe, phí cấp giấy</v>
      </c>
      <c r="E16" s="197" t="str">
        <f ca="1">IF(ROWS($1:2)&gt;COUNT(Dong5),"",IF(OFFSET(TH!L$1,SMALL(Dong5,ROWS($1:2)),)=$E$7,OFFSET(TH!M$1,SMALL(Dong5,ROWS($1:2)),),OFFSET(TH!L$1,SMALL(Dong5,ROWS($1:2)),)))</f>
        <v>1111</v>
      </c>
      <c r="F16" s="241">
        <f ca="1">IF(ROWS($1:2)&gt;COUNT(Dong5),0,IF(OFFSET(TH!L$1,SMALL(Dong5,ROWS($1:2)),)=$E$7,OFFSET(TH!K$1,SMALL(Dong5,ROWS($1:2)),),0))</f>
        <v>304545</v>
      </c>
      <c r="G16" s="239">
        <f ca="1">IF(ROWS($1:2)&gt;COUNT(Dong5),0,IF(OFFSET(TH!M$1,SMALL(Dong5,ROWS($1:2)),)=$E$7,OFFSET(TH!K$1,SMALL(Dong5,ROWS($1:2)),),0))</f>
        <v>0</v>
      </c>
      <c r="H16" s="242">
        <f t="shared" ref="H16:H20" ca="1" si="0">IF(D16&lt;&gt;"",MAX(H15+F16-G16-I15,0),0)</f>
        <v>0</v>
      </c>
      <c r="I16" s="242">
        <f t="shared" ref="I16:I20" ca="1" si="1">IF(D16&lt;&gt;"",MAX(I15+G16-H15-F16,0),0)</f>
        <v>235723063</v>
      </c>
    </row>
    <row r="17" spans="1:9" s="18" customFormat="1" ht="18" customHeight="1">
      <c r="A17" s="197">
        <f ca="1">IF(ROWS($1:3)&gt;COUNT(Dong5),"",OFFSET(TH!C$1,SMALL(Dong5,ROWS($1:3)),))</f>
        <v>42374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42374</v>
      </c>
      <c r="D17" s="240" t="str">
        <f ca="1">IF(ROWS($1:3)&gt;COUNT(Dong5),"",OFFSET(TH!F$1,SMALL(Dong5,ROWS($1:3)),))</f>
        <v>Phí BS chứng từ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41">
        <f ca="1">IF(ROWS($1:3)&gt;COUNT(Dong5),0,IF(OFFSET(TH!L$1,SMALL(Dong5,ROWS($1:3)),)=$E$7,OFFSET(TH!K$1,SMALL(Dong5,ROWS($1:3)),),0))</f>
        <v>5000</v>
      </c>
      <c r="G17" s="239">
        <f ca="1">IF(ROWS($1:3)&gt;COUNT(Dong5),0,IF(OFFSET(TH!M$1,SMALL(Dong5,ROWS($1:3)),)=$E$7,OFFSET(TH!K$1,SMALL(Dong5,ROWS($1:3)),),0))</f>
        <v>0</v>
      </c>
      <c r="H17" s="242">
        <f t="shared" ca="1" si="0"/>
        <v>0</v>
      </c>
      <c r="I17" s="242">
        <f t="shared" ca="1" si="1"/>
        <v>235718063</v>
      </c>
    </row>
    <row r="18" spans="1:9" s="18" customFormat="1" ht="18" customHeight="1">
      <c r="A18" s="197">
        <f ca="1">IF(ROWS($1:4)&gt;COUNT(Dong5),"",OFFSET(TH!C$1,SMALL(Dong5,ROWS($1:4)),))</f>
        <v>42375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42375</v>
      </c>
      <c r="D18" s="240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41">
        <f ca="1">IF(ROWS($1:4)&gt;COUNT(Dong5),0,IF(OFFSET(TH!L$1,SMALL(Dong5,ROWS($1:4)),)=$E$7,OFFSET(TH!K$1,SMALL(Dong5,ROWS($1:4)),),0))</f>
        <v>15000</v>
      </c>
      <c r="G18" s="239">
        <f ca="1">IF(ROWS($1:4)&gt;COUNT(Dong5),0,IF(OFFSET(TH!M$1,SMALL(Dong5,ROWS($1:4)),)=$E$7,OFFSET(TH!K$1,SMALL(Dong5,ROWS($1:4)),),0))</f>
        <v>0</v>
      </c>
      <c r="H18" s="242">
        <f t="shared" ca="1" si="0"/>
        <v>0</v>
      </c>
      <c r="I18" s="242">
        <f t="shared" ca="1" si="1"/>
        <v>235703063</v>
      </c>
    </row>
    <row r="19" spans="1:9" s="18" customFormat="1" ht="18" customHeight="1">
      <c r="A19" s="197">
        <f ca="1">IF(ROWS($1:5)&gt;COUNT(Dong5),"",OFFSET(TH!C$1,SMALL(Dong5,ROWS($1:5)),))</f>
        <v>42389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42389</v>
      </c>
      <c r="D19" s="240" t="str">
        <f ca="1">IF(ROWS($1:5)&gt;COUNT(Dong5),"",OFFSET(TH!F$1,SMALL(Dong5,ROWS($1:5)),))</f>
        <v>Phí BS chứng từ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41">
        <f ca="1">IF(ROWS($1:5)&gt;COUNT(Dong5),0,IF(OFFSET(TH!L$1,SMALL(Dong5,ROWS($1:5)),)=$E$7,OFFSET(TH!K$1,SMALL(Dong5,ROWS($1:5)),),0))</f>
        <v>15000</v>
      </c>
      <c r="G19" s="239">
        <f ca="1">IF(ROWS($1:5)&gt;COUNT(Dong5),0,IF(OFFSET(TH!M$1,SMALL(Dong5,ROWS($1:5)),)=$E$7,OFFSET(TH!K$1,SMALL(Dong5,ROWS($1:5)),),0))</f>
        <v>0</v>
      </c>
      <c r="H19" s="242">
        <f t="shared" ca="1" si="0"/>
        <v>0</v>
      </c>
      <c r="I19" s="242">
        <f t="shared" ca="1" si="1"/>
        <v>235688063</v>
      </c>
    </row>
    <row r="20" spans="1:9" s="18" customFormat="1" ht="18" customHeight="1">
      <c r="A20" s="197">
        <f ca="1">IF(ROWS($1:6)&gt;COUNT(Dong5),"",OFFSET(TH!C$1,SMALL(Dong5,ROWS($1:6)),))</f>
        <v>42389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42389</v>
      </c>
      <c r="D20" s="240" t="str">
        <f ca="1">IF(ROWS($1:6)&gt;COUNT(Dong5),"",OFFSET(TH!F$1,SMALL(Dong5,ROWS($1:6)),))</f>
        <v>Phí BS chứng từ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41">
        <f ca="1">IF(ROWS($1:6)&gt;COUNT(Dong5),0,IF(OFFSET(TH!L$1,SMALL(Dong5,ROWS($1:6)),)=$E$7,OFFSET(TH!K$1,SMALL(Dong5,ROWS($1:6)),),0))</f>
        <v>15000</v>
      </c>
      <c r="G20" s="239">
        <f ca="1">IF(ROWS($1:6)&gt;COUNT(Dong5),0,IF(OFFSET(TH!M$1,SMALL(Dong5,ROWS($1:6)),)=$E$7,OFFSET(TH!K$1,SMALL(Dong5,ROWS($1:6)),),0))</f>
        <v>0</v>
      </c>
      <c r="H20" s="242">
        <f t="shared" ca="1" si="0"/>
        <v>0</v>
      </c>
      <c r="I20" s="242">
        <f t="shared" ca="1" si="1"/>
        <v>235673063</v>
      </c>
    </row>
    <row r="21" spans="1:9" s="18" customFormat="1" ht="18" customHeight="1">
      <c r="A21" s="197">
        <f ca="1">IF(ROWS($1:7)&gt;COUNT(Dong5),"",OFFSET(TH!C$1,SMALL(Dong5,ROWS($1:7)),))</f>
        <v>42391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42391</v>
      </c>
      <c r="D21" s="240" t="str">
        <f ca="1">IF(ROWS($1:7)&gt;COUNT(Dong5),"",OFFSET(TH!F$1,SMALL(Dong5,ROWS($1:7)),))</f>
        <v>Phí chuyển tiền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41">
        <f ca="1">IF(ROWS($1:7)&gt;COUNT(Dong5),0,IF(OFFSET(TH!L$1,SMALL(Dong5,ROWS($1:7)),)=$E$7,OFFSET(TH!K$1,SMALL(Dong5,ROWS($1:7)),),0))</f>
        <v>15000</v>
      </c>
      <c r="G21" s="239">
        <f ca="1">IF(ROWS($1:7)&gt;COUNT(Dong5),0,IF(OFFSET(TH!M$1,SMALL(Dong5,ROWS($1:7)),)=$E$7,OFFSET(TH!K$1,SMALL(Dong5,ROWS($1:7)),),0))</f>
        <v>0</v>
      </c>
      <c r="H21" s="242">
        <f t="shared" ref="H21:H29" ca="1" si="2">IF(D21&lt;&gt;"",MAX(H20+F21-G21-I20,0),0)</f>
        <v>0</v>
      </c>
      <c r="I21" s="242">
        <f t="shared" ref="I21:I29" ca="1" si="3">IF(D21&lt;&gt;"",MAX(I20+G21-H20-F21,0),0)</f>
        <v>235658063</v>
      </c>
    </row>
    <row r="22" spans="1:9" s="18" customFormat="1" ht="18" customHeight="1">
      <c r="A22" s="197">
        <f ca="1">IF(ROWS($1:8)&gt;COUNT(Dong5),"",OFFSET(TH!C$1,SMALL(Dong5,ROWS($1:8)),))</f>
        <v>42395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42395</v>
      </c>
      <c r="D22" s="240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41">
        <f ca="1">IF(ROWS($1:8)&gt;COUNT(Dong5),0,IF(OFFSET(TH!L$1,SMALL(Dong5,ROWS($1:8)),)=$E$7,OFFSET(TH!K$1,SMALL(Dong5,ROWS($1:8)),),0))</f>
        <v>20000</v>
      </c>
      <c r="G22" s="239">
        <f ca="1">IF(ROWS($1:8)&gt;COUNT(Dong5),0,IF(OFFSET(TH!M$1,SMALL(Dong5,ROWS($1:8)),)=$E$7,OFFSET(TH!K$1,SMALL(Dong5,ROWS($1:8)),),0))</f>
        <v>0</v>
      </c>
      <c r="H22" s="242">
        <f t="shared" ca="1" si="2"/>
        <v>0</v>
      </c>
      <c r="I22" s="242">
        <f t="shared" ca="1" si="3"/>
        <v>235638063</v>
      </c>
    </row>
    <row r="23" spans="1:9" s="18" customFormat="1" ht="18" customHeight="1">
      <c r="A23" s="197">
        <f ca="1">IF(ROWS($1:9)&gt;COUNT(Dong5),"",OFFSET(TH!C$1,SMALL(Dong5,ROWS($1:9)),))</f>
        <v>42396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42396</v>
      </c>
      <c r="D23" s="240" t="str">
        <f ca="1">IF(ROWS($1:9)&gt;COUNT(Dong5),"",OFFSET(TH!F$1,SMALL(Dong5,ROWS($1:9)),))</f>
        <v>Phí chuyển tiền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41">
        <f ca="1">IF(ROWS($1:9)&gt;COUNT(Dong5),0,IF(OFFSET(TH!L$1,SMALL(Dong5,ROWS($1:9)),)=$E$7,OFFSET(TH!K$1,SMALL(Dong5,ROWS($1:9)),),0))</f>
        <v>15000</v>
      </c>
      <c r="G23" s="239">
        <f ca="1">IF(ROWS($1:9)&gt;COUNT(Dong5),0,IF(OFFSET(TH!M$1,SMALL(Dong5,ROWS($1:9)),)=$E$7,OFFSET(TH!K$1,SMALL(Dong5,ROWS($1:9)),),0))</f>
        <v>0</v>
      </c>
      <c r="H23" s="242">
        <f t="shared" ca="1" si="2"/>
        <v>0</v>
      </c>
      <c r="I23" s="242">
        <f t="shared" ca="1" si="3"/>
        <v>235623063</v>
      </c>
    </row>
    <row r="24" spans="1:9" s="18" customFormat="1" ht="18" customHeight="1">
      <c r="A24" s="197">
        <f ca="1">IF(ROWS($1:10)&gt;COUNT(Dong5),"",OFFSET(TH!C$1,SMALL(Dong5,ROWS($1:10)),))</f>
        <v>42396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42396</v>
      </c>
      <c r="D24" s="240" t="str">
        <f ca="1">IF(ROWS($1:10)&gt;COUNT(Dong5),"",OFFSET(TH!F$1,SMALL(Dong5,ROWS($1:10)),))</f>
        <v>Phí chuyển tiền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41">
        <f ca="1">IF(ROWS($1:10)&gt;COUNT(Dong5),0,IF(OFFSET(TH!L$1,SMALL(Dong5,ROWS($1:10)),)=$E$7,OFFSET(TH!K$1,SMALL(Dong5,ROWS($1:10)),),0))</f>
        <v>10000</v>
      </c>
      <c r="G24" s="239">
        <f ca="1">IF(ROWS($1:10)&gt;COUNT(Dong5),0,IF(OFFSET(TH!M$1,SMALL(Dong5,ROWS($1:10)),)=$E$7,OFFSET(TH!K$1,SMALL(Dong5,ROWS($1:10)),),0))</f>
        <v>0</v>
      </c>
      <c r="H24" s="242">
        <f t="shared" ca="1" si="2"/>
        <v>0</v>
      </c>
      <c r="I24" s="242">
        <f t="shared" ca="1" si="3"/>
        <v>235613063</v>
      </c>
    </row>
    <row r="25" spans="1:9" s="18" customFormat="1" ht="18" customHeight="1">
      <c r="A25" s="197">
        <f ca="1">IF(ROWS($1:11)&gt;COUNT(Dong5),"",OFFSET(TH!C$1,SMALL(Dong5,ROWS($1:11)),))</f>
        <v>42398</v>
      </c>
      <c r="B25" s="197" t="str">
        <f ca="1">IF(ROWS($1:11)&gt;COUNT(Dong5),"",OFFSET(TH!D$1,SMALL(Dong5,ROWS($1:11)),))</f>
        <v>GBC</v>
      </c>
      <c r="C25" s="197">
        <f ca="1">IF(ROWS($1:11)&gt;COUNT(Dong5),"",OFFSET(TH!E$1,SMALL(Dong5,ROWS($1:11)),))</f>
        <v>42398</v>
      </c>
      <c r="D25" s="240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131</v>
      </c>
      <c r="F25" s="241">
        <f ca="1">IF(ROWS($1:11)&gt;COUNT(Dong5),0,IF(OFFSET(TH!L$1,SMALL(Dong5,ROWS($1:11)),)=$E$7,OFFSET(TH!K$1,SMALL(Dong5,ROWS($1:11)),),0))</f>
        <v>22000</v>
      </c>
      <c r="G25" s="239">
        <f ca="1">IF(ROWS($1:11)&gt;COUNT(Dong5),0,IF(OFFSET(TH!M$1,SMALL(Dong5,ROWS($1:11)),)=$E$7,OFFSET(TH!K$1,SMALL(Dong5,ROWS($1:11)),),0))</f>
        <v>0</v>
      </c>
      <c r="H25" s="242">
        <f t="shared" ca="1" si="2"/>
        <v>0</v>
      </c>
      <c r="I25" s="242">
        <f t="shared" ca="1" si="3"/>
        <v>235591063</v>
      </c>
    </row>
    <row r="26" spans="1:9" s="18" customFormat="1" ht="18" customHeight="1">
      <c r="A26" s="197">
        <f ca="1">IF(ROWS($1:12)&gt;COUNT(Dong5),"",OFFSET(TH!C$1,SMALL(Dong5,ROWS($1:12)),))</f>
        <v>42398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42398</v>
      </c>
      <c r="D26" s="240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41">
        <f ca="1">IF(ROWS($1:12)&gt;COUNT(Dong5),0,IF(OFFSET(TH!L$1,SMALL(Dong5,ROWS($1:12)),)=$E$7,OFFSET(TH!K$1,SMALL(Dong5,ROWS($1:12)),),0))</f>
        <v>10000</v>
      </c>
      <c r="G26" s="239">
        <f ca="1">IF(ROWS($1:12)&gt;COUNT(Dong5),0,IF(OFFSET(TH!M$1,SMALL(Dong5,ROWS($1:12)),)=$E$7,OFFSET(TH!K$1,SMALL(Dong5,ROWS($1:12)),),0))</f>
        <v>0</v>
      </c>
      <c r="H26" s="242">
        <f t="shared" ca="1" si="2"/>
        <v>0</v>
      </c>
      <c r="I26" s="242">
        <f t="shared" ca="1" si="3"/>
        <v>235581063</v>
      </c>
    </row>
    <row r="27" spans="1:9" s="18" customFormat="1" ht="18" customHeight="1">
      <c r="A27" s="197">
        <f ca="1">IF(ROWS($1:13)&gt;COUNT(Dong5),"",OFFSET(TH!C$1,SMALL(Dong5,ROWS($1:13)),))</f>
        <v>42400</v>
      </c>
      <c r="B27" s="197" t="str">
        <f ca="1">IF(ROWS($1:13)&gt;COUNT(Dong5),"",OFFSET(TH!D$1,SMALL(Dong5,ROWS($1:13)),))</f>
        <v>CTGS</v>
      </c>
      <c r="C27" s="197">
        <f ca="1">IF(ROWS($1:13)&gt;COUNT(Dong5),"",OFFSET(TH!E$1,SMALL(Dong5,ROWS($1:13)),))</f>
        <v>42400</v>
      </c>
      <c r="D27" s="240" t="str">
        <f ca="1">IF(ROWS($1:13)&gt;COUNT(Dong5),"",OFFSET(TH!F$1,SMALL(Dong5,ROWS($1:13)),))</f>
        <v>Tiền lương BP Văn phòng</v>
      </c>
      <c r="E27" s="197" t="str">
        <f ca="1">IF(ROWS($1:13)&gt;COUNT(Dong5),"",IF(OFFSET(TH!L$1,SMALL(Dong5,ROWS($1:13)),)=$E$7,OFFSET(TH!M$1,SMALL(Dong5,ROWS($1:13)),),OFFSET(TH!L$1,SMALL(Dong5,ROWS($1:13)),)))</f>
        <v>3341</v>
      </c>
      <c r="F27" s="241">
        <f ca="1">IF(ROWS($1:13)&gt;COUNT(Dong5),0,IF(OFFSET(TH!L$1,SMALL(Dong5,ROWS($1:13)),)=$E$7,OFFSET(TH!K$1,SMALL(Dong5,ROWS($1:13)),),0))</f>
        <v>10750000</v>
      </c>
      <c r="G27" s="239">
        <f ca="1">IF(ROWS($1:13)&gt;COUNT(Dong5),0,IF(OFFSET(TH!M$1,SMALL(Dong5,ROWS($1:13)),)=$E$7,OFFSET(TH!K$1,SMALL(Dong5,ROWS($1:13)),),0))</f>
        <v>0</v>
      </c>
      <c r="H27" s="242">
        <f t="shared" ca="1" si="2"/>
        <v>0</v>
      </c>
      <c r="I27" s="242">
        <f t="shared" ca="1" si="3"/>
        <v>224831063</v>
      </c>
    </row>
    <row r="28" spans="1:9" s="18" customFormat="1" ht="18" customHeight="1">
      <c r="A28" s="197">
        <f ca="1">IF(ROWS($1:14)&gt;COUNT(Dong5),"",OFFSET(TH!C$1,SMALL(Dong5,ROWS($1:14)),))</f>
        <v>42405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42405</v>
      </c>
      <c r="D28" s="240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41">
        <f ca="1">IF(ROWS($1:14)&gt;COUNT(Dong5),0,IF(OFFSET(TH!L$1,SMALL(Dong5,ROWS($1:14)),)=$E$7,OFFSET(TH!K$1,SMALL(Dong5,ROWS($1:14)),),0))</f>
        <v>15000</v>
      </c>
      <c r="G28" s="239">
        <f ca="1">IF(ROWS($1:14)&gt;COUNT(Dong5),0,IF(OFFSET(TH!M$1,SMALL(Dong5,ROWS($1:14)),)=$E$7,OFFSET(TH!K$1,SMALL(Dong5,ROWS($1:14)),),0))</f>
        <v>0</v>
      </c>
      <c r="H28" s="242">
        <f t="shared" ca="1" si="2"/>
        <v>0</v>
      </c>
      <c r="I28" s="242">
        <f t="shared" ca="1" si="3"/>
        <v>224816063</v>
      </c>
    </row>
    <row r="29" spans="1:9" s="18" customFormat="1" ht="18" customHeight="1">
      <c r="A29" s="197">
        <f ca="1">IF(ROWS($1:15)&gt;COUNT(Dong5),"",OFFSET(TH!C$1,SMALL(Dong5,ROWS($1:15)),))</f>
        <v>42405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42405</v>
      </c>
      <c r="D29" s="240" t="str">
        <f ca="1">IF(ROWS($1:15)&gt;COUNT(Dong5),"",OFFSET(TH!F$1,SMALL(Dong5,ROWS($1:15)),))</f>
        <v>Phí chuyển tiền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41">
        <f ca="1">IF(ROWS($1:15)&gt;COUNT(Dong5),0,IF(OFFSET(TH!L$1,SMALL(Dong5,ROWS($1:15)),)=$E$7,OFFSET(TH!K$1,SMALL(Dong5,ROWS($1:15)),),0))</f>
        <v>15000</v>
      </c>
      <c r="G29" s="239">
        <f ca="1">IF(ROWS($1:15)&gt;COUNT(Dong5),0,IF(OFFSET(TH!M$1,SMALL(Dong5,ROWS($1:15)),)=$E$7,OFFSET(TH!K$1,SMALL(Dong5,ROWS($1:15)),),0))</f>
        <v>0</v>
      </c>
      <c r="H29" s="242">
        <f t="shared" ca="1" si="2"/>
        <v>0</v>
      </c>
      <c r="I29" s="242">
        <f t="shared" ca="1" si="3"/>
        <v>224801063</v>
      </c>
    </row>
    <row r="30" spans="1:9" s="18" customFormat="1" ht="18" customHeight="1">
      <c r="A30" s="197">
        <f ca="1">IF(ROWS($1:16)&gt;COUNT(Dong5),"",OFFSET(TH!C$1,SMALL(Dong5,ROWS($1:16)),))</f>
        <v>42419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42419</v>
      </c>
      <c r="D30" s="240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41">
        <f ca="1">IF(ROWS($1:16)&gt;COUNT(Dong5),0,IF(OFFSET(TH!L$1,SMALL(Dong5,ROWS($1:16)),)=$E$7,OFFSET(TH!K$1,SMALL(Dong5,ROWS($1:16)),),0))</f>
        <v>15000</v>
      </c>
      <c r="G30" s="239">
        <f ca="1">IF(ROWS($1:16)&gt;COUNT(Dong5),0,IF(OFFSET(TH!M$1,SMALL(Dong5,ROWS($1:16)),)=$E$7,OFFSET(TH!K$1,SMALL(Dong5,ROWS($1:16)),),0))</f>
        <v>0</v>
      </c>
      <c r="H30" s="242">
        <f t="shared" ref="H30:H38" ca="1" si="4">IF(D30&lt;&gt;"",MAX(H29+F30-G30-I29,0),0)</f>
        <v>0</v>
      </c>
      <c r="I30" s="242">
        <f t="shared" ref="I30:I38" ca="1" si="5">IF(D30&lt;&gt;"",MAX(I29+G30-H29-F30,0),0)</f>
        <v>224786063</v>
      </c>
    </row>
    <row r="31" spans="1:9" s="18" customFormat="1" ht="18" customHeight="1">
      <c r="A31" s="197">
        <f ca="1">IF(ROWS($1:17)&gt;COUNT(Dong5),"",OFFSET(TH!C$1,SMALL(Dong5,ROWS($1:17)),))</f>
        <v>42419</v>
      </c>
      <c r="B31" s="197" t="str">
        <f ca="1">IF(ROWS($1:17)&gt;COUNT(Dong5),"",OFFSET(TH!D$1,SMALL(Dong5,ROWS($1:17)),))</f>
        <v>GBN</v>
      </c>
      <c r="C31" s="197">
        <f ca="1">IF(ROWS($1:17)&gt;COUNT(Dong5),"",OFFSET(TH!E$1,SMALL(Dong5,ROWS($1:17)),))</f>
        <v>42419</v>
      </c>
      <c r="D31" s="240" t="str">
        <f ca="1">IF(ROWS($1:17)&gt;COUNT(Dong5),"",OFFSET(TH!F$1,SMALL(Dong5,ROWS($1:17)),))</f>
        <v>Phí chuyển tiền</v>
      </c>
      <c r="E31" s="197" t="str">
        <f ca="1">IF(ROWS($1:17)&gt;COUNT(Dong5),"",IF(OFFSET(TH!L$1,SMALL(Dong5,ROWS($1:17)),)=$E$7,OFFSET(TH!M$1,SMALL(Dong5,ROWS($1:17)),),OFFSET(TH!L$1,SMALL(Dong5,ROWS($1:17)),)))</f>
        <v>1121</v>
      </c>
      <c r="F31" s="241">
        <f ca="1">IF(ROWS($1:17)&gt;COUNT(Dong5),0,IF(OFFSET(TH!L$1,SMALL(Dong5,ROWS($1:17)),)=$E$7,OFFSET(TH!K$1,SMALL(Dong5,ROWS($1:17)),),0))</f>
        <v>15000</v>
      </c>
      <c r="G31" s="239">
        <f ca="1">IF(ROWS($1:17)&gt;COUNT(Dong5),0,IF(OFFSET(TH!M$1,SMALL(Dong5,ROWS($1:17)),)=$E$7,OFFSET(TH!K$1,SMALL(Dong5,ROWS($1:17)),),0))</f>
        <v>0</v>
      </c>
      <c r="H31" s="242">
        <f t="shared" ca="1" si="4"/>
        <v>0</v>
      </c>
      <c r="I31" s="242">
        <f t="shared" ca="1" si="5"/>
        <v>224771063</v>
      </c>
    </row>
    <row r="32" spans="1:9" s="18" customFormat="1" ht="18" customHeight="1">
      <c r="A32" s="197">
        <f ca="1">IF(ROWS($1:18)&gt;COUNT(Dong5),"",OFFSET(TH!C$1,SMALL(Dong5,ROWS($1:18)),))</f>
        <v>42419</v>
      </c>
      <c r="B32" s="197" t="str">
        <f ca="1">IF(ROWS($1:18)&gt;COUNT(Dong5),"",OFFSET(TH!D$1,SMALL(Dong5,ROWS($1:18)),))</f>
        <v>GBN</v>
      </c>
      <c r="C32" s="197">
        <f ca="1">IF(ROWS($1:18)&gt;COUNT(Dong5),"",OFFSET(TH!E$1,SMALL(Dong5,ROWS($1:18)),))</f>
        <v>42419</v>
      </c>
      <c r="D32" s="240" t="str">
        <f ca="1">IF(ROWS($1:18)&gt;COUNT(Dong5),"",OFFSET(TH!F$1,SMALL(Dong5,ROWS($1:18)),))</f>
        <v>Phí chuyển tiền</v>
      </c>
      <c r="E32" s="197" t="str">
        <f ca="1">IF(ROWS($1:18)&gt;COUNT(Dong5),"",IF(OFFSET(TH!L$1,SMALL(Dong5,ROWS($1:18)),)=$E$7,OFFSET(TH!M$1,SMALL(Dong5,ROWS($1:18)),),OFFSET(TH!L$1,SMALL(Dong5,ROWS($1:18)),)))</f>
        <v>1121</v>
      </c>
      <c r="F32" s="241">
        <f ca="1">IF(ROWS($1:18)&gt;COUNT(Dong5),0,IF(OFFSET(TH!L$1,SMALL(Dong5,ROWS($1:18)),)=$E$7,OFFSET(TH!K$1,SMALL(Dong5,ROWS($1:18)),),0))</f>
        <v>15000</v>
      </c>
      <c r="G32" s="239">
        <f ca="1">IF(ROWS($1:18)&gt;COUNT(Dong5),0,IF(OFFSET(TH!M$1,SMALL(Dong5,ROWS($1:18)),)=$E$7,OFFSET(TH!K$1,SMALL(Dong5,ROWS($1:18)),),0))</f>
        <v>0</v>
      </c>
      <c r="H32" s="242">
        <f t="shared" ca="1" si="4"/>
        <v>0</v>
      </c>
      <c r="I32" s="242">
        <f t="shared" ca="1" si="5"/>
        <v>224756063</v>
      </c>
    </row>
    <row r="33" spans="1:9" s="18" customFormat="1" ht="18" customHeight="1">
      <c r="A33" s="197">
        <f ca="1">IF(ROWS($1:19)&gt;COUNT(Dong5),"",OFFSET(TH!C$1,SMALL(Dong5,ROWS($1:19)),))</f>
        <v>42426</v>
      </c>
      <c r="B33" s="197" t="str">
        <f ca="1">IF(ROWS($1:19)&gt;COUNT(Dong5),"",OFFSET(TH!D$1,SMALL(Dong5,ROWS($1:19)),))</f>
        <v>GBN</v>
      </c>
      <c r="C33" s="197">
        <f ca="1">IF(ROWS($1:19)&gt;COUNT(Dong5),"",OFFSET(TH!E$1,SMALL(Dong5,ROWS($1:19)),))</f>
        <v>42426</v>
      </c>
      <c r="D33" s="240" t="str">
        <f ca="1">IF(ROWS($1:19)&gt;COUNT(Dong5),"",OFFSET(TH!F$1,SMALL(Dong5,ROWS($1:19)),))</f>
        <v>Dịch vụ thông báo số dư 0937916554</v>
      </c>
      <c r="E33" s="197" t="str">
        <f ca="1">IF(ROWS($1:19)&gt;COUNT(Dong5),"",IF(OFFSET(TH!L$1,SMALL(Dong5,ROWS($1:19)),)=$E$7,OFFSET(TH!M$1,SMALL(Dong5,ROWS($1:19)),),OFFSET(TH!L$1,SMALL(Dong5,ROWS($1:19)),)))</f>
        <v>1121</v>
      </c>
      <c r="F33" s="241">
        <f ca="1">IF(ROWS($1:19)&gt;COUNT(Dong5),0,IF(OFFSET(TH!L$1,SMALL(Dong5,ROWS($1:19)),)=$E$7,OFFSET(TH!K$1,SMALL(Dong5,ROWS($1:19)),),0))</f>
        <v>50000</v>
      </c>
      <c r="G33" s="239">
        <f ca="1">IF(ROWS($1:19)&gt;COUNT(Dong5),0,IF(OFFSET(TH!M$1,SMALL(Dong5,ROWS($1:19)),)=$E$7,OFFSET(TH!K$1,SMALL(Dong5,ROWS($1:19)),),0))</f>
        <v>0</v>
      </c>
      <c r="H33" s="242">
        <f t="shared" ca="1" si="4"/>
        <v>0</v>
      </c>
      <c r="I33" s="242">
        <f t="shared" ca="1" si="5"/>
        <v>224706063</v>
      </c>
    </row>
    <row r="34" spans="1:9" s="18" customFormat="1" ht="18" customHeight="1">
      <c r="A34" s="197">
        <f ca="1">IF(ROWS($1:20)&gt;COUNT(Dong5),"",OFFSET(TH!C$1,SMALL(Dong5,ROWS($1:20)),))</f>
        <v>42429</v>
      </c>
      <c r="B34" s="197" t="str">
        <f ca="1">IF(ROWS($1:20)&gt;COUNT(Dong5),"",OFFSET(TH!D$1,SMALL(Dong5,ROWS($1:20)),))</f>
        <v>CTGS</v>
      </c>
      <c r="C34" s="197">
        <f ca="1">IF(ROWS($1:20)&gt;COUNT(Dong5),"",OFFSET(TH!E$1,SMALL(Dong5,ROWS($1:20)),))</f>
        <v>42429</v>
      </c>
      <c r="D34" s="240" t="str">
        <f ca="1">IF(ROWS($1:20)&gt;COUNT(Dong5),"",OFFSET(TH!F$1,SMALL(Dong5,ROWS($1:20)),))</f>
        <v>Tiền lương BP Văn phòng</v>
      </c>
      <c r="E34" s="197" t="str">
        <f ca="1">IF(ROWS($1:20)&gt;COUNT(Dong5),"",IF(OFFSET(TH!L$1,SMALL(Dong5,ROWS($1:20)),)=$E$7,OFFSET(TH!M$1,SMALL(Dong5,ROWS($1:20)),),OFFSET(TH!L$1,SMALL(Dong5,ROWS($1:20)),)))</f>
        <v>3341</v>
      </c>
      <c r="F34" s="241">
        <f ca="1">IF(ROWS($1:20)&gt;COUNT(Dong5),0,IF(OFFSET(TH!L$1,SMALL(Dong5,ROWS($1:20)),)=$E$7,OFFSET(TH!K$1,SMALL(Dong5,ROWS($1:20)),),0))</f>
        <v>10570000</v>
      </c>
      <c r="G34" s="239">
        <f ca="1">IF(ROWS($1:20)&gt;COUNT(Dong5),0,IF(OFFSET(TH!M$1,SMALL(Dong5,ROWS($1:20)),)=$E$7,OFFSET(TH!K$1,SMALL(Dong5,ROWS($1:20)),),0))</f>
        <v>0</v>
      </c>
      <c r="H34" s="242">
        <f t="shared" ca="1" si="4"/>
        <v>0</v>
      </c>
      <c r="I34" s="242">
        <f t="shared" ca="1" si="5"/>
        <v>214136063</v>
      </c>
    </row>
    <row r="35" spans="1:9" s="18" customFormat="1" ht="18" customHeight="1">
      <c r="A35" s="197">
        <f ca="1">IF(ROWS($1:21)&gt;COUNT(Dong5),"",OFFSET(TH!C$1,SMALL(Dong5,ROWS($1:21)),))</f>
        <v>42437</v>
      </c>
      <c r="B35" s="197" t="str">
        <f ca="1">IF(ROWS($1:21)&gt;COUNT(Dong5),"",OFFSET(TH!D$1,SMALL(Dong5,ROWS($1:21)),))</f>
        <v>GBN</v>
      </c>
      <c r="C35" s="197">
        <f ca="1">IF(ROWS($1:21)&gt;COUNT(Dong5),"",OFFSET(TH!E$1,SMALL(Dong5,ROWS($1:21)),))</f>
        <v>42437</v>
      </c>
      <c r="D35" s="240" t="str">
        <f ca="1">IF(ROWS($1:21)&gt;COUNT(Dong5),"",OFFSET(TH!F$1,SMALL(Dong5,ROWS($1:21)),))</f>
        <v>Bán cuốn sec</v>
      </c>
      <c r="E35" s="197" t="str">
        <f ca="1">IF(ROWS($1:21)&gt;COUNT(Dong5),"",IF(OFFSET(TH!L$1,SMALL(Dong5,ROWS($1:21)),)=$E$7,OFFSET(TH!M$1,SMALL(Dong5,ROWS($1:21)),),OFFSET(TH!L$1,SMALL(Dong5,ROWS($1:21)),)))</f>
        <v>1121</v>
      </c>
      <c r="F35" s="241">
        <f ca="1">IF(ROWS($1:21)&gt;COUNT(Dong5),0,IF(OFFSET(TH!L$1,SMALL(Dong5,ROWS($1:21)),)=$E$7,OFFSET(TH!K$1,SMALL(Dong5,ROWS($1:21)),),0))</f>
        <v>15000</v>
      </c>
      <c r="G35" s="239">
        <f ca="1">IF(ROWS($1:21)&gt;COUNT(Dong5),0,IF(OFFSET(TH!M$1,SMALL(Dong5,ROWS($1:21)),)=$E$7,OFFSET(TH!K$1,SMALL(Dong5,ROWS($1:21)),),0))</f>
        <v>0</v>
      </c>
      <c r="H35" s="242">
        <f t="shared" ca="1" si="4"/>
        <v>0</v>
      </c>
      <c r="I35" s="242">
        <f t="shared" ca="1" si="5"/>
        <v>214121063</v>
      </c>
    </row>
    <row r="36" spans="1:9" s="18" customFormat="1" ht="18" customHeight="1">
      <c r="A36" s="197">
        <f ca="1">IF(ROWS($1:22)&gt;COUNT(Dong5),"",OFFSET(TH!C$1,SMALL(Dong5,ROWS($1:22)),))</f>
        <v>42439</v>
      </c>
      <c r="B36" s="197" t="str">
        <f ca="1">IF(ROWS($1:22)&gt;COUNT(Dong5),"",OFFSET(TH!D$1,SMALL(Dong5,ROWS($1:22)),))</f>
        <v>GBN</v>
      </c>
      <c r="C36" s="197">
        <f ca="1">IF(ROWS($1:22)&gt;COUNT(Dong5),"",OFFSET(TH!E$1,SMALL(Dong5,ROWS($1:22)),))</f>
        <v>42439</v>
      </c>
      <c r="D36" s="240" t="str">
        <f ca="1">IF(ROWS($1:22)&gt;COUNT(Dong5),"",OFFSET(TH!F$1,SMALL(Dong5,ROWS($1:22)),))</f>
        <v>Phí chuyển tiền</v>
      </c>
      <c r="E36" s="197" t="str">
        <f ca="1">IF(ROWS($1:22)&gt;COUNT(Dong5),"",IF(OFFSET(TH!L$1,SMALL(Dong5,ROWS($1:22)),)=$E$7,OFFSET(TH!M$1,SMALL(Dong5,ROWS($1:22)),),OFFSET(TH!L$1,SMALL(Dong5,ROWS($1:22)),)))</f>
        <v>1121</v>
      </c>
      <c r="F36" s="241">
        <f ca="1">IF(ROWS($1:22)&gt;COUNT(Dong5),0,IF(OFFSET(TH!L$1,SMALL(Dong5,ROWS($1:22)),)=$E$7,OFFSET(TH!K$1,SMALL(Dong5,ROWS($1:22)),),0))</f>
        <v>15000</v>
      </c>
      <c r="G36" s="239">
        <f ca="1">IF(ROWS($1:22)&gt;COUNT(Dong5),0,IF(OFFSET(TH!M$1,SMALL(Dong5,ROWS($1:22)),)=$E$7,OFFSET(TH!K$1,SMALL(Dong5,ROWS($1:22)),),0))</f>
        <v>0</v>
      </c>
      <c r="H36" s="242">
        <f t="shared" ca="1" si="4"/>
        <v>0</v>
      </c>
      <c r="I36" s="242">
        <f t="shared" ca="1" si="5"/>
        <v>214106063</v>
      </c>
    </row>
    <row r="37" spans="1:9" s="18" customFormat="1" ht="18" customHeight="1">
      <c r="A37" s="197">
        <f ca="1">IF(ROWS($1:23)&gt;COUNT(Dong5),"",OFFSET(TH!C$1,SMALL(Dong5,ROWS($1:23)),))</f>
        <v>42439</v>
      </c>
      <c r="B37" s="197" t="str">
        <f ca="1">IF(ROWS($1:23)&gt;COUNT(Dong5),"",OFFSET(TH!D$1,SMALL(Dong5,ROWS($1:23)),))</f>
        <v>GBN</v>
      </c>
      <c r="C37" s="197">
        <f ca="1">IF(ROWS($1:23)&gt;COUNT(Dong5),"",OFFSET(TH!E$1,SMALL(Dong5,ROWS($1:23)),))</f>
        <v>42439</v>
      </c>
      <c r="D37" s="240" t="str">
        <f ca="1">IF(ROWS($1:23)&gt;COUNT(Dong5),"",OFFSET(TH!F$1,SMALL(Dong5,ROWS($1:23)),))</f>
        <v>Phí chuyển tiền</v>
      </c>
      <c r="E37" s="197" t="str">
        <f ca="1">IF(ROWS($1:23)&gt;COUNT(Dong5),"",IF(OFFSET(TH!L$1,SMALL(Dong5,ROWS($1:23)),)=$E$7,OFFSET(TH!M$1,SMALL(Dong5,ROWS($1:23)),),OFFSET(TH!L$1,SMALL(Dong5,ROWS($1:23)),)))</f>
        <v>1121</v>
      </c>
      <c r="F37" s="241">
        <f ca="1">IF(ROWS($1:23)&gt;COUNT(Dong5),0,IF(OFFSET(TH!L$1,SMALL(Dong5,ROWS($1:23)),)=$E$7,OFFSET(TH!K$1,SMALL(Dong5,ROWS($1:23)),),0))</f>
        <v>10000</v>
      </c>
      <c r="G37" s="239">
        <f ca="1">IF(ROWS($1:23)&gt;COUNT(Dong5),0,IF(OFFSET(TH!M$1,SMALL(Dong5,ROWS($1:23)),)=$E$7,OFFSET(TH!K$1,SMALL(Dong5,ROWS($1:23)),),0))</f>
        <v>0</v>
      </c>
      <c r="H37" s="242">
        <f t="shared" ca="1" si="4"/>
        <v>0</v>
      </c>
      <c r="I37" s="242">
        <f t="shared" ca="1" si="5"/>
        <v>214096063</v>
      </c>
    </row>
    <row r="38" spans="1:9" s="18" customFormat="1" ht="18" customHeight="1">
      <c r="A38" s="197">
        <f ca="1">IF(ROWS($1:24)&gt;COUNT(Dong5),"",OFFSET(TH!C$1,SMALL(Dong5,ROWS($1:24)),))</f>
        <v>42439</v>
      </c>
      <c r="B38" s="197" t="str">
        <f ca="1">IF(ROWS($1:24)&gt;COUNT(Dong5),"",OFFSET(TH!D$1,SMALL(Dong5,ROWS($1:24)),))</f>
        <v>GBN</v>
      </c>
      <c r="C38" s="197">
        <f ca="1">IF(ROWS($1:24)&gt;COUNT(Dong5),"",OFFSET(TH!E$1,SMALL(Dong5,ROWS($1:24)),))</f>
        <v>42439</v>
      </c>
      <c r="D38" s="240" t="str">
        <f ca="1">IF(ROWS($1:24)&gt;COUNT(Dong5),"",OFFSET(TH!F$1,SMALL(Dong5,ROWS($1:24)),))</f>
        <v>Phí chuyển tiền</v>
      </c>
      <c r="E38" s="197" t="str">
        <f ca="1">IF(ROWS($1:24)&gt;COUNT(Dong5),"",IF(OFFSET(TH!L$1,SMALL(Dong5,ROWS($1:24)),)=$E$7,OFFSET(TH!M$1,SMALL(Dong5,ROWS($1:24)),),OFFSET(TH!L$1,SMALL(Dong5,ROWS($1:24)),)))</f>
        <v>1121</v>
      </c>
      <c r="F38" s="241">
        <f ca="1">IF(ROWS($1:24)&gt;COUNT(Dong5),0,IF(OFFSET(TH!L$1,SMALL(Dong5,ROWS($1:24)),)=$E$7,OFFSET(TH!K$1,SMALL(Dong5,ROWS($1:24)),),0))</f>
        <v>15000</v>
      </c>
      <c r="G38" s="239">
        <f ca="1">IF(ROWS($1:24)&gt;COUNT(Dong5),0,IF(OFFSET(TH!M$1,SMALL(Dong5,ROWS($1:24)),)=$E$7,OFFSET(TH!K$1,SMALL(Dong5,ROWS($1:24)),),0))</f>
        <v>0</v>
      </c>
      <c r="H38" s="242">
        <f t="shared" ca="1" si="4"/>
        <v>0</v>
      </c>
      <c r="I38" s="242">
        <f t="shared" ca="1" si="5"/>
        <v>214081063</v>
      </c>
    </row>
    <row r="39" spans="1:9" s="18" customFormat="1" ht="18" customHeight="1">
      <c r="A39" s="197">
        <f ca="1">IF(ROWS($1:25)&gt;COUNT(Dong5),"",OFFSET(TH!C$1,SMALL(Dong5,ROWS($1:25)),))</f>
        <v>42450</v>
      </c>
      <c r="B39" s="197" t="str">
        <f ca="1">IF(ROWS($1:25)&gt;COUNT(Dong5),"",OFFSET(TH!D$1,SMALL(Dong5,ROWS($1:25)),))</f>
        <v>GBN</v>
      </c>
      <c r="C39" s="197">
        <f ca="1">IF(ROWS($1:25)&gt;COUNT(Dong5),"",OFFSET(TH!E$1,SMALL(Dong5,ROWS($1:25)),))</f>
        <v>42450</v>
      </c>
      <c r="D39" s="240" t="str">
        <f ca="1">IF(ROWS($1:25)&gt;COUNT(Dong5),"",OFFSET(TH!F$1,SMALL(Dong5,ROWS($1:25)),))</f>
        <v>Phí chuyển tiền</v>
      </c>
      <c r="E39" s="197" t="str">
        <f ca="1">IF(ROWS($1:25)&gt;COUNT(Dong5),"",IF(OFFSET(TH!L$1,SMALL(Dong5,ROWS($1:25)),)=$E$7,OFFSET(TH!M$1,SMALL(Dong5,ROWS($1:25)),),OFFSET(TH!L$1,SMALL(Dong5,ROWS($1:25)),)))</f>
        <v>1121</v>
      </c>
      <c r="F39" s="241">
        <f ca="1">IF(ROWS($1:25)&gt;COUNT(Dong5),0,IF(OFFSET(TH!L$1,SMALL(Dong5,ROWS($1:25)),)=$E$7,OFFSET(TH!K$1,SMALL(Dong5,ROWS($1:25)),),0))</f>
        <v>15000</v>
      </c>
      <c r="G39" s="239">
        <f ca="1">IF(ROWS($1:25)&gt;COUNT(Dong5),0,IF(OFFSET(TH!M$1,SMALL(Dong5,ROWS($1:25)),)=$E$7,OFFSET(TH!K$1,SMALL(Dong5,ROWS($1:25)),),0))</f>
        <v>0</v>
      </c>
      <c r="H39" s="242">
        <f t="shared" ref="H39:H60" ca="1" si="6">IF(D39&lt;&gt;"",MAX(H38+F39-G39-I38,0),0)</f>
        <v>0</v>
      </c>
      <c r="I39" s="242">
        <f t="shared" ref="I39:I60" ca="1" si="7">IF(D39&lt;&gt;"",MAX(I38+G39-H38-F39,0),0)</f>
        <v>214066063</v>
      </c>
    </row>
    <row r="40" spans="1:9" s="18" customFormat="1" ht="18" customHeight="1">
      <c r="A40" s="197">
        <f ca="1">IF(ROWS($1:26)&gt;COUNT(Dong5),"",OFFSET(TH!C$1,SMALL(Dong5,ROWS($1:26)),))</f>
        <v>42450</v>
      </c>
      <c r="B40" s="197" t="str">
        <f ca="1">IF(ROWS($1:26)&gt;COUNT(Dong5),"",OFFSET(TH!D$1,SMALL(Dong5,ROWS($1:26)),))</f>
        <v>C27</v>
      </c>
      <c r="C40" s="197">
        <f ca="1">IF(ROWS($1:26)&gt;COUNT(Dong5),"",OFFSET(TH!E$1,SMALL(Dong5,ROWS($1:26)),))</f>
        <v>42450</v>
      </c>
      <c r="D40" s="240" t="str">
        <f ca="1">IF(ROWS($1:26)&gt;COUNT(Dong5),"",OFFSET(TH!F$1,SMALL(Dong5,ROWS($1:26)),))</f>
        <v>Văn phòng phẩm</v>
      </c>
      <c r="E40" s="197" t="str">
        <f ca="1">IF(ROWS($1:26)&gt;COUNT(Dong5),"",IF(OFFSET(TH!L$1,SMALL(Dong5,ROWS($1:26)),)=$E$7,OFFSET(TH!M$1,SMALL(Dong5,ROWS($1:26)),),OFFSET(TH!L$1,SMALL(Dong5,ROWS($1:26)),)))</f>
        <v>1111</v>
      </c>
      <c r="F40" s="241">
        <f ca="1">IF(ROWS($1:26)&gt;COUNT(Dong5),0,IF(OFFSET(TH!L$1,SMALL(Dong5,ROWS($1:26)),)=$E$7,OFFSET(TH!K$1,SMALL(Dong5,ROWS($1:26)),),0))</f>
        <v>584000</v>
      </c>
      <c r="G40" s="239">
        <f ca="1">IF(ROWS($1:26)&gt;COUNT(Dong5),0,IF(OFFSET(TH!M$1,SMALL(Dong5,ROWS($1:26)),)=$E$7,OFFSET(TH!K$1,SMALL(Dong5,ROWS($1:26)),),0))</f>
        <v>0</v>
      </c>
      <c r="H40" s="242">
        <f t="shared" ca="1" si="6"/>
        <v>0</v>
      </c>
      <c r="I40" s="242">
        <f t="shared" ca="1" si="7"/>
        <v>213482063</v>
      </c>
    </row>
    <row r="41" spans="1:9" s="18" customFormat="1" ht="18" customHeight="1">
      <c r="A41" s="197">
        <f ca="1">IF(ROWS($1:27)&gt;COUNT(Dong5),"",OFFSET(TH!C$1,SMALL(Dong5,ROWS($1:27)),))</f>
        <v>42457</v>
      </c>
      <c r="B41" s="197" t="str">
        <f ca="1">IF(ROWS($1:27)&gt;COUNT(Dong5),"",OFFSET(TH!D$1,SMALL(Dong5,ROWS($1:27)),))</f>
        <v>GBN</v>
      </c>
      <c r="C41" s="197">
        <f ca="1">IF(ROWS($1:27)&gt;COUNT(Dong5),"",OFFSET(TH!E$1,SMALL(Dong5,ROWS($1:27)),))</f>
        <v>42457</v>
      </c>
      <c r="D41" s="240" t="str">
        <f ca="1">IF(ROWS($1:27)&gt;COUNT(Dong5),"",OFFSET(TH!F$1,SMALL(Dong5,ROWS($1:27)),))</f>
        <v>Phí chuyển tiền</v>
      </c>
      <c r="E41" s="197" t="str">
        <f ca="1">IF(ROWS($1:27)&gt;COUNT(Dong5),"",IF(OFFSET(TH!L$1,SMALL(Dong5,ROWS($1:27)),)=$E$7,OFFSET(TH!M$1,SMALL(Dong5,ROWS($1:27)),),OFFSET(TH!L$1,SMALL(Dong5,ROWS($1:27)),)))</f>
        <v>1121</v>
      </c>
      <c r="F41" s="241">
        <f ca="1">IF(ROWS($1:27)&gt;COUNT(Dong5),0,IF(OFFSET(TH!L$1,SMALL(Dong5,ROWS($1:27)),)=$E$7,OFFSET(TH!K$1,SMALL(Dong5,ROWS($1:27)),),0))</f>
        <v>20000</v>
      </c>
      <c r="G41" s="239">
        <f ca="1">IF(ROWS($1:27)&gt;COUNT(Dong5),0,IF(OFFSET(TH!M$1,SMALL(Dong5,ROWS($1:27)),)=$E$7,OFFSET(TH!K$1,SMALL(Dong5,ROWS($1:27)),),0))</f>
        <v>0</v>
      </c>
      <c r="H41" s="242">
        <f t="shared" ca="1" si="6"/>
        <v>0</v>
      </c>
      <c r="I41" s="242">
        <f t="shared" ca="1" si="7"/>
        <v>213462063</v>
      </c>
    </row>
    <row r="42" spans="1:9" s="18" customFormat="1" ht="18" customHeight="1">
      <c r="A42" s="197">
        <f ca="1">IF(ROWS($1:28)&gt;COUNT(Dong5),"",OFFSET(TH!C$1,SMALL(Dong5,ROWS($1:28)),))</f>
        <v>42457</v>
      </c>
      <c r="B42" s="197" t="str">
        <f ca="1">IF(ROWS($1:28)&gt;COUNT(Dong5),"",OFFSET(TH!D$1,SMALL(Dong5,ROWS($1:28)),))</f>
        <v>GBN</v>
      </c>
      <c r="C42" s="197">
        <f ca="1">IF(ROWS($1:28)&gt;COUNT(Dong5),"",OFFSET(TH!E$1,SMALL(Dong5,ROWS($1:28)),))</f>
        <v>42457</v>
      </c>
      <c r="D42" s="240" t="str">
        <f ca="1">IF(ROWS($1:28)&gt;COUNT(Dong5),"",OFFSET(TH!F$1,SMALL(Dong5,ROWS($1:28)),))</f>
        <v>Phí chuyển tiền</v>
      </c>
      <c r="E42" s="197" t="str">
        <f ca="1">IF(ROWS($1:28)&gt;COUNT(Dong5),"",IF(OFFSET(TH!L$1,SMALL(Dong5,ROWS($1:28)),)=$E$7,OFFSET(TH!M$1,SMALL(Dong5,ROWS($1:28)),),OFFSET(TH!L$1,SMALL(Dong5,ROWS($1:28)),)))</f>
        <v>1121</v>
      </c>
      <c r="F42" s="241">
        <f ca="1">IF(ROWS($1:28)&gt;COUNT(Dong5),0,IF(OFFSET(TH!L$1,SMALL(Dong5,ROWS($1:28)),)=$E$7,OFFSET(TH!K$1,SMALL(Dong5,ROWS($1:28)),),0))</f>
        <v>20000</v>
      </c>
      <c r="G42" s="239">
        <f ca="1">IF(ROWS($1:28)&gt;COUNT(Dong5),0,IF(OFFSET(TH!M$1,SMALL(Dong5,ROWS($1:28)),)=$E$7,OFFSET(TH!K$1,SMALL(Dong5,ROWS($1:28)),),0))</f>
        <v>0</v>
      </c>
      <c r="H42" s="242">
        <f t="shared" ca="1" si="6"/>
        <v>0</v>
      </c>
      <c r="I42" s="242">
        <f t="shared" ca="1" si="7"/>
        <v>213442063</v>
      </c>
    </row>
    <row r="43" spans="1:9" s="18" customFormat="1" ht="18" customHeight="1">
      <c r="A43" s="197">
        <f ca="1">IF(ROWS($1:29)&gt;COUNT(Dong5),"",OFFSET(TH!C$1,SMALL(Dong5,ROWS($1:29)),))</f>
        <v>42458</v>
      </c>
      <c r="B43" s="197" t="str">
        <f ca="1">IF(ROWS($1:29)&gt;COUNT(Dong5),"",OFFSET(TH!D$1,SMALL(Dong5,ROWS($1:29)),))</f>
        <v>GBN</v>
      </c>
      <c r="C43" s="197">
        <f ca="1">IF(ROWS($1:29)&gt;COUNT(Dong5),"",OFFSET(TH!E$1,SMALL(Dong5,ROWS($1:29)),))</f>
        <v>42458</v>
      </c>
      <c r="D43" s="240" t="str">
        <f ca="1">IF(ROWS($1:29)&gt;COUNT(Dong5),"",OFFSET(TH!F$1,SMALL(Dong5,ROWS($1:29)),))</f>
        <v>Phí chuyển tiền</v>
      </c>
      <c r="E43" s="197" t="str">
        <f ca="1">IF(ROWS($1:29)&gt;COUNT(Dong5),"",IF(OFFSET(TH!L$1,SMALL(Dong5,ROWS($1:29)),)=$E$7,OFFSET(TH!M$1,SMALL(Dong5,ROWS($1:29)),),OFFSET(TH!L$1,SMALL(Dong5,ROWS($1:29)),)))</f>
        <v>1121</v>
      </c>
      <c r="F43" s="241">
        <f ca="1">IF(ROWS($1:29)&gt;COUNT(Dong5),0,IF(OFFSET(TH!L$1,SMALL(Dong5,ROWS($1:29)),)=$E$7,OFFSET(TH!K$1,SMALL(Dong5,ROWS($1:29)),),0))</f>
        <v>15000</v>
      </c>
      <c r="G43" s="239">
        <f ca="1">IF(ROWS($1:29)&gt;COUNT(Dong5),0,IF(OFFSET(TH!M$1,SMALL(Dong5,ROWS($1:29)),)=$E$7,OFFSET(TH!K$1,SMALL(Dong5,ROWS($1:29)),),0))</f>
        <v>0</v>
      </c>
      <c r="H43" s="242">
        <f t="shared" ca="1" si="6"/>
        <v>0</v>
      </c>
      <c r="I43" s="242">
        <f t="shared" ca="1" si="7"/>
        <v>213427063</v>
      </c>
    </row>
    <row r="44" spans="1:9" s="18" customFormat="1" ht="18" customHeight="1">
      <c r="A44" s="197">
        <f ca="1">IF(ROWS($1:30)&gt;COUNT(Dong5),"",OFFSET(TH!C$1,SMALL(Dong5,ROWS($1:30)),))</f>
        <v>42460</v>
      </c>
      <c r="B44" s="197" t="str">
        <f ca="1">IF(ROWS($1:30)&gt;COUNT(Dong5),"",OFFSET(TH!D$1,SMALL(Dong5,ROWS($1:30)),))</f>
        <v>CTGS</v>
      </c>
      <c r="C44" s="197">
        <f ca="1">IF(ROWS($1:30)&gt;COUNT(Dong5),"",OFFSET(TH!E$1,SMALL(Dong5,ROWS($1:30)),))</f>
        <v>42460</v>
      </c>
      <c r="D44" s="240" t="str">
        <f ca="1">IF(ROWS($1:30)&gt;COUNT(Dong5),"",OFFSET(TH!F$1,SMALL(Dong5,ROWS($1:30)),))</f>
        <v>Tiền lương BP Văn phòng</v>
      </c>
      <c r="E44" s="197" t="str">
        <f ca="1">IF(ROWS($1:30)&gt;COUNT(Dong5),"",IF(OFFSET(TH!L$1,SMALL(Dong5,ROWS($1:30)),)=$E$7,OFFSET(TH!M$1,SMALL(Dong5,ROWS($1:30)),),OFFSET(TH!L$1,SMALL(Dong5,ROWS($1:30)),)))</f>
        <v>3341</v>
      </c>
      <c r="F44" s="241">
        <f ca="1">IF(ROWS($1:30)&gt;COUNT(Dong5),0,IF(OFFSET(TH!L$1,SMALL(Dong5,ROWS($1:30)),)=$E$7,OFFSET(TH!K$1,SMALL(Dong5,ROWS($1:30)),),0))</f>
        <v>10810000</v>
      </c>
      <c r="G44" s="239">
        <f ca="1">IF(ROWS($1:30)&gt;COUNT(Dong5),0,IF(OFFSET(TH!M$1,SMALL(Dong5,ROWS($1:30)),)=$E$7,OFFSET(TH!K$1,SMALL(Dong5,ROWS($1:30)),),0))</f>
        <v>0</v>
      </c>
      <c r="H44" s="242">
        <f t="shared" ca="1" si="6"/>
        <v>0</v>
      </c>
      <c r="I44" s="242">
        <f t="shared" ca="1" si="7"/>
        <v>202617063</v>
      </c>
    </row>
    <row r="45" spans="1:9" s="18" customFormat="1" ht="18" customHeight="1">
      <c r="A45" s="197">
        <f ca="1">IF(ROWS($1:31)&gt;COUNT(Dong5),"",OFFSET(TH!C$1,SMALL(Dong5,ROWS($1:31)),))</f>
        <v>42468</v>
      </c>
      <c r="B45" s="197" t="str">
        <f ca="1">IF(ROWS($1:31)&gt;COUNT(Dong5),"",OFFSET(TH!D$1,SMALL(Dong5,ROWS($1:31)),))</f>
        <v>GBN</v>
      </c>
      <c r="C45" s="197">
        <f ca="1">IF(ROWS($1:31)&gt;COUNT(Dong5),"",OFFSET(TH!E$1,SMALL(Dong5,ROWS($1:31)),))</f>
        <v>42468</v>
      </c>
      <c r="D45" s="240" t="str">
        <f ca="1">IF(ROWS($1:31)&gt;COUNT(Dong5),"",OFFSET(TH!F$1,SMALL(Dong5,ROWS($1:31)),))</f>
        <v>Phí chuyển tiền</v>
      </c>
      <c r="E45" s="197" t="str">
        <f ca="1">IF(ROWS($1:31)&gt;COUNT(Dong5),"",IF(OFFSET(TH!L$1,SMALL(Dong5,ROWS($1:31)),)=$E$7,OFFSET(TH!M$1,SMALL(Dong5,ROWS($1:31)),),OFFSET(TH!L$1,SMALL(Dong5,ROWS($1:31)),)))</f>
        <v>1121</v>
      </c>
      <c r="F45" s="241">
        <f ca="1">IF(ROWS($1:31)&gt;COUNT(Dong5),0,IF(OFFSET(TH!L$1,SMALL(Dong5,ROWS($1:31)),)=$E$7,OFFSET(TH!K$1,SMALL(Dong5,ROWS($1:31)),),0))</f>
        <v>13636</v>
      </c>
      <c r="G45" s="239">
        <f ca="1">IF(ROWS($1:31)&gt;COUNT(Dong5),0,IF(OFFSET(TH!M$1,SMALL(Dong5,ROWS($1:31)),)=$E$7,OFFSET(TH!K$1,SMALL(Dong5,ROWS($1:31)),),0))</f>
        <v>0</v>
      </c>
      <c r="H45" s="242">
        <f t="shared" ca="1" si="6"/>
        <v>0</v>
      </c>
      <c r="I45" s="242">
        <f t="shared" ca="1" si="7"/>
        <v>202603427</v>
      </c>
    </row>
    <row r="46" spans="1:9" s="18" customFormat="1" ht="18" customHeight="1">
      <c r="A46" s="197">
        <f ca="1">IF(ROWS($1:32)&gt;COUNT(Dong5),"",OFFSET(TH!C$1,SMALL(Dong5,ROWS($1:32)),))</f>
        <v>42471</v>
      </c>
      <c r="B46" s="197" t="str">
        <f ca="1">IF(ROWS($1:32)&gt;COUNT(Dong5),"",OFFSET(TH!D$1,SMALL(Dong5,ROWS($1:32)),))</f>
        <v>GBN</v>
      </c>
      <c r="C46" s="197">
        <f ca="1">IF(ROWS($1:32)&gt;COUNT(Dong5),"",OFFSET(TH!E$1,SMALL(Dong5,ROWS($1:32)),))</f>
        <v>42471</v>
      </c>
      <c r="D46" s="240" t="str">
        <f ca="1">IF(ROWS($1:32)&gt;COUNT(Dong5),"",OFFSET(TH!F$1,SMALL(Dong5,ROWS($1:32)),))</f>
        <v>Phí chuyển tiền</v>
      </c>
      <c r="E46" s="197" t="str">
        <f ca="1">IF(ROWS($1:32)&gt;COUNT(Dong5),"",IF(OFFSET(TH!L$1,SMALL(Dong5,ROWS($1:32)),)=$E$7,OFFSET(TH!M$1,SMALL(Dong5,ROWS($1:32)),),OFFSET(TH!L$1,SMALL(Dong5,ROWS($1:32)),)))</f>
        <v>1121</v>
      </c>
      <c r="F46" s="241">
        <f ca="1">IF(ROWS($1:32)&gt;COUNT(Dong5),0,IF(OFFSET(TH!L$1,SMALL(Dong5,ROWS($1:32)),)=$E$7,OFFSET(TH!K$1,SMALL(Dong5,ROWS($1:32)),),0))</f>
        <v>13636</v>
      </c>
      <c r="G46" s="239">
        <f ca="1">IF(ROWS($1:32)&gt;COUNT(Dong5),0,IF(OFFSET(TH!M$1,SMALL(Dong5,ROWS($1:32)),)=$E$7,OFFSET(TH!K$1,SMALL(Dong5,ROWS($1:32)),),0))</f>
        <v>0</v>
      </c>
      <c r="H46" s="242">
        <f t="shared" ca="1" si="6"/>
        <v>0</v>
      </c>
      <c r="I46" s="242">
        <f t="shared" ca="1" si="7"/>
        <v>202589791</v>
      </c>
    </row>
    <row r="47" spans="1:9" s="18" customFormat="1" ht="18" customHeight="1">
      <c r="A47" s="197">
        <f ca="1">IF(ROWS($1:33)&gt;COUNT(Dong5),"",OFFSET(TH!C$1,SMALL(Dong5,ROWS($1:33)),))</f>
        <v>42471</v>
      </c>
      <c r="B47" s="197" t="str">
        <f ca="1">IF(ROWS($1:33)&gt;COUNT(Dong5),"",OFFSET(TH!D$1,SMALL(Dong5,ROWS($1:33)),))</f>
        <v>GBN</v>
      </c>
      <c r="C47" s="197">
        <f ca="1">IF(ROWS($1:33)&gt;COUNT(Dong5),"",OFFSET(TH!E$1,SMALL(Dong5,ROWS($1:33)),))</f>
        <v>42471</v>
      </c>
      <c r="D47" s="240" t="str">
        <f ca="1">IF(ROWS($1:33)&gt;COUNT(Dong5),"",OFFSET(TH!F$1,SMALL(Dong5,ROWS($1:33)),))</f>
        <v>Phí chuyển tiền</v>
      </c>
      <c r="E47" s="197" t="str">
        <f ca="1">IF(ROWS($1:33)&gt;COUNT(Dong5),"",IF(OFFSET(TH!L$1,SMALL(Dong5,ROWS($1:33)),)=$E$7,OFFSET(TH!M$1,SMALL(Dong5,ROWS($1:33)),),OFFSET(TH!L$1,SMALL(Dong5,ROWS($1:33)),)))</f>
        <v>1121</v>
      </c>
      <c r="F47" s="241">
        <f ca="1">IF(ROWS($1:33)&gt;COUNT(Dong5),0,IF(OFFSET(TH!L$1,SMALL(Dong5,ROWS($1:33)),)=$E$7,OFFSET(TH!K$1,SMALL(Dong5,ROWS($1:33)),),0))</f>
        <v>13636</v>
      </c>
      <c r="G47" s="239">
        <f ca="1">IF(ROWS($1:33)&gt;COUNT(Dong5),0,IF(OFFSET(TH!M$1,SMALL(Dong5,ROWS($1:33)),)=$E$7,OFFSET(TH!K$1,SMALL(Dong5,ROWS($1:33)),),0))</f>
        <v>0</v>
      </c>
      <c r="H47" s="242">
        <f t="shared" ca="1" si="6"/>
        <v>0</v>
      </c>
      <c r="I47" s="242">
        <f t="shared" ca="1" si="7"/>
        <v>202576155</v>
      </c>
    </row>
    <row r="48" spans="1:9" s="18" customFormat="1" ht="18" customHeight="1">
      <c r="A48" s="197">
        <f ca="1">IF(ROWS($1:34)&gt;COUNT(Dong5),"",OFFSET(TH!C$1,SMALL(Dong5,ROWS($1:34)),))</f>
        <v>42471</v>
      </c>
      <c r="B48" s="197" t="str">
        <f ca="1">IF(ROWS($1:34)&gt;COUNT(Dong5),"",OFFSET(TH!D$1,SMALL(Dong5,ROWS($1:34)),))</f>
        <v>GBN</v>
      </c>
      <c r="C48" s="197">
        <f ca="1">IF(ROWS($1:34)&gt;COUNT(Dong5),"",OFFSET(TH!E$1,SMALL(Dong5,ROWS($1:34)),))</f>
        <v>42471</v>
      </c>
      <c r="D48" s="240" t="str">
        <f ca="1">IF(ROWS($1:34)&gt;COUNT(Dong5),"",OFFSET(TH!F$1,SMALL(Dong5,ROWS($1:34)),))</f>
        <v>Phí chuyển tiền</v>
      </c>
      <c r="E48" s="197" t="str">
        <f ca="1">IF(ROWS($1:34)&gt;COUNT(Dong5),"",IF(OFFSET(TH!L$1,SMALL(Dong5,ROWS($1:34)),)=$E$7,OFFSET(TH!M$1,SMALL(Dong5,ROWS($1:34)),),OFFSET(TH!L$1,SMALL(Dong5,ROWS($1:34)),)))</f>
        <v>1121</v>
      </c>
      <c r="F48" s="241">
        <f ca="1">IF(ROWS($1:34)&gt;COUNT(Dong5),0,IF(OFFSET(TH!L$1,SMALL(Dong5,ROWS($1:34)),)=$E$7,OFFSET(TH!K$1,SMALL(Dong5,ROWS($1:34)),),0))</f>
        <v>9091</v>
      </c>
      <c r="G48" s="239">
        <f ca="1">IF(ROWS($1:34)&gt;COUNT(Dong5),0,IF(OFFSET(TH!M$1,SMALL(Dong5,ROWS($1:34)),)=$E$7,OFFSET(TH!K$1,SMALL(Dong5,ROWS($1:34)),),0))</f>
        <v>0</v>
      </c>
      <c r="H48" s="242">
        <f t="shared" ca="1" si="6"/>
        <v>0</v>
      </c>
      <c r="I48" s="242">
        <f t="shared" ca="1" si="7"/>
        <v>202567064</v>
      </c>
    </row>
    <row r="49" spans="1:9" s="18" customFormat="1" ht="18" customHeight="1">
      <c r="A49" s="197">
        <f ca="1">IF(ROWS($1:35)&gt;COUNT(Dong5),"",OFFSET(TH!C$1,SMALL(Dong5,ROWS($1:35)),))</f>
        <v>42474</v>
      </c>
      <c r="B49" s="197" t="str">
        <f ca="1">IF(ROWS($1:35)&gt;COUNT(Dong5),"",OFFSET(TH!D$1,SMALL(Dong5,ROWS($1:35)),))</f>
        <v>GBN</v>
      </c>
      <c r="C49" s="197">
        <f ca="1">IF(ROWS($1:35)&gt;COUNT(Dong5),"",OFFSET(TH!E$1,SMALL(Dong5,ROWS($1:35)),))</f>
        <v>42474</v>
      </c>
      <c r="D49" s="240" t="str">
        <f ca="1">IF(ROWS($1:35)&gt;COUNT(Dong5),"",OFFSET(TH!F$1,SMALL(Dong5,ROWS($1:35)),))</f>
        <v>Phí kiểm đếm</v>
      </c>
      <c r="E49" s="197" t="str">
        <f ca="1">IF(ROWS($1:35)&gt;COUNT(Dong5),"",IF(OFFSET(TH!L$1,SMALL(Dong5,ROWS($1:35)),)=$E$7,OFFSET(TH!M$1,SMALL(Dong5,ROWS($1:35)),),OFFSET(TH!L$1,SMALL(Dong5,ROWS($1:35)),)))</f>
        <v>1121</v>
      </c>
      <c r="F49" s="241">
        <f ca="1">IF(ROWS($1:35)&gt;COUNT(Dong5),0,IF(OFFSET(TH!L$1,SMALL(Dong5,ROWS($1:35)),)=$E$7,OFFSET(TH!K$1,SMALL(Dong5,ROWS($1:35)),),0))</f>
        <v>13636</v>
      </c>
      <c r="G49" s="239">
        <f ca="1">IF(ROWS($1:35)&gt;COUNT(Dong5),0,IF(OFFSET(TH!M$1,SMALL(Dong5,ROWS($1:35)),)=$E$7,OFFSET(TH!K$1,SMALL(Dong5,ROWS($1:35)),),0))</f>
        <v>0</v>
      </c>
      <c r="H49" s="242">
        <f t="shared" ca="1" si="6"/>
        <v>0</v>
      </c>
      <c r="I49" s="242">
        <f t="shared" ca="1" si="7"/>
        <v>202553428</v>
      </c>
    </row>
    <row r="50" spans="1:9" s="18" customFormat="1" ht="18" customHeight="1">
      <c r="A50" s="197">
        <f ca="1">IF(ROWS($1:36)&gt;COUNT(Dong5),"",OFFSET(TH!C$1,SMALL(Dong5,ROWS($1:36)),))</f>
        <v>42478</v>
      </c>
      <c r="B50" s="197" t="str">
        <f ca="1">IF(ROWS($1:36)&gt;COUNT(Dong5),"",OFFSET(TH!D$1,SMALL(Dong5,ROWS($1:36)),))</f>
        <v>C01</v>
      </c>
      <c r="C50" s="197">
        <f ca="1">IF(ROWS($1:36)&gt;COUNT(Dong5),"",OFFSET(TH!E$1,SMALL(Dong5,ROWS($1:36)),))</f>
        <v>42478</v>
      </c>
      <c r="D50" s="240" t="str">
        <f ca="1">IF(ROWS($1:36)&gt;COUNT(Dong5),"",OFFSET(TH!F$1,SMALL(Dong5,ROWS($1:36)),))</f>
        <v>Tiền điện thoại</v>
      </c>
      <c r="E50" s="197" t="str">
        <f ca="1">IF(ROWS($1:36)&gt;COUNT(Dong5),"",IF(OFFSET(TH!L$1,SMALL(Dong5,ROWS($1:36)),)=$E$7,OFFSET(TH!M$1,SMALL(Dong5,ROWS($1:36)),),OFFSET(TH!L$1,SMALL(Dong5,ROWS($1:36)),)))</f>
        <v>1111</v>
      </c>
      <c r="F50" s="241">
        <f ca="1">IF(ROWS($1:36)&gt;COUNT(Dong5),0,IF(OFFSET(TH!L$1,SMALL(Dong5,ROWS($1:36)),)=$E$7,OFFSET(TH!K$1,SMALL(Dong5,ROWS($1:36)),),0))</f>
        <v>513637</v>
      </c>
      <c r="G50" s="239">
        <f ca="1">IF(ROWS($1:36)&gt;COUNT(Dong5),0,IF(OFFSET(TH!M$1,SMALL(Dong5,ROWS($1:36)),)=$E$7,OFFSET(TH!K$1,SMALL(Dong5,ROWS($1:36)),),0))</f>
        <v>0</v>
      </c>
      <c r="H50" s="242">
        <f t="shared" ca="1" si="6"/>
        <v>0</v>
      </c>
      <c r="I50" s="242">
        <f t="shared" ca="1" si="7"/>
        <v>202039791</v>
      </c>
    </row>
    <row r="51" spans="1:9" s="18" customFormat="1" ht="18" customHeight="1">
      <c r="A51" s="197">
        <f ca="1">IF(ROWS($1:37)&gt;COUNT(Dong5),"",OFFSET(TH!C$1,SMALL(Dong5,ROWS($1:37)),))</f>
        <v>42478</v>
      </c>
      <c r="B51" s="197" t="str">
        <f ca="1">IF(ROWS($1:37)&gt;COUNT(Dong5),"",OFFSET(TH!D$1,SMALL(Dong5,ROWS($1:37)),))</f>
        <v>C02</v>
      </c>
      <c r="C51" s="197">
        <f ca="1">IF(ROWS($1:37)&gt;COUNT(Dong5),"",OFFSET(TH!E$1,SMALL(Dong5,ROWS($1:37)),))</f>
        <v>42478</v>
      </c>
      <c r="D51" s="240" t="str">
        <f ca="1">IF(ROWS($1:37)&gt;COUNT(Dong5),"",OFFSET(TH!F$1,SMALL(Dong5,ROWS($1:37)),))</f>
        <v>Tiền điện thoại</v>
      </c>
      <c r="E51" s="197" t="str">
        <f ca="1">IF(ROWS($1:37)&gt;COUNT(Dong5),"",IF(OFFSET(TH!L$1,SMALL(Dong5,ROWS($1:37)),)=$E$7,OFFSET(TH!M$1,SMALL(Dong5,ROWS($1:37)),),OFFSET(TH!L$1,SMALL(Dong5,ROWS($1:37)),)))</f>
        <v>1111</v>
      </c>
      <c r="F51" s="241">
        <f ca="1">IF(ROWS($1:37)&gt;COUNT(Dong5),0,IF(OFFSET(TH!L$1,SMALL(Dong5,ROWS($1:37)),)=$E$7,OFFSET(TH!K$1,SMALL(Dong5,ROWS($1:37)),),0))</f>
        <v>513637</v>
      </c>
      <c r="G51" s="239">
        <f ca="1">IF(ROWS($1:37)&gt;COUNT(Dong5),0,IF(OFFSET(TH!M$1,SMALL(Dong5,ROWS($1:37)),)=$E$7,OFFSET(TH!K$1,SMALL(Dong5,ROWS($1:37)),),0))</f>
        <v>0</v>
      </c>
      <c r="H51" s="242">
        <f t="shared" ca="1" si="6"/>
        <v>0</v>
      </c>
      <c r="I51" s="242">
        <f t="shared" ca="1" si="7"/>
        <v>201526154</v>
      </c>
    </row>
    <row r="52" spans="1:9" s="18" customFormat="1" ht="18" customHeight="1">
      <c r="A52" s="197">
        <f ca="1">IF(ROWS($1:38)&gt;COUNT(Dong5),"",OFFSET(TH!C$1,SMALL(Dong5,ROWS($1:38)),))</f>
        <v>42479</v>
      </c>
      <c r="B52" s="197" t="str">
        <f ca="1">IF(ROWS($1:38)&gt;COUNT(Dong5),"",OFFSET(TH!D$1,SMALL(Dong5,ROWS($1:38)),))</f>
        <v>GBN</v>
      </c>
      <c r="C52" s="197">
        <f ca="1">IF(ROWS($1:38)&gt;COUNT(Dong5),"",OFFSET(TH!E$1,SMALL(Dong5,ROWS($1:38)),))</f>
        <v>42479</v>
      </c>
      <c r="D52" s="240" t="str">
        <f ca="1">IF(ROWS($1:38)&gt;COUNT(Dong5),"",OFFSET(TH!F$1,SMALL(Dong5,ROWS($1:38)),))</f>
        <v>Phí kiểm đếm</v>
      </c>
      <c r="E52" s="197" t="str">
        <f ca="1">IF(ROWS($1:38)&gt;COUNT(Dong5),"",IF(OFFSET(TH!L$1,SMALL(Dong5,ROWS($1:38)),)=$E$7,OFFSET(TH!M$1,SMALL(Dong5,ROWS($1:38)),),OFFSET(TH!L$1,SMALL(Dong5,ROWS($1:38)),)))</f>
        <v>1121</v>
      </c>
      <c r="F52" s="241">
        <f ca="1">IF(ROWS($1:38)&gt;COUNT(Dong5),0,IF(OFFSET(TH!L$1,SMALL(Dong5,ROWS($1:38)),)=$E$7,OFFSET(TH!K$1,SMALL(Dong5,ROWS($1:38)),),0))</f>
        <v>13636</v>
      </c>
      <c r="G52" s="239">
        <f ca="1">IF(ROWS($1:38)&gt;COUNT(Dong5),0,IF(OFFSET(TH!M$1,SMALL(Dong5,ROWS($1:38)),)=$E$7,OFFSET(TH!K$1,SMALL(Dong5,ROWS($1:38)),),0))</f>
        <v>0</v>
      </c>
      <c r="H52" s="242">
        <f t="shared" ca="1" si="6"/>
        <v>0</v>
      </c>
      <c r="I52" s="242">
        <f t="shared" ca="1" si="7"/>
        <v>201512518</v>
      </c>
    </row>
    <row r="53" spans="1:9" s="18" customFormat="1" ht="18" customHeight="1">
      <c r="A53" s="197">
        <f ca="1">IF(ROWS($1:39)&gt;COUNT(Dong5),"",OFFSET(TH!C$1,SMALL(Dong5,ROWS($1:39)),))</f>
        <v>42479</v>
      </c>
      <c r="B53" s="197" t="str">
        <f ca="1">IF(ROWS($1:39)&gt;COUNT(Dong5),"",OFFSET(TH!D$1,SMALL(Dong5,ROWS($1:39)),))</f>
        <v>GBN</v>
      </c>
      <c r="C53" s="197">
        <f ca="1">IF(ROWS($1:39)&gt;COUNT(Dong5),"",OFFSET(TH!E$1,SMALL(Dong5,ROWS($1:39)),))</f>
        <v>42479</v>
      </c>
      <c r="D53" s="240" t="str">
        <f ca="1">IF(ROWS($1:39)&gt;COUNT(Dong5),"",OFFSET(TH!F$1,SMALL(Dong5,ROWS($1:39)),))</f>
        <v>Phí chuyển tiền</v>
      </c>
      <c r="E53" s="197" t="str">
        <f ca="1">IF(ROWS($1:39)&gt;COUNT(Dong5),"",IF(OFFSET(TH!L$1,SMALL(Dong5,ROWS($1:39)),)=$E$7,OFFSET(TH!M$1,SMALL(Dong5,ROWS($1:39)),),OFFSET(TH!L$1,SMALL(Dong5,ROWS($1:39)),)))</f>
        <v>1121</v>
      </c>
      <c r="F53" s="241">
        <f ca="1">IF(ROWS($1:39)&gt;COUNT(Dong5),0,IF(OFFSET(TH!L$1,SMALL(Dong5,ROWS($1:39)),)=$E$7,OFFSET(TH!K$1,SMALL(Dong5,ROWS($1:39)),),0))</f>
        <v>13636</v>
      </c>
      <c r="G53" s="239">
        <f ca="1">IF(ROWS($1:39)&gt;COUNT(Dong5),0,IF(OFFSET(TH!M$1,SMALL(Dong5,ROWS($1:39)),)=$E$7,OFFSET(TH!K$1,SMALL(Dong5,ROWS($1:39)),),0))</f>
        <v>0</v>
      </c>
      <c r="H53" s="242">
        <f t="shared" ca="1" si="6"/>
        <v>0</v>
      </c>
      <c r="I53" s="242">
        <f t="shared" ca="1" si="7"/>
        <v>201498882</v>
      </c>
    </row>
    <row r="54" spans="1:9" s="18" customFormat="1" ht="18" customHeight="1">
      <c r="A54" s="197">
        <f ca="1">IF(ROWS($1:40)&gt;COUNT(Dong5),"",OFFSET(TH!C$1,SMALL(Dong5,ROWS($1:40)),))</f>
        <v>42482</v>
      </c>
      <c r="B54" s="197" t="str">
        <f ca="1">IF(ROWS($1:40)&gt;COUNT(Dong5),"",OFFSET(TH!D$1,SMALL(Dong5,ROWS($1:40)),))</f>
        <v>GBC</v>
      </c>
      <c r="C54" s="197">
        <f ca="1">IF(ROWS($1:40)&gt;COUNT(Dong5),"",OFFSET(TH!E$1,SMALL(Dong5,ROWS($1:40)),))</f>
        <v>42482</v>
      </c>
      <c r="D54" s="240" t="str">
        <f ca="1">IF(ROWS($1:40)&gt;COUNT(Dong5),"",OFFSET(TH!F$1,SMALL(Dong5,ROWS($1:40)),))</f>
        <v>Phí chuyển tiền</v>
      </c>
      <c r="E54" s="197" t="str">
        <f ca="1">IF(ROWS($1:40)&gt;COUNT(Dong5),"",IF(OFFSET(TH!L$1,SMALL(Dong5,ROWS($1:40)),)=$E$7,OFFSET(TH!M$1,SMALL(Dong5,ROWS($1:40)),),OFFSET(TH!L$1,SMALL(Dong5,ROWS($1:40)),)))</f>
        <v>131</v>
      </c>
      <c r="F54" s="241">
        <f ca="1">IF(ROWS($1:40)&gt;COUNT(Dong5),0,IF(OFFSET(TH!L$1,SMALL(Dong5,ROWS($1:40)),)=$E$7,OFFSET(TH!K$1,SMALL(Dong5,ROWS($1:40)),),0))</f>
        <v>22000</v>
      </c>
      <c r="G54" s="239">
        <f ca="1">IF(ROWS($1:40)&gt;COUNT(Dong5),0,IF(OFFSET(TH!M$1,SMALL(Dong5,ROWS($1:40)),)=$E$7,OFFSET(TH!K$1,SMALL(Dong5,ROWS($1:40)),),0))</f>
        <v>0</v>
      </c>
      <c r="H54" s="242">
        <f t="shared" ca="1" si="6"/>
        <v>0</v>
      </c>
      <c r="I54" s="242">
        <f t="shared" ca="1" si="7"/>
        <v>201476882</v>
      </c>
    </row>
    <row r="55" spans="1:9" s="18" customFormat="1" ht="18" customHeight="1">
      <c r="A55" s="197">
        <f ca="1">IF(ROWS($1:41)&gt;COUNT(Dong5),"",OFFSET(TH!C$1,SMALL(Dong5,ROWS($1:41)),))</f>
        <v>42487</v>
      </c>
      <c r="B55" s="197" t="str">
        <f ca="1">IF(ROWS($1:41)&gt;COUNT(Dong5),"",OFFSET(TH!D$1,SMALL(Dong5,ROWS($1:41)),))</f>
        <v>C06</v>
      </c>
      <c r="C55" s="197">
        <f ca="1">IF(ROWS($1:41)&gt;COUNT(Dong5),"",OFFSET(TH!E$1,SMALL(Dong5,ROWS($1:41)),))</f>
        <v>42487</v>
      </c>
      <c r="D55" s="240" t="str">
        <f ca="1">IF(ROWS($1:41)&gt;COUNT(Dong5),"",OFFSET(TH!F$1,SMALL(Dong5,ROWS($1:41)),))</f>
        <v>Văn phòng phẩm</v>
      </c>
      <c r="E55" s="197" t="str">
        <f ca="1">IF(ROWS($1:41)&gt;COUNT(Dong5),"",IF(OFFSET(TH!L$1,SMALL(Dong5,ROWS($1:41)),)=$E$7,OFFSET(TH!M$1,SMALL(Dong5,ROWS($1:41)),),OFFSET(TH!L$1,SMALL(Dong5,ROWS($1:41)),)))</f>
        <v>1111</v>
      </c>
      <c r="F55" s="241">
        <f ca="1">IF(ROWS($1:41)&gt;COUNT(Dong5),0,IF(OFFSET(TH!L$1,SMALL(Dong5,ROWS($1:41)),)=$E$7,OFFSET(TH!K$1,SMALL(Dong5,ROWS($1:41)),),0))</f>
        <v>785455</v>
      </c>
      <c r="G55" s="239">
        <f ca="1">IF(ROWS($1:41)&gt;COUNT(Dong5),0,IF(OFFSET(TH!M$1,SMALL(Dong5,ROWS($1:41)),)=$E$7,OFFSET(TH!K$1,SMALL(Dong5,ROWS($1:41)),),0))</f>
        <v>0</v>
      </c>
      <c r="H55" s="242">
        <f t="shared" ca="1" si="6"/>
        <v>0</v>
      </c>
      <c r="I55" s="242">
        <f t="shared" ca="1" si="7"/>
        <v>200691427</v>
      </c>
    </row>
    <row r="56" spans="1:9" s="18" customFormat="1" ht="18" customHeight="1">
      <c r="A56" s="197">
        <f ca="1">IF(ROWS($1:42)&gt;COUNT(Dong5),"",OFFSET(TH!C$1,SMALL(Dong5,ROWS($1:42)),))</f>
        <v>42488</v>
      </c>
      <c r="B56" s="197" t="str">
        <f ca="1">IF(ROWS($1:42)&gt;COUNT(Dong5),"",OFFSET(TH!D$1,SMALL(Dong5,ROWS($1:42)),))</f>
        <v>GBN</v>
      </c>
      <c r="C56" s="197">
        <f ca="1">IF(ROWS($1:42)&gt;COUNT(Dong5),"",OFFSET(TH!E$1,SMALL(Dong5,ROWS($1:42)),))</f>
        <v>42488</v>
      </c>
      <c r="D56" s="240" t="str">
        <f ca="1">IF(ROWS($1:42)&gt;COUNT(Dong5),"",OFFSET(TH!F$1,SMALL(Dong5,ROWS($1:42)),))</f>
        <v>Phí chuyển tiền</v>
      </c>
      <c r="E56" s="197" t="str">
        <f ca="1">IF(ROWS($1:42)&gt;COUNT(Dong5),"",IF(OFFSET(TH!L$1,SMALL(Dong5,ROWS($1:42)),)=$E$7,OFFSET(TH!M$1,SMALL(Dong5,ROWS($1:42)),),OFFSET(TH!L$1,SMALL(Dong5,ROWS($1:42)),)))</f>
        <v>1121</v>
      </c>
      <c r="F56" s="241">
        <f ca="1">IF(ROWS($1:42)&gt;COUNT(Dong5),0,IF(OFFSET(TH!L$1,SMALL(Dong5,ROWS($1:42)),)=$E$7,OFFSET(TH!K$1,SMALL(Dong5,ROWS($1:42)),),0))</f>
        <v>13636</v>
      </c>
      <c r="G56" s="239">
        <f ca="1">IF(ROWS($1:42)&gt;COUNT(Dong5),0,IF(OFFSET(TH!M$1,SMALL(Dong5,ROWS($1:42)),)=$E$7,OFFSET(TH!K$1,SMALL(Dong5,ROWS($1:42)),),0))</f>
        <v>0</v>
      </c>
      <c r="H56" s="242">
        <f t="shared" ca="1" si="6"/>
        <v>0</v>
      </c>
      <c r="I56" s="242">
        <f t="shared" ca="1" si="7"/>
        <v>200677791</v>
      </c>
    </row>
    <row r="57" spans="1:9" s="18" customFormat="1" ht="18" customHeight="1">
      <c r="A57" s="197">
        <f ca="1">IF(ROWS($1:43)&gt;COUNT(Dong5),"",OFFSET(TH!C$1,SMALL(Dong5,ROWS($1:43)),))</f>
        <v>42490</v>
      </c>
      <c r="B57" s="197" t="str">
        <f ca="1">IF(ROWS($1:43)&gt;COUNT(Dong5),"",OFFSET(TH!D$1,SMALL(Dong5,ROWS($1:43)),))</f>
        <v>CTGS</v>
      </c>
      <c r="C57" s="197">
        <f ca="1">IF(ROWS($1:43)&gt;COUNT(Dong5),"",OFFSET(TH!E$1,SMALL(Dong5,ROWS($1:43)),))</f>
        <v>42490</v>
      </c>
      <c r="D57" s="240" t="str">
        <f ca="1">IF(ROWS($1:43)&gt;COUNT(Dong5),"",OFFSET(TH!F$1,SMALL(Dong5,ROWS($1:43)),))</f>
        <v>Tiền lương BP Văn phòng</v>
      </c>
      <c r="E57" s="197" t="str">
        <f ca="1">IF(ROWS($1:43)&gt;COUNT(Dong5),"",IF(OFFSET(TH!L$1,SMALL(Dong5,ROWS($1:43)),)=$E$7,OFFSET(TH!M$1,SMALL(Dong5,ROWS($1:43)),),OFFSET(TH!L$1,SMALL(Dong5,ROWS($1:43)),)))</f>
        <v>3341</v>
      </c>
      <c r="F57" s="241">
        <f ca="1">IF(ROWS($1:43)&gt;COUNT(Dong5),0,IF(OFFSET(TH!L$1,SMALL(Dong5,ROWS($1:43)),)=$E$7,OFFSET(TH!K$1,SMALL(Dong5,ROWS($1:43)),),0))</f>
        <v>5375000</v>
      </c>
      <c r="G57" s="239">
        <f ca="1">IF(ROWS($1:43)&gt;COUNT(Dong5),0,IF(OFFSET(TH!M$1,SMALL(Dong5,ROWS($1:43)),)=$E$7,OFFSET(TH!K$1,SMALL(Dong5,ROWS($1:43)),),0))</f>
        <v>0</v>
      </c>
      <c r="H57" s="242">
        <f t="shared" ca="1" si="6"/>
        <v>0</v>
      </c>
      <c r="I57" s="242">
        <f t="shared" ca="1" si="7"/>
        <v>195302791</v>
      </c>
    </row>
    <row r="58" spans="1:9" s="18" customFormat="1" ht="18" customHeight="1">
      <c r="A58" s="197">
        <f ca="1">IF(ROWS($1:44)&gt;COUNT(Dong5),"",OFFSET(TH!C$1,SMALL(Dong5,ROWS($1:44)),))</f>
        <v>42495</v>
      </c>
      <c r="B58" s="197" t="str">
        <f ca="1">IF(ROWS($1:44)&gt;COUNT(Dong5),"",OFFSET(TH!D$1,SMALL(Dong5,ROWS($1:44)),))</f>
        <v>GBN</v>
      </c>
      <c r="C58" s="197">
        <f ca="1">IF(ROWS($1:44)&gt;COUNT(Dong5),"",OFFSET(TH!E$1,SMALL(Dong5,ROWS($1:44)),))</f>
        <v>42495</v>
      </c>
      <c r="D58" s="240" t="str">
        <f ca="1">IF(ROWS($1:44)&gt;COUNT(Dong5),"",OFFSET(TH!F$1,SMALL(Dong5,ROWS($1:44)),))</f>
        <v>Thuế môn bài phải nộp</v>
      </c>
      <c r="E58" s="197" t="str">
        <f ca="1">IF(ROWS($1:44)&gt;COUNT(Dong5),"",IF(OFFSET(TH!L$1,SMALL(Dong5,ROWS($1:44)),)=$E$7,OFFSET(TH!M$1,SMALL(Dong5,ROWS($1:44)),),OFFSET(TH!L$1,SMALL(Dong5,ROWS($1:44)),)))</f>
        <v>33382</v>
      </c>
      <c r="F58" s="241">
        <f ca="1">IF(ROWS($1:44)&gt;COUNT(Dong5),0,IF(OFFSET(TH!L$1,SMALL(Dong5,ROWS($1:44)),)=$E$7,OFFSET(TH!K$1,SMALL(Dong5,ROWS($1:44)),),0))</f>
        <v>1000000</v>
      </c>
      <c r="G58" s="239">
        <f ca="1">IF(ROWS($1:44)&gt;COUNT(Dong5),0,IF(OFFSET(TH!M$1,SMALL(Dong5,ROWS($1:44)),)=$E$7,OFFSET(TH!K$1,SMALL(Dong5,ROWS($1:44)),),0))</f>
        <v>0</v>
      </c>
      <c r="H58" s="242">
        <f t="shared" ca="1" si="6"/>
        <v>0</v>
      </c>
      <c r="I58" s="242">
        <f t="shared" ca="1" si="7"/>
        <v>194302791</v>
      </c>
    </row>
    <row r="59" spans="1:9" s="18" customFormat="1" ht="18" customHeight="1">
      <c r="A59" s="197">
        <f ca="1">IF(ROWS($1:45)&gt;COUNT(Dong5),"",OFFSET(TH!C$1,SMALL(Dong5,ROWS($1:45)),))</f>
        <v>42495</v>
      </c>
      <c r="B59" s="197" t="str">
        <f ca="1">IF(ROWS($1:45)&gt;COUNT(Dong5),"",OFFSET(TH!D$1,SMALL(Dong5,ROWS($1:45)),))</f>
        <v>GBN</v>
      </c>
      <c r="C59" s="197">
        <f ca="1">IF(ROWS($1:45)&gt;COUNT(Dong5),"",OFFSET(TH!E$1,SMALL(Dong5,ROWS($1:45)),))</f>
        <v>42495</v>
      </c>
      <c r="D59" s="240" t="str">
        <f ca="1">IF(ROWS($1:45)&gt;COUNT(Dong5),"",OFFSET(TH!F$1,SMALL(Dong5,ROWS($1:45)),))</f>
        <v>Phí chuyển tiền</v>
      </c>
      <c r="E59" s="197" t="str">
        <f ca="1">IF(ROWS($1:45)&gt;COUNT(Dong5),"",IF(OFFSET(TH!L$1,SMALL(Dong5,ROWS($1:45)),)=$E$7,OFFSET(TH!M$1,SMALL(Dong5,ROWS($1:45)),),OFFSET(TH!L$1,SMALL(Dong5,ROWS($1:45)),)))</f>
        <v>1121</v>
      </c>
      <c r="F59" s="241">
        <f ca="1">IF(ROWS($1:45)&gt;COUNT(Dong5),0,IF(OFFSET(TH!L$1,SMALL(Dong5,ROWS($1:45)),)=$E$7,OFFSET(TH!K$1,SMALL(Dong5,ROWS($1:45)),),0))</f>
        <v>9091</v>
      </c>
      <c r="G59" s="239">
        <f ca="1">IF(ROWS($1:45)&gt;COUNT(Dong5),0,IF(OFFSET(TH!M$1,SMALL(Dong5,ROWS($1:45)),)=$E$7,OFFSET(TH!K$1,SMALL(Dong5,ROWS($1:45)),),0))</f>
        <v>0</v>
      </c>
      <c r="H59" s="242">
        <f t="shared" ca="1" si="6"/>
        <v>0</v>
      </c>
      <c r="I59" s="242">
        <f t="shared" ca="1" si="7"/>
        <v>194293700</v>
      </c>
    </row>
    <row r="60" spans="1:9" s="18" customFormat="1" ht="18" customHeight="1">
      <c r="A60" s="197">
        <f ca="1">IF(ROWS($1:46)&gt;COUNT(Dong5),"",OFFSET(TH!C$1,SMALL(Dong5,ROWS($1:46)),))</f>
        <v>42495</v>
      </c>
      <c r="B60" s="197" t="str">
        <f ca="1">IF(ROWS($1:46)&gt;COUNT(Dong5),"",OFFSET(TH!D$1,SMALL(Dong5,ROWS($1:46)),))</f>
        <v>GBN</v>
      </c>
      <c r="C60" s="197">
        <f ca="1">IF(ROWS($1:46)&gt;COUNT(Dong5),"",OFFSET(TH!E$1,SMALL(Dong5,ROWS($1:46)),))</f>
        <v>42495</v>
      </c>
      <c r="D60" s="240" t="str">
        <f ca="1">IF(ROWS($1:46)&gt;COUNT(Dong5),"",OFFSET(TH!F$1,SMALL(Dong5,ROWS($1:46)),))</f>
        <v>Phí chuyển tiền</v>
      </c>
      <c r="E60" s="197" t="str">
        <f ca="1">IF(ROWS($1:46)&gt;COUNT(Dong5),"",IF(OFFSET(TH!L$1,SMALL(Dong5,ROWS($1:46)),)=$E$7,OFFSET(TH!M$1,SMALL(Dong5,ROWS($1:46)),),OFFSET(TH!L$1,SMALL(Dong5,ROWS($1:46)),)))</f>
        <v>1121</v>
      </c>
      <c r="F60" s="241">
        <f ca="1">IF(ROWS($1:46)&gt;COUNT(Dong5),0,IF(OFFSET(TH!L$1,SMALL(Dong5,ROWS($1:46)),)=$E$7,OFFSET(TH!K$1,SMALL(Dong5,ROWS($1:46)),),0))</f>
        <v>13636</v>
      </c>
      <c r="G60" s="239">
        <f ca="1">IF(ROWS($1:46)&gt;COUNT(Dong5),0,IF(OFFSET(TH!M$1,SMALL(Dong5,ROWS($1:46)),)=$E$7,OFFSET(TH!K$1,SMALL(Dong5,ROWS($1:46)),),0))</f>
        <v>0</v>
      </c>
      <c r="H60" s="242">
        <f t="shared" ca="1" si="6"/>
        <v>0</v>
      </c>
      <c r="I60" s="242">
        <f t="shared" ca="1" si="7"/>
        <v>194280064</v>
      </c>
    </row>
    <row r="61" spans="1:9" s="18" customFormat="1" ht="18" customHeight="1">
      <c r="A61" s="197"/>
      <c r="B61" s="197"/>
      <c r="C61" s="197"/>
      <c r="D61" s="240"/>
      <c r="E61" s="197"/>
      <c r="F61" s="241"/>
      <c r="G61" s="239"/>
      <c r="H61" s="242"/>
      <c r="I61" s="242"/>
    </row>
    <row r="62" spans="1:9" s="18" customFormat="1" ht="18" customHeight="1">
      <c r="A62" s="197"/>
      <c r="B62" s="198"/>
      <c r="C62" s="197"/>
      <c r="D62" s="234" t="s">
        <v>133</v>
      </c>
      <c r="E62" s="198" t="s">
        <v>19</v>
      </c>
      <c r="F62" s="243">
        <f ca="1">SUM(F15:F61)</f>
        <v>41747544</v>
      </c>
      <c r="G62" s="243">
        <f ca="1">SUM(G15:G61)</f>
        <v>236027608</v>
      </c>
      <c r="H62" s="243" t="s">
        <v>19</v>
      </c>
      <c r="I62" s="243" t="s">
        <v>19</v>
      </c>
    </row>
    <row r="63" spans="1:9" s="18" customFormat="1" ht="18" customHeight="1">
      <c r="A63" s="244"/>
      <c r="B63" s="236"/>
      <c r="C63" s="244"/>
      <c r="D63" s="235" t="s">
        <v>10</v>
      </c>
      <c r="E63" s="236" t="s">
        <v>19</v>
      </c>
      <c r="F63" s="245" t="s">
        <v>19</v>
      </c>
      <c r="G63" s="245" t="s">
        <v>19</v>
      </c>
      <c r="H63" s="246">
        <f ca="1">MAX(H14+F62-G62-I14,0)</f>
        <v>0</v>
      </c>
      <c r="I63" s="246">
        <f ca="1">MAX(I14+G62-F62-H14,0)</f>
        <v>194280064</v>
      </c>
    </row>
    <row r="64" spans="1:9" s="18" customFormat="1" ht="9.75" customHeight="1">
      <c r="A64" s="212"/>
      <c r="B64" s="212"/>
      <c r="C64" s="212"/>
      <c r="E64" s="212"/>
    </row>
    <row r="65" spans="1:9" s="18" customFormat="1" ht="12.75">
      <c r="A65" s="212"/>
      <c r="B65" s="212"/>
      <c r="C65" s="247" t="s">
        <v>154</v>
      </c>
      <c r="E65" s="212"/>
    </row>
    <row r="66" spans="1:9" s="18" customFormat="1" ht="12.75">
      <c r="A66" s="212"/>
      <c r="B66" s="212"/>
      <c r="C66" s="178" t="str">
        <f ca="1">"- Ngày mở sổ: "&amp;DAY($A$15)&amp;"/"&amp;MONTH($A$15)&amp;"/ " &amp;YEAR($A$15)</f>
        <v>- Ngày mở sổ: 31/12/ 2016</v>
      </c>
      <c r="E66" s="212"/>
    </row>
    <row r="67" spans="1:9" s="18" customFormat="1" ht="13.5" customHeight="1">
      <c r="A67" s="212"/>
      <c r="B67" s="212"/>
      <c r="C67" s="212"/>
      <c r="E67" s="997" t="str">
        <f ca="1">"Ngày 31 tháng  12  năm  "&amp;YEAR($A$15)</f>
        <v>Ngày 31 tháng  12  năm  2016</v>
      </c>
      <c r="F67" s="997"/>
      <c r="G67" s="997"/>
      <c r="H67" s="997"/>
      <c r="I67" s="997"/>
    </row>
    <row r="68" spans="1:9" s="18" customFormat="1" ht="12.75">
      <c r="A68" s="997" t="s">
        <v>11</v>
      </c>
      <c r="B68" s="997"/>
      <c r="C68" s="997"/>
      <c r="D68" s="997"/>
      <c r="E68" s="997" t="s">
        <v>12</v>
      </c>
      <c r="F68" s="997"/>
      <c r="G68" s="997"/>
      <c r="H68" s="997"/>
      <c r="I68" s="997"/>
    </row>
    <row r="69" spans="1:9" s="18" customFormat="1" ht="12.75">
      <c r="A69" s="997" t="s">
        <v>13</v>
      </c>
      <c r="B69" s="997"/>
      <c r="C69" s="997"/>
      <c r="D69" s="997"/>
      <c r="E69" s="997" t="s">
        <v>13</v>
      </c>
      <c r="F69" s="997"/>
      <c r="G69" s="997"/>
      <c r="H69" s="997"/>
      <c r="I69" s="997"/>
    </row>
    <row r="70" spans="1:9" s="18" customFormat="1" ht="12.75">
      <c r="A70" s="212"/>
      <c r="B70" s="212"/>
      <c r="C70" s="212"/>
      <c r="E70" s="212"/>
    </row>
    <row r="71" spans="1:9">
      <c r="D71" s="185"/>
      <c r="F71" s="186"/>
    </row>
    <row r="76" spans="1:9">
      <c r="A76" s="998"/>
      <c r="B76" s="998"/>
      <c r="C76" s="998"/>
      <c r="D76" s="998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2"/>
  <sheetViews>
    <sheetView topLeftCell="A9" zoomScale="90" workbookViewId="0">
      <pane ySplit="5" topLeftCell="A47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1001" t="s">
        <v>119</v>
      </c>
      <c r="H1" s="1001"/>
      <c r="I1" s="1001"/>
      <c r="J1" s="1001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02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02"/>
      <c r="I2" s="1002"/>
      <c r="J2" s="1002"/>
    </row>
    <row r="3" spans="1:15" s="3" customFormat="1" ht="16.5" customHeight="1">
      <c r="A3" s="4"/>
      <c r="B3" s="16"/>
      <c r="C3" s="109"/>
      <c r="D3" s="109"/>
      <c r="E3" s="16"/>
      <c r="G3" s="1002"/>
      <c r="H3" s="1002"/>
      <c r="I3" s="1002"/>
      <c r="J3" s="1002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11" t="s">
        <v>120</v>
      </c>
      <c r="B5" s="1011"/>
      <c r="C5" s="1011"/>
      <c r="D5" s="1011"/>
      <c r="E5" s="1011"/>
      <c r="F5" s="1011"/>
      <c r="G5" s="1011"/>
      <c r="H5" s="1011"/>
      <c r="I5" s="1011"/>
      <c r="J5" s="1011"/>
    </row>
    <row r="6" spans="1:15" ht="14.25" customHeight="1">
      <c r="A6" s="1013" t="str">
        <f ca="1">$L$11&amp;" / "&amp;YEAR($A$14)</f>
        <v>Quý I / 2016</v>
      </c>
      <c r="B6" s="1013"/>
      <c r="C6" s="1013"/>
      <c r="D6" s="1013"/>
      <c r="E6" s="1013"/>
      <c r="F6" s="1013"/>
      <c r="G6" s="1013"/>
      <c r="H6" s="1013"/>
      <c r="I6" s="1013"/>
      <c r="J6" s="1013"/>
    </row>
    <row r="7" spans="1:15">
      <c r="A7" s="1012" t="s">
        <v>121</v>
      </c>
      <c r="B7" s="1012"/>
      <c r="C7" s="1012"/>
      <c r="D7" s="1012"/>
      <c r="E7" s="1012"/>
      <c r="F7" s="1012"/>
      <c r="G7" s="1012"/>
      <c r="H7" s="1012"/>
      <c r="I7" s="1012"/>
      <c r="J7" s="1012"/>
    </row>
    <row r="8" spans="1:15">
      <c r="A8" s="1012" t="s">
        <v>122</v>
      </c>
      <c r="B8" s="1012"/>
      <c r="C8" s="1012"/>
      <c r="D8" s="1012"/>
      <c r="E8" s="1012"/>
      <c r="F8" s="1012"/>
      <c r="G8" s="1012"/>
      <c r="H8" s="1012"/>
      <c r="I8" s="1012"/>
      <c r="J8" s="1012"/>
    </row>
    <row r="9" spans="1:15">
      <c r="A9" s="112"/>
      <c r="I9" s="112" t="s">
        <v>123</v>
      </c>
    </row>
    <row r="10" spans="1:15" ht="33" customHeight="1" thickBot="1">
      <c r="A10" s="1015" t="s">
        <v>20</v>
      </c>
      <c r="B10" s="1015" t="s">
        <v>124</v>
      </c>
      <c r="C10" s="1014" t="s">
        <v>125</v>
      </c>
      <c r="D10" s="1014"/>
      <c r="E10" s="1014" t="s">
        <v>0</v>
      </c>
      <c r="F10" s="1015" t="s">
        <v>14</v>
      </c>
      <c r="G10" s="1014" t="s">
        <v>21</v>
      </c>
      <c r="H10" s="1014"/>
      <c r="I10" s="1014" t="s">
        <v>126</v>
      </c>
      <c r="J10" s="1014" t="s">
        <v>127</v>
      </c>
      <c r="L10" s="569"/>
      <c r="N10" s="989" t="s">
        <v>329</v>
      </c>
      <c r="O10" s="989"/>
    </row>
    <row r="11" spans="1:15" ht="24" customHeight="1" thickBot="1">
      <c r="A11" s="1016"/>
      <c r="B11" s="1016"/>
      <c r="C11" s="113" t="s">
        <v>128</v>
      </c>
      <c r="D11" s="113" t="s">
        <v>129</v>
      </c>
      <c r="E11" s="1014"/>
      <c r="F11" s="1016"/>
      <c r="G11" s="113" t="s">
        <v>22</v>
      </c>
      <c r="H11" s="113" t="s">
        <v>23</v>
      </c>
      <c r="I11" s="1014"/>
      <c r="J11" s="1014"/>
      <c r="L11" s="176" t="s">
        <v>1679</v>
      </c>
      <c r="N11" s="590">
        <f>IF(L11="Quý I",1,IF(L11="Quý II",4,IF(L11="Quý III",7,IF(L11="Quý IV",10,""))))</f>
        <v>1</v>
      </c>
      <c r="O11" s="590">
        <f>IF(L11="Quý I",3,IF(L11="Quý II",6,IF(L11="Quý III",9,IF(L11="Quý IV",12,""))))</f>
        <v>3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1"/>
      <c r="O12" s="591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7">
        <f>IF($L$11="All",CDPS!$C$10,CDPS!$C$10+SUMIF(_N111,"x",TH)-SUMIF(_C111,"x",TH))</f>
        <v>3036464766</v>
      </c>
      <c r="J13" s="117"/>
      <c r="N13" s="592"/>
      <c r="O13" s="592"/>
    </row>
    <row r="14" spans="1:15" ht="21.75" customHeight="1">
      <c r="A14" s="120">
        <f ca="1">IF(ROWS($1:1)&gt;COUNT(Dong1),"",OFFSET(TH!C$1,SMALL(Dong1,ROWS($1:1)),))</f>
        <v>42372</v>
      </c>
      <c r="B14" s="120">
        <f ca="1">IF(ROWS($1:1)&gt;COUNT(Dong1),"",OFFSET(TH!E$1,SMALL(Dong1,ROWS($1:1)),))</f>
        <v>42372</v>
      </c>
      <c r="C14" s="121" t="str">
        <f ca="1">IF(ROWS($1:1)&gt;COUNT(Dong1),"",IF(OFFSET(TH!L$1,SMALL(Dong1,ROWS($1:1)),)="1111",OFFSET(TH!D$1,SMALL(Dong1,ROWS($1:1)),),""))</f>
        <v>T01</v>
      </c>
      <c r="D14" s="122" t="str">
        <f ca="1">IF(ROWS($1:1)&gt;COUNT(Dong1),"",IF(OFFSET(TH!M$1,SMALL(Dong1,ROWS($1:1)),)="1111",OFFSET(TH!D$1,SMALL(Dong1,ROWS($1:1)),),""))</f>
        <v/>
      </c>
      <c r="E14" s="225" t="str">
        <f ca="1">IF(ROWS($1:1)&gt;COUNT(Dong1),"",OFFSET(TH!F$1,SMALL(Dong1,ROWS($1:1)),))</f>
        <v>Thu tiền hàng</v>
      </c>
      <c r="F14" s="124" t="str">
        <f ca="1">IF(ROWS($1:1)&gt;COUNT(Dong1),"",IF(OFFSET(TH!M$1,SMALL(Dong1,ROWS($1:1)),)="1111",OFFSET(TH!L$1,SMALL(Dong1,ROWS($1:1)),),OFFSET(TH!M$1,SMALL(Dong1,ROWS($1:1)),)))</f>
        <v>131</v>
      </c>
      <c r="G14" s="125">
        <f ca="1">IF(ROWS($1:1)&gt;COUNT(Dong1),"",IF(OFFSET(TH!L$1,SMALL(Dong1,ROWS($1:1)),)="1111",OFFSET(TH!K$1,SMALL(Dong1,ROWS($1:1)),),0))</f>
        <v>2035000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3038499766</v>
      </c>
      <c r="J14" s="126"/>
      <c r="N14" s="593"/>
      <c r="O14" s="593"/>
    </row>
    <row r="15" spans="1:15" ht="21.75" customHeight="1">
      <c r="A15" s="120">
        <f ca="1">IF(ROWS($1:2)&gt;COUNT(Dong1),"",OFFSET(TH!C$1,SMALL(Dong1,ROWS($1:2)),))</f>
        <v>42373</v>
      </c>
      <c r="B15" s="120">
        <f ca="1">IF(ROWS($1:2)&gt;COUNT(Dong1),"",OFFSET(TH!E$1,SMALL(Dong1,ROWS($1:2)),))</f>
        <v>42373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5" t="str">
        <f ca="1">IF(ROWS($1:2)&gt;COUNT(Dong1),"",OFFSET(TH!F$1,SMALL(Dong1,ROWS($1:2)),))</f>
        <v>Kiểm định xe, phí cấp giấy</v>
      </c>
      <c r="F15" s="124" t="str">
        <f ca="1">IF(ROWS($1:2)&gt;COUNT(Dong1),"",IF(OFFSET(TH!M$1,SMALL(Dong1,ROWS($1:2)),)="1111",OFFSET(TH!L$1,SMALL(Dong1,ROWS($1:2)),),OFFSET(TH!M$1,SMALL(Dong1,ROWS($1:2)),)))</f>
        <v>642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304545</v>
      </c>
      <c r="I15" s="121">
        <f t="shared" ref="I15:I62" ca="1" si="0">IF(E15&lt;&gt;"",I14+G15-H15,0)</f>
        <v>3038195221</v>
      </c>
      <c r="J15" s="126"/>
      <c r="N15" s="593"/>
      <c r="O15" s="593"/>
    </row>
    <row r="16" spans="1:15" ht="21.75" customHeight="1">
      <c r="A16" s="120">
        <f ca="1">IF(ROWS($1:3)&gt;COUNT(Dong1),"",OFFSET(TH!C$1,SMALL(Dong1,ROWS($1:3)),))</f>
        <v>42373</v>
      </c>
      <c r="B16" s="120">
        <f ca="1">IF(ROWS($1:3)&gt;COUNT(Dong1),"",OFFSET(TH!E$1,SMALL(Dong1,ROWS($1:3)),))</f>
        <v>42373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C01</v>
      </c>
      <c r="E16" s="225" t="str">
        <f ca="1">IF(ROWS($1:3)&gt;COUNT(Dong1),"",OFFSET(TH!F$1,SMALL(Dong1,ROWS($1:3)),))</f>
        <v>VAT Kiểm định xe</v>
      </c>
      <c r="F16" s="124" t="str">
        <f ca="1">IF(ROWS($1:3)&gt;COUNT(Dong1),"",IF(OFFSET(TH!M$1,SMALL(Dong1,ROWS($1:3)),)="1111",OFFSET(TH!L$1,SMALL(Dong1,ROWS($1:3)),),OFFSET(TH!M$1,SMALL(Dong1,ROWS($1:3)),)))</f>
        <v>1331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25455</v>
      </c>
      <c r="I16" s="121">
        <f t="shared" ca="1" si="0"/>
        <v>3038169766</v>
      </c>
      <c r="J16" s="126"/>
      <c r="N16" s="593"/>
      <c r="O16" s="593"/>
    </row>
    <row r="17" spans="1:15" ht="21.75" customHeight="1">
      <c r="A17" s="120">
        <f ca="1">IF(ROWS($1:4)&gt;COUNT(Dong1),"",OFFSET(TH!C$1,SMALL(Dong1,ROWS($1:4)),))</f>
        <v>42376</v>
      </c>
      <c r="B17" s="120">
        <f ca="1">IF(ROWS($1:4)&gt;COUNT(Dong1),"",OFFSET(TH!E$1,SMALL(Dong1,ROWS($1:4)),))</f>
        <v>42376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5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2371600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3040541366</v>
      </c>
      <c r="J17" s="126"/>
      <c r="N17" s="593"/>
      <c r="O17" s="593"/>
    </row>
    <row r="18" spans="1:15" ht="21.75" customHeight="1">
      <c r="A18" s="120">
        <f ca="1">IF(ROWS($1:5)&gt;COUNT(Dong1),"",OFFSET(TH!C$1,SMALL(Dong1,ROWS($1:5)),))</f>
        <v>42378</v>
      </c>
      <c r="B18" s="120">
        <f ca="1">IF(ROWS($1:5)&gt;COUNT(Dong1),"",OFFSET(TH!E$1,SMALL(Dong1,ROWS($1:5)),))</f>
        <v>42378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5" t="str">
        <f ca="1">IF(ROWS($1:5)&gt;COUNT(Dong1),"",OFFSET(TH!F$1,SMALL(Dong1,ROWS($1:5)),))</f>
        <v>Thu tiền hàng</v>
      </c>
      <c r="F18" s="124" t="str">
        <f ca="1">IF(ROWS($1:5)&gt;COUNT(Dong1),"",IF(OFFSET(TH!M$1,SMALL(Dong1,ROWS($1:5)),)="1111",OFFSET(TH!L$1,SMALL(Dong1,ROWS($1:5)),),OFFSET(TH!M$1,SMALL(Dong1,ROWS($1:5)),)))</f>
        <v>131</v>
      </c>
      <c r="G18" s="125">
        <f ca="1">IF(ROWS($1:5)&gt;COUNT(Dong1),"",IF(OFFSET(TH!L$1,SMALL(Dong1,ROWS($1:5)),)="1111",OFFSET(TH!K$1,SMALL(Dong1,ROWS($1:5)),),0))</f>
        <v>19525000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3060066366</v>
      </c>
      <c r="J18" s="126"/>
      <c r="N18" s="593"/>
      <c r="O18" s="593"/>
    </row>
    <row r="19" spans="1:15" ht="21.75" customHeight="1">
      <c r="A19" s="120">
        <f ca="1">IF(ROWS($1:6)&gt;COUNT(Dong1),"",OFFSET(TH!C$1,SMALL(Dong1,ROWS($1:6)),))</f>
        <v>42382</v>
      </c>
      <c r="B19" s="120">
        <f ca="1">IF(ROWS($1:6)&gt;COUNT(Dong1),"",OFFSET(TH!E$1,SMALL(Dong1,ROWS($1:6)),))</f>
        <v>42382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5" t="str">
        <f ca="1">IF(ROWS($1:6)&gt;COUNT(Dong1),"",OFFSET(TH!F$1,SMALL(Dong1,ROWS($1:6)),))</f>
        <v>Rút sec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17000000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3077066366</v>
      </c>
      <c r="J19" s="126"/>
      <c r="N19" s="593"/>
      <c r="O19" s="593"/>
    </row>
    <row r="20" spans="1:15" ht="21.75" customHeight="1">
      <c r="A20" s="120">
        <f ca="1">IF(ROWS($1:7)&gt;COUNT(Dong1),"",OFFSET(TH!C$1,SMALL(Dong1,ROWS($1:7)),))</f>
        <v>42382</v>
      </c>
      <c r="B20" s="120">
        <f ca="1">IF(ROWS($1:7)&gt;COUNT(Dong1),"",OFFSET(TH!E$1,SMALL(Dong1,ROWS($1:7)),))</f>
        <v>42382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5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18439429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3095505795</v>
      </c>
      <c r="J20" s="126"/>
      <c r="N20" s="593"/>
      <c r="O20" s="593"/>
    </row>
    <row r="21" spans="1:15" ht="21.75" customHeight="1">
      <c r="A21" s="120">
        <f ca="1">IF(ROWS($1:8)&gt;COUNT(Dong1),"",OFFSET(TH!C$1,SMALL(Dong1,ROWS($1:8)),))</f>
        <v>42384</v>
      </c>
      <c r="B21" s="120">
        <f ca="1">IF(ROWS($1:8)&gt;COUNT(Dong1),"",OFFSET(TH!E$1,SMALL(Dong1,ROWS($1:8)),))</f>
        <v>42384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5" t="str">
        <f ca="1">IF(ROWS($1:8)&gt;COUNT(Dong1),"",OFFSET(TH!F$1,SMALL(Dong1,ROWS($1:8)),))</f>
        <v>Rút sec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81000000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3176505795</v>
      </c>
      <c r="J21" s="126"/>
      <c r="N21" s="593"/>
      <c r="O21" s="593"/>
    </row>
    <row r="22" spans="1:15" ht="21.75" customHeight="1">
      <c r="A22" s="120">
        <f ca="1">IF(ROWS($1:9)&gt;COUNT(Dong1),"",OFFSET(TH!C$1,SMALL(Dong1,ROWS($1:9)),))</f>
        <v>42388</v>
      </c>
      <c r="B22" s="120">
        <f ca="1">IF(ROWS($1:9)&gt;COUNT(Dong1),"",OFFSET(TH!E$1,SMALL(Dong1,ROWS($1:9)),))</f>
        <v>42388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25" t="str">
        <f ca="1">IF(ROWS($1:9)&gt;COUNT(Dong1),"",OFFSET(TH!F$1,SMALL(Dong1,ROWS($1:9)),))</f>
        <v>Nộp TM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2000000</v>
      </c>
      <c r="I22" s="121">
        <f t="shared" ca="1" si="0"/>
        <v>3174505795</v>
      </c>
      <c r="J22" s="126"/>
      <c r="N22" s="593"/>
      <c r="O22" s="593"/>
    </row>
    <row r="23" spans="1:15" ht="21.75" customHeight="1">
      <c r="A23" s="120">
        <f ca="1">IF(ROWS($1:10)&gt;COUNT(Dong1),"",OFFSET(TH!C$1,SMALL(Dong1,ROWS($1:10)),))</f>
        <v>42391</v>
      </c>
      <c r="B23" s="120">
        <f ca="1">IF(ROWS($1:10)&gt;COUNT(Dong1),"",OFFSET(TH!E$1,SMALL(Dong1,ROWS($1:10)),))</f>
        <v>42391</v>
      </c>
      <c r="C23" s="121" t="str">
        <f ca="1">IF(ROWS($1:10)&gt;COUNT(Dong1),"",IF(OFFSET(TH!L$1,SMALL(Dong1,ROWS($1:10)),)="1111",OFFSET(TH!D$1,SMALL(Dong1,ROWS($1:10)),),""))</f>
        <v>T07</v>
      </c>
      <c r="D23" s="122" t="str">
        <f ca="1">IF(ROWS($1:10)&gt;COUNT(Dong1),"",IF(OFFSET(TH!M$1,SMALL(Dong1,ROWS($1:10)),)="1111",OFFSET(TH!D$1,SMALL(Dong1,ROWS($1:10)),),""))</f>
        <v/>
      </c>
      <c r="E23" s="225" t="str">
        <f ca="1">IF(ROWS($1:10)&gt;COUNT(Dong1),"",OFFSET(TH!F$1,SMALL(Dong1,ROWS($1:10)),))</f>
        <v>Rút sec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42000000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3216505795</v>
      </c>
      <c r="J23" s="126"/>
      <c r="N23" s="593"/>
      <c r="O23" s="593"/>
    </row>
    <row r="24" spans="1:15" ht="21.75" customHeight="1">
      <c r="A24" s="120">
        <f ca="1">IF(ROWS($1:11)&gt;COUNT(Dong1),"",OFFSET(TH!C$1,SMALL(Dong1,ROWS($1:11)),))</f>
        <v>42391</v>
      </c>
      <c r="B24" s="120">
        <f ca="1">IF(ROWS($1:11)&gt;COUNT(Dong1),"",OFFSET(TH!E$1,SMALL(Dong1,ROWS($1:11)),))</f>
        <v>42391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25" t="str">
        <f ca="1">IF(ROWS($1:11)&gt;COUNT(Dong1),"",OFFSET(TH!F$1,SMALL(Dong1,ROWS($1:11)),))</f>
        <v>Mực in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10460000</v>
      </c>
      <c r="I24" s="121">
        <f t="shared" ca="1" si="0"/>
        <v>3206045795</v>
      </c>
      <c r="J24" s="126"/>
      <c r="N24" s="593"/>
      <c r="O24" s="593"/>
    </row>
    <row r="25" spans="1:15" ht="21.75" customHeight="1">
      <c r="A25" s="120">
        <f ca="1">IF(ROWS($1:12)&gt;COUNT(Dong1),"",OFFSET(TH!C$1,SMALL(Dong1,ROWS($1:12)),))</f>
        <v>42391</v>
      </c>
      <c r="B25" s="120">
        <f ca="1">IF(ROWS($1:12)&gt;COUNT(Dong1),"",OFFSET(TH!E$1,SMALL(Dong1,ROWS($1:12)),))</f>
        <v>42391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C03</v>
      </c>
      <c r="E25" s="225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1046000</v>
      </c>
      <c r="I25" s="121">
        <f t="shared" ca="1" si="0"/>
        <v>3204999795</v>
      </c>
      <c r="J25" s="126"/>
      <c r="N25" s="593"/>
      <c r="O25" s="593"/>
    </row>
    <row r="26" spans="1:15" ht="21.75" customHeight="1">
      <c r="A26" s="120">
        <f ca="1">IF(ROWS($1:13)&gt;COUNT(Dong1),"",OFFSET(TH!C$1,SMALL(Dong1,ROWS($1:13)),))</f>
        <v>42395</v>
      </c>
      <c r="B26" s="120">
        <f ca="1">IF(ROWS($1:13)&gt;COUNT(Dong1),"",OFFSET(TH!E$1,SMALL(Dong1,ROWS($1:13)),))</f>
        <v>42395</v>
      </c>
      <c r="C26" s="121" t="str">
        <f ca="1">IF(ROWS($1:13)&gt;COUNT(Dong1),"",IF(OFFSET(TH!L$1,SMALL(Dong1,ROWS($1:13)),)="1111",OFFSET(TH!D$1,SMALL(Dong1,ROWS($1:13)),),""))</f>
        <v>T08</v>
      </c>
      <c r="D26" s="122" t="str">
        <f ca="1">IF(ROWS($1:13)&gt;COUNT(Dong1),"",IF(OFFSET(TH!M$1,SMALL(Dong1,ROWS($1:13)),)="1111",OFFSET(TH!D$1,SMALL(Dong1,ROWS($1:13)),),""))</f>
        <v/>
      </c>
      <c r="E26" s="225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24043690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3229043485</v>
      </c>
      <c r="J26" s="126"/>
      <c r="N26" s="593"/>
      <c r="O26" s="593"/>
    </row>
    <row r="27" spans="1:15" ht="21.75" customHeight="1">
      <c r="A27" s="120">
        <f ca="1">IF(ROWS($1:14)&gt;COUNT(Dong1),"",OFFSET(TH!C$1,SMALL(Dong1,ROWS($1:14)),))</f>
        <v>42396</v>
      </c>
      <c r="B27" s="120">
        <f ca="1">IF(ROWS($1:14)&gt;COUNT(Dong1),"",OFFSET(TH!E$1,SMALL(Dong1,ROWS($1:14)),))</f>
        <v>42396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C04</v>
      </c>
      <c r="E27" s="225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19000000</v>
      </c>
      <c r="I27" s="121">
        <f t="shared" ca="1" si="0"/>
        <v>3210043485</v>
      </c>
      <c r="J27" s="126"/>
      <c r="N27" s="593"/>
      <c r="O27" s="593"/>
    </row>
    <row r="28" spans="1:15" ht="21.75" customHeight="1">
      <c r="A28" s="120">
        <f ca="1">IF(ROWS($1:15)&gt;COUNT(Dong1),"",OFFSET(TH!C$1,SMALL(Dong1,ROWS($1:15)),))</f>
        <v>42396</v>
      </c>
      <c r="B28" s="120">
        <f ca="1">IF(ROWS($1:15)&gt;COUNT(Dong1),"",OFFSET(TH!E$1,SMALL(Dong1,ROWS($1:15)),))</f>
        <v>42396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C05</v>
      </c>
      <c r="E28" s="225" t="str">
        <f ca="1">IF(ROWS($1:15)&gt;COUNT(Dong1),"",OFFSET(TH!F$1,SMALL(Dong1,ROWS($1:15)),))</f>
        <v>Thanh toán tiền dây nylon</v>
      </c>
      <c r="F28" s="124" t="str">
        <f ca="1">IF(ROWS($1:15)&gt;COUNT(Dong1),"",IF(OFFSET(TH!M$1,SMALL(Dong1,ROWS($1:15)),)="1111",OFFSET(TH!L$1,SMALL(Dong1,ROWS($1:15)),),OFFSET(TH!M$1,SMALL(Dong1,ROWS($1:15)),)))</f>
        <v>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1056000</v>
      </c>
      <c r="I28" s="121">
        <f t="shared" ca="1" si="0"/>
        <v>3208987485</v>
      </c>
      <c r="J28" s="126"/>
      <c r="N28" s="593"/>
      <c r="O28" s="593"/>
    </row>
    <row r="29" spans="1:15" ht="21.75" customHeight="1">
      <c r="A29" s="120">
        <f ca="1">IF(ROWS($1:16)&gt;COUNT(Dong1),"",OFFSET(TH!C$1,SMALL(Dong1,ROWS($1:16)),))</f>
        <v>42399</v>
      </c>
      <c r="B29" s="120">
        <f ca="1">IF(ROWS($1:16)&gt;COUNT(Dong1),"",OFFSET(TH!E$1,SMALL(Dong1,ROWS($1:16)),))</f>
        <v>42399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C06</v>
      </c>
      <c r="E29" s="225" t="str">
        <f ca="1">IF(ROWS($1:16)&gt;COUNT(Dong1),"",OFFSET(TH!F$1,SMALL(Dong1,ROWS($1:16)),))</f>
        <v>Thanh toán tiền dây kẽm</v>
      </c>
      <c r="F29" s="124" t="str">
        <f ca="1">IF(ROWS($1:16)&gt;COUNT(Dong1),"",IF(OFFSET(TH!M$1,SMALL(Dong1,ROWS($1:16)),)="1111",OFFSET(TH!L$1,SMALL(Dong1,ROWS($1:16)),),OFFSET(TH!M$1,SMALL(Dong1,ROWS($1:16)),)))</f>
        <v>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13999370</v>
      </c>
      <c r="I29" s="121">
        <f t="shared" ca="1" si="0"/>
        <v>3194988115</v>
      </c>
      <c r="J29" s="126"/>
      <c r="N29" s="593"/>
      <c r="O29" s="593"/>
    </row>
    <row r="30" spans="1:15" ht="21.75" customHeight="1">
      <c r="A30" s="120">
        <f ca="1">IF(ROWS($1:17)&gt;COUNT(Dong1),"",OFFSET(TH!C$1,SMALL(Dong1,ROWS($1:17)),))</f>
        <v>42400</v>
      </c>
      <c r="B30" s="120">
        <f ca="1">IF(ROWS($1:17)&gt;COUNT(Dong1),"",OFFSET(TH!E$1,SMALL(Dong1,ROWS($1:17)),))</f>
        <v>42400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C07</v>
      </c>
      <c r="E30" s="225" t="str">
        <f ca="1">IF(ROWS($1:17)&gt;COUNT(Dong1),"",OFFSET(TH!F$1,SMALL(Dong1,ROWS($1:17)),))</f>
        <v>Thanh toán tiền lương tháng 1/2016</v>
      </c>
      <c r="F30" s="124" t="str">
        <f ca="1">IF(ROWS($1:17)&gt;COUNT(Dong1),"",IF(OFFSET(TH!M$1,SMALL(Dong1,ROWS($1:17)),)="1111",OFFSET(TH!L$1,SMALL(Dong1,ROWS($1:17)),),OFFSET(TH!M$1,SMALL(Dong1,ROWS($1:17)),)))</f>
        <v>3341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36025000</v>
      </c>
      <c r="I30" s="121">
        <f t="shared" ca="1" si="0"/>
        <v>3158963115</v>
      </c>
      <c r="J30" s="126"/>
      <c r="N30" s="593"/>
      <c r="O30" s="593"/>
    </row>
    <row r="31" spans="1:15" ht="21.75" customHeight="1">
      <c r="A31" s="120">
        <f ca="1">IF(ROWS($1:18)&gt;COUNT(Dong1),"",OFFSET(TH!C$1,SMALL(Dong1,ROWS($1:18)),))</f>
        <v>42401</v>
      </c>
      <c r="B31" s="120">
        <f ca="1">IF(ROWS($1:18)&gt;COUNT(Dong1),"",OFFSET(TH!E$1,SMALL(Dong1,ROWS($1:18)),))</f>
        <v>42401</v>
      </c>
      <c r="C31" s="121" t="str">
        <f ca="1">IF(ROWS($1:18)&gt;COUNT(Dong1),"",IF(OFFSET(TH!L$1,SMALL(Dong1,ROWS($1:18)),)="1111",OFFSET(TH!D$1,SMALL(Dong1,ROWS($1:18)),),""))</f>
        <v>T09</v>
      </c>
      <c r="D31" s="122" t="str">
        <f ca="1">IF(ROWS($1:18)&gt;COUNT(Dong1),"",IF(OFFSET(TH!M$1,SMALL(Dong1,ROWS($1:18)),)="1111",OFFSET(TH!D$1,SMALL(Dong1,ROWS($1:18)),),""))</f>
        <v/>
      </c>
      <c r="E31" s="225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7000000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3165963115</v>
      </c>
      <c r="J31" s="126"/>
      <c r="N31" s="593"/>
      <c r="O31" s="593"/>
    </row>
    <row r="32" spans="1:15" ht="21.75" customHeight="1">
      <c r="A32" s="120">
        <f ca="1">IF(ROWS($1:19)&gt;COUNT(Dong1),"",OFFSET(TH!C$1,SMALL(Dong1,ROWS($1:19)),))</f>
        <v>42401</v>
      </c>
      <c r="B32" s="120">
        <f ca="1">IF(ROWS($1:19)&gt;COUNT(Dong1),"",OFFSET(TH!E$1,SMALL(Dong1,ROWS($1:19)),))</f>
        <v>42401</v>
      </c>
      <c r="C32" s="121" t="str">
        <f ca="1">IF(ROWS($1:19)&gt;COUNT(Dong1),"",IF(OFFSET(TH!L$1,SMALL(Dong1,ROWS($1:19)),)="1111",OFFSET(TH!D$1,SMALL(Dong1,ROWS($1:19)),),""))</f>
        <v>T10</v>
      </c>
      <c r="D32" s="122" t="str">
        <f ca="1">IF(ROWS($1:19)&gt;COUNT(Dong1),"",IF(OFFSET(TH!M$1,SMALL(Dong1,ROWS($1:19)),)="1111",OFFSET(TH!D$1,SMALL(Dong1,ROWS($1:19)),),""))</f>
        <v/>
      </c>
      <c r="E32" s="225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33067868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3199030983</v>
      </c>
      <c r="J32" s="126"/>
      <c r="N32" s="593"/>
      <c r="O32" s="593"/>
    </row>
    <row r="33" spans="1:15" ht="21.75" customHeight="1">
      <c r="A33" s="120">
        <f ca="1">IF(ROWS($1:20)&gt;COUNT(Dong1),"",OFFSET(TH!C$1,SMALL(Dong1,ROWS($1:20)),))</f>
        <v>42402</v>
      </c>
      <c r="B33" s="120">
        <f ca="1">IF(ROWS($1:20)&gt;COUNT(Dong1),"",OFFSET(TH!E$1,SMALL(Dong1,ROWS($1:20)),))</f>
        <v>42402</v>
      </c>
      <c r="C33" s="121" t="str">
        <f ca="1">IF(ROWS($1:20)&gt;COUNT(Dong1),"",IF(OFFSET(TH!L$1,SMALL(Dong1,ROWS($1:20)),)="1111",OFFSET(TH!D$1,SMALL(Dong1,ROWS($1:20)),),""))</f>
        <v>T11</v>
      </c>
      <c r="D33" s="122" t="str">
        <f ca="1">IF(ROWS($1:20)&gt;COUNT(Dong1),"",IF(OFFSET(TH!M$1,SMALL(Dong1,ROWS($1:20)),)="1111",OFFSET(TH!D$1,SMALL(Dong1,ROWS($1:20)),),""))</f>
        <v/>
      </c>
      <c r="E33" s="225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20000000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3219030983</v>
      </c>
      <c r="J33" s="126"/>
      <c r="N33" s="593"/>
      <c r="O33" s="593"/>
    </row>
    <row r="34" spans="1:15" ht="21.75" customHeight="1">
      <c r="A34" s="120">
        <f ca="1">IF(ROWS($1:21)&gt;COUNT(Dong1),"",OFFSET(TH!C$1,SMALL(Dong1,ROWS($1:21)),))</f>
        <v>42403</v>
      </c>
      <c r="B34" s="120">
        <f ca="1">IF(ROWS($1:21)&gt;COUNT(Dong1),"",OFFSET(TH!E$1,SMALL(Dong1,ROWS($1:21)),))</f>
        <v>42403</v>
      </c>
      <c r="C34" s="121" t="str">
        <f ca="1">IF(ROWS($1:21)&gt;COUNT(Dong1),"",IF(OFFSET(TH!L$1,SMALL(Dong1,ROWS($1:21)),)="1111",OFFSET(TH!D$1,SMALL(Dong1,ROWS($1:21)),),""))</f>
        <v>T12</v>
      </c>
      <c r="D34" s="122" t="str">
        <f ca="1">IF(ROWS($1:21)&gt;COUNT(Dong1),"",IF(OFFSET(TH!M$1,SMALL(Dong1,ROWS($1:21)),)="1111",OFFSET(TH!D$1,SMALL(Dong1,ROWS($1:21)),),""))</f>
        <v/>
      </c>
      <c r="E34" s="225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50000000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3269030983</v>
      </c>
      <c r="J34" s="126"/>
      <c r="N34" s="593"/>
      <c r="O34" s="593"/>
    </row>
    <row r="35" spans="1:15" ht="21.75" customHeight="1">
      <c r="A35" s="120">
        <f ca="1">IF(ROWS($1:22)&gt;COUNT(Dong1),"",OFFSET(TH!C$1,SMALL(Dong1,ROWS($1:22)),))</f>
        <v>42405</v>
      </c>
      <c r="B35" s="120">
        <f ca="1">IF(ROWS($1:22)&gt;COUNT(Dong1),"",OFFSET(TH!E$1,SMALL(Dong1,ROWS($1:22)),))</f>
        <v>42405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C08</v>
      </c>
      <c r="E35" s="225" t="str">
        <f ca="1">IF(ROWS($1:22)&gt;COUNT(Dong1),"",OFFSET(TH!F$1,SMALL(Dong1,ROWS($1:22)),))</f>
        <v>Nộp TM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27500000</v>
      </c>
      <c r="I35" s="121">
        <f t="shared" ca="1" si="0"/>
        <v>3241530983</v>
      </c>
      <c r="J35" s="126"/>
      <c r="N35" s="593"/>
      <c r="O35" s="593"/>
    </row>
    <row r="36" spans="1:15" ht="21.75" customHeight="1">
      <c r="A36" s="120">
        <f ca="1">IF(ROWS($1:23)&gt;COUNT(Dong1),"",OFFSET(TH!C$1,SMALL(Dong1,ROWS($1:23)),))</f>
        <v>42405</v>
      </c>
      <c r="B36" s="120">
        <f ca="1">IF(ROWS($1:23)&gt;COUNT(Dong1),"",OFFSET(TH!E$1,SMALL(Dong1,ROWS($1:23)),))</f>
        <v>42405</v>
      </c>
      <c r="C36" s="121" t="str">
        <f ca="1">IF(ROWS($1:23)&gt;COUNT(Dong1),"",IF(OFFSET(TH!L$1,SMALL(Dong1,ROWS($1:23)),)="1111",OFFSET(TH!D$1,SMALL(Dong1,ROWS($1:23)),),""))</f>
        <v>T13</v>
      </c>
      <c r="D36" s="122" t="str">
        <f ca="1">IF(ROWS($1:23)&gt;COUNT(Dong1),"",IF(OFFSET(TH!M$1,SMALL(Dong1,ROWS($1:23)),)="1111",OFFSET(TH!D$1,SMALL(Dong1,ROWS($1:23)),),""))</f>
        <v/>
      </c>
      <c r="E36" s="225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13979757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3255510740</v>
      </c>
      <c r="J36" s="126"/>
      <c r="N36" s="593"/>
      <c r="O36" s="593"/>
    </row>
    <row r="37" spans="1:15" ht="21.75" customHeight="1">
      <c r="A37" s="120">
        <f ca="1">IF(ROWS($1:24)&gt;COUNT(Dong1),"",OFFSET(TH!C$1,SMALL(Dong1,ROWS($1:24)),))</f>
        <v>42407</v>
      </c>
      <c r="B37" s="120">
        <f ca="1">IF(ROWS($1:24)&gt;COUNT(Dong1),"",OFFSET(TH!E$1,SMALL(Dong1,ROWS($1:24)),))</f>
        <v>42407</v>
      </c>
      <c r="C37" s="121" t="str">
        <f ca="1">IF(ROWS($1:24)&gt;COUNT(Dong1),"",IF(OFFSET(TH!L$1,SMALL(Dong1,ROWS($1:24)),)="1111",OFFSET(TH!D$1,SMALL(Dong1,ROWS($1:24)),),""))</f>
        <v>T14</v>
      </c>
      <c r="D37" s="122" t="str">
        <f ca="1">IF(ROWS($1:24)&gt;COUNT(Dong1),"",IF(OFFSET(TH!M$1,SMALL(Dong1,ROWS($1:24)),)="1111",OFFSET(TH!D$1,SMALL(Dong1,ROWS($1:24)),),""))</f>
        <v/>
      </c>
      <c r="E37" s="225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26611750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3282122490</v>
      </c>
      <c r="J37" s="126"/>
      <c r="N37" s="593"/>
      <c r="O37" s="593"/>
    </row>
    <row r="38" spans="1:15" ht="21.75" customHeight="1">
      <c r="A38" s="120">
        <f ca="1">IF(ROWS($1:25)&gt;COUNT(Dong1),"",OFFSET(TH!C$1,SMALL(Dong1,ROWS($1:25)),))</f>
        <v>42414</v>
      </c>
      <c r="B38" s="120">
        <f ca="1">IF(ROWS($1:25)&gt;COUNT(Dong1),"",OFFSET(TH!E$1,SMALL(Dong1,ROWS($1:25)),))</f>
        <v>42414</v>
      </c>
      <c r="C38" s="121" t="str">
        <f ca="1">IF(ROWS($1:25)&gt;COUNT(Dong1),"",IF(OFFSET(TH!L$1,SMALL(Dong1,ROWS($1:25)),)="1111",OFFSET(TH!D$1,SMALL(Dong1,ROWS($1:25)),),""))</f>
        <v>T15</v>
      </c>
      <c r="D38" s="122" t="str">
        <f ca="1">IF(ROWS($1:25)&gt;COUNT(Dong1),"",IF(OFFSET(TH!M$1,SMALL(Dong1,ROWS($1:25)),)="1111",OFFSET(TH!D$1,SMALL(Dong1,ROWS($1:25)),),""))</f>
        <v/>
      </c>
      <c r="E38" s="225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28776000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3310898490</v>
      </c>
      <c r="J38" s="126"/>
      <c r="N38" s="593"/>
      <c r="O38" s="593"/>
    </row>
    <row r="39" spans="1:15" ht="21.75" customHeight="1">
      <c r="A39" s="120">
        <f ca="1">IF(ROWS($1:26)&gt;COUNT(Dong1),"",OFFSET(TH!C$1,SMALL(Dong1,ROWS($1:26)),))</f>
        <v>42416</v>
      </c>
      <c r="B39" s="120">
        <f ca="1">IF(ROWS($1:26)&gt;COUNT(Dong1),"",OFFSET(TH!E$1,SMALL(Dong1,ROWS($1:26)),))</f>
        <v>42416</v>
      </c>
      <c r="C39" s="121" t="str">
        <f ca="1">IF(ROWS($1:26)&gt;COUNT(Dong1),"",IF(OFFSET(TH!L$1,SMALL(Dong1,ROWS($1:26)),)="1111",OFFSET(TH!D$1,SMALL(Dong1,ROWS($1:26)),),""))</f>
        <v>T16</v>
      </c>
      <c r="D39" s="122" t="str">
        <f ca="1">IF(ROWS($1:26)&gt;COUNT(Dong1),"",IF(OFFSET(TH!M$1,SMALL(Dong1,ROWS($1:26)),)="1111",OFFSET(TH!D$1,SMALL(Dong1,ROWS($1:26)),),""))</f>
        <v/>
      </c>
      <c r="E39" s="225" t="str">
        <f ca="1">IF(ROWS($1:26)&gt;COUNT(Dong1),"",OFFSET(TH!F$1,SMALL(Dong1,ROWS($1:26)),))</f>
        <v>Thu tiền hàng</v>
      </c>
      <c r="F39" s="124" t="str">
        <f ca="1">IF(ROWS($1:26)&gt;COUNT(Dong1),"",IF(OFFSET(TH!M$1,SMALL(Dong1,ROWS($1:26)),)="1111",OFFSET(TH!L$1,SMALL(Dong1,ROWS($1:26)),),OFFSET(TH!M$1,SMALL(Dong1,ROWS($1:26)),)))</f>
        <v>131</v>
      </c>
      <c r="G39" s="125">
        <f ca="1">IF(ROWS($1:26)&gt;COUNT(Dong1),"",IF(OFFSET(TH!L$1,SMALL(Dong1,ROWS($1:26)),)="1111",OFFSET(TH!K$1,SMALL(Dong1,ROWS($1:26)),),0))</f>
        <v>30800000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3341698490</v>
      </c>
      <c r="J39" s="126"/>
      <c r="N39" s="593"/>
      <c r="O39" s="593"/>
    </row>
    <row r="40" spans="1:15" ht="21.75" customHeight="1">
      <c r="A40" s="120">
        <f ca="1">IF(ROWS($1:27)&gt;COUNT(Dong1),"",OFFSET(TH!C$1,SMALL(Dong1,ROWS($1:27)),))</f>
        <v>42416</v>
      </c>
      <c r="B40" s="120">
        <f ca="1">IF(ROWS($1:27)&gt;COUNT(Dong1),"",OFFSET(TH!E$1,SMALL(Dong1,ROWS($1:27)),))</f>
        <v>42416</v>
      </c>
      <c r="C40" s="121" t="str">
        <f ca="1">IF(ROWS($1:27)&gt;COUNT(Dong1),"",IF(OFFSET(TH!L$1,SMALL(Dong1,ROWS($1:27)),)="1111",OFFSET(TH!D$1,SMALL(Dong1,ROWS($1:27)),),""))</f>
        <v>T17</v>
      </c>
      <c r="D40" s="122" t="str">
        <f ca="1">IF(ROWS($1:27)&gt;COUNT(Dong1),"",IF(OFFSET(TH!M$1,SMALL(Dong1,ROWS($1:27)),)="1111",OFFSET(TH!D$1,SMALL(Dong1,ROWS($1:27)),),""))</f>
        <v/>
      </c>
      <c r="E40" s="225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11694980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3353393470</v>
      </c>
      <c r="J40" s="126"/>
      <c r="N40" s="593"/>
      <c r="O40" s="593"/>
    </row>
    <row r="41" spans="1:15" ht="21.75" customHeight="1">
      <c r="A41" s="120">
        <f ca="1">IF(ROWS($1:28)&gt;COUNT(Dong1),"",OFFSET(TH!C$1,SMALL(Dong1,ROWS($1:28)),))</f>
        <v>42419</v>
      </c>
      <c r="B41" s="120">
        <f ca="1">IF(ROWS($1:28)&gt;COUNT(Dong1),"",OFFSET(TH!E$1,SMALL(Dong1,ROWS($1:28)),))</f>
        <v>42419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C09</v>
      </c>
      <c r="E41" s="225" t="str">
        <f ca="1">IF(ROWS($1:28)&gt;COUNT(Dong1),"",OFFSET(TH!F$1,SMALL(Dong1,ROWS($1:28)),))</f>
        <v>Nộp TM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36500000</v>
      </c>
      <c r="I41" s="121">
        <f t="shared" ca="1" si="0"/>
        <v>3316893470</v>
      </c>
      <c r="J41" s="126"/>
      <c r="N41" s="593"/>
      <c r="O41" s="593"/>
    </row>
    <row r="42" spans="1:15" ht="21.75" customHeight="1">
      <c r="A42" s="120">
        <f ca="1">IF(ROWS($1:29)&gt;COUNT(Dong1),"",OFFSET(TH!C$1,SMALL(Dong1,ROWS($1:29)),))</f>
        <v>42419</v>
      </c>
      <c r="B42" s="120">
        <f ca="1">IF(ROWS($1:29)&gt;COUNT(Dong1),"",OFFSET(TH!E$1,SMALL(Dong1,ROWS($1:29)),))</f>
        <v>42419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C10</v>
      </c>
      <c r="E42" s="225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19570100</v>
      </c>
      <c r="I42" s="121">
        <f t="shared" ca="1" si="0"/>
        <v>3297323370</v>
      </c>
      <c r="J42" s="126"/>
      <c r="N42" s="593"/>
      <c r="O42" s="593"/>
    </row>
    <row r="43" spans="1:15" ht="21.75" customHeight="1">
      <c r="A43" s="120">
        <f ca="1">IF(ROWS($1:30)&gt;COUNT(Dong1),"",OFFSET(TH!C$1,SMALL(Dong1,ROWS($1:30)),))</f>
        <v>42420</v>
      </c>
      <c r="B43" s="120">
        <f ca="1">IF(ROWS($1:30)&gt;COUNT(Dong1),"",OFFSET(TH!E$1,SMALL(Dong1,ROWS($1:30)),))</f>
        <v>42420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C11</v>
      </c>
      <c r="E43" s="225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19879200</v>
      </c>
      <c r="I43" s="121">
        <f t="shared" ca="1" si="0"/>
        <v>3277444170</v>
      </c>
      <c r="J43" s="126"/>
      <c r="N43" s="593"/>
      <c r="O43" s="593"/>
    </row>
    <row r="44" spans="1:15" ht="21.75" customHeight="1">
      <c r="A44" s="120">
        <f ca="1">IF(ROWS($1:31)&gt;COUNT(Dong1),"",OFFSET(TH!C$1,SMALL(Dong1,ROWS($1:31)),))</f>
        <v>42422</v>
      </c>
      <c r="B44" s="120">
        <f ca="1">IF(ROWS($1:31)&gt;COUNT(Dong1),"",OFFSET(TH!E$1,SMALL(Dong1,ROWS($1:31)),))</f>
        <v>42422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C12</v>
      </c>
      <c r="E44" s="225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19800000</v>
      </c>
      <c r="I44" s="121">
        <f t="shared" ca="1" si="0"/>
        <v>3257644170</v>
      </c>
      <c r="J44" s="126"/>
      <c r="N44" s="593"/>
      <c r="O44" s="593"/>
    </row>
    <row r="45" spans="1:15" ht="21.75" customHeight="1">
      <c r="A45" s="120">
        <f ca="1">IF(ROWS($1:32)&gt;COUNT(Dong1),"",OFFSET(TH!C$1,SMALL(Dong1,ROWS($1:32)),))</f>
        <v>42423</v>
      </c>
      <c r="B45" s="120">
        <f ca="1">IF(ROWS($1:32)&gt;COUNT(Dong1),"",OFFSET(TH!E$1,SMALL(Dong1,ROWS($1:32)),))</f>
        <v>42423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C13</v>
      </c>
      <c r="E45" s="225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19879200</v>
      </c>
      <c r="I45" s="121">
        <f t="shared" ca="1" si="0"/>
        <v>3237764970</v>
      </c>
      <c r="J45" s="126"/>
      <c r="N45" s="593"/>
      <c r="O45" s="593"/>
    </row>
    <row r="46" spans="1:15" ht="21.75" customHeight="1">
      <c r="A46" s="120">
        <f ca="1">IF(ROWS($1:33)&gt;COUNT(Dong1),"",OFFSET(TH!C$1,SMALL(Dong1,ROWS($1:33)),))</f>
        <v>42424</v>
      </c>
      <c r="B46" s="120">
        <f ca="1">IF(ROWS($1:33)&gt;COUNT(Dong1),"",OFFSET(TH!E$1,SMALL(Dong1,ROWS($1:33)),))</f>
        <v>42424</v>
      </c>
      <c r="C46" s="121" t="str">
        <f ca="1">IF(ROWS($1:33)&gt;COUNT(Dong1),"",IF(OFFSET(TH!L$1,SMALL(Dong1,ROWS($1:33)),)="1111",OFFSET(TH!D$1,SMALL(Dong1,ROWS($1:33)),),""))</f>
        <v>T18</v>
      </c>
      <c r="D46" s="122" t="str">
        <f ca="1">IF(ROWS($1:33)&gt;COUNT(Dong1),"",IF(OFFSET(TH!M$1,SMALL(Dong1,ROWS($1:33)),)="1111",OFFSET(TH!D$1,SMALL(Dong1,ROWS($1:33)),),""))</f>
        <v/>
      </c>
      <c r="E46" s="225" t="str">
        <f ca="1">IF(ROWS($1:33)&gt;COUNT(Dong1),"",OFFSET(TH!F$1,SMALL(Dong1,ROWS($1:33)),))</f>
        <v>Rút sec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12000000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3249764970</v>
      </c>
      <c r="J46" s="126"/>
      <c r="N46" s="593"/>
      <c r="O46" s="593"/>
    </row>
    <row r="47" spans="1:15" ht="21.75" customHeight="1">
      <c r="A47" s="120">
        <f ca="1">IF(ROWS($1:34)&gt;COUNT(Dong1),"",OFFSET(TH!C$1,SMALL(Dong1,ROWS($1:34)),))</f>
        <v>42424</v>
      </c>
      <c r="B47" s="120">
        <f ca="1">IF(ROWS($1:34)&gt;COUNT(Dong1),"",OFFSET(TH!E$1,SMALL(Dong1,ROWS($1:34)),))</f>
        <v>42424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C14</v>
      </c>
      <c r="E47" s="225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19879200</v>
      </c>
      <c r="I47" s="121">
        <f t="shared" ca="1" si="0"/>
        <v>3229885770</v>
      </c>
      <c r="J47" s="126"/>
      <c r="N47" s="593"/>
      <c r="O47" s="593"/>
    </row>
    <row r="48" spans="1:15" ht="21.75" customHeight="1">
      <c r="A48" s="120">
        <f ca="1">IF(ROWS($1:35)&gt;COUNT(Dong1),"",OFFSET(TH!C$1,SMALL(Dong1,ROWS($1:35)),))</f>
        <v>42429</v>
      </c>
      <c r="B48" s="120">
        <f ca="1">IF(ROWS($1:35)&gt;COUNT(Dong1),"",OFFSET(TH!E$1,SMALL(Dong1,ROWS($1:35)),))</f>
        <v>42429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C15</v>
      </c>
      <c r="E48" s="225" t="str">
        <f ca="1">IF(ROWS($1:35)&gt;COUNT(Dong1),"",OFFSET(TH!F$1,SMALL(Dong1,ROWS($1:35)),))</f>
        <v>Thanh toán tiền lương tháng 2/2016</v>
      </c>
      <c r="F48" s="124" t="str">
        <f ca="1">IF(ROWS($1:35)&gt;COUNT(Dong1),"",IF(OFFSET(TH!M$1,SMALL(Dong1,ROWS($1:35)),)="1111",OFFSET(TH!L$1,SMALL(Dong1,ROWS($1:35)),),OFFSET(TH!M$1,SMALL(Dong1,ROWS($1:35)),)))</f>
        <v>3341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35395000</v>
      </c>
      <c r="I48" s="121">
        <f t="shared" ca="1" si="0"/>
        <v>3194490770</v>
      </c>
      <c r="J48" s="126"/>
      <c r="N48" s="593"/>
      <c r="O48" s="593"/>
    </row>
    <row r="49" spans="1:15" ht="21.75" customHeight="1">
      <c r="A49" s="120">
        <f ca="1">IF(ROWS($1:36)&gt;COUNT(Dong1),"",OFFSET(TH!C$1,SMALL(Dong1,ROWS($1:36)),))</f>
        <v>42430</v>
      </c>
      <c r="B49" s="120">
        <f ca="1">IF(ROWS($1:36)&gt;COUNT(Dong1),"",OFFSET(TH!E$1,SMALL(Dong1,ROWS($1:36)),))</f>
        <v>42430</v>
      </c>
      <c r="C49" s="121" t="str">
        <f ca="1">IF(ROWS($1:36)&gt;COUNT(Dong1),"",IF(OFFSET(TH!L$1,SMALL(Dong1,ROWS($1:36)),)="1111",OFFSET(TH!D$1,SMALL(Dong1,ROWS($1:36)),),""))</f>
        <v>T19</v>
      </c>
      <c r="D49" s="122" t="str">
        <f ca="1">IF(ROWS($1:36)&gt;COUNT(Dong1),"",IF(OFFSET(TH!M$1,SMALL(Dong1,ROWS($1:36)),)="1111",OFFSET(TH!D$1,SMALL(Dong1,ROWS($1:36)),),""))</f>
        <v/>
      </c>
      <c r="E49" s="225" t="str">
        <f ca="1">IF(ROWS($1:36)&gt;COUNT(Dong1),"",OFFSET(TH!F$1,SMALL(Dong1,ROWS($1:36)),))</f>
        <v>Rút sec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8100000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3202590770</v>
      </c>
      <c r="J49" s="126"/>
      <c r="N49" s="593"/>
      <c r="O49" s="593"/>
    </row>
    <row r="50" spans="1:15" ht="21.75" customHeight="1">
      <c r="A50" s="120">
        <f ca="1">IF(ROWS($1:37)&gt;COUNT(Dong1),"",OFFSET(TH!C$1,SMALL(Dong1,ROWS($1:37)),))</f>
        <v>42430</v>
      </c>
      <c r="B50" s="120">
        <f ca="1">IF(ROWS($1:37)&gt;COUNT(Dong1),"",OFFSET(TH!E$1,SMALL(Dong1,ROWS($1:37)),))</f>
        <v>42430</v>
      </c>
      <c r="C50" s="121" t="str">
        <f ca="1">IF(ROWS($1:37)&gt;COUNT(Dong1),"",IF(OFFSET(TH!L$1,SMALL(Dong1,ROWS($1:37)),)="1111",OFFSET(TH!D$1,SMALL(Dong1,ROWS($1:37)),),""))</f>
        <v>T19</v>
      </c>
      <c r="D50" s="122" t="str">
        <f ca="1">IF(ROWS($1:37)&gt;COUNT(Dong1),"",IF(OFFSET(TH!M$1,SMALL(Dong1,ROWS($1:37)),)="1111",OFFSET(TH!D$1,SMALL(Dong1,ROWS($1:37)),),""))</f>
        <v/>
      </c>
      <c r="E50" s="225" t="str">
        <f ca="1">IF(ROWS($1:37)&gt;COUNT(Dong1),"",OFFSET(TH!F$1,SMALL(Dong1,ROWS($1:37)),))</f>
        <v>Rút sec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47000000</v>
      </c>
      <c r="H50" s="123">
        <f ca="1">IF(ROWS($1:37)&gt;COUNT(Dong1),"",IF(OFFSET(TH!M$1,SMALL(Dong1,ROWS($1:37)),)="1111",OFFSET(TH!K$1,SMALL(Dong1,ROWS($1:37)),),0))</f>
        <v>0</v>
      </c>
      <c r="I50" s="121">
        <f t="shared" ca="1" si="0"/>
        <v>3249590770</v>
      </c>
      <c r="J50" s="126"/>
    </row>
    <row r="51" spans="1:15" ht="21.75" customHeight="1">
      <c r="A51" s="120">
        <f ca="1">IF(ROWS($1:38)&gt;COUNT(Dong1),"",OFFSET(TH!C$1,SMALL(Dong1,ROWS($1:38)),))</f>
        <v>42430</v>
      </c>
      <c r="B51" s="120">
        <f ca="1">IF(ROWS($1:38)&gt;COUNT(Dong1),"",OFFSET(TH!E$1,SMALL(Dong1,ROWS($1:38)),))</f>
        <v>42430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C16</v>
      </c>
      <c r="E51" s="225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17954640</v>
      </c>
      <c r="I51" s="121">
        <f t="shared" ca="1" si="0"/>
        <v>3231636130</v>
      </c>
      <c r="J51" s="126"/>
    </row>
    <row r="52" spans="1:15" ht="21.75" customHeight="1">
      <c r="A52" s="120">
        <f ca="1">IF(ROWS($1:39)&gt;COUNT(Dong1),"",OFFSET(TH!C$1,SMALL(Dong1,ROWS($1:39)),))</f>
        <v>42432</v>
      </c>
      <c r="B52" s="120">
        <f ca="1">IF(ROWS($1:39)&gt;COUNT(Dong1),"",OFFSET(TH!E$1,SMALL(Dong1,ROWS($1:39)),))</f>
        <v>42432</v>
      </c>
      <c r="C52" s="121" t="str">
        <f ca="1">IF(ROWS($1:39)&gt;COUNT(Dong1),"",IF(OFFSET(TH!L$1,SMALL(Dong1,ROWS($1:39)),)="1111",OFFSET(TH!D$1,SMALL(Dong1,ROWS($1:39)),),""))</f>
        <v>T20</v>
      </c>
      <c r="D52" s="122" t="str">
        <f ca="1">IF(ROWS($1:39)&gt;COUNT(Dong1),"",IF(OFFSET(TH!M$1,SMALL(Dong1,ROWS($1:39)),)="1111",OFFSET(TH!D$1,SMALL(Dong1,ROWS($1:39)),),""))</f>
        <v/>
      </c>
      <c r="E52" s="225" t="str">
        <f ca="1">IF(ROWS($1:39)&gt;COUNT(Dong1),"",OFFSET(TH!F$1,SMALL(Dong1,ROWS($1:39)),))</f>
        <v>Rút sec</v>
      </c>
      <c r="F52" s="124" t="str">
        <f ca="1">IF(ROWS($1:39)&gt;COUNT(Dong1),"",IF(OFFSET(TH!M$1,SMALL(Dong1,ROWS($1:39)),)="1111",OFFSET(TH!L$1,SMALL(Dong1,ROWS($1:39)),),OFFSET(TH!M$1,SMALL(Dong1,ROWS($1:39)),)))</f>
        <v>1121</v>
      </c>
      <c r="G52" s="125">
        <f ca="1">IF(ROWS($1:39)&gt;COUNT(Dong1),"",IF(OFFSET(TH!L$1,SMALL(Dong1,ROWS($1:39)),)="1111",OFFSET(TH!K$1,SMALL(Dong1,ROWS($1:39)),),0))</f>
        <v>9100000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3240736130</v>
      </c>
      <c r="J52" s="126"/>
    </row>
    <row r="53" spans="1:15" ht="21.75" customHeight="1">
      <c r="A53" s="120">
        <f ca="1">IF(ROWS($1:40)&gt;COUNT(Dong1),"",OFFSET(TH!C$1,SMALL(Dong1,ROWS($1:40)),))</f>
        <v>42432</v>
      </c>
      <c r="B53" s="120">
        <f ca="1">IF(ROWS($1:40)&gt;COUNT(Dong1),"",OFFSET(TH!E$1,SMALL(Dong1,ROWS($1:40)),))</f>
        <v>42432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C17</v>
      </c>
      <c r="E53" s="225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17313120</v>
      </c>
      <c r="I53" s="121">
        <f t="shared" ca="1" si="0"/>
        <v>3223423010</v>
      </c>
      <c r="J53" s="126"/>
    </row>
    <row r="54" spans="1:15" ht="21.75" customHeight="1">
      <c r="A54" s="120">
        <f ca="1">IF(ROWS($1:41)&gt;COUNT(Dong1),"",OFFSET(TH!C$1,SMALL(Dong1,ROWS($1:41)),))</f>
        <v>42435</v>
      </c>
      <c r="B54" s="120">
        <f ca="1">IF(ROWS($1:41)&gt;COUNT(Dong1),"",OFFSET(TH!E$1,SMALL(Dong1,ROWS($1:41)),))</f>
        <v>42435</v>
      </c>
      <c r="C54" s="121" t="str">
        <f ca="1">IF(ROWS($1:41)&gt;COUNT(Dong1),"",IF(OFFSET(TH!L$1,SMALL(Dong1,ROWS($1:41)),)="1111",OFFSET(TH!D$1,SMALL(Dong1,ROWS($1:41)),),""))</f>
        <v>T21</v>
      </c>
      <c r="D54" s="122" t="str">
        <f ca="1">IF(ROWS($1:41)&gt;COUNT(Dong1),"",IF(OFFSET(TH!M$1,SMALL(Dong1,ROWS($1:41)),)="1111",OFFSET(TH!D$1,SMALL(Dong1,ROWS($1:41)),),""))</f>
        <v/>
      </c>
      <c r="E54" s="225" t="str">
        <f ca="1">IF(ROWS($1:41)&gt;COUNT(Dong1),"",OFFSET(TH!F$1,SMALL(Dong1,ROWS($1:41)),))</f>
        <v>Thu tiền hàng</v>
      </c>
      <c r="F54" s="124" t="str">
        <f ca="1">IF(ROWS($1:41)&gt;COUNT(Dong1),"",IF(OFFSET(TH!M$1,SMALL(Dong1,ROWS($1:41)),)="1111",OFFSET(TH!L$1,SMALL(Dong1,ROWS($1:41)),),OFFSET(TH!M$1,SMALL(Dong1,ROWS($1:41)),)))</f>
        <v>131</v>
      </c>
      <c r="G54" s="125">
        <f ca="1">IF(ROWS($1:41)&gt;COUNT(Dong1),"",IF(OFFSET(TH!L$1,SMALL(Dong1,ROWS($1:41)),)="1111",OFFSET(TH!K$1,SMALL(Dong1,ROWS($1:41)),),0))</f>
        <v>12215500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3235638510</v>
      </c>
      <c r="J54" s="126"/>
    </row>
    <row r="55" spans="1:15" ht="21.75" customHeight="1">
      <c r="A55" s="120">
        <f ca="1">IF(ROWS($1:42)&gt;COUNT(Dong1),"",OFFSET(TH!C$1,SMALL(Dong1,ROWS($1:42)),))</f>
        <v>42438</v>
      </c>
      <c r="B55" s="120">
        <f ca="1">IF(ROWS($1:42)&gt;COUNT(Dong1),"",OFFSET(TH!E$1,SMALL(Dong1,ROWS($1:42)),))</f>
        <v>42438</v>
      </c>
      <c r="C55" s="121" t="str">
        <f ca="1">IF(ROWS($1:42)&gt;COUNT(Dong1),"",IF(OFFSET(TH!L$1,SMALL(Dong1,ROWS($1:42)),)="1111",OFFSET(TH!D$1,SMALL(Dong1,ROWS($1:42)),),""))</f>
        <v>T22</v>
      </c>
      <c r="D55" s="122" t="str">
        <f ca="1">IF(ROWS($1:42)&gt;COUNT(Dong1),"",IF(OFFSET(TH!M$1,SMALL(Dong1,ROWS($1:42)),)="1111",OFFSET(TH!D$1,SMALL(Dong1,ROWS($1:42)),),""))</f>
        <v/>
      </c>
      <c r="E55" s="225" t="str">
        <f ca="1">IF(ROWS($1:42)&gt;COUNT(Dong1),"",OFFSET(TH!F$1,SMALL(Dong1,ROWS($1:42)),))</f>
        <v>Thanh toán sec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200000000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3435638510</v>
      </c>
      <c r="J55" s="126"/>
    </row>
    <row r="56" spans="1:15" ht="21.75" customHeight="1">
      <c r="A56" s="120">
        <f ca="1">IF(ROWS($1:43)&gt;COUNT(Dong1),"",OFFSET(TH!C$1,SMALL(Dong1,ROWS($1:43)),))</f>
        <v>42438</v>
      </c>
      <c r="B56" s="120">
        <f ca="1">IF(ROWS($1:43)&gt;COUNT(Dong1),"",OFFSET(TH!E$1,SMALL(Dong1,ROWS($1:43)),))</f>
        <v>42438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C18</v>
      </c>
      <c r="E56" s="225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19079280</v>
      </c>
      <c r="I56" s="121">
        <f t="shared" ca="1" si="0"/>
        <v>3416559230</v>
      </c>
      <c r="J56" s="126"/>
    </row>
    <row r="57" spans="1:15" ht="21.75" customHeight="1">
      <c r="A57" s="120">
        <f ca="1">IF(ROWS($1:44)&gt;COUNT(Dong1),"",OFFSET(TH!C$1,SMALL(Dong1,ROWS($1:44)),))</f>
        <v>42439</v>
      </c>
      <c r="B57" s="120">
        <f ca="1">IF(ROWS($1:44)&gt;COUNT(Dong1),"",OFFSET(TH!E$1,SMALL(Dong1,ROWS($1:44)),))</f>
        <v>42439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25" t="str">
        <f ca="1">IF(ROWS($1:44)&gt;COUNT(Dong1),"",OFFSET(TH!F$1,SMALL(Dong1,ROWS($1:44)),))</f>
        <v>Nộp TM</v>
      </c>
      <c r="F57" s="124" t="str">
        <f ca="1">IF(ROWS($1:44)&gt;COUNT(Dong1),"",IF(OFFSET(TH!M$1,SMALL(Dong1,ROWS($1:44)),)="1111",OFFSET(TH!L$1,SMALL(Dong1,ROWS($1:44)),),OFFSET(TH!M$1,SMALL(Dong1,ROWS($1:44)),)))</f>
        <v>1121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40000000</v>
      </c>
      <c r="I57" s="121">
        <f t="shared" ca="1" si="0"/>
        <v>3376559230</v>
      </c>
      <c r="J57" s="126"/>
    </row>
    <row r="58" spans="1:15" ht="21.75" customHeight="1">
      <c r="A58" s="120">
        <f ca="1">IF(ROWS($1:45)&gt;COUNT(Dong1),"",OFFSET(TH!C$1,SMALL(Dong1,ROWS($1:45)),))</f>
        <v>42439</v>
      </c>
      <c r="B58" s="120">
        <f ca="1">IF(ROWS($1:45)&gt;COUNT(Dong1),"",OFFSET(TH!E$1,SMALL(Dong1,ROWS($1:45)),))</f>
        <v>42439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C20</v>
      </c>
      <c r="E58" s="225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16822080</v>
      </c>
      <c r="I58" s="121">
        <f t="shared" ca="1" si="0"/>
        <v>3359737150</v>
      </c>
      <c r="J58" s="126"/>
    </row>
    <row r="59" spans="1:15" ht="21.75" customHeight="1">
      <c r="A59" s="120">
        <f ca="1">IF(ROWS($1:46)&gt;COUNT(Dong1),"",OFFSET(TH!C$1,SMALL(Dong1,ROWS($1:46)),))</f>
        <v>42440</v>
      </c>
      <c r="B59" s="120">
        <f ca="1">IF(ROWS($1:46)&gt;COUNT(Dong1),"",OFFSET(TH!E$1,SMALL(Dong1,ROWS($1:46)),))</f>
        <v>42440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C21</v>
      </c>
      <c r="E59" s="225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19229760</v>
      </c>
      <c r="I59" s="121">
        <f t="shared" ca="1" si="0"/>
        <v>3340507390</v>
      </c>
      <c r="J59" s="126"/>
    </row>
    <row r="60" spans="1:15" ht="21.75" customHeight="1">
      <c r="A60" s="120">
        <f ca="1">IF(ROWS($1:47)&gt;COUNT(Dong1),"",OFFSET(TH!C$1,SMALL(Dong1,ROWS($1:47)),))</f>
        <v>42441</v>
      </c>
      <c r="B60" s="120">
        <f ca="1">IF(ROWS($1:47)&gt;COUNT(Dong1),"",OFFSET(TH!E$1,SMALL(Dong1,ROWS($1:47)),))</f>
        <v>42441</v>
      </c>
      <c r="C60" s="121" t="str">
        <f ca="1">IF(ROWS($1:47)&gt;COUNT(Dong1),"",IF(OFFSET(TH!L$1,SMALL(Dong1,ROWS($1:47)),)="1111",OFFSET(TH!D$1,SMALL(Dong1,ROWS($1:47)),),""))</f>
        <v>T23</v>
      </c>
      <c r="D60" s="122" t="str">
        <f ca="1">IF(ROWS($1:47)&gt;COUNT(Dong1),"",IF(OFFSET(TH!M$1,SMALL(Dong1,ROWS($1:47)),)="1111",OFFSET(TH!D$1,SMALL(Dong1,ROWS($1:47)),),""))</f>
        <v/>
      </c>
      <c r="E60" s="225" t="str">
        <f ca="1">IF(ROWS($1:47)&gt;COUNT(Dong1),"",OFFSET(TH!F$1,SMALL(Dong1,ROWS($1:47)),))</f>
        <v>Rút sec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41900000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3382407390</v>
      </c>
      <c r="J60" s="126"/>
    </row>
    <row r="61" spans="1:15" ht="21.75" customHeight="1">
      <c r="A61" s="120">
        <f ca="1">IF(ROWS($1:48)&gt;COUNT(Dong1),"",OFFSET(TH!C$1,SMALL(Dong1,ROWS($1:48)),))</f>
        <v>42441</v>
      </c>
      <c r="B61" s="120">
        <f ca="1">IF(ROWS($1:48)&gt;COUNT(Dong1),"",OFFSET(TH!E$1,SMALL(Dong1,ROWS($1:48)),))</f>
        <v>42441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C22</v>
      </c>
      <c r="E61" s="225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17899200</v>
      </c>
      <c r="I61" s="121">
        <f t="shared" ca="1" si="0"/>
        <v>3364508190</v>
      </c>
      <c r="J61" s="126"/>
    </row>
    <row r="62" spans="1:15" ht="21.75" customHeight="1">
      <c r="A62" s="120">
        <f ca="1">IF(ROWS($1:49)&gt;COUNT(Dong1),"",OFFSET(TH!C$1,SMALL(Dong1,ROWS($1:49)),))</f>
        <v>42442</v>
      </c>
      <c r="B62" s="120">
        <f ca="1">IF(ROWS($1:49)&gt;COUNT(Dong1),"",OFFSET(TH!E$1,SMALL(Dong1,ROWS($1:49)),))</f>
        <v>42442</v>
      </c>
      <c r="C62" s="121" t="str">
        <f ca="1">IF(ROWS($1:49)&gt;COUNT(Dong1),"",IF(OFFSET(TH!L$1,SMALL(Dong1,ROWS($1:49)),)="1111",OFFSET(TH!D$1,SMALL(Dong1,ROWS($1:49)),),""))</f>
        <v>T24</v>
      </c>
      <c r="D62" s="122" t="str">
        <f ca="1">IF(ROWS($1:49)&gt;COUNT(Dong1),"",IF(OFFSET(TH!M$1,SMALL(Dong1,ROWS($1:49)),)="1111",OFFSET(TH!D$1,SMALL(Dong1,ROWS($1:49)),),""))</f>
        <v/>
      </c>
      <c r="E62" s="225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15862000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3380370190</v>
      </c>
      <c r="J62" s="126"/>
    </row>
    <row r="63" spans="1:15" ht="21.75" customHeight="1">
      <c r="A63" s="120">
        <f ca="1">IF(ROWS($1:50)&gt;COUNT(Dong1),"",OFFSET(TH!C$1,SMALL(Dong1,ROWS($1:50)),))</f>
        <v>42443</v>
      </c>
      <c r="B63" s="120">
        <f ca="1">IF(ROWS($1:50)&gt;COUNT(Dong1),"",OFFSET(TH!E$1,SMALL(Dong1,ROWS($1:50)),))</f>
        <v>42443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C23</v>
      </c>
      <c r="E63" s="225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15230160</v>
      </c>
      <c r="I63" s="121">
        <f t="shared" ref="I63:I82" ca="1" si="1">IF(E63&lt;&gt;"",I62+G63-H63,0)</f>
        <v>3365140030</v>
      </c>
      <c r="J63" s="126"/>
    </row>
    <row r="64" spans="1:15" ht="21.75" customHeight="1">
      <c r="A64" s="120">
        <f ca="1">IF(ROWS($1:51)&gt;COUNT(Dong1),"",OFFSET(TH!C$1,SMALL(Dong1,ROWS($1:51)),))</f>
        <v>42444</v>
      </c>
      <c r="B64" s="120">
        <f ca="1">IF(ROWS($1:51)&gt;COUNT(Dong1),"",OFFSET(TH!E$1,SMALL(Dong1,ROWS($1:51)),))</f>
        <v>42444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C24</v>
      </c>
      <c r="E64" s="225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19055520</v>
      </c>
      <c r="I64" s="121">
        <f t="shared" ca="1" si="1"/>
        <v>3346084510</v>
      </c>
      <c r="J64" s="126"/>
    </row>
    <row r="65" spans="1:10" ht="21.75" customHeight="1">
      <c r="A65" s="120">
        <f ca="1">IF(ROWS($1:52)&gt;COUNT(Dong1),"",OFFSET(TH!C$1,SMALL(Dong1,ROWS($1:52)),))</f>
        <v>42445</v>
      </c>
      <c r="B65" s="120">
        <f ca="1">IF(ROWS($1:52)&gt;COUNT(Dong1),"",OFFSET(TH!E$1,SMALL(Dong1,ROWS($1:52)),))</f>
        <v>42445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C25</v>
      </c>
      <c r="E65" s="225" t="str">
        <f ca="1">IF(ROWS($1:52)&gt;COUNT(Dong1),"",OFFSET(TH!F$1,SMALL(Dong1,ROWS($1:52)),))</f>
        <v>Thanh toán tiền hàng</v>
      </c>
      <c r="F65" s="124" t="str">
        <f ca="1">IF(ROWS($1:52)&gt;COUNT(Dong1),"",IF(OFFSET(TH!M$1,SMALL(Dong1,ROWS($1:52)),)="1111",OFFSET(TH!L$1,SMALL(Dong1,ROWS($1:52)),),OFFSET(TH!M$1,SMALL(Dong1,ROWS($1:52)),)))</f>
        <v>331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18041760</v>
      </c>
      <c r="I65" s="121">
        <f t="shared" ca="1" si="1"/>
        <v>3328042750</v>
      </c>
      <c r="J65" s="126"/>
    </row>
    <row r="66" spans="1:10" ht="21.75" customHeight="1">
      <c r="A66" s="120">
        <f ca="1">IF(ROWS($1:53)&gt;COUNT(Dong1),"",OFFSET(TH!C$1,SMALL(Dong1,ROWS($1:53)),))</f>
        <v>42445</v>
      </c>
      <c r="B66" s="120">
        <f ca="1">IF(ROWS($1:53)&gt;COUNT(Dong1),"",OFFSET(TH!E$1,SMALL(Dong1,ROWS($1:53)),))</f>
        <v>42445</v>
      </c>
      <c r="C66" s="121" t="str">
        <f ca="1">IF(ROWS($1:53)&gt;COUNT(Dong1),"",IF(OFFSET(TH!L$1,SMALL(Dong1,ROWS($1:53)),)="1111",OFFSET(TH!D$1,SMALL(Dong1,ROWS($1:53)),),""))</f>
        <v>T25</v>
      </c>
      <c r="D66" s="122" t="str">
        <f ca="1">IF(ROWS($1:53)&gt;COUNT(Dong1),"",IF(OFFSET(TH!M$1,SMALL(Dong1,ROWS($1:53)),)="1111",OFFSET(TH!D$1,SMALL(Dong1,ROWS($1:53)),),""))</f>
        <v/>
      </c>
      <c r="E66" s="225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42588265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1"/>
        <v>3370631015</v>
      </c>
      <c r="J66" s="126"/>
    </row>
    <row r="67" spans="1:10" ht="21.75" customHeight="1">
      <c r="A67" s="120">
        <f ca="1">IF(ROWS($1:54)&gt;COUNT(Dong1),"",OFFSET(TH!C$1,SMALL(Dong1,ROWS($1:54)),))</f>
        <v>42446</v>
      </c>
      <c r="B67" s="120">
        <f ca="1">IF(ROWS($1:54)&gt;COUNT(Dong1),"",OFFSET(TH!E$1,SMALL(Dong1,ROWS($1:54)),))</f>
        <v>42446</v>
      </c>
      <c r="C67" s="121" t="str">
        <f ca="1">IF(ROWS($1:54)&gt;COUNT(Dong1),"",IF(OFFSET(TH!L$1,SMALL(Dong1,ROWS($1:54)),)="1111",OFFSET(TH!D$1,SMALL(Dong1,ROWS($1:54)),),""))</f>
        <v>T26</v>
      </c>
      <c r="D67" s="122" t="str">
        <f ca="1">IF(ROWS($1:54)&gt;COUNT(Dong1),"",IF(OFFSET(TH!M$1,SMALL(Dong1,ROWS($1:54)),)="1111",OFFSET(TH!D$1,SMALL(Dong1,ROWS($1:54)),),""))</f>
        <v/>
      </c>
      <c r="E67" s="225" t="str">
        <f ca="1">IF(ROWS($1:54)&gt;COUNT(Dong1),"",OFFSET(TH!F$1,SMALL(Dong1,ROWS($1:54)),))</f>
        <v>Thu tiền hàng</v>
      </c>
      <c r="F67" s="124" t="str">
        <f ca="1">IF(ROWS($1:54)&gt;COUNT(Dong1),"",IF(OFFSET(TH!M$1,SMALL(Dong1,ROWS($1:54)),)="1111",OFFSET(TH!L$1,SMALL(Dong1,ROWS($1:54)),),OFFSET(TH!M$1,SMALL(Dong1,ROWS($1:54)),)))</f>
        <v>131</v>
      </c>
      <c r="G67" s="125">
        <f ca="1">IF(ROWS($1:54)&gt;COUNT(Dong1),"",IF(OFFSET(TH!L$1,SMALL(Dong1,ROWS($1:54)),)="1111",OFFSET(TH!K$1,SMALL(Dong1,ROWS($1:54)),),0))</f>
        <v>15658170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1"/>
        <v>3386289185</v>
      </c>
      <c r="J67" s="126"/>
    </row>
    <row r="68" spans="1:10" ht="21.75" customHeight="1">
      <c r="A68" s="120">
        <f ca="1">IF(ROWS($1:55)&gt;COUNT(Dong1),"",OFFSET(TH!C$1,SMALL(Dong1,ROWS($1:55)),))</f>
        <v>42449</v>
      </c>
      <c r="B68" s="120">
        <f ca="1">IF(ROWS($1:55)&gt;COUNT(Dong1),"",OFFSET(TH!E$1,SMALL(Dong1,ROWS($1:55)),))</f>
        <v>42449</v>
      </c>
      <c r="C68" s="121" t="str">
        <f ca="1">IF(ROWS($1:55)&gt;COUNT(Dong1),"",IF(OFFSET(TH!L$1,SMALL(Dong1,ROWS($1:55)),)="1111",OFFSET(TH!D$1,SMALL(Dong1,ROWS($1:55)),),""))</f>
        <v>T27</v>
      </c>
      <c r="D68" s="122" t="str">
        <f ca="1">IF(ROWS($1:55)&gt;COUNT(Dong1),"",IF(OFFSET(TH!M$1,SMALL(Dong1,ROWS($1:55)),)="1111",OFFSET(TH!D$1,SMALL(Dong1,ROWS($1:55)),),""))</f>
        <v/>
      </c>
      <c r="E68" s="225" t="str">
        <f ca="1">IF(ROWS($1:55)&gt;COUNT(Dong1),"",OFFSET(TH!F$1,SMALL(Dong1,ROWS($1:55)),))</f>
        <v>Thu tiền hàng</v>
      </c>
      <c r="F68" s="124" t="str">
        <f ca="1">IF(ROWS($1:55)&gt;COUNT(Dong1),"",IF(OFFSET(TH!M$1,SMALL(Dong1,ROWS($1:55)),)="1111",OFFSET(TH!L$1,SMALL(Dong1,ROWS($1:55)),),OFFSET(TH!M$1,SMALL(Dong1,ROWS($1:55)),)))</f>
        <v>131</v>
      </c>
      <c r="G68" s="125">
        <f ca="1">IF(ROWS($1:55)&gt;COUNT(Dong1),"",IF(OFFSET(TH!L$1,SMALL(Dong1,ROWS($1:55)),)="1111",OFFSET(TH!K$1,SMALL(Dong1,ROWS($1:55)),),0))</f>
        <v>10256400</v>
      </c>
      <c r="H68" s="123">
        <f ca="1">IF(ROWS($1:55)&gt;COUNT(Dong1),"",IF(OFFSET(TH!M$1,SMALL(Dong1,ROWS($1:55)),)="1111",OFFSET(TH!K$1,SMALL(Dong1,ROWS($1:55)),),0))</f>
        <v>0</v>
      </c>
      <c r="I68" s="121">
        <f t="shared" ca="1" si="1"/>
        <v>3396545585</v>
      </c>
      <c r="J68" s="126"/>
    </row>
    <row r="69" spans="1:10" ht="21.75" customHeight="1">
      <c r="A69" s="120">
        <f ca="1">IF(ROWS($1:56)&gt;COUNT(Dong1),"",OFFSET(TH!C$1,SMALL(Dong1,ROWS($1:56)),))</f>
        <v>42450</v>
      </c>
      <c r="B69" s="120">
        <f ca="1">IF(ROWS($1:56)&gt;COUNT(Dong1),"",OFFSET(TH!E$1,SMALL(Dong1,ROWS($1:56)),))</f>
        <v>42450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C26</v>
      </c>
      <c r="E69" s="225" t="str">
        <f ca="1">IF(ROWS($1:56)&gt;COUNT(Dong1),"",OFFSET(TH!F$1,SMALL(Dong1,ROWS($1:56)),))</f>
        <v>Nộp TM</v>
      </c>
      <c r="F69" s="124" t="str">
        <f ca="1">IF(ROWS($1:56)&gt;COUNT(Dong1),"",IF(OFFSET(TH!M$1,SMALL(Dong1,ROWS($1:56)),)="1111",OFFSET(TH!L$1,SMALL(Dong1,ROWS($1:56)),),OFFSET(TH!M$1,SMALL(Dong1,ROWS($1:56)),)))</f>
        <v>1121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96500000</v>
      </c>
      <c r="I69" s="121">
        <f t="shared" ca="1" si="1"/>
        <v>3300045585</v>
      </c>
      <c r="J69" s="126"/>
    </row>
    <row r="70" spans="1:10" ht="21.75" customHeight="1">
      <c r="A70" s="120">
        <f ca="1">IF(ROWS($1:57)&gt;COUNT(Dong1),"",OFFSET(TH!C$1,SMALL(Dong1,ROWS($1:57)),))</f>
        <v>42450</v>
      </c>
      <c r="B70" s="120">
        <f ca="1">IF(ROWS($1:57)&gt;COUNT(Dong1),"",OFFSET(TH!E$1,SMALL(Dong1,ROWS($1:57)),))</f>
        <v>42450</v>
      </c>
      <c r="C70" s="121" t="str">
        <f ca="1">IF(ROWS($1:57)&gt;COUNT(Dong1),"",IF(OFFSET(TH!L$1,SMALL(Dong1,ROWS($1:57)),)="1111",OFFSET(TH!D$1,SMALL(Dong1,ROWS($1:57)),),""))</f>
        <v>T28</v>
      </c>
      <c r="D70" s="122" t="str">
        <f ca="1">IF(ROWS($1:57)&gt;COUNT(Dong1),"",IF(OFFSET(TH!M$1,SMALL(Dong1,ROWS($1:57)),)="1111",OFFSET(TH!D$1,SMALL(Dong1,ROWS($1:57)),),""))</f>
        <v/>
      </c>
      <c r="E70" s="225" t="str">
        <f ca="1">IF(ROWS($1:57)&gt;COUNT(Dong1),"",OFFSET(TH!F$1,SMALL(Dong1,ROWS($1:57)),))</f>
        <v>Rút sec</v>
      </c>
      <c r="F70" s="124" t="str">
        <f ca="1">IF(ROWS($1:57)&gt;COUNT(Dong1),"",IF(OFFSET(TH!M$1,SMALL(Dong1,ROWS($1:57)),)="1111",OFFSET(TH!L$1,SMALL(Dong1,ROWS($1:57)),),OFFSET(TH!M$1,SMALL(Dong1,ROWS($1:57)),)))</f>
        <v>1121</v>
      </c>
      <c r="G70" s="125">
        <f ca="1">IF(ROWS($1:57)&gt;COUNT(Dong1),"",IF(OFFSET(TH!L$1,SMALL(Dong1,ROWS($1:57)),)="1111",OFFSET(TH!K$1,SMALL(Dong1,ROWS($1:57)),),0))</f>
        <v>11500000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1"/>
        <v>3311545585</v>
      </c>
      <c r="J70" s="126"/>
    </row>
    <row r="71" spans="1:10" ht="21.75" customHeight="1">
      <c r="A71" s="120">
        <f ca="1">IF(ROWS($1:58)&gt;COUNT(Dong1),"",OFFSET(TH!C$1,SMALL(Dong1,ROWS($1:58)),))</f>
        <v>42450</v>
      </c>
      <c r="B71" s="120">
        <f ca="1">IF(ROWS($1:58)&gt;COUNT(Dong1),"",OFFSET(TH!E$1,SMALL(Dong1,ROWS($1:58)),))</f>
        <v>42450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C27</v>
      </c>
      <c r="E71" s="225" t="str">
        <f ca="1">IF(ROWS($1:58)&gt;COUNT(Dong1),"",OFFSET(TH!F$1,SMALL(Dong1,ROWS($1:58)),))</f>
        <v>Văn phòng phẩm</v>
      </c>
      <c r="F71" s="124" t="str">
        <f ca="1">IF(ROWS($1:58)&gt;COUNT(Dong1),"",IF(OFFSET(TH!M$1,SMALL(Dong1,ROWS($1:58)),)="1111",OFFSET(TH!L$1,SMALL(Dong1,ROWS($1:58)),),OFFSET(TH!M$1,SMALL(Dong1,ROWS($1:58)),)))</f>
        <v>642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584000</v>
      </c>
      <c r="I71" s="121">
        <f t="shared" ca="1" si="1"/>
        <v>3310961585</v>
      </c>
      <c r="J71" s="126"/>
    </row>
    <row r="72" spans="1:10" ht="21.75" customHeight="1">
      <c r="A72" s="120">
        <f ca="1">IF(ROWS($1:59)&gt;COUNT(Dong1),"",OFFSET(TH!C$1,SMALL(Dong1,ROWS($1:59)),))</f>
        <v>42451</v>
      </c>
      <c r="B72" s="120">
        <f ca="1">IF(ROWS($1:59)&gt;COUNT(Dong1),"",OFFSET(TH!E$1,SMALL(Dong1,ROWS($1:59)),))</f>
        <v>42451</v>
      </c>
      <c r="C72" s="121" t="str">
        <f ca="1">IF(ROWS($1:59)&gt;COUNT(Dong1),"",IF(OFFSET(TH!L$1,SMALL(Dong1,ROWS($1:59)),)="1111",OFFSET(TH!D$1,SMALL(Dong1,ROWS($1:59)),),""))</f>
        <v>T29</v>
      </c>
      <c r="D72" s="122" t="str">
        <f ca="1">IF(ROWS($1:59)&gt;COUNT(Dong1),"",IF(OFFSET(TH!M$1,SMALL(Dong1,ROWS($1:59)),)="1111",OFFSET(TH!D$1,SMALL(Dong1,ROWS($1:59)),),""))</f>
        <v/>
      </c>
      <c r="E72" s="225" t="str">
        <f ca="1">IF(ROWS($1:59)&gt;COUNT(Dong1),"",OFFSET(TH!F$1,SMALL(Dong1,ROWS($1:59)),))</f>
        <v>Rút sec</v>
      </c>
      <c r="F72" s="124" t="str">
        <f ca="1">IF(ROWS($1:59)&gt;COUNT(Dong1),"",IF(OFFSET(TH!M$1,SMALL(Dong1,ROWS($1:59)),)="1111",OFFSET(TH!L$1,SMALL(Dong1,ROWS($1:59)),),OFFSET(TH!M$1,SMALL(Dong1,ROWS($1:59)),)))</f>
        <v>1121</v>
      </c>
      <c r="G72" s="125">
        <f ca="1">IF(ROWS($1:59)&gt;COUNT(Dong1),"",IF(OFFSET(TH!L$1,SMALL(Dong1,ROWS($1:59)),)="1111",OFFSET(TH!K$1,SMALL(Dong1,ROWS($1:59)),),0))</f>
        <v>13000000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3323961585</v>
      </c>
      <c r="J72" s="126"/>
    </row>
    <row r="73" spans="1:10" ht="21.75" customHeight="1">
      <c r="A73" s="120">
        <f ca="1">IF(ROWS($1:60)&gt;COUNT(Dong1),"",OFFSET(TH!C$1,SMALL(Dong1,ROWS($1:60)),))</f>
        <v>42451</v>
      </c>
      <c r="B73" s="120">
        <f ca="1">IF(ROWS($1:60)&gt;COUNT(Dong1),"",OFFSET(TH!E$1,SMALL(Dong1,ROWS($1:60)),))</f>
        <v>42451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C28</v>
      </c>
      <c r="E73" s="225" t="str">
        <f ca="1">IF(ROWS($1:60)&gt;COUNT(Dong1),"",OFFSET(TH!F$1,SMALL(Dong1,ROWS($1:60)),))</f>
        <v>Mực in</v>
      </c>
      <c r="F73" s="124" t="str">
        <f ca="1">IF(ROWS($1:60)&gt;COUNT(Dong1),"",IF(OFFSET(TH!M$1,SMALL(Dong1,ROWS($1:60)),)="1111",OFFSET(TH!L$1,SMALL(Dong1,ROWS($1:60)),),OFFSET(TH!M$1,SMALL(Dong1,ROWS($1:60)),)))</f>
        <v>154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7670000</v>
      </c>
      <c r="I73" s="121">
        <f t="shared" ca="1" si="1"/>
        <v>3316291585</v>
      </c>
      <c r="J73" s="126"/>
    </row>
    <row r="74" spans="1:10" ht="21.75" customHeight="1">
      <c r="A74" s="120">
        <f ca="1">IF(ROWS($1:61)&gt;COUNT(Dong1),"",OFFSET(TH!C$1,SMALL(Dong1,ROWS($1:61)),))</f>
        <v>42451</v>
      </c>
      <c r="B74" s="120">
        <f ca="1">IF(ROWS($1:61)&gt;COUNT(Dong1),"",OFFSET(TH!E$1,SMALL(Dong1,ROWS($1:61)),))</f>
        <v>42451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C28</v>
      </c>
      <c r="E74" s="225" t="str">
        <f ca="1">IF(ROWS($1:61)&gt;COUNT(Dong1),"",OFFSET(TH!F$1,SMALL(Dong1,ROWS($1:61)),))</f>
        <v>VAT Mực in</v>
      </c>
      <c r="F74" s="124" t="str">
        <f ca="1">IF(ROWS($1:61)&gt;COUNT(Dong1),"",IF(OFFSET(TH!M$1,SMALL(Dong1,ROWS($1:61)),)="1111",OFFSET(TH!L$1,SMALL(Dong1,ROWS($1:61)),),OFFSET(TH!M$1,SMALL(Dong1,ROWS($1:61)),)))</f>
        <v>1331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767000</v>
      </c>
      <c r="I74" s="121">
        <f t="shared" ca="1" si="1"/>
        <v>3315524585</v>
      </c>
      <c r="J74" s="126"/>
    </row>
    <row r="75" spans="1:10" ht="21.75" customHeight="1">
      <c r="A75" s="120">
        <f ca="1">IF(ROWS($1:62)&gt;COUNT(Dong1),"",OFFSET(TH!C$1,SMALL(Dong1,ROWS($1:62)),))</f>
        <v>42452</v>
      </c>
      <c r="B75" s="120">
        <f ca="1">IF(ROWS($1:62)&gt;COUNT(Dong1),"",OFFSET(TH!E$1,SMALL(Dong1,ROWS($1:62)),))</f>
        <v>42452</v>
      </c>
      <c r="C75" s="121" t="str">
        <f ca="1">IF(ROWS($1:62)&gt;COUNT(Dong1),"",IF(OFFSET(TH!L$1,SMALL(Dong1,ROWS($1:62)),)="1111",OFFSET(TH!D$1,SMALL(Dong1,ROWS($1:62)),),""))</f>
        <v>T30</v>
      </c>
      <c r="D75" s="122" t="str">
        <f ca="1">IF(ROWS($1:62)&gt;COUNT(Dong1),"",IF(OFFSET(TH!M$1,SMALL(Dong1,ROWS($1:62)),)="1111",OFFSET(TH!D$1,SMALL(Dong1,ROWS($1:62)),),""))</f>
        <v/>
      </c>
      <c r="E75" s="225" t="str">
        <f ca="1">IF(ROWS($1:62)&gt;COUNT(Dong1),"",OFFSET(TH!F$1,SMALL(Dong1,ROWS($1:62)),))</f>
        <v>Rút sec</v>
      </c>
      <c r="F75" s="124" t="str">
        <f ca="1">IF(ROWS($1:62)&gt;COUNT(Dong1),"",IF(OFFSET(TH!M$1,SMALL(Dong1,ROWS($1:62)),)="1111",OFFSET(TH!L$1,SMALL(Dong1,ROWS($1:62)),),OFFSET(TH!M$1,SMALL(Dong1,ROWS($1:62)),)))</f>
        <v>1121</v>
      </c>
      <c r="G75" s="125">
        <f ca="1">IF(ROWS($1:62)&gt;COUNT(Dong1),"",IF(OFFSET(TH!L$1,SMALL(Dong1,ROWS($1:62)),)="1111",OFFSET(TH!K$1,SMALL(Dong1,ROWS($1:62)),),0))</f>
        <v>100000000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1"/>
        <v>3415524585</v>
      </c>
      <c r="J75" s="126"/>
    </row>
    <row r="76" spans="1:10" ht="21.75" customHeight="1">
      <c r="A76" s="120">
        <f ca="1">IF(ROWS($1:63)&gt;COUNT(Dong1),"",OFFSET(TH!C$1,SMALL(Dong1,ROWS($1:63)),))</f>
        <v>42452</v>
      </c>
      <c r="B76" s="120">
        <f ca="1">IF(ROWS($1:63)&gt;COUNT(Dong1),"",OFFSET(TH!E$1,SMALL(Dong1,ROWS($1:63)),))</f>
        <v>42452</v>
      </c>
      <c r="C76" s="121" t="str">
        <f ca="1">IF(ROWS($1:63)&gt;COUNT(Dong1),"",IF(OFFSET(TH!L$1,SMALL(Dong1,ROWS($1:63)),)="1111",OFFSET(TH!D$1,SMALL(Dong1,ROWS($1:63)),),""))</f>
        <v>T31</v>
      </c>
      <c r="D76" s="122" t="str">
        <f ca="1">IF(ROWS($1:63)&gt;COUNT(Dong1),"",IF(OFFSET(TH!M$1,SMALL(Dong1,ROWS($1:63)),)="1111",OFFSET(TH!D$1,SMALL(Dong1,ROWS($1:63)),),""))</f>
        <v/>
      </c>
      <c r="E76" s="225" t="str">
        <f ca="1">IF(ROWS($1:63)&gt;COUNT(Dong1),"",OFFSET(TH!F$1,SMALL(Dong1,ROWS($1:63)),))</f>
        <v>Rút sec</v>
      </c>
      <c r="F76" s="124" t="str">
        <f ca="1">IF(ROWS($1:63)&gt;COUNT(Dong1),"",IF(OFFSET(TH!M$1,SMALL(Dong1,ROWS($1:63)),)="1111",OFFSET(TH!L$1,SMALL(Dong1,ROWS($1:63)),),OFFSET(TH!M$1,SMALL(Dong1,ROWS($1:63)),)))</f>
        <v>1121</v>
      </c>
      <c r="G76" s="125">
        <f ca="1">IF(ROWS($1:63)&gt;COUNT(Dong1),"",IF(OFFSET(TH!L$1,SMALL(Dong1,ROWS($1:63)),)="1111",OFFSET(TH!K$1,SMALL(Dong1,ROWS($1:63)),),0))</f>
        <v>26500000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3442024585</v>
      </c>
      <c r="J76" s="126"/>
    </row>
    <row r="77" spans="1:10" ht="21.75" customHeight="1">
      <c r="A77" s="120">
        <f ca="1">IF(ROWS($1:64)&gt;COUNT(Dong1),"",OFFSET(TH!C$1,SMALL(Dong1,ROWS($1:64)),))</f>
        <v>42455</v>
      </c>
      <c r="B77" s="120">
        <f ca="1">IF(ROWS($1:64)&gt;COUNT(Dong1),"",OFFSET(TH!E$1,SMALL(Dong1,ROWS($1:64)),))</f>
        <v>42455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C29</v>
      </c>
      <c r="E77" s="225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12695760</v>
      </c>
      <c r="I77" s="121">
        <f t="shared" ca="1" si="1"/>
        <v>3429328825</v>
      </c>
      <c r="J77" s="126"/>
    </row>
    <row r="78" spans="1:10" ht="21.75" customHeight="1">
      <c r="A78" s="120">
        <f ca="1">IF(ROWS($1:65)&gt;COUNT(Dong1),"",OFFSET(TH!C$1,SMALL(Dong1,ROWS($1:65)),))</f>
        <v>42458</v>
      </c>
      <c r="B78" s="120">
        <f ca="1">IF(ROWS($1:65)&gt;COUNT(Dong1),"",OFFSET(TH!E$1,SMALL(Dong1,ROWS($1:65)),))</f>
        <v>42458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C30</v>
      </c>
      <c r="E78" s="225" t="str">
        <f ca="1">IF(ROWS($1:65)&gt;COUNT(Dong1),"",OFFSET(TH!F$1,SMALL(Dong1,ROWS($1:65)),))</f>
        <v>Nộp TM</v>
      </c>
      <c r="F78" s="124" t="str">
        <f ca="1">IF(ROWS($1:65)&gt;COUNT(Dong1),"",IF(OFFSET(TH!M$1,SMALL(Dong1,ROWS($1:65)),)="1111",OFFSET(TH!L$1,SMALL(Dong1,ROWS($1:65)),),OFFSET(TH!M$1,SMALL(Dong1,ROWS($1:65)),)))</f>
        <v>1121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50000000</v>
      </c>
      <c r="I78" s="121">
        <f t="shared" ca="1" si="1"/>
        <v>3379328825</v>
      </c>
      <c r="J78" s="126"/>
    </row>
    <row r="79" spans="1:10" ht="21.75" customHeight="1">
      <c r="A79" s="120">
        <f ca="1">IF(ROWS($1:66)&gt;COUNT(Dong1),"",OFFSET(TH!C$1,SMALL(Dong1,ROWS($1:66)),))</f>
        <v>42458</v>
      </c>
      <c r="B79" s="120">
        <f ca="1">IF(ROWS($1:66)&gt;COUNT(Dong1),"",OFFSET(TH!E$1,SMALL(Dong1,ROWS($1:66)),))</f>
        <v>42458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C31</v>
      </c>
      <c r="E79" s="225" t="str">
        <f ca="1">IF(ROWS($1:66)&gt;COUNT(Dong1),"",OFFSET(TH!F$1,SMALL(Dong1,ROWS($1:66)),))</f>
        <v>Thanh toán tiền dây nylon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2164800</v>
      </c>
      <c r="I79" s="121">
        <f t="shared" ca="1" si="1"/>
        <v>3377164025</v>
      </c>
      <c r="J79" s="126"/>
    </row>
    <row r="80" spans="1:10" ht="21.75" customHeight="1">
      <c r="A80" s="120">
        <f ca="1">IF(ROWS($1:67)&gt;COUNT(Dong1),"",OFFSET(TH!C$1,SMALL(Dong1,ROWS($1:67)),))</f>
        <v>42458</v>
      </c>
      <c r="B80" s="120">
        <f ca="1">IF(ROWS($1:67)&gt;COUNT(Dong1),"",OFFSET(TH!E$1,SMALL(Dong1,ROWS($1:67)),))</f>
        <v>42458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C32</v>
      </c>
      <c r="E80" s="225" t="str">
        <f ca="1">IF(ROWS($1:67)&gt;COUNT(Dong1),"",OFFSET(TH!F$1,SMALL(Dong1,ROWS($1:67)),))</f>
        <v>Thanh toán tiền tấm lót</v>
      </c>
      <c r="F80" s="124" t="str">
        <f ca="1">IF(ROWS($1:67)&gt;COUNT(Dong1),"",IF(OFFSET(TH!M$1,SMALL(Dong1,ROWS($1:67)),)="1111",OFFSET(TH!L$1,SMALL(Dong1,ROWS($1:67)),),OFFSET(TH!M$1,SMALL(Dong1,ROWS($1:67)),)))</f>
        <v>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9746418</v>
      </c>
      <c r="I80" s="121">
        <f t="shared" ca="1" si="1"/>
        <v>3367417607</v>
      </c>
      <c r="J80" s="126"/>
    </row>
    <row r="81" spans="1:12" ht="21.75" customHeight="1">
      <c r="A81" s="120">
        <f ca="1">IF(ROWS($1:68)&gt;COUNT(Dong1),"",OFFSET(TH!C$1,SMALL(Dong1,ROWS($1:68)),))</f>
        <v>42458</v>
      </c>
      <c r="B81" s="120">
        <f ca="1">IF(ROWS($1:68)&gt;COUNT(Dong1),"",OFFSET(TH!E$1,SMALL(Dong1,ROWS($1:68)),))</f>
        <v>42458</v>
      </c>
      <c r="C81" s="121" t="str">
        <f ca="1">IF(ROWS($1:68)&gt;COUNT(Dong1),"",IF(OFFSET(TH!L$1,SMALL(Dong1,ROWS($1:68)),)="1111",OFFSET(TH!D$1,SMALL(Dong1,ROWS($1:68)),),""))</f>
        <v>T32</v>
      </c>
      <c r="D81" s="122" t="str">
        <f ca="1">IF(ROWS($1:68)&gt;COUNT(Dong1),"",IF(OFFSET(TH!M$1,SMALL(Dong1,ROWS($1:68)),)="1111",OFFSET(TH!D$1,SMALL(Dong1,ROWS($1:68)),),""))</f>
        <v/>
      </c>
      <c r="E81" s="225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52973910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3420391517</v>
      </c>
      <c r="J81" s="126"/>
    </row>
    <row r="82" spans="1:12" ht="21.75" customHeight="1">
      <c r="A82" s="120">
        <f ca="1">IF(ROWS($1:69)&gt;COUNT(Dong1),"",OFFSET(TH!C$1,SMALL(Dong1,ROWS($1:69)),))</f>
        <v>42460</v>
      </c>
      <c r="B82" s="120">
        <f ca="1">IF(ROWS($1:69)&gt;COUNT(Dong1),"",OFFSET(TH!E$1,SMALL(Dong1,ROWS($1:69)),))</f>
        <v>42460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C33</v>
      </c>
      <c r="E82" s="225" t="str">
        <f ca="1">IF(ROWS($1:69)&gt;COUNT(Dong1),"",OFFSET(TH!F$1,SMALL(Dong1,ROWS($1:69)),))</f>
        <v>Thanh toán tiền lương tháng 3/2016</v>
      </c>
      <c r="F82" s="124" t="str">
        <f ca="1">IF(ROWS($1:69)&gt;COUNT(Dong1),"",IF(OFFSET(TH!M$1,SMALL(Dong1,ROWS($1:69)),)="1111",OFFSET(TH!L$1,SMALL(Dong1,ROWS($1:69)),),OFFSET(TH!M$1,SMALL(Dong1,ROWS($1:69)),)))</f>
        <v>3341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36235000</v>
      </c>
      <c r="I82" s="121">
        <f t="shared" ca="1" si="1"/>
        <v>3384156517</v>
      </c>
      <c r="J82" s="126"/>
    </row>
    <row r="83" spans="1:12" ht="21.75" customHeight="1">
      <c r="A83" s="120">
        <f ca="1">IF(ROWS($1:70)&gt;COUNT(Dong1),"",OFFSET(TH!C$1,SMALL(Dong1,ROWS($1:70)),))</f>
        <v>42460</v>
      </c>
      <c r="B83" s="120">
        <f ca="1">IF(ROWS($1:70)&gt;COUNT(Dong1),"",OFFSET(TH!E$1,SMALL(Dong1,ROWS($1:70)),))</f>
        <v>42460</v>
      </c>
      <c r="C83" s="121" t="str">
        <f ca="1">IF(ROWS($1:70)&gt;COUNT(Dong1),"",IF(OFFSET(TH!L$1,SMALL(Dong1,ROWS($1:70)),)="1111",OFFSET(TH!D$1,SMALL(Dong1,ROWS($1:70)),),""))</f>
        <v>T33</v>
      </c>
      <c r="D83" s="122" t="str">
        <f ca="1">IF(ROWS($1:70)&gt;COUNT(Dong1),"",IF(OFFSET(TH!M$1,SMALL(Dong1,ROWS($1:70)),)="1111",OFFSET(TH!D$1,SMALL(Dong1,ROWS($1:70)),),""))</f>
        <v/>
      </c>
      <c r="E83" s="225" t="str">
        <f ca="1">IF(ROWS($1:70)&gt;COUNT(Dong1),"",OFFSET(TH!F$1,SMALL(Dong1,ROWS($1:70)),))</f>
        <v>Thu tiền hàng</v>
      </c>
      <c r="F83" s="124" t="str">
        <f ca="1">IF(ROWS($1:70)&gt;COUNT(Dong1),"",IF(OFFSET(TH!M$1,SMALL(Dong1,ROWS($1:70)),)="1111",OFFSET(TH!L$1,SMALL(Dong1,ROWS($1:70)),),OFFSET(TH!M$1,SMALL(Dong1,ROWS($1:70)),)))</f>
        <v>131</v>
      </c>
      <c r="G83" s="125">
        <f ca="1">IF(ROWS($1:70)&gt;COUNT(Dong1),"",IF(OFFSET(TH!L$1,SMALL(Dong1,ROWS($1:70)),)="1111",OFFSET(TH!K$1,SMALL(Dong1,ROWS($1:70)),),0))</f>
        <v>32298085</v>
      </c>
      <c r="H83" s="123">
        <f ca="1">IF(ROWS($1:70)&gt;COUNT(Dong1),"",IF(OFFSET(TH!M$1,SMALL(Dong1,ROWS($1:70)),)="1111",OFFSET(TH!K$1,SMALL(Dong1,ROWS($1:70)),),0))</f>
        <v>0</v>
      </c>
      <c r="I83" s="121">
        <f t="shared" ref="I83:I84" ca="1" si="2">IF(E83&lt;&gt;"",I82+G83-H83,0)</f>
        <v>3416454602</v>
      </c>
      <c r="J83" s="126"/>
    </row>
    <row r="84" spans="1:12" ht="21.7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25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2"/>
        <v>0</v>
      </c>
      <c r="J84" s="126"/>
    </row>
    <row r="85" spans="1:12" s="116" customFormat="1" ht="21.75" customHeight="1">
      <c r="A85" s="127"/>
      <c r="B85" s="127"/>
      <c r="C85" s="127"/>
      <c r="D85" s="127"/>
      <c r="E85" s="127" t="s">
        <v>133</v>
      </c>
      <c r="F85" s="128" t="s">
        <v>19</v>
      </c>
      <c r="G85" s="127">
        <f ca="1">SUM(G14:G84)</f>
        <v>1079297404</v>
      </c>
      <c r="H85" s="127">
        <f ca="1">SUM(H14:H84)</f>
        <v>699307568</v>
      </c>
      <c r="I85" s="128" t="s">
        <v>19</v>
      </c>
      <c r="J85" s="128" t="s">
        <v>19</v>
      </c>
    </row>
    <row r="86" spans="1:12" s="116" customFormat="1" ht="21.75" customHeight="1">
      <c r="A86" s="129"/>
      <c r="B86" s="129"/>
      <c r="C86" s="129"/>
      <c r="D86" s="129"/>
      <c r="E86" s="129" t="s">
        <v>134</v>
      </c>
      <c r="F86" s="130" t="s">
        <v>19</v>
      </c>
      <c r="G86" s="130" t="s">
        <v>19</v>
      </c>
      <c r="H86" s="130" t="s">
        <v>19</v>
      </c>
      <c r="I86" s="131">
        <f ca="1">I13+G85-H85</f>
        <v>3416454602</v>
      </c>
      <c r="J86" s="130" t="s">
        <v>19</v>
      </c>
    </row>
    <row r="87" spans="1:12">
      <c r="L87" s="247" t="s">
        <v>154</v>
      </c>
    </row>
    <row r="88" spans="1:12">
      <c r="A88" s="132" t="s">
        <v>155</v>
      </c>
      <c r="L88" s="247" t="s">
        <v>155</v>
      </c>
    </row>
    <row r="89" spans="1:12">
      <c r="A89" s="178" t="str">
        <f ca="1">"- Ngày mở sổ: "&amp;DAY($A$14)&amp;"/"&amp;MONTH($A$14)&amp;"/ " &amp;YEAR($A$14)</f>
        <v>- Ngày mở sổ: 3/1/ 2016</v>
      </c>
      <c r="L89" s="247" t="s">
        <v>135</v>
      </c>
    </row>
    <row r="90" spans="1:12">
      <c r="I90" s="188" t="str">
        <f ca="1">"Ngày "&amp;IF(OR($L$11=4,$L$11=6,$L$11=9,$L$11=11),"30",IF($L$11=2,"28","31"))&amp;" tháng "&amp;$O$11&amp;"  năm  "&amp;YEAR($A$14)</f>
        <v>Ngày 31 tháng 3  năm  2016</v>
      </c>
      <c r="L90" s="247" t="s">
        <v>152</v>
      </c>
    </row>
    <row r="91" spans="1:12" s="133" customFormat="1" ht="14.25">
      <c r="C91" s="133" t="s">
        <v>11</v>
      </c>
      <c r="E91" s="133" t="s">
        <v>12</v>
      </c>
      <c r="I91" s="133" t="s">
        <v>109</v>
      </c>
    </row>
    <row r="92" spans="1:12" s="134" customFormat="1">
      <c r="C92" s="134" t="s">
        <v>13</v>
      </c>
      <c r="E92" s="134" t="s">
        <v>13</v>
      </c>
      <c r="I92" s="134" t="s">
        <v>136</v>
      </c>
    </row>
  </sheetData>
  <autoFilter ref="A12:J8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8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53"/>
      <c r="R3" s="193"/>
      <c r="S3" s="194" t="s">
        <v>337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54"/>
      <c r="R4" s="81"/>
      <c r="S4" s="574">
        <v>4</v>
      </c>
      <c r="T4" s="81"/>
      <c r="U4" s="455" t="s">
        <v>4</v>
      </c>
      <c r="V4" s="107"/>
      <c r="W4" s="456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  tháng  10  năm  2016</v>
      </c>
      <c r="J5" s="77"/>
      <c r="K5" s="79"/>
      <c r="M5" s="79"/>
      <c r="N5" s="79"/>
      <c r="O5" s="79"/>
      <c r="P5" s="80"/>
      <c r="Q5" s="453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1121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Nguyễn Hồng Tâm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Nộp TM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27000000</v>
      </c>
      <c r="E13" s="61" t="s">
        <v>108</v>
      </c>
      <c r="F13" s="98"/>
      <c r="G13" s="98"/>
      <c r="P13" s="61"/>
    </row>
    <row r="14" spans="1:23">
      <c r="C14" s="61" t="str">
        <f ca="1">"Viết bằng chữ: " &amp;[1]!VND('IN-TC'!D13, TRUE)</f>
        <v>Viết bằng chữ: Hai mươi bảy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  tháng  10  năm  2016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1"/>
      <c r="H24" s="211"/>
      <c r="J24" s="211"/>
      <c r="M24" s="211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49"/>
  <sheetViews>
    <sheetView topLeftCell="A6" workbookViewId="0">
      <pane ySplit="6" topLeftCell="A135" activePane="bottomLeft" state="frozen"/>
      <selection activeCell="A6" sqref="A6"/>
      <selection pane="bottomLeft" activeCell="D157" sqref="D157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09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9" width="12.7109375" style="172" customWidth="1"/>
    <col min="20" max="20" width="15.140625" style="172" customWidth="1"/>
    <col min="21" max="21" width="12" style="172" bestFit="1" customWidth="1"/>
    <col min="22" max="16384" width="9.140625" style="172"/>
  </cols>
  <sheetData>
    <row r="1" spans="1:21" s="138" customFormat="1" ht="16.5" customHeight="1">
      <c r="A1" s="91" t="str">
        <f>TH!A1</f>
        <v>Đơn vị: CÔNG TY TNHH SX TM KIM DUNG PHÁT</v>
      </c>
      <c r="B1" s="139"/>
      <c r="C1" s="140"/>
      <c r="F1" s="226"/>
      <c r="G1" s="228" t="s">
        <v>153</v>
      </c>
      <c r="H1" s="554"/>
      <c r="I1" s="226"/>
      <c r="K1" s="722"/>
      <c r="L1" s="722"/>
    </row>
    <row r="2" spans="1:21" s="138" customFormat="1" ht="16.5" customHeight="1">
      <c r="A2" s="229" t="str">
        <f>TH!A2</f>
        <v>Địa chỉ: 1A227/1 Ấp 1, Phạm Văn Hai, Bình Chánh, TPHCM</v>
      </c>
      <c r="B2" s="175"/>
      <c r="C2" s="175"/>
      <c r="D2" s="175"/>
      <c r="F2" s="1017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7"/>
      <c r="H2" s="1017"/>
      <c r="I2" s="227"/>
      <c r="K2" s="723"/>
      <c r="L2" s="723"/>
    </row>
    <row r="3" spans="1:21" s="138" customFormat="1" ht="16.5" customHeight="1">
      <c r="A3" s="175"/>
      <c r="B3" s="175"/>
      <c r="C3" s="175"/>
      <c r="D3" s="175"/>
      <c r="F3" s="1017"/>
      <c r="G3" s="1017"/>
      <c r="H3" s="1017"/>
      <c r="I3" s="227"/>
    </row>
    <row r="4" spans="1:21" s="138" customFormat="1" ht="19.5" customHeight="1">
      <c r="A4" s="1020" t="s">
        <v>137</v>
      </c>
      <c r="B4" s="1020"/>
      <c r="C4" s="1020"/>
      <c r="D4" s="1020"/>
      <c r="E4" s="1020"/>
      <c r="F4" s="1020"/>
      <c r="G4" s="1020"/>
      <c r="H4" s="1020"/>
      <c r="I4" s="1020"/>
    </row>
    <row r="5" spans="1:21" s="138" customFormat="1" ht="15">
      <c r="A5" s="1021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21"/>
      <c r="C5" s="1021"/>
      <c r="D5" s="1021"/>
      <c r="E5" s="1021"/>
      <c r="F5" s="1021"/>
      <c r="G5" s="1021"/>
      <c r="H5" s="1021"/>
      <c r="I5" s="1021"/>
    </row>
    <row r="6" spans="1:21" s="138" customFormat="1" ht="15">
      <c r="D6" s="255" t="s">
        <v>157</v>
      </c>
      <c r="E6" s="1021" t="str">
        <f>IF($M$9="ACB","100983119","1004 148 5104 6511")</f>
        <v>1004 148 5104 6511</v>
      </c>
      <c r="F6" s="1021"/>
      <c r="G6" s="1021"/>
      <c r="H6" s="555" t="s">
        <v>108</v>
      </c>
      <c r="I6" s="256" t="str">
        <f>IF(H6="VNĐ","1121",IF(H6="USD","1122",""))</f>
        <v>1121</v>
      </c>
      <c r="N6" s="1012" t="s">
        <v>329</v>
      </c>
      <c r="O6" s="1012"/>
      <c r="Q6" s="1018" t="s">
        <v>271</v>
      </c>
      <c r="R6" s="1018" t="s">
        <v>330</v>
      </c>
      <c r="S6" s="1018" t="s">
        <v>753</v>
      </c>
      <c r="T6" s="1018" t="s">
        <v>331</v>
      </c>
    </row>
    <row r="7" spans="1:21" s="138" customFormat="1" ht="8.25" customHeight="1" thickBot="1">
      <c r="A7" s="141"/>
      <c r="B7" s="142"/>
      <c r="C7" s="141"/>
      <c r="D7" s="142"/>
      <c r="E7" s="142"/>
      <c r="F7" s="142"/>
      <c r="G7" s="142"/>
      <c r="H7" s="556"/>
      <c r="I7" s="142"/>
      <c r="Q7" s="1019"/>
      <c r="R7" s="1019"/>
      <c r="S7" s="1019"/>
      <c r="T7" s="1019"/>
    </row>
    <row r="8" spans="1:21" s="143" customFormat="1" ht="22.5" customHeight="1" thickBot="1">
      <c r="A8" s="1024" t="s">
        <v>138</v>
      </c>
      <c r="B8" s="1026" t="s">
        <v>1</v>
      </c>
      <c r="C8" s="1027"/>
      <c r="D8" s="1022" t="s">
        <v>0</v>
      </c>
      <c r="E8" s="1028" t="s">
        <v>14</v>
      </c>
      <c r="F8" s="1030" t="s">
        <v>139</v>
      </c>
      <c r="G8" s="1030"/>
      <c r="H8" s="1027"/>
      <c r="I8" s="1022" t="s">
        <v>127</v>
      </c>
      <c r="K8" s="136"/>
      <c r="L8" s="138"/>
      <c r="N8" s="563">
        <f>IF(K9="Quý I",1,IF(K9="Quý II",4,IF(K9="Quý III",7,IF(K9="Quý IV",10,""))))</f>
        <v>10</v>
      </c>
      <c r="O8" s="564">
        <f>IF(K9="Quý I",3,IF(K9="Quý II",6,IF(K9="Quý III",9,IF(K9="Quý IV",12,""))))</f>
        <v>12</v>
      </c>
      <c r="Q8" s="433" t="s">
        <v>272</v>
      </c>
      <c r="R8" s="434">
        <v>16336685</v>
      </c>
      <c r="S8" s="434"/>
      <c r="T8" s="434">
        <v>1770433</v>
      </c>
      <c r="U8" s="435">
        <f>SUM(R8:T8)</f>
        <v>18107118</v>
      </c>
    </row>
    <row r="9" spans="1:21" s="143" customFormat="1" ht="22.5" customHeight="1" thickBot="1">
      <c r="A9" s="1025"/>
      <c r="B9" s="144" t="s">
        <v>15</v>
      </c>
      <c r="C9" s="145" t="s">
        <v>140</v>
      </c>
      <c r="D9" s="1023"/>
      <c r="E9" s="1029"/>
      <c r="F9" s="248" t="s">
        <v>141</v>
      </c>
      <c r="G9" s="146" t="s">
        <v>142</v>
      </c>
      <c r="H9" s="557" t="s">
        <v>143</v>
      </c>
      <c r="I9" s="1023"/>
      <c r="K9" s="176" t="s">
        <v>1469</v>
      </c>
      <c r="L9" s="138"/>
      <c r="M9" s="432" t="s">
        <v>1287</v>
      </c>
      <c r="Q9" s="149"/>
      <c r="R9" s="149"/>
      <c r="S9" s="149"/>
      <c r="T9" s="149"/>
      <c r="U9" s="149"/>
    </row>
    <row r="10" spans="1:21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  <c r="U10" s="153"/>
    </row>
    <row r="11" spans="1:21" s="153" customFormat="1" ht="18.75" customHeight="1">
      <c r="A11" s="150"/>
      <c r="B11" s="151"/>
      <c r="C11" s="150"/>
      <c r="D11" s="152" t="s">
        <v>7</v>
      </c>
      <c r="E11" s="152"/>
      <c r="F11" s="439"/>
      <c r="G11" s="439"/>
      <c r="H11" s="439">
        <f>IF($M$9="ACB",$R$8,IF($M$9="AGR",$S$8,$T$8))+SUMIF(_N112,"x",TH)-SUMIF(_C112,"x",TH)</f>
        <v>682990</v>
      </c>
      <c r="I11" s="436"/>
      <c r="L11" s="138"/>
      <c r="Q11" s="143"/>
      <c r="R11" s="143"/>
      <c r="S11" s="143"/>
      <c r="T11" s="143"/>
      <c r="U11" s="143"/>
    </row>
    <row r="12" spans="1:21" s="143" customFormat="1" ht="18.75" customHeight="1">
      <c r="A12" s="154">
        <f ca="1">IF(ROWS($1:1)&gt;COUNT(Dong2),"",OFFSET(TH!C$1,SMALL(Dong2,ROWS($1:1)),))</f>
        <v>42649</v>
      </c>
      <c r="B12" s="154" t="str">
        <f ca="1">IF(ROWS($1:1)&gt;COUNT(Dong2),"",OFFSET(TH!D$1,SMALL(Dong2,ROWS($1:1)),))</f>
        <v>GBN</v>
      </c>
      <c r="C12" s="154">
        <f ca="1">IF(ROWS($1:1)&gt;COUNT(Dong2),"",OFFSET(TH!E$1,SMALL(Dong2,ROWS($1:1)),))</f>
        <v>42649</v>
      </c>
      <c r="D12" s="230" t="str">
        <f ca="1">IF(ROWS($1:1)&gt;COUNT(Dong2),"",OFFSET(TH!F$1,SMALL(Dong2,ROWS($1:1)),))</f>
        <v>Vay</v>
      </c>
      <c r="E12" s="154" t="str">
        <f ca="1">IF(ROWS($1:1)&gt;COUNT(Dong2),"",IF(OFFSET(TH!M$1,SMALL(Dong2,ROWS($1:1)),)=$I$6,OFFSET(TH!L$1,SMALL(Dong2,ROWS($1:1)),),OFFSET(TH!M$1,SMALL(Dong2,ROWS($1:1)),)))</f>
        <v>3412</v>
      </c>
      <c r="F12" s="44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</v>
      </c>
      <c r="G12" s="44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5">
        <f ca="1">IF(A12&lt;&gt;"",H11+F12-G12,0)</f>
        <v>50682990</v>
      </c>
      <c r="I12" s="437"/>
      <c r="L12" s="138"/>
    </row>
    <row r="13" spans="1:21" s="143" customFormat="1" ht="18.75" customHeight="1">
      <c r="A13" s="154">
        <f ca="1">IF(ROWS($1:2)&gt;COUNT(Dong2),"",OFFSET(TH!C$1,SMALL(Dong2,ROWS($1:2)),))</f>
        <v>42649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42649</v>
      </c>
      <c r="D13" s="230" t="str">
        <f ca="1">IF(ROWS($1:2)&gt;COUNT(Dong2),"",OFFSET(TH!F$1,SMALL(Dong2,ROWS($1:2)),))</f>
        <v>Thanh toán tiền hàng</v>
      </c>
      <c r="E13" s="154" t="str">
        <f ca="1">IF(ROWS($1:2)&gt;COUNT(Dong2),"",IF(OFFSET(TH!M$1,SMALL(Dong2,ROWS($1:2)),)=$I$6,OFFSET(TH!L$1,SMALL(Dong2,ROWS($1:2)),),OFFSET(TH!M$1,SMALL(Dong2,ROWS($1:2)),)))</f>
        <v>331</v>
      </c>
      <c r="F13" s="44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565">
        <f t="shared" ref="H13:H40" ca="1" si="0">IF(A13&lt;&gt;"",H12+F13-G13,0)</f>
        <v>682990</v>
      </c>
      <c r="I13" s="437"/>
      <c r="L13" s="138"/>
    </row>
    <row r="14" spans="1:21" s="143" customFormat="1" ht="18.75" customHeight="1">
      <c r="A14" s="154">
        <f ca="1">IF(ROWS($1:3)&gt;COUNT(Dong2),"",OFFSET(TH!C$1,SMALL(Dong2,ROWS($1:3)),))</f>
        <v>42649</v>
      </c>
      <c r="B14" s="154" t="str">
        <f ca="1">IF(ROWS($1:3)&gt;COUNT(Dong2),"",OFFSET(TH!D$1,SMALL(Dong2,ROWS($1:3)),))</f>
        <v>GBN</v>
      </c>
      <c r="C14" s="154">
        <f ca="1">IF(ROWS($1:3)&gt;COUNT(Dong2),"",OFFSET(TH!E$1,SMALL(Dong2,ROWS($1:3)),))</f>
        <v>42649</v>
      </c>
      <c r="D14" s="230" t="str">
        <f ca="1">IF(ROWS($1:3)&gt;COUNT(Dong2),"",OFFSET(TH!F$1,SMALL(Dong2,ROWS($1:3)),))</f>
        <v>Phí chuyển tiền</v>
      </c>
      <c r="E14" s="154" t="str">
        <f ca="1">IF(ROWS($1:3)&gt;COUNT(Dong2),"",IF(OFFSET(TH!M$1,SMALL(Dong2,ROWS($1:3)),)=$I$6,OFFSET(TH!L$1,SMALL(Dong2,ROWS($1:3)),),OFFSET(TH!M$1,SMALL(Dong2,ROWS($1:3)),)))</f>
        <v>642</v>
      </c>
      <c r="F14" s="44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31818</v>
      </c>
      <c r="H14" s="565">
        <f t="shared" ca="1" si="0"/>
        <v>651172</v>
      </c>
      <c r="I14" s="437"/>
      <c r="L14" s="138"/>
    </row>
    <row r="15" spans="1:21" s="143" customFormat="1" ht="18.75" customHeight="1">
      <c r="A15" s="154">
        <f ca="1">IF(ROWS($1:4)&gt;COUNT(Dong2),"",OFFSET(TH!C$1,SMALL(Dong2,ROWS($1:4)),))</f>
        <v>42649</v>
      </c>
      <c r="B15" s="154" t="str">
        <f ca="1">IF(ROWS($1:4)&gt;COUNT(Dong2),"",OFFSET(TH!D$1,SMALL(Dong2,ROWS($1:4)),))</f>
        <v>GBN</v>
      </c>
      <c r="C15" s="154">
        <f ca="1">IF(ROWS($1:4)&gt;COUNT(Dong2),"",OFFSET(TH!E$1,SMALL(Dong2,ROWS($1:4)),))</f>
        <v>42649</v>
      </c>
      <c r="D15" s="230" t="str">
        <f ca="1">IF(ROWS($1:4)&gt;COUNT(Dong2),"",OFFSET(TH!F$1,SMALL(Dong2,ROWS($1:4)),))</f>
        <v>VAT Phí chuyển tiền</v>
      </c>
      <c r="E15" s="154" t="str">
        <f ca="1">IF(ROWS($1:4)&gt;COUNT(Dong2),"",IF(OFFSET(TH!M$1,SMALL(Dong2,ROWS($1:4)),)=$I$6,OFFSET(TH!L$1,SMALL(Dong2,ROWS($1:4)),),OFFSET(TH!M$1,SMALL(Dong2,ROWS($1:4)),)))</f>
        <v>1331</v>
      </c>
      <c r="F15" s="44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3182</v>
      </c>
      <c r="H15" s="565">
        <f t="shared" ca="1" si="0"/>
        <v>647990</v>
      </c>
      <c r="I15" s="437"/>
      <c r="L15" s="138"/>
    </row>
    <row r="16" spans="1:21" s="143" customFormat="1" ht="18.75" customHeight="1">
      <c r="A16" s="154">
        <f ca="1">IF(ROWS($1:5)&gt;COUNT(Dong2),"",OFFSET(TH!C$1,SMALL(Dong2,ROWS($1:5)),))</f>
        <v>42651</v>
      </c>
      <c r="B16" s="154" t="str">
        <f ca="1">IF(ROWS($1:5)&gt;COUNT(Dong2),"",OFFSET(TH!D$1,SMALL(Dong2,ROWS($1:5)),))</f>
        <v>GBN</v>
      </c>
      <c r="C16" s="154">
        <f ca="1">IF(ROWS($1:5)&gt;COUNT(Dong2),"",OFFSET(TH!E$1,SMALL(Dong2,ROWS($1:5)),))</f>
        <v>42651</v>
      </c>
      <c r="D16" s="230" t="str">
        <f ca="1">IF(ROWS($1:5)&gt;COUNT(Dong2),"",OFFSET(TH!F$1,SMALL(Dong2,ROWS($1:5)),))</f>
        <v>Phí dịch vụ SMS</v>
      </c>
      <c r="E16" s="154" t="str">
        <f ca="1">IF(ROWS($1:5)&gt;COUNT(Dong2),"",IF(OFFSET(TH!M$1,SMALL(Dong2,ROWS($1:5)),)=$I$6,OFFSET(TH!L$1,SMALL(Dong2,ROWS($1:5)),),OFFSET(TH!M$1,SMALL(Dong2,ROWS($1:5)),)))</f>
        <v>642</v>
      </c>
      <c r="F16" s="44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40000</v>
      </c>
      <c r="H16" s="565">
        <f t="shared" ca="1" si="0"/>
        <v>607990</v>
      </c>
      <c r="I16" s="437"/>
      <c r="L16" s="138"/>
    </row>
    <row r="17" spans="1:17" s="143" customFormat="1" ht="18.75" customHeight="1">
      <c r="A17" s="154">
        <f ca="1">IF(ROWS($1:6)&gt;COUNT(Dong2),"",OFFSET(TH!C$1,SMALL(Dong2,ROWS($1:6)),))</f>
        <v>42651</v>
      </c>
      <c r="B17" s="154" t="str">
        <f ca="1">IF(ROWS($1:6)&gt;COUNT(Dong2),"",OFFSET(TH!D$1,SMALL(Dong2,ROWS($1:6)),))</f>
        <v>GBN</v>
      </c>
      <c r="C17" s="154">
        <f ca="1">IF(ROWS($1:6)&gt;COUNT(Dong2),"",OFFSET(TH!E$1,SMALL(Dong2,ROWS($1:6)),))</f>
        <v>42651</v>
      </c>
      <c r="D17" s="230" t="str">
        <f ca="1">IF(ROWS($1:6)&gt;COUNT(Dong2),"",OFFSET(TH!F$1,SMALL(Dong2,ROWS($1:6)),))</f>
        <v>VAT Phí dịch vụ SMS</v>
      </c>
      <c r="E17" s="154" t="str">
        <f ca="1">IF(ROWS($1:6)&gt;COUNT(Dong2),"",IF(OFFSET(TH!M$1,SMALL(Dong2,ROWS($1:6)),)=$I$6,OFFSET(TH!L$1,SMALL(Dong2,ROWS($1:6)),),OFFSET(TH!M$1,SMALL(Dong2,ROWS($1:6)),)))</f>
        <v>1331</v>
      </c>
      <c r="F17" s="44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4000</v>
      </c>
      <c r="H17" s="565">
        <f t="shared" ca="1" si="0"/>
        <v>603990</v>
      </c>
      <c r="I17" s="437"/>
      <c r="L17" s="138"/>
    </row>
    <row r="18" spans="1:17" s="143" customFormat="1" ht="18.75" customHeight="1">
      <c r="A18" s="154">
        <f ca="1">IF(ROWS($1:7)&gt;COUNT(Dong2),"",OFFSET(TH!C$1,SMALL(Dong2,ROWS($1:7)),))</f>
        <v>42654</v>
      </c>
      <c r="B18" s="154" t="str">
        <f ca="1">IF(ROWS($1:7)&gt;COUNT(Dong2),"",OFFSET(TH!D$1,SMALL(Dong2,ROWS($1:7)),))</f>
        <v>GBN</v>
      </c>
      <c r="C18" s="154">
        <f ca="1">IF(ROWS($1:7)&gt;COUNT(Dong2),"",OFFSET(TH!E$1,SMALL(Dong2,ROWS($1:7)),))</f>
        <v>42654</v>
      </c>
      <c r="D18" s="230" t="str">
        <f ca="1">IF(ROWS($1:7)&gt;COUNT(Dong2),"",OFFSET(TH!F$1,SMALL(Dong2,ROWS($1:7)),))</f>
        <v>Vay</v>
      </c>
      <c r="E18" s="154" t="str">
        <f ca="1">IF(ROWS($1:7)&gt;COUNT(Dong2),"",IF(OFFSET(TH!M$1,SMALL(Dong2,ROWS($1:7)),)=$I$6,OFFSET(TH!L$1,SMALL(Dong2,ROWS($1:7)),),OFFSET(TH!M$1,SMALL(Dong2,ROWS($1:7)),)))</f>
        <v>3412</v>
      </c>
      <c r="F18" s="44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50000000</v>
      </c>
      <c r="G18" s="44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65">
        <f t="shared" ca="1" si="0"/>
        <v>50603990</v>
      </c>
      <c r="I18" s="437"/>
      <c r="L18" s="138"/>
    </row>
    <row r="19" spans="1:17" s="143" customFormat="1" ht="18.75" customHeight="1">
      <c r="A19" s="154">
        <f ca="1">IF(ROWS($1:8)&gt;COUNT(Dong2),"",OFFSET(TH!C$1,SMALL(Dong2,ROWS($1:8)),))</f>
        <v>42654</v>
      </c>
      <c r="B19" s="154" t="str">
        <f ca="1">IF(ROWS($1:8)&gt;COUNT(Dong2),"",OFFSET(TH!D$1,SMALL(Dong2,ROWS($1:8)),))</f>
        <v>GBN</v>
      </c>
      <c r="C19" s="154">
        <f ca="1">IF(ROWS($1:8)&gt;COUNT(Dong2),"",OFFSET(TH!E$1,SMALL(Dong2,ROWS($1:8)),))</f>
        <v>42654</v>
      </c>
      <c r="D19" s="230" t="str">
        <f ca="1">IF(ROWS($1:8)&gt;COUNT(Dong2),"",OFFSET(TH!F$1,SMALL(Dong2,ROWS($1:8)),))</f>
        <v>Thanh toán tiền hàng</v>
      </c>
      <c r="E19" s="154" t="str">
        <f ca="1">IF(ROWS($1:8)&gt;COUNT(Dong2),"",IF(OFFSET(TH!M$1,SMALL(Dong2,ROWS($1:8)),)=$I$6,OFFSET(TH!L$1,SMALL(Dong2,ROWS($1:8)),),OFFSET(TH!M$1,SMALL(Dong2,ROWS($1:8)),)))</f>
        <v>331</v>
      </c>
      <c r="F19" s="44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5">
        <f t="shared" ca="1" si="0"/>
        <v>603990</v>
      </c>
      <c r="I19" s="437"/>
      <c r="L19" s="138"/>
    </row>
    <row r="20" spans="1:17" s="143" customFormat="1" ht="18.75" customHeight="1">
      <c r="A20" s="154">
        <f ca="1">IF(ROWS($1:9)&gt;COUNT(Dong2),"",OFFSET(TH!C$1,SMALL(Dong2,ROWS($1:9)),))</f>
        <v>42654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42654</v>
      </c>
      <c r="D20" s="230" t="str">
        <f ca="1">IF(ROWS($1:9)&gt;COUNT(Dong2),"",OFFSET(TH!F$1,SMALL(Dong2,ROWS($1:9)),))</f>
        <v>Phí chuyển tiền</v>
      </c>
      <c r="E20" s="154" t="str">
        <f ca="1">IF(ROWS($1:9)&gt;COUNT(Dong2),"",IF(OFFSET(TH!M$1,SMALL(Dong2,ROWS($1:9)),)=$I$6,OFFSET(TH!L$1,SMALL(Dong2,ROWS($1:9)),),OFFSET(TH!M$1,SMALL(Dong2,ROWS($1:9)),)))</f>
        <v>642</v>
      </c>
      <c r="F20" s="44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15000</v>
      </c>
      <c r="H20" s="565">
        <f t="shared" ca="1" si="0"/>
        <v>588990</v>
      </c>
      <c r="I20" s="437"/>
      <c r="L20" s="138"/>
    </row>
    <row r="21" spans="1:17" s="143" customFormat="1" ht="18.75" customHeight="1">
      <c r="A21" s="154">
        <f ca="1">IF(ROWS($1:10)&gt;COUNT(Dong2),"",OFFSET(TH!C$1,SMALL(Dong2,ROWS($1:10)),))</f>
        <v>42654</v>
      </c>
      <c r="B21" s="154" t="str">
        <f ca="1">IF(ROWS($1:10)&gt;COUNT(Dong2),"",OFFSET(TH!D$1,SMALL(Dong2,ROWS($1:10)),))</f>
        <v>GBN</v>
      </c>
      <c r="C21" s="154">
        <f ca="1">IF(ROWS($1:10)&gt;COUNT(Dong2),"",OFFSET(TH!E$1,SMALL(Dong2,ROWS($1:10)),))</f>
        <v>42654</v>
      </c>
      <c r="D21" s="230" t="str">
        <f ca="1">IF(ROWS($1:10)&gt;COUNT(Dong2),"",OFFSET(TH!F$1,SMALL(Dong2,ROWS($1:10)),))</f>
        <v>VAT Phí chuyển tiền</v>
      </c>
      <c r="E21" s="154" t="str">
        <f ca="1">IF(ROWS($1:10)&gt;COUNT(Dong2),"",IF(OFFSET(TH!M$1,SMALL(Dong2,ROWS($1:10)),)=$I$6,OFFSET(TH!L$1,SMALL(Dong2,ROWS($1:10)),),OFFSET(TH!M$1,SMALL(Dong2,ROWS($1:10)),)))</f>
        <v>1331</v>
      </c>
      <c r="F21" s="44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1500</v>
      </c>
      <c r="H21" s="565">
        <f t="shared" ca="1" si="0"/>
        <v>587490</v>
      </c>
      <c r="I21" s="437"/>
      <c r="L21" s="138"/>
      <c r="Q21" s="435"/>
    </row>
    <row r="22" spans="1:17" s="143" customFormat="1" ht="18.75" customHeight="1">
      <c r="A22" s="154">
        <f ca="1">IF(ROWS($1:11)&gt;COUNT(Dong2),"",OFFSET(TH!C$1,SMALL(Dong2,ROWS($1:11)),))</f>
        <v>42660</v>
      </c>
      <c r="B22" s="154" t="str">
        <f ca="1">IF(ROWS($1:11)&gt;COUNT(Dong2),"",OFFSET(TH!D$1,SMALL(Dong2,ROWS($1:11)),))</f>
        <v>C04</v>
      </c>
      <c r="C22" s="154">
        <f ca="1">IF(ROWS($1:11)&gt;COUNT(Dong2),"",OFFSET(TH!E$1,SMALL(Dong2,ROWS($1:11)),))</f>
        <v>42660</v>
      </c>
      <c r="D22" s="230" t="str">
        <f ca="1">IF(ROWS($1:11)&gt;COUNT(Dong2),"",OFFSET(TH!F$1,SMALL(Dong2,ROWS($1:11)),))</f>
        <v>Nộp TM</v>
      </c>
      <c r="E22" s="154" t="str">
        <f ca="1">IF(ROWS($1:11)&gt;COUNT(Dong2),"",IF(OFFSET(TH!M$1,SMALL(Dong2,ROWS($1:11)),)=$I$6,OFFSET(TH!L$1,SMALL(Dong2,ROWS($1:11)),),OFFSET(TH!M$1,SMALL(Dong2,ROWS($1:11)),)))</f>
        <v>1111</v>
      </c>
      <c r="F22" s="44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200000000</v>
      </c>
      <c r="G22" s="44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65">
        <f t="shared" ca="1" si="0"/>
        <v>200587490</v>
      </c>
      <c r="I22" s="437"/>
      <c r="L22" s="138"/>
    </row>
    <row r="23" spans="1:17" s="143" customFormat="1" ht="18.75" customHeight="1">
      <c r="A23" s="154">
        <f ca="1">IF(ROWS($1:12)&gt;COUNT(Dong2),"",OFFSET(TH!C$1,SMALL(Dong2,ROWS($1:12)),))</f>
        <v>42660</v>
      </c>
      <c r="B23" s="154" t="str">
        <f ca="1">IF(ROWS($1:12)&gt;COUNT(Dong2),"",OFFSET(TH!D$1,SMALL(Dong2,ROWS($1:12)),))</f>
        <v>GBN</v>
      </c>
      <c r="C23" s="154">
        <f ca="1">IF(ROWS($1:12)&gt;COUNT(Dong2),"",OFFSET(TH!E$1,SMALL(Dong2,ROWS($1:12)),))</f>
        <v>42660</v>
      </c>
      <c r="D23" s="230" t="str">
        <f ca="1">IF(ROWS($1:12)&gt;COUNT(Dong2),"",OFFSET(TH!F$1,SMALL(Dong2,ROWS($1:12)),))</f>
        <v>Thanh toán tiền hàng</v>
      </c>
      <c r="E23" s="154" t="str">
        <f ca="1">IF(ROWS($1:12)&gt;COUNT(Dong2),"",IF(OFFSET(TH!M$1,SMALL(Dong2,ROWS($1:12)),)=$I$6,OFFSET(TH!L$1,SMALL(Dong2,ROWS($1:12)),),OFFSET(TH!M$1,SMALL(Dong2,ROWS($1:12)),)))</f>
        <v>331</v>
      </c>
      <c r="F23" s="44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10000000</v>
      </c>
      <c r="H23" s="565">
        <f t="shared" ca="1" si="0"/>
        <v>190587490</v>
      </c>
      <c r="I23" s="437"/>
      <c r="L23" s="138"/>
      <c r="Q23" s="553"/>
    </row>
    <row r="24" spans="1:17" s="143" customFormat="1" ht="18.75" customHeight="1">
      <c r="A24" s="154">
        <f ca="1">IF(ROWS($1:13)&gt;COUNT(Dong2),"",OFFSET(TH!C$1,SMALL(Dong2,ROWS($1:13)),))</f>
        <v>42660</v>
      </c>
      <c r="B24" s="154" t="str">
        <f ca="1">IF(ROWS($1:13)&gt;COUNT(Dong2),"",OFFSET(TH!D$1,SMALL(Dong2,ROWS($1:13)),))</f>
        <v>GBN</v>
      </c>
      <c r="C24" s="154">
        <f ca="1">IF(ROWS($1:13)&gt;COUNT(Dong2),"",OFFSET(TH!E$1,SMALL(Dong2,ROWS($1:13)),))</f>
        <v>42660</v>
      </c>
      <c r="D24" s="230" t="str">
        <f ca="1">IF(ROWS($1:13)&gt;COUNT(Dong2),"",OFFSET(TH!F$1,SMALL(Dong2,ROWS($1:13)),))</f>
        <v>Phí chuyển tiền</v>
      </c>
      <c r="E24" s="154" t="str">
        <f ca="1">IF(ROWS($1:13)&gt;COUNT(Dong2),"",IF(OFFSET(TH!M$1,SMALL(Dong2,ROWS($1:13)),)=$I$6,OFFSET(TH!L$1,SMALL(Dong2,ROWS($1:13)),),OFFSET(TH!M$1,SMALL(Dong2,ROWS($1:13)),)))</f>
        <v>642</v>
      </c>
      <c r="F24" s="44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</v>
      </c>
      <c r="H24" s="565">
        <f t="shared" ca="1" si="0"/>
        <v>190572490</v>
      </c>
      <c r="I24" s="437"/>
      <c r="L24" s="138"/>
    </row>
    <row r="25" spans="1:17" s="143" customFormat="1" ht="18.75" customHeight="1">
      <c r="A25" s="154">
        <f ca="1">IF(ROWS($1:14)&gt;COUNT(Dong2),"",OFFSET(TH!C$1,SMALL(Dong2,ROWS($1:14)),))</f>
        <v>42660</v>
      </c>
      <c r="B25" s="154" t="str">
        <f ca="1">IF(ROWS($1:14)&gt;COUNT(Dong2),"",OFFSET(TH!D$1,SMALL(Dong2,ROWS($1:14)),))</f>
        <v>GBN</v>
      </c>
      <c r="C25" s="154">
        <f ca="1">IF(ROWS($1:14)&gt;COUNT(Dong2),"",OFFSET(TH!E$1,SMALL(Dong2,ROWS($1:14)),))</f>
        <v>42660</v>
      </c>
      <c r="D25" s="230" t="str">
        <f ca="1">IF(ROWS($1:14)&gt;COUNT(Dong2),"",OFFSET(TH!F$1,SMALL(Dong2,ROWS($1:14)),))</f>
        <v>VAT Phí chuyển tiền</v>
      </c>
      <c r="E25" s="154" t="str">
        <f ca="1">IF(ROWS($1:14)&gt;COUNT(Dong2),"",IF(OFFSET(TH!M$1,SMALL(Dong2,ROWS($1:14)),)=$I$6,OFFSET(TH!L$1,SMALL(Dong2,ROWS($1:14)),),OFFSET(TH!M$1,SMALL(Dong2,ROWS($1:14)),)))</f>
        <v>1331</v>
      </c>
      <c r="F25" s="44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1500</v>
      </c>
      <c r="H25" s="565">
        <f t="shared" ca="1" si="0"/>
        <v>190570990</v>
      </c>
      <c r="I25" s="437"/>
      <c r="L25" s="138"/>
    </row>
    <row r="26" spans="1:17" s="143" customFormat="1" ht="18.75" customHeight="1">
      <c r="A26" s="154">
        <f ca="1">IF(ROWS($1:15)&gt;COUNT(Dong2),"",OFFSET(TH!C$1,SMALL(Dong2,ROWS($1:15)),))</f>
        <v>42660</v>
      </c>
      <c r="B26" s="154" t="str">
        <f ca="1">IF(ROWS($1:15)&gt;COUNT(Dong2),"",OFFSET(TH!D$1,SMALL(Dong2,ROWS($1:15)),))</f>
        <v>T02</v>
      </c>
      <c r="C26" s="154">
        <f ca="1">IF(ROWS($1:15)&gt;COUNT(Dong2),"",OFFSET(TH!E$1,SMALL(Dong2,ROWS($1:15)),))</f>
        <v>42660</v>
      </c>
      <c r="D26" s="230" t="str">
        <f ca="1">IF(ROWS($1:15)&gt;COUNT(Dong2),"",OFFSET(TH!F$1,SMALL(Dong2,ROWS($1:15)),))</f>
        <v>Rút sec</v>
      </c>
      <c r="E26" s="154" t="str">
        <f ca="1">IF(ROWS($1:15)&gt;COUNT(Dong2),"",IF(OFFSET(TH!M$1,SMALL(Dong2,ROWS($1:15)),)=$I$6,OFFSET(TH!L$1,SMALL(Dong2,ROWS($1:15)),),OFFSET(TH!M$1,SMALL(Dong2,ROWS($1:15)),)))</f>
        <v>1111</v>
      </c>
      <c r="F26" s="44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20000000</v>
      </c>
      <c r="H26" s="565">
        <f t="shared" ca="1" si="0"/>
        <v>170570990</v>
      </c>
      <c r="I26" s="437"/>
      <c r="L26" s="138"/>
    </row>
    <row r="27" spans="1:17" s="143" customFormat="1" ht="18.75" customHeight="1">
      <c r="A27" s="154">
        <f ca="1">IF(ROWS($1:16)&gt;COUNT(Dong2),"",OFFSET(TH!C$1,SMALL(Dong2,ROWS($1:16)),))</f>
        <v>42661</v>
      </c>
      <c r="B27" s="154" t="str">
        <f ca="1">IF(ROWS($1:16)&gt;COUNT(Dong2),"",OFFSET(TH!D$1,SMALL(Dong2,ROWS($1:16)),))</f>
        <v>GBN</v>
      </c>
      <c r="C27" s="154">
        <f ca="1">IF(ROWS($1:16)&gt;COUNT(Dong2),"",OFFSET(TH!E$1,SMALL(Dong2,ROWS($1:16)),))</f>
        <v>42661</v>
      </c>
      <c r="D27" s="230" t="str">
        <f ca="1">IF(ROWS($1:16)&gt;COUNT(Dong2),"",OFFSET(TH!F$1,SMALL(Dong2,ROWS($1:16)),))</f>
        <v>Trả nợ vay</v>
      </c>
      <c r="E27" s="154" t="str">
        <f ca="1">IF(ROWS($1:16)&gt;COUNT(Dong2),"",IF(OFFSET(TH!M$1,SMALL(Dong2,ROWS($1:16)),)=$I$6,OFFSET(TH!L$1,SMALL(Dong2,ROWS($1:16)),),OFFSET(TH!M$1,SMALL(Dong2,ROWS($1:16)),)))</f>
        <v>3412</v>
      </c>
      <c r="F27" s="44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4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150000000</v>
      </c>
      <c r="H27" s="565">
        <f t="shared" ca="1" si="0"/>
        <v>20570990</v>
      </c>
      <c r="I27" s="437"/>
      <c r="L27" s="138"/>
    </row>
    <row r="28" spans="1:17" s="143" customFormat="1" ht="18.75" customHeight="1">
      <c r="A28" s="154">
        <f ca="1">IF(ROWS($1:17)&gt;COUNT(Dong2),"",OFFSET(TH!C$1,SMALL(Dong2,ROWS($1:17)),))</f>
        <v>42661</v>
      </c>
      <c r="B28" s="154" t="str">
        <f ca="1">IF(ROWS($1:17)&gt;COUNT(Dong2),"",OFFSET(TH!D$1,SMALL(Dong2,ROWS($1:17)),))</f>
        <v>GBN</v>
      </c>
      <c r="C28" s="154">
        <f ca="1">IF(ROWS($1:17)&gt;COUNT(Dong2),"",OFFSET(TH!E$1,SMALL(Dong2,ROWS($1:17)),))</f>
        <v>42661</v>
      </c>
      <c r="D28" s="230" t="str">
        <f ca="1">IF(ROWS($1:17)&gt;COUNT(Dong2),"",OFFSET(TH!F$1,SMALL(Dong2,ROWS($1:17)),))</f>
        <v>Lãi vay</v>
      </c>
      <c r="E28" s="154" t="str">
        <f ca="1">IF(ROWS($1:17)&gt;COUNT(Dong2),"",IF(OFFSET(TH!M$1,SMALL(Dong2,ROWS($1:17)),)=$I$6,OFFSET(TH!L$1,SMALL(Dong2,ROWS($1:17)),),OFFSET(TH!M$1,SMALL(Dong2,ROWS($1:17)),)))</f>
        <v>635</v>
      </c>
      <c r="F28" s="44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12945833</v>
      </c>
      <c r="H28" s="565">
        <f t="shared" ca="1" si="0"/>
        <v>7625157</v>
      </c>
      <c r="I28" s="437"/>
      <c r="L28" s="138"/>
    </row>
    <row r="29" spans="1:17" s="143" customFormat="1" ht="18.75" customHeight="1">
      <c r="A29" s="154">
        <f ca="1">IF(ROWS($1:18)&gt;COUNT(Dong2),"",OFFSET(TH!C$1,SMALL(Dong2,ROWS($1:18)),))</f>
        <v>42661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42661</v>
      </c>
      <c r="D29" s="230" t="str">
        <f ca="1">IF(ROWS($1:18)&gt;COUNT(Dong2),"",OFFSET(TH!F$1,SMALL(Dong2,ROWS($1:18)),))</f>
        <v>Lãi vay</v>
      </c>
      <c r="E29" s="154" t="str">
        <f ca="1">IF(ROWS($1:18)&gt;COUNT(Dong2),"",IF(OFFSET(TH!M$1,SMALL(Dong2,ROWS($1:18)),)=$I$6,OFFSET(TH!L$1,SMALL(Dong2,ROWS($1:18)),),OFFSET(TH!M$1,SMALL(Dong2,ROWS($1:18)),)))</f>
        <v>635</v>
      </c>
      <c r="F29" s="44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1083333</v>
      </c>
      <c r="H29" s="565">
        <f t="shared" ca="1" si="0"/>
        <v>6541824</v>
      </c>
      <c r="I29" s="437"/>
      <c r="L29" s="138"/>
    </row>
    <row r="30" spans="1:17" s="143" customFormat="1" ht="18.75" customHeight="1">
      <c r="A30" s="154">
        <f ca="1">IF(ROWS($1:19)&gt;COUNT(Dong2),"",OFFSET(TH!C$1,SMALL(Dong2,ROWS($1:19)),))</f>
        <v>42661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42661</v>
      </c>
      <c r="D30" s="230" t="str">
        <f ca="1">IF(ROWS($1:19)&gt;COUNT(Dong2),"",OFFSET(TH!F$1,SMALL(Dong2,ROWS($1:19)),))</f>
        <v>Lãi vay</v>
      </c>
      <c r="E30" s="154" t="str">
        <f ca="1">IF(ROWS($1:19)&gt;COUNT(Dong2),"",IF(OFFSET(TH!M$1,SMALL(Dong2,ROWS($1:19)),)=$I$6,OFFSET(TH!L$1,SMALL(Dong2,ROWS($1:19)),),OFFSET(TH!M$1,SMALL(Dong2,ROWS($1:19)),)))</f>
        <v>635</v>
      </c>
      <c r="F30" s="44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586130</v>
      </c>
      <c r="H30" s="565">
        <f t="shared" ca="1" si="0"/>
        <v>5955694</v>
      </c>
      <c r="I30" s="437"/>
      <c r="L30" s="138"/>
    </row>
    <row r="31" spans="1:17" s="143" customFormat="1" ht="18.75" customHeight="1">
      <c r="A31" s="154">
        <f ca="1">IF(ROWS($1:20)&gt;COUNT(Dong2),"",OFFSET(TH!C$1,SMALL(Dong2,ROWS($1:20)),))</f>
        <v>42661</v>
      </c>
      <c r="B31" s="154" t="str">
        <f ca="1">IF(ROWS($1:20)&gt;COUNT(Dong2),"",OFFSET(TH!D$1,SMALL(Dong2,ROWS($1:20)),))</f>
        <v>GBN</v>
      </c>
      <c r="C31" s="154">
        <f ca="1">IF(ROWS($1:20)&gt;COUNT(Dong2),"",OFFSET(TH!E$1,SMALL(Dong2,ROWS($1:20)),))</f>
        <v>42661</v>
      </c>
      <c r="D31" s="230" t="str">
        <f ca="1">IF(ROWS($1:20)&gt;COUNT(Dong2),"",OFFSET(TH!F$1,SMALL(Dong2,ROWS($1:20)),))</f>
        <v>Lãi vay</v>
      </c>
      <c r="E31" s="154" t="str">
        <f ca="1">IF(ROWS($1:20)&gt;COUNT(Dong2),"",IF(OFFSET(TH!M$1,SMALL(Dong2,ROWS($1:20)),)=$I$6,OFFSET(TH!L$1,SMALL(Dong2,ROWS($1:20)),),OFFSET(TH!M$1,SMALL(Dong2,ROWS($1:20)),)))</f>
        <v>635</v>
      </c>
      <c r="F31" s="44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4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126389</v>
      </c>
      <c r="H31" s="565">
        <f t="shared" ca="1" si="0"/>
        <v>5829305</v>
      </c>
      <c r="I31" s="437"/>
      <c r="L31" s="138"/>
    </row>
    <row r="32" spans="1:17" s="143" customFormat="1" ht="18.75" customHeight="1">
      <c r="A32" s="154">
        <f ca="1">IF(ROWS($1:21)&gt;COUNT(Dong2),"",OFFSET(TH!C$1,SMALL(Dong2,ROWS($1:21)),))</f>
        <v>42661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42661</v>
      </c>
      <c r="D32" s="230" t="str">
        <f ca="1">IF(ROWS($1:21)&gt;COUNT(Dong2),"",OFFSET(TH!F$1,SMALL(Dong2,ROWS($1:21)),))</f>
        <v>Lãi vay</v>
      </c>
      <c r="E32" s="154" t="str">
        <f ca="1">IF(ROWS($1:21)&gt;COUNT(Dong2),"",IF(OFFSET(TH!M$1,SMALL(Dong2,ROWS($1:21)),)=$I$6,OFFSET(TH!L$1,SMALL(Dong2,ROWS($1:21)),),OFFSET(TH!M$1,SMALL(Dong2,ROWS($1:21)),)))</f>
        <v>635</v>
      </c>
      <c r="F32" s="44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81250</v>
      </c>
      <c r="H32" s="565">
        <f t="shared" ca="1" si="0"/>
        <v>5748055</v>
      </c>
      <c r="I32" s="437"/>
      <c r="L32" s="138"/>
    </row>
    <row r="33" spans="1:12" s="143" customFormat="1" ht="18.75" customHeight="1">
      <c r="A33" s="154">
        <f ca="1">IF(ROWS($1:22)&gt;COUNT(Dong2),"",OFFSET(TH!C$1,SMALL(Dong2,ROWS($1:22)),))</f>
        <v>42663</v>
      </c>
      <c r="B33" s="154" t="str">
        <f ca="1">IF(ROWS($1:22)&gt;COUNT(Dong2),"",OFFSET(TH!D$1,SMALL(Dong2,ROWS($1:22)),))</f>
        <v>C05</v>
      </c>
      <c r="C33" s="154">
        <f ca="1">IF(ROWS($1:22)&gt;COUNT(Dong2),"",OFFSET(TH!E$1,SMALL(Dong2,ROWS($1:22)),))</f>
        <v>42663</v>
      </c>
      <c r="D33" s="230" t="str">
        <f ca="1">IF(ROWS($1:22)&gt;COUNT(Dong2),"",OFFSET(TH!F$1,SMALL(Dong2,ROWS($1:22)),))</f>
        <v>Nộp TM</v>
      </c>
      <c r="E33" s="154" t="str">
        <f ca="1">IF(ROWS($1:22)&gt;COUNT(Dong2),"",IF(OFFSET(TH!M$1,SMALL(Dong2,ROWS($1:22)),)=$I$6,OFFSET(TH!L$1,SMALL(Dong2,ROWS($1:22)),),OFFSET(TH!M$1,SMALL(Dong2,ROWS($1:22)),)))</f>
        <v>1111</v>
      </c>
      <c r="F33" s="44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90000000</v>
      </c>
      <c r="G33" s="44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65">
        <f t="shared" ca="1" si="0"/>
        <v>95748055</v>
      </c>
      <c r="I33" s="437"/>
      <c r="L33" s="138"/>
    </row>
    <row r="34" spans="1:12" s="143" customFormat="1" ht="18.75" customHeight="1">
      <c r="A34" s="154">
        <f ca="1">IF(ROWS($1:23)&gt;COUNT(Dong2),"",OFFSET(TH!C$1,SMALL(Dong2,ROWS($1:23)),))</f>
        <v>42663</v>
      </c>
      <c r="B34" s="154" t="str">
        <f ca="1">IF(ROWS($1:23)&gt;COUNT(Dong2),"",OFFSET(TH!D$1,SMALL(Dong2,ROWS($1:23)),))</f>
        <v>GBN</v>
      </c>
      <c r="C34" s="154">
        <f ca="1">IF(ROWS($1:23)&gt;COUNT(Dong2),"",OFFSET(TH!E$1,SMALL(Dong2,ROWS($1:23)),))</f>
        <v>42663</v>
      </c>
      <c r="D34" s="230" t="str">
        <f ca="1">IF(ROWS($1:23)&gt;COUNT(Dong2),"",OFFSET(TH!F$1,SMALL(Dong2,ROWS($1:23)),))</f>
        <v>Trả nợ vay</v>
      </c>
      <c r="E34" s="154" t="str">
        <f ca="1">IF(ROWS($1:23)&gt;COUNT(Dong2),"",IF(OFFSET(TH!M$1,SMALL(Dong2,ROWS($1:23)),)=$I$6,OFFSET(TH!L$1,SMALL(Dong2,ROWS($1:23)),),OFFSET(TH!M$1,SMALL(Dong2,ROWS($1:23)),)))</f>
        <v>3412</v>
      </c>
      <c r="F34" s="44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90000000</v>
      </c>
      <c r="H34" s="565">
        <f t="shared" ca="1" si="0"/>
        <v>5748055</v>
      </c>
      <c r="I34" s="437"/>
      <c r="L34" s="138"/>
    </row>
    <row r="35" spans="1:12" s="143" customFormat="1" ht="18.75" customHeight="1">
      <c r="A35" s="154">
        <f ca="1">IF(ROWS($1:24)&gt;COUNT(Dong2),"",OFFSET(TH!C$1,SMALL(Dong2,ROWS($1:24)),))</f>
        <v>42664</v>
      </c>
      <c r="B35" s="154" t="str">
        <f ca="1">IF(ROWS($1:24)&gt;COUNT(Dong2),"",OFFSET(TH!D$1,SMALL(Dong2,ROWS($1:24)),))</f>
        <v>T03</v>
      </c>
      <c r="C35" s="154">
        <f ca="1">IF(ROWS($1:24)&gt;COUNT(Dong2),"",OFFSET(TH!E$1,SMALL(Dong2,ROWS($1:24)),))</f>
        <v>42664</v>
      </c>
      <c r="D35" s="230" t="str">
        <f ca="1">IF(ROWS($1:24)&gt;COUNT(Dong2),"",OFFSET(TH!F$1,SMALL(Dong2,ROWS($1:24)),))</f>
        <v>Rút sec</v>
      </c>
      <c r="E35" s="154" t="str">
        <f ca="1">IF(ROWS($1:24)&gt;COUNT(Dong2),"",IF(OFFSET(TH!M$1,SMALL(Dong2,ROWS($1:24)),)=$I$6,OFFSET(TH!L$1,SMALL(Dong2,ROWS($1:24)),),OFFSET(TH!M$1,SMALL(Dong2,ROWS($1:24)),)))</f>
        <v>1111</v>
      </c>
      <c r="F35" s="44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</v>
      </c>
      <c r="H35" s="565">
        <f t="shared" ca="1" si="0"/>
        <v>748055</v>
      </c>
      <c r="I35" s="437"/>
      <c r="L35" s="138"/>
    </row>
    <row r="36" spans="1:12" s="143" customFormat="1" ht="18.75" customHeight="1">
      <c r="A36" s="154">
        <f ca="1">IF(ROWS($1:25)&gt;COUNT(Dong2),"",OFFSET(TH!C$1,SMALL(Dong2,ROWS($1:25)),))</f>
        <v>42664</v>
      </c>
      <c r="B36" s="154" t="str">
        <f ca="1">IF(ROWS($1:25)&gt;COUNT(Dong2),"",OFFSET(TH!D$1,SMALL(Dong2,ROWS($1:25)),))</f>
        <v>C06</v>
      </c>
      <c r="C36" s="154">
        <f ca="1">IF(ROWS($1:25)&gt;COUNT(Dong2),"",OFFSET(TH!E$1,SMALL(Dong2,ROWS($1:25)),))</f>
        <v>42664</v>
      </c>
      <c r="D36" s="230" t="str">
        <f ca="1">IF(ROWS($1:25)&gt;COUNT(Dong2),"",OFFSET(TH!F$1,SMALL(Dong2,ROWS($1:25)),))</f>
        <v>Nộp TM</v>
      </c>
      <c r="E36" s="154" t="str">
        <f ca="1">IF(ROWS($1:25)&gt;COUNT(Dong2),"",IF(OFFSET(TH!M$1,SMALL(Dong2,ROWS($1:25)),)=$I$6,OFFSET(TH!L$1,SMALL(Dong2,ROWS($1:25)),),OFFSET(TH!M$1,SMALL(Dong2,ROWS($1:25)),)))</f>
        <v>1111</v>
      </c>
      <c r="F36" s="44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300000</v>
      </c>
      <c r="G36" s="44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65">
        <f t="shared" ca="1" si="0"/>
        <v>1048055</v>
      </c>
      <c r="I36" s="437"/>
      <c r="L36" s="138"/>
    </row>
    <row r="37" spans="1:12" s="143" customFormat="1" ht="18.75" customHeight="1">
      <c r="A37" s="154">
        <f ca="1">IF(ROWS($1:26)&gt;COUNT(Dong2),"",OFFSET(TH!C$1,SMALL(Dong2,ROWS($1:26)),))</f>
        <v>42667</v>
      </c>
      <c r="B37" s="154" t="str">
        <f ca="1">IF(ROWS($1:26)&gt;COUNT(Dong2),"",OFFSET(TH!D$1,SMALL(Dong2,ROWS($1:26)),))</f>
        <v>GBN</v>
      </c>
      <c r="C37" s="154">
        <f ca="1">IF(ROWS($1:26)&gt;COUNT(Dong2),"",OFFSET(TH!E$1,SMALL(Dong2,ROWS($1:26)),))</f>
        <v>42667</v>
      </c>
      <c r="D37" s="230" t="str">
        <f ca="1">IF(ROWS($1:26)&gt;COUNT(Dong2),"",OFFSET(TH!F$1,SMALL(Dong2,ROWS($1:26)),))</f>
        <v>Vay</v>
      </c>
      <c r="E37" s="154" t="str">
        <f ca="1">IF(ROWS($1:26)&gt;COUNT(Dong2),"",IF(OFFSET(TH!M$1,SMALL(Dong2,ROWS($1:26)),)=$I$6,OFFSET(TH!L$1,SMALL(Dong2,ROWS($1:26)),),OFFSET(TH!M$1,SMALL(Dong2,ROWS($1:26)),)))</f>
        <v>3412</v>
      </c>
      <c r="F37" s="44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250000000</v>
      </c>
      <c r="G37" s="44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65">
        <f t="shared" ca="1" si="0"/>
        <v>251048055</v>
      </c>
      <c r="I37" s="437"/>
      <c r="L37" s="138"/>
    </row>
    <row r="38" spans="1:12" s="143" customFormat="1" ht="18.75" customHeight="1">
      <c r="A38" s="154">
        <f ca="1">IF(ROWS($1:27)&gt;COUNT(Dong2),"",OFFSET(TH!C$1,SMALL(Dong2,ROWS($1:27)),))</f>
        <v>42667</v>
      </c>
      <c r="B38" s="154" t="str">
        <f ca="1">IF(ROWS($1:27)&gt;COUNT(Dong2),"",OFFSET(TH!D$1,SMALL(Dong2,ROWS($1:27)),))</f>
        <v>GBN</v>
      </c>
      <c r="C38" s="154">
        <f ca="1">IF(ROWS($1:27)&gt;COUNT(Dong2),"",OFFSET(TH!E$1,SMALL(Dong2,ROWS($1:27)),))</f>
        <v>42667</v>
      </c>
      <c r="D38" s="230" t="str">
        <f ca="1">IF(ROWS($1:27)&gt;COUNT(Dong2),"",OFFSET(TH!F$1,SMALL(Dong2,ROWS($1:27)),))</f>
        <v>Thanh toán tiền hàng</v>
      </c>
      <c r="E38" s="154" t="str">
        <f ca="1">IF(ROWS($1:27)&gt;COUNT(Dong2),"",IF(OFFSET(TH!M$1,SMALL(Dong2,ROWS($1:27)),)=$I$6,OFFSET(TH!L$1,SMALL(Dong2,ROWS($1:27)),),OFFSET(TH!M$1,SMALL(Dong2,ROWS($1:27)),)))</f>
        <v>331</v>
      </c>
      <c r="F38" s="44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20566500</v>
      </c>
      <c r="H38" s="565">
        <f t="shared" ca="1" si="0"/>
        <v>230481555</v>
      </c>
      <c r="I38" s="437"/>
      <c r="L38" s="138"/>
    </row>
    <row r="39" spans="1:12" s="143" customFormat="1" ht="18.75" customHeight="1">
      <c r="A39" s="154">
        <f ca="1">IF(ROWS($1:28)&gt;COUNT(Dong2),"",OFFSET(TH!C$1,SMALL(Dong2,ROWS($1:28)),))</f>
        <v>42667</v>
      </c>
      <c r="B39" s="154" t="str">
        <f ca="1">IF(ROWS($1:28)&gt;COUNT(Dong2),"",OFFSET(TH!D$1,SMALL(Dong2,ROWS($1:28)),))</f>
        <v>GBN</v>
      </c>
      <c r="C39" s="154">
        <f ca="1">IF(ROWS($1:28)&gt;COUNT(Dong2),"",OFFSET(TH!E$1,SMALL(Dong2,ROWS($1:28)),))</f>
        <v>42667</v>
      </c>
      <c r="D39" s="230" t="str">
        <f ca="1">IF(ROWS($1:28)&gt;COUNT(Dong2),"",OFFSET(TH!F$1,SMALL(Dong2,ROWS($1:28)),))</f>
        <v>Thanh toán tiền mua xe ô tô</v>
      </c>
      <c r="E39" s="154" t="str">
        <f ca="1">IF(ROWS($1:28)&gt;COUNT(Dong2),"",IF(OFFSET(TH!M$1,SMALL(Dong2,ROWS($1:28)),)=$I$6,OFFSET(TH!L$1,SMALL(Dong2,ROWS($1:28)),),OFFSET(TH!M$1,SMALL(Dong2,ROWS($1:28)),)))</f>
        <v>331</v>
      </c>
      <c r="F39" s="440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0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203522385</v>
      </c>
      <c r="H39" s="565">
        <f t="shared" ca="1" si="0"/>
        <v>26959170</v>
      </c>
      <c r="I39" s="437"/>
      <c r="L39" s="138"/>
    </row>
    <row r="40" spans="1:12" s="143" customFormat="1" ht="18.75" customHeight="1">
      <c r="A40" s="154">
        <f ca="1">IF(ROWS($1:29)&gt;COUNT(Dong2),"",OFFSET(TH!C$1,SMALL(Dong2,ROWS($1:29)),))</f>
        <v>42667</v>
      </c>
      <c r="B40" s="154" t="str">
        <f ca="1">IF(ROWS($1:29)&gt;COUNT(Dong2),"",OFFSET(TH!D$1,SMALL(Dong2,ROWS($1:29)),))</f>
        <v>T04</v>
      </c>
      <c r="C40" s="154">
        <f ca="1">IF(ROWS($1:29)&gt;COUNT(Dong2),"",OFFSET(TH!E$1,SMALL(Dong2,ROWS($1:29)),))</f>
        <v>42667</v>
      </c>
      <c r="D40" s="230" t="str">
        <f ca="1">IF(ROWS($1:29)&gt;COUNT(Dong2),"",OFFSET(TH!F$1,SMALL(Dong2,ROWS($1:29)),))</f>
        <v>Rút sec</v>
      </c>
      <c r="E40" s="154" t="str">
        <f ca="1">IF(ROWS($1:29)&gt;COUNT(Dong2),"",IF(OFFSET(TH!M$1,SMALL(Dong2,ROWS($1:29)),)=$I$6,OFFSET(TH!L$1,SMALL(Dong2,ROWS($1:29)),),OFFSET(TH!M$1,SMALL(Dong2,ROWS($1:29)),)))</f>
        <v>1111</v>
      </c>
      <c r="F40" s="440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0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25500000</v>
      </c>
      <c r="H40" s="565">
        <f t="shared" ca="1" si="0"/>
        <v>1459170</v>
      </c>
      <c r="I40" s="437"/>
    </row>
    <row r="41" spans="1:12" s="143" customFormat="1" ht="18.75" customHeight="1">
      <c r="A41" s="154">
        <f ca="1">IF(ROWS($1:30)&gt;COUNT(Dong2),"",OFFSET(TH!C$1,SMALL(Dong2,ROWS($1:30)),))</f>
        <v>42667</v>
      </c>
      <c r="B41" s="154" t="str">
        <f ca="1">IF(ROWS($1:30)&gt;COUNT(Dong2),"",OFFSET(TH!D$1,SMALL(Dong2,ROWS($1:30)),))</f>
        <v>GBN</v>
      </c>
      <c r="C41" s="154">
        <f ca="1">IF(ROWS($1:30)&gt;COUNT(Dong2),"",OFFSET(TH!E$1,SMALL(Dong2,ROWS($1:30)),))</f>
        <v>42667</v>
      </c>
      <c r="D41" s="230" t="str">
        <f ca="1">IF(ROWS($1:30)&gt;COUNT(Dong2),"",OFFSET(TH!F$1,SMALL(Dong2,ROWS($1:30)),))</f>
        <v>Phí chuyển sớm</v>
      </c>
      <c r="E41" s="154" t="str">
        <f ca="1">IF(ROWS($1:30)&gt;COUNT(Dong2),"",IF(OFFSET(TH!M$1,SMALL(Dong2,ROWS($1:30)),)=$I$6,OFFSET(TH!L$1,SMALL(Dong2,ROWS($1:30)),),OFFSET(TH!M$1,SMALL(Dong2,ROWS($1:30)),)))</f>
        <v>642</v>
      </c>
      <c r="F41" s="440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40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25000</v>
      </c>
      <c r="H41" s="565">
        <f t="shared" ref="H41:H42" ca="1" si="1">IF(A41&lt;&gt;"",H40+F41-G41,0)</f>
        <v>1434170</v>
      </c>
      <c r="I41" s="437"/>
    </row>
    <row r="42" spans="1:12" s="143" customFormat="1" ht="18.75" customHeight="1">
      <c r="A42" s="154">
        <f ca="1">IF(ROWS($1:31)&gt;COUNT(Dong2),"",OFFSET(TH!C$1,SMALL(Dong2,ROWS($1:31)),))</f>
        <v>42667</v>
      </c>
      <c r="B42" s="154" t="str">
        <f ca="1">IF(ROWS($1:31)&gt;COUNT(Dong2),"",OFFSET(TH!D$1,SMALL(Dong2,ROWS($1:31)),))</f>
        <v>GBN</v>
      </c>
      <c r="C42" s="154">
        <f ca="1">IF(ROWS($1:31)&gt;COUNT(Dong2),"",OFFSET(TH!E$1,SMALL(Dong2,ROWS($1:31)),))</f>
        <v>42667</v>
      </c>
      <c r="D42" s="230" t="str">
        <f ca="1">IF(ROWS($1:31)&gt;COUNT(Dong2),"",OFFSET(TH!F$1,SMALL(Dong2,ROWS($1:31)),))</f>
        <v>VAT Phí chuyển sớm</v>
      </c>
      <c r="E42" s="154" t="str">
        <f ca="1">IF(ROWS($1:31)&gt;COUNT(Dong2),"",IF(OFFSET(TH!M$1,SMALL(Dong2,ROWS($1:31)),)=$I$6,OFFSET(TH!L$1,SMALL(Dong2,ROWS($1:31)),),OFFSET(TH!M$1,SMALL(Dong2,ROWS($1:31)),)))</f>
        <v>1331</v>
      </c>
      <c r="F42" s="440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0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2500</v>
      </c>
      <c r="H42" s="565">
        <f t="shared" ca="1" si="1"/>
        <v>1431670</v>
      </c>
      <c r="I42" s="437"/>
    </row>
    <row r="43" spans="1:12" s="143" customFormat="1" ht="18.75" customHeight="1">
      <c r="A43" s="154">
        <f ca="1">IF(ROWS($1:32)&gt;COUNT(Dong2),"",OFFSET(TH!C$1,SMALL(Dong2,ROWS($1:32)),))</f>
        <v>42671</v>
      </c>
      <c r="B43" s="154" t="str">
        <f ca="1">IF(ROWS($1:32)&gt;COUNT(Dong2),"",OFFSET(TH!D$1,SMALL(Dong2,ROWS($1:32)),))</f>
        <v>GBN</v>
      </c>
      <c r="C43" s="154">
        <f ca="1">IF(ROWS($1:32)&gt;COUNT(Dong2),"",OFFSET(TH!E$1,SMALL(Dong2,ROWS($1:32)),))</f>
        <v>42671</v>
      </c>
      <c r="D43" s="230" t="str">
        <f ca="1">IF(ROWS($1:32)&gt;COUNT(Dong2),"",OFFSET(TH!F$1,SMALL(Dong2,ROWS($1:32)),))</f>
        <v>Thu tiền hàng</v>
      </c>
      <c r="E43" s="154" t="str">
        <f ca="1">IF(ROWS($1:32)&gt;COUNT(Dong2),"",IF(OFFSET(TH!M$1,SMALL(Dong2,ROWS($1:32)),)=$I$6,OFFSET(TH!L$1,SMALL(Dong2,ROWS($1:32)),),OFFSET(TH!M$1,SMALL(Dong2,ROWS($1:32)),)))</f>
        <v>131</v>
      </c>
      <c r="F43" s="440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7057303</v>
      </c>
      <c r="G43" s="440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65">
        <f t="shared" ref="H43:H64" ca="1" si="2">IF(A43&lt;&gt;"",H42+F43-G43,0)</f>
        <v>8488973</v>
      </c>
      <c r="I43" s="437"/>
    </row>
    <row r="44" spans="1:12" s="143" customFormat="1" ht="18.75" customHeight="1">
      <c r="A44" s="154">
        <f ca="1">IF(ROWS($1:33)&gt;COUNT(Dong2),"",OFFSET(TH!C$1,SMALL(Dong2,ROWS($1:33)),))</f>
        <v>42674</v>
      </c>
      <c r="B44" s="154" t="str">
        <f ca="1">IF(ROWS($1:33)&gt;COUNT(Dong2),"",OFFSET(TH!D$1,SMALL(Dong2,ROWS($1:33)),))</f>
        <v>T06</v>
      </c>
      <c r="C44" s="154">
        <f ca="1">IF(ROWS($1:33)&gt;COUNT(Dong2),"",OFFSET(TH!E$1,SMALL(Dong2,ROWS($1:33)),))</f>
        <v>42674</v>
      </c>
      <c r="D44" s="230" t="str">
        <f ca="1">IF(ROWS($1:33)&gt;COUNT(Dong2),"",OFFSET(TH!F$1,SMALL(Dong2,ROWS($1:33)),))</f>
        <v>Rút sec</v>
      </c>
      <c r="E44" s="154" t="str">
        <f ca="1">IF(ROWS($1:33)&gt;COUNT(Dong2),"",IF(OFFSET(TH!M$1,SMALL(Dong2,ROWS($1:33)),)=$I$6,OFFSET(TH!L$1,SMALL(Dong2,ROWS($1:33)),),OFFSET(TH!M$1,SMALL(Dong2,ROWS($1:33)),)))</f>
        <v>1111</v>
      </c>
      <c r="F44" s="440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0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7000000</v>
      </c>
      <c r="H44" s="565">
        <f t="shared" ca="1" si="2"/>
        <v>1488973</v>
      </c>
      <c r="I44" s="437"/>
    </row>
    <row r="45" spans="1:12" s="143" customFormat="1" ht="18.75" customHeight="1">
      <c r="A45" s="154">
        <f ca="1">IF(ROWS($1:34)&gt;COUNT(Dong2),"",OFFSET(TH!C$1,SMALL(Dong2,ROWS($1:34)),))</f>
        <v>42674</v>
      </c>
      <c r="B45" s="154" t="str">
        <f ca="1">IF(ROWS($1:34)&gt;COUNT(Dong2),"",OFFSET(TH!D$1,SMALL(Dong2,ROWS($1:34)),))</f>
        <v>GBN</v>
      </c>
      <c r="C45" s="154">
        <f ca="1">IF(ROWS($1:34)&gt;COUNT(Dong2),"",OFFSET(TH!E$1,SMALL(Dong2,ROWS($1:34)),))</f>
        <v>42674</v>
      </c>
      <c r="D45" s="230" t="str">
        <f ca="1">IF(ROWS($1:34)&gt;COUNT(Dong2),"",OFFSET(TH!F$1,SMALL(Dong2,ROWS($1:34)),))</f>
        <v>Lãi tiền gửi</v>
      </c>
      <c r="E45" s="154" t="str">
        <f ca="1">IF(ROWS($1:34)&gt;COUNT(Dong2),"",IF(OFFSET(TH!M$1,SMALL(Dong2,ROWS($1:34)),)=$I$6,OFFSET(TH!L$1,SMALL(Dong2,ROWS($1:34)),),OFFSET(TH!M$1,SMALL(Dong2,ROWS($1:34)),)))</f>
        <v>515</v>
      </c>
      <c r="F45" s="440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3500</v>
      </c>
      <c r="G45" s="440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65">
        <f t="shared" ca="1" si="2"/>
        <v>1492473</v>
      </c>
      <c r="I45" s="437"/>
    </row>
    <row r="46" spans="1:12" s="143" customFormat="1" ht="18.75" customHeight="1">
      <c r="A46" s="154">
        <f ca="1">IF(ROWS($1:35)&gt;COUNT(Dong2),"",OFFSET(TH!C$1,SMALL(Dong2,ROWS($1:35)),))</f>
        <v>42676</v>
      </c>
      <c r="B46" s="154" t="str">
        <f ca="1">IF(ROWS($1:35)&gt;COUNT(Dong2),"",OFFSET(TH!D$1,SMALL(Dong2,ROWS($1:35)),))</f>
        <v>GBN</v>
      </c>
      <c r="C46" s="154">
        <f ca="1">IF(ROWS($1:35)&gt;COUNT(Dong2),"",OFFSET(TH!E$1,SMALL(Dong2,ROWS($1:35)),))</f>
        <v>42676</v>
      </c>
      <c r="D46" s="230" t="str">
        <f ca="1">IF(ROWS($1:35)&gt;COUNT(Dong2),"",OFFSET(TH!F$1,SMALL(Dong2,ROWS($1:35)),))</f>
        <v>Thu tiền hàng</v>
      </c>
      <c r="E46" s="154" t="str">
        <f ca="1">IF(ROWS($1:35)&gt;COUNT(Dong2),"",IF(OFFSET(TH!M$1,SMALL(Dong2,ROWS($1:35)),)=$I$6,OFFSET(TH!L$1,SMALL(Dong2,ROWS($1:35)),),OFFSET(TH!M$1,SMALL(Dong2,ROWS($1:35)),)))</f>
        <v>131</v>
      </c>
      <c r="F46" s="440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8386724</v>
      </c>
      <c r="G46" s="440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565">
        <f t="shared" ca="1" si="2"/>
        <v>9879197</v>
      </c>
      <c r="I46" s="437"/>
    </row>
    <row r="47" spans="1:12" s="143" customFormat="1" ht="18.75" customHeight="1">
      <c r="A47" s="154">
        <f ca="1">IF(ROWS($1:36)&gt;COUNT(Dong2),"",OFFSET(TH!C$1,SMALL(Dong2,ROWS($1:36)),))</f>
        <v>42678</v>
      </c>
      <c r="B47" s="154" t="str">
        <f ca="1">IF(ROWS($1:36)&gt;COUNT(Dong2),"",OFFSET(TH!D$1,SMALL(Dong2,ROWS($1:36)),))</f>
        <v>GBN</v>
      </c>
      <c r="C47" s="154">
        <f ca="1">IF(ROWS($1:36)&gt;COUNT(Dong2),"",OFFSET(TH!E$1,SMALL(Dong2,ROWS($1:36)),))</f>
        <v>42678</v>
      </c>
      <c r="D47" s="230" t="str">
        <f ca="1">IF(ROWS($1:36)&gt;COUNT(Dong2),"",OFFSET(TH!F$1,SMALL(Dong2,ROWS($1:36)),))</f>
        <v>Thanh toán tiền hàng</v>
      </c>
      <c r="E47" s="154" t="str">
        <f ca="1">IF(ROWS($1:36)&gt;COUNT(Dong2),"",IF(OFFSET(TH!M$1,SMALL(Dong2,ROWS($1:36)),)=$I$6,OFFSET(TH!L$1,SMALL(Dong2,ROWS($1:36)),),OFFSET(TH!M$1,SMALL(Dong2,ROWS($1:36)),)))</f>
        <v>331</v>
      </c>
      <c r="F47" s="440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40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8000000</v>
      </c>
      <c r="H47" s="565">
        <f t="shared" ca="1" si="2"/>
        <v>1879197</v>
      </c>
      <c r="I47" s="437"/>
    </row>
    <row r="48" spans="1:12" s="143" customFormat="1" ht="18.75" customHeight="1">
      <c r="A48" s="154">
        <f ca="1">IF(ROWS($1:37)&gt;COUNT(Dong2),"",OFFSET(TH!C$1,SMALL(Dong2,ROWS($1:37)),))</f>
        <v>42678</v>
      </c>
      <c r="B48" s="154" t="str">
        <f ca="1">IF(ROWS($1:37)&gt;COUNT(Dong2),"",OFFSET(TH!D$1,SMALL(Dong2,ROWS($1:37)),))</f>
        <v>GBN</v>
      </c>
      <c r="C48" s="154">
        <f ca="1">IF(ROWS($1:37)&gt;COUNT(Dong2),"",OFFSET(TH!E$1,SMALL(Dong2,ROWS($1:37)),))</f>
        <v>42678</v>
      </c>
      <c r="D48" s="230" t="str">
        <f ca="1">IF(ROWS($1:37)&gt;COUNT(Dong2),"",OFFSET(TH!F$1,SMALL(Dong2,ROWS($1:37)),))</f>
        <v>Phí chuyển tiền</v>
      </c>
      <c r="E48" s="154" t="str">
        <f ca="1">IF(ROWS($1:37)&gt;COUNT(Dong2),"",IF(OFFSET(TH!M$1,SMALL(Dong2,ROWS($1:37)),)=$I$6,OFFSET(TH!L$1,SMALL(Dong2,ROWS($1:37)),),OFFSET(TH!M$1,SMALL(Dong2,ROWS($1:37)),)))</f>
        <v>642</v>
      </c>
      <c r="F48" s="440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40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15000</v>
      </c>
      <c r="H48" s="565">
        <f t="shared" ca="1" si="2"/>
        <v>1864197</v>
      </c>
      <c r="I48" s="437"/>
    </row>
    <row r="49" spans="1:9" s="143" customFormat="1" ht="18.75" customHeight="1">
      <c r="A49" s="154">
        <f ca="1">IF(ROWS($1:38)&gt;COUNT(Dong2),"",OFFSET(TH!C$1,SMALL(Dong2,ROWS($1:38)),))</f>
        <v>42678</v>
      </c>
      <c r="B49" s="154" t="str">
        <f ca="1">IF(ROWS($1:38)&gt;COUNT(Dong2),"",OFFSET(TH!D$1,SMALL(Dong2,ROWS($1:38)),))</f>
        <v>GBN</v>
      </c>
      <c r="C49" s="154">
        <f ca="1">IF(ROWS($1:38)&gt;COUNT(Dong2),"",OFFSET(TH!E$1,SMALL(Dong2,ROWS($1:38)),))</f>
        <v>42678</v>
      </c>
      <c r="D49" s="230" t="str">
        <f ca="1">IF(ROWS($1:38)&gt;COUNT(Dong2),"",OFFSET(TH!F$1,SMALL(Dong2,ROWS($1:38)),))</f>
        <v>VAT Phí chuyển tiền</v>
      </c>
      <c r="E49" s="154" t="str">
        <f ca="1">IF(ROWS($1:38)&gt;COUNT(Dong2),"",IF(OFFSET(TH!M$1,SMALL(Dong2,ROWS($1:38)),)=$I$6,OFFSET(TH!L$1,SMALL(Dong2,ROWS($1:38)),),OFFSET(TH!M$1,SMALL(Dong2,ROWS($1:38)),)))</f>
        <v>1331</v>
      </c>
      <c r="F49" s="440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40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</v>
      </c>
      <c r="H49" s="565">
        <f t="shared" ca="1" si="2"/>
        <v>1862697</v>
      </c>
      <c r="I49" s="437"/>
    </row>
    <row r="50" spans="1:9" s="143" customFormat="1" ht="18.75" customHeight="1">
      <c r="A50" s="154">
        <f ca="1">IF(ROWS($1:39)&gt;COUNT(Dong2),"",OFFSET(TH!C$1,SMALL(Dong2,ROWS($1:39)),))</f>
        <v>42684</v>
      </c>
      <c r="B50" s="154" t="str">
        <f ca="1">IF(ROWS($1:39)&gt;COUNT(Dong2),"",OFFSET(TH!D$1,SMALL(Dong2,ROWS($1:39)),))</f>
        <v>GBN</v>
      </c>
      <c r="C50" s="154">
        <f ca="1">IF(ROWS($1:39)&gt;COUNT(Dong2),"",OFFSET(TH!E$1,SMALL(Dong2,ROWS($1:39)),))</f>
        <v>42684</v>
      </c>
      <c r="D50" s="230" t="str">
        <f ca="1">IF(ROWS($1:39)&gt;COUNT(Dong2),"",OFFSET(TH!F$1,SMALL(Dong2,ROWS($1:39)),))</f>
        <v>Vay</v>
      </c>
      <c r="E50" s="154" t="str">
        <f ca="1">IF(ROWS($1:39)&gt;COUNT(Dong2),"",IF(OFFSET(TH!M$1,SMALL(Dong2,ROWS($1:39)),)=$I$6,OFFSET(TH!L$1,SMALL(Dong2,ROWS($1:39)),),OFFSET(TH!M$1,SMALL(Dong2,ROWS($1:39)),)))</f>
        <v>3412</v>
      </c>
      <c r="F50" s="440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50000000</v>
      </c>
      <c r="G50" s="440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65">
        <f t="shared" ca="1" si="2"/>
        <v>51862697</v>
      </c>
      <c r="I50" s="437"/>
    </row>
    <row r="51" spans="1:9" s="143" customFormat="1" ht="18.75" customHeight="1">
      <c r="A51" s="154">
        <f ca="1">IF(ROWS($1:40)&gt;COUNT(Dong2),"",OFFSET(TH!C$1,SMALL(Dong2,ROWS($1:40)),))</f>
        <v>42684</v>
      </c>
      <c r="B51" s="154" t="str">
        <f ca="1">IF(ROWS($1:40)&gt;COUNT(Dong2),"",OFFSET(TH!D$1,SMALL(Dong2,ROWS($1:40)),))</f>
        <v>GBN</v>
      </c>
      <c r="C51" s="154">
        <f ca="1">IF(ROWS($1:40)&gt;COUNT(Dong2),"",OFFSET(TH!E$1,SMALL(Dong2,ROWS($1:40)),))</f>
        <v>42684</v>
      </c>
      <c r="D51" s="230" t="str">
        <f ca="1">IF(ROWS($1:40)&gt;COUNT(Dong2),"",OFFSET(TH!F$1,SMALL(Dong2,ROWS($1:40)),))</f>
        <v>Thanh toán tiền hàng</v>
      </c>
      <c r="E51" s="154" t="str">
        <f ca="1">IF(ROWS($1:40)&gt;COUNT(Dong2),"",IF(OFFSET(TH!M$1,SMALL(Dong2,ROWS($1:40)),)=$I$6,OFFSET(TH!L$1,SMALL(Dong2,ROWS($1:40)),),OFFSET(TH!M$1,SMALL(Dong2,ROWS($1:40)),)))</f>
        <v>331</v>
      </c>
      <c r="F51" s="440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40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50000000</v>
      </c>
      <c r="H51" s="565">
        <f t="shared" ca="1" si="2"/>
        <v>1862697</v>
      </c>
      <c r="I51" s="437"/>
    </row>
    <row r="52" spans="1:9" s="143" customFormat="1" ht="18.75" customHeight="1">
      <c r="A52" s="154">
        <f ca="1">IF(ROWS($1:41)&gt;COUNT(Dong2),"",OFFSET(TH!C$1,SMALL(Dong2,ROWS($1:41)),))</f>
        <v>42684</v>
      </c>
      <c r="B52" s="154" t="str">
        <f ca="1">IF(ROWS($1:41)&gt;COUNT(Dong2),"",OFFSET(TH!D$1,SMALL(Dong2,ROWS($1:41)),))</f>
        <v>GBN</v>
      </c>
      <c r="C52" s="154">
        <f ca="1">IF(ROWS($1:41)&gt;COUNT(Dong2),"",OFFSET(TH!E$1,SMALL(Dong2,ROWS($1:41)),))</f>
        <v>42684</v>
      </c>
      <c r="D52" s="230" t="str">
        <f ca="1">IF(ROWS($1:41)&gt;COUNT(Dong2),"",OFFSET(TH!F$1,SMALL(Dong2,ROWS($1:41)),))</f>
        <v>Phí chuyển tiền</v>
      </c>
      <c r="E52" s="154" t="str">
        <f ca="1">IF(ROWS($1:41)&gt;COUNT(Dong2),"",IF(OFFSET(TH!M$1,SMALL(Dong2,ROWS($1:41)),)=$I$6,OFFSET(TH!L$1,SMALL(Dong2,ROWS($1:41)),),OFFSET(TH!M$1,SMALL(Dong2,ROWS($1:41)),)))</f>
        <v>642</v>
      </c>
      <c r="F52" s="440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40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20000</v>
      </c>
      <c r="H52" s="565">
        <f t="shared" ca="1" si="2"/>
        <v>1842697</v>
      </c>
      <c r="I52" s="437"/>
    </row>
    <row r="53" spans="1:9" s="143" customFormat="1" ht="18.75" customHeight="1">
      <c r="A53" s="154">
        <f ca="1">IF(ROWS($1:42)&gt;COUNT(Dong2),"",OFFSET(TH!C$1,SMALL(Dong2,ROWS($1:42)),))</f>
        <v>42684</v>
      </c>
      <c r="B53" s="154" t="str">
        <f ca="1">IF(ROWS($1:42)&gt;COUNT(Dong2),"",OFFSET(TH!D$1,SMALL(Dong2,ROWS($1:42)),))</f>
        <v>GBN</v>
      </c>
      <c r="C53" s="154">
        <f ca="1">IF(ROWS($1:42)&gt;COUNT(Dong2),"",OFFSET(TH!E$1,SMALL(Dong2,ROWS($1:42)),))</f>
        <v>42684</v>
      </c>
      <c r="D53" s="230" t="str">
        <f ca="1">IF(ROWS($1:42)&gt;COUNT(Dong2),"",OFFSET(TH!F$1,SMALL(Dong2,ROWS($1:42)),))</f>
        <v>VAT Phí chuyển tiền</v>
      </c>
      <c r="E53" s="154" t="str">
        <f ca="1">IF(ROWS($1:42)&gt;COUNT(Dong2),"",IF(OFFSET(TH!M$1,SMALL(Dong2,ROWS($1:42)),)=$I$6,OFFSET(TH!L$1,SMALL(Dong2,ROWS($1:42)),),OFFSET(TH!M$1,SMALL(Dong2,ROWS($1:42)),)))</f>
        <v>1331</v>
      </c>
      <c r="F53" s="440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40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</v>
      </c>
      <c r="H53" s="565">
        <f t="shared" ca="1" si="2"/>
        <v>1840697</v>
      </c>
      <c r="I53" s="437"/>
    </row>
    <row r="54" spans="1:9" s="143" customFormat="1" ht="18.75" customHeight="1">
      <c r="A54" s="154">
        <f ca="1">IF(ROWS($1:43)&gt;COUNT(Dong2),"",OFFSET(TH!C$1,SMALL(Dong2,ROWS($1:43)),))</f>
        <v>42689</v>
      </c>
      <c r="B54" s="154" t="str">
        <f ca="1">IF(ROWS($1:43)&gt;COUNT(Dong2),"",OFFSET(TH!D$1,SMALL(Dong2,ROWS($1:43)),))</f>
        <v>GBN</v>
      </c>
      <c r="C54" s="154">
        <f ca="1">IF(ROWS($1:43)&gt;COUNT(Dong2),"",OFFSET(TH!E$1,SMALL(Dong2,ROWS($1:43)),))</f>
        <v>42689</v>
      </c>
      <c r="D54" s="230" t="str">
        <f ca="1">IF(ROWS($1:43)&gt;COUNT(Dong2),"",OFFSET(TH!F$1,SMALL(Dong2,ROWS($1:43)),))</f>
        <v>Phí chuyển tiền</v>
      </c>
      <c r="E54" s="154" t="str">
        <f ca="1">IF(ROWS($1:43)&gt;COUNT(Dong2),"",IF(OFFSET(TH!M$1,SMALL(Dong2,ROWS($1:43)),)=$I$6,OFFSET(TH!L$1,SMALL(Dong2,ROWS($1:43)),),OFFSET(TH!M$1,SMALL(Dong2,ROWS($1:43)),)))</f>
        <v>642</v>
      </c>
      <c r="F54" s="440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40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47000</v>
      </c>
      <c r="H54" s="565">
        <f t="shared" ca="1" si="2"/>
        <v>1793697</v>
      </c>
      <c r="I54" s="437"/>
    </row>
    <row r="55" spans="1:9" s="143" customFormat="1" ht="18.75" customHeight="1">
      <c r="A55" s="154">
        <f ca="1">IF(ROWS($1:44)&gt;COUNT(Dong2),"",OFFSET(TH!C$1,SMALL(Dong2,ROWS($1:44)),))</f>
        <v>42689</v>
      </c>
      <c r="B55" s="154" t="str">
        <f ca="1">IF(ROWS($1:44)&gt;COUNT(Dong2),"",OFFSET(TH!D$1,SMALL(Dong2,ROWS($1:44)),))</f>
        <v>GBN</v>
      </c>
      <c r="C55" s="154">
        <f ca="1">IF(ROWS($1:44)&gt;COUNT(Dong2),"",OFFSET(TH!E$1,SMALL(Dong2,ROWS($1:44)),))</f>
        <v>42689</v>
      </c>
      <c r="D55" s="230" t="str">
        <f ca="1">IF(ROWS($1:44)&gt;COUNT(Dong2),"",OFFSET(TH!F$1,SMALL(Dong2,ROWS($1:44)),))</f>
        <v>VAT Phí chuyển tiền</v>
      </c>
      <c r="E55" s="154" t="str">
        <f ca="1">IF(ROWS($1:44)&gt;COUNT(Dong2),"",IF(OFFSET(TH!M$1,SMALL(Dong2,ROWS($1:44)),)=$I$6,OFFSET(TH!L$1,SMALL(Dong2,ROWS($1:44)),),OFFSET(TH!M$1,SMALL(Dong2,ROWS($1:44)),)))</f>
        <v>1331</v>
      </c>
      <c r="F55" s="440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40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4700</v>
      </c>
      <c r="H55" s="565">
        <f t="shared" ca="1" si="2"/>
        <v>1788997</v>
      </c>
      <c r="I55" s="437"/>
    </row>
    <row r="56" spans="1:9" s="143" customFormat="1" ht="18.75" customHeight="1">
      <c r="A56" s="154">
        <f ca="1">IF(ROWS($1:45)&gt;COUNT(Dong2),"",OFFSET(TH!C$1,SMALL(Dong2,ROWS($1:45)),))</f>
        <v>42689</v>
      </c>
      <c r="B56" s="154" t="str">
        <f ca="1">IF(ROWS($1:45)&gt;COUNT(Dong2),"",OFFSET(TH!D$1,SMALL(Dong2,ROWS($1:45)),))</f>
        <v>GBN</v>
      </c>
      <c r="C56" s="154">
        <f ca="1">IF(ROWS($1:45)&gt;COUNT(Dong2),"",OFFSET(TH!E$1,SMALL(Dong2,ROWS($1:45)),))</f>
        <v>42689</v>
      </c>
      <c r="D56" s="230" t="str">
        <f ca="1">IF(ROWS($1:45)&gt;COUNT(Dong2),"",OFFSET(TH!F$1,SMALL(Dong2,ROWS($1:45)),))</f>
        <v>Vay KU 1903LDS201600890</v>
      </c>
      <c r="E56" s="154" t="str">
        <f ca="1">IF(ROWS($1:45)&gt;COUNT(Dong2),"",IF(OFFSET(TH!M$1,SMALL(Dong2,ROWS($1:45)),)=$I$6,OFFSET(TH!L$1,SMALL(Dong2,ROWS($1:45)),),OFFSET(TH!M$1,SMALL(Dong2,ROWS($1:45)),)))</f>
        <v>3411</v>
      </c>
      <c r="F56" s="440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470000000</v>
      </c>
      <c r="G56" s="440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65">
        <f t="shared" ca="1" si="2"/>
        <v>471788997</v>
      </c>
      <c r="I56" s="437"/>
    </row>
    <row r="57" spans="1:9" s="143" customFormat="1" ht="18.75" customHeight="1">
      <c r="A57" s="154">
        <f ca="1">IF(ROWS($1:46)&gt;COUNT(Dong2),"",OFFSET(TH!C$1,SMALL(Dong2,ROWS($1:46)),))</f>
        <v>42689</v>
      </c>
      <c r="B57" s="154" t="str">
        <f ca="1">IF(ROWS($1:46)&gt;COUNT(Dong2),"",OFFSET(TH!D$1,SMALL(Dong2,ROWS($1:46)),))</f>
        <v>GBN</v>
      </c>
      <c r="C57" s="154">
        <f ca="1">IF(ROWS($1:46)&gt;COUNT(Dong2),"",OFFSET(TH!E$1,SMALL(Dong2,ROWS($1:46)),))</f>
        <v>42689</v>
      </c>
      <c r="D57" s="230" t="str">
        <f ca="1">IF(ROWS($1:46)&gt;COUNT(Dong2),"",OFFSET(TH!F$1,SMALL(Dong2,ROWS($1:46)),))</f>
        <v>Thanh toán tiền xe ô tô</v>
      </c>
      <c r="E57" s="154" t="str">
        <f ca="1">IF(ROWS($1:46)&gt;COUNT(Dong2),"",IF(OFFSET(TH!M$1,SMALL(Dong2,ROWS($1:46)),)=$I$6,OFFSET(TH!L$1,SMALL(Dong2,ROWS($1:46)),),OFFSET(TH!M$1,SMALL(Dong2,ROWS($1:46)),)))</f>
        <v>331</v>
      </c>
      <c r="F57" s="440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0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470000000</v>
      </c>
      <c r="H57" s="565">
        <f t="shared" ca="1" si="2"/>
        <v>1788997</v>
      </c>
      <c r="I57" s="437"/>
    </row>
    <row r="58" spans="1:9" s="143" customFormat="1" ht="18.75" customHeight="1">
      <c r="A58" s="154">
        <f ca="1">IF(ROWS($1:47)&gt;COUNT(Dong2),"",OFFSET(TH!C$1,SMALL(Dong2,ROWS($1:47)),))</f>
        <v>42690</v>
      </c>
      <c r="B58" s="154" t="str">
        <f ca="1">IF(ROWS($1:47)&gt;COUNT(Dong2),"",OFFSET(TH!D$1,SMALL(Dong2,ROWS($1:47)),))</f>
        <v>GBN</v>
      </c>
      <c r="C58" s="154">
        <f ca="1">IF(ROWS($1:47)&gt;COUNT(Dong2),"",OFFSET(TH!E$1,SMALL(Dong2,ROWS($1:47)),))</f>
        <v>42690</v>
      </c>
      <c r="D58" s="230" t="str">
        <f ca="1">IF(ROWS($1:47)&gt;COUNT(Dong2),"",OFFSET(TH!F$1,SMALL(Dong2,ROWS($1:47)),))</f>
        <v>Phí dịch vụ SMS</v>
      </c>
      <c r="E58" s="154" t="str">
        <f ca="1">IF(ROWS($1:47)&gt;COUNT(Dong2),"",IF(OFFSET(TH!M$1,SMALL(Dong2,ROWS($1:47)),)=$I$6,OFFSET(TH!L$1,SMALL(Dong2,ROWS($1:47)),),OFFSET(TH!M$1,SMALL(Dong2,ROWS($1:47)),)))</f>
        <v>642</v>
      </c>
      <c r="F58" s="440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40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40000</v>
      </c>
      <c r="H58" s="565">
        <f t="shared" ca="1" si="2"/>
        <v>1748997</v>
      </c>
      <c r="I58" s="437"/>
    </row>
    <row r="59" spans="1:9" s="143" customFormat="1" ht="18.75" customHeight="1">
      <c r="A59" s="154">
        <f ca="1">IF(ROWS($1:48)&gt;COUNT(Dong2),"",OFFSET(TH!C$1,SMALL(Dong2,ROWS($1:48)),))</f>
        <v>42690</v>
      </c>
      <c r="B59" s="154" t="str">
        <f ca="1">IF(ROWS($1:48)&gt;COUNT(Dong2),"",OFFSET(TH!D$1,SMALL(Dong2,ROWS($1:48)),))</f>
        <v>GBN</v>
      </c>
      <c r="C59" s="154">
        <f ca="1">IF(ROWS($1:48)&gt;COUNT(Dong2),"",OFFSET(TH!E$1,SMALL(Dong2,ROWS($1:48)),))</f>
        <v>42690</v>
      </c>
      <c r="D59" s="230" t="str">
        <f ca="1">IF(ROWS($1:48)&gt;COUNT(Dong2),"",OFFSET(TH!F$1,SMALL(Dong2,ROWS($1:48)),))</f>
        <v>VAT Phí dịch vụ SMS</v>
      </c>
      <c r="E59" s="154" t="str">
        <f ca="1">IF(ROWS($1:48)&gt;COUNT(Dong2),"",IF(OFFSET(TH!M$1,SMALL(Dong2,ROWS($1:48)),)=$I$6,OFFSET(TH!L$1,SMALL(Dong2,ROWS($1:48)),),OFFSET(TH!M$1,SMALL(Dong2,ROWS($1:48)),)))</f>
        <v>1331</v>
      </c>
      <c r="F59" s="440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0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4000</v>
      </c>
      <c r="H59" s="565">
        <f t="shared" ca="1" si="2"/>
        <v>1744997</v>
      </c>
      <c r="I59" s="437"/>
    </row>
    <row r="60" spans="1:9" s="143" customFormat="1" ht="18.75" customHeight="1">
      <c r="A60" s="154">
        <f ca="1">IF(ROWS($1:49)&gt;COUNT(Dong2),"",OFFSET(TH!C$1,SMALL(Dong2,ROWS($1:49)),))</f>
        <v>42695</v>
      </c>
      <c r="B60" s="154" t="str">
        <f ca="1">IF(ROWS($1:49)&gt;COUNT(Dong2),"",OFFSET(TH!D$1,SMALL(Dong2,ROWS($1:49)),))</f>
        <v>C13</v>
      </c>
      <c r="C60" s="154">
        <f ca="1">IF(ROWS($1:49)&gt;COUNT(Dong2),"",OFFSET(TH!E$1,SMALL(Dong2,ROWS($1:49)),))</f>
        <v>42695</v>
      </c>
      <c r="D60" s="230" t="str">
        <f ca="1">IF(ROWS($1:49)&gt;COUNT(Dong2),"",OFFSET(TH!F$1,SMALL(Dong2,ROWS($1:49)),))</f>
        <v>Nộp TM</v>
      </c>
      <c r="E60" s="154" t="str">
        <f ca="1">IF(ROWS($1:49)&gt;COUNT(Dong2),"",IF(OFFSET(TH!M$1,SMALL(Dong2,ROWS($1:49)),)=$I$6,OFFSET(TH!L$1,SMALL(Dong2,ROWS($1:49)),),OFFSET(TH!M$1,SMALL(Dong2,ROWS($1:49)),)))</f>
        <v>1111</v>
      </c>
      <c r="F60" s="440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15800000</v>
      </c>
      <c r="G60" s="440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565">
        <f t="shared" ca="1" si="2"/>
        <v>17544997</v>
      </c>
      <c r="I60" s="437"/>
    </row>
    <row r="61" spans="1:9" s="143" customFormat="1" ht="18.75" customHeight="1">
      <c r="A61" s="154">
        <f ca="1">IF(ROWS($1:50)&gt;COUNT(Dong2),"",OFFSET(TH!C$1,SMALL(Dong2,ROWS($1:50)),))</f>
        <v>42695</v>
      </c>
      <c r="B61" s="154" t="str">
        <f ca="1">IF(ROWS($1:50)&gt;COUNT(Dong2),"",OFFSET(TH!D$1,SMALL(Dong2,ROWS($1:50)),))</f>
        <v>GBN</v>
      </c>
      <c r="C61" s="154">
        <f ca="1">IF(ROWS($1:50)&gt;COUNT(Dong2),"",OFFSET(TH!E$1,SMALL(Dong2,ROWS($1:50)),))</f>
        <v>42695</v>
      </c>
      <c r="D61" s="230" t="str">
        <f ca="1">IF(ROWS($1:50)&gt;COUNT(Dong2),"",OFFSET(TH!F$1,SMALL(Dong2,ROWS($1:50)),))</f>
        <v>Lãi vay</v>
      </c>
      <c r="E61" s="154" t="str">
        <f ca="1">IF(ROWS($1:50)&gt;COUNT(Dong2),"",IF(OFFSET(TH!M$1,SMALL(Dong2,ROWS($1:50)),)=$I$6,OFFSET(TH!L$1,SMALL(Dong2,ROWS($1:50)),),OFFSET(TH!M$1,SMALL(Dong2,ROWS($1:50)),)))</f>
        <v>635</v>
      </c>
      <c r="F61" s="440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0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12090000</v>
      </c>
      <c r="H61" s="565">
        <f t="shared" ca="1" si="2"/>
        <v>5454997</v>
      </c>
      <c r="I61" s="437"/>
    </row>
    <row r="62" spans="1:9" s="143" customFormat="1" ht="18.75" customHeight="1">
      <c r="A62" s="154">
        <f ca="1">IF(ROWS($1:51)&gt;COUNT(Dong2),"",OFFSET(TH!C$1,SMALL(Dong2,ROWS($1:51)),))</f>
        <v>42695</v>
      </c>
      <c r="B62" s="154" t="str">
        <f ca="1">IF(ROWS($1:51)&gt;COUNT(Dong2),"",OFFSET(TH!D$1,SMALL(Dong2,ROWS($1:51)),))</f>
        <v>GBN</v>
      </c>
      <c r="C62" s="154">
        <f ca="1">IF(ROWS($1:51)&gt;COUNT(Dong2),"",OFFSET(TH!E$1,SMALL(Dong2,ROWS($1:51)),))</f>
        <v>42695</v>
      </c>
      <c r="D62" s="230" t="str">
        <f ca="1">IF(ROWS($1:51)&gt;COUNT(Dong2),"",OFFSET(TH!F$1,SMALL(Dong2,ROWS($1:51)),))</f>
        <v>Lãi vay</v>
      </c>
      <c r="E62" s="154" t="str">
        <f ca="1">IF(ROWS($1:51)&gt;COUNT(Dong2),"",IF(OFFSET(TH!M$1,SMALL(Dong2,ROWS($1:51)),)=$I$6,OFFSET(TH!L$1,SMALL(Dong2,ROWS($1:51)),),OFFSET(TH!M$1,SMALL(Dong2,ROWS($1:51)),)))</f>
        <v>635</v>
      </c>
      <c r="F62" s="440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40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1119444</v>
      </c>
      <c r="H62" s="565">
        <f t="shared" ca="1" si="2"/>
        <v>4335553</v>
      </c>
      <c r="I62" s="437"/>
    </row>
    <row r="63" spans="1:9" s="143" customFormat="1" ht="18.75" customHeight="1">
      <c r="A63" s="154">
        <f ca="1">IF(ROWS($1:52)&gt;COUNT(Dong2),"",OFFSET(TH!C$1,SMALL(Dong2,ROWS($1:52)),))</f>
        <v>42695</v>
      </c>
      <c r="B63" s="154" t="str">
        <f ca="1">IF(ROWS($1:52)&gt;COUNT(Dong2),"",OFFSET(TH!D$1,SMALL(Dong2,ROWS($1:52)),))</f>
        <v>GBN</v>
      </c>
      <c r="C63" s="154">
        <f ca="1">IF(ROWS($1:52)&gt;COUNT(Dong2),"",OFFSET(TH!E$1,SMALL(Dong2,ROWS($1:52)),))</f>
        <v>42695</v>
      </c>
      <c r="D63" s="230" t="str">
        <f ca="1">IF(ROWS($1:52)&gt;COUNT(Dong2),"",OFFSET(TH!F$1,SMALL(Dong2,ROWS($1:52)),))</f>
        <v>Lãi vay</v>
      </c>
      <c r="E63" s="154" t="str">
        <f ca="1">IF(ROWS($1:52)&gt;COUNT(Dong2),"",IF(OFFSET(TH!M$1,SMALL(Dong2,ROWS($1:52)),)=$I$6,OFFSET(TH!L$1,SMALL(Dong2,ROWS($1:52)),),OFFSET(TH!M$1,SMALL(Dong2,ROWS($1:52)),)))</f>
        <v>635</v>
      </c>
      <c r="F63" s="440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0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605668</v>
      </c>
      <c r="H63" s="565">
        <f t="shared" ca="1" si="2"/>
        <v>3729885</v>
      </c>
      <c r="I63" s="437"/>
    </row>
    <row r="64" spans="1:9" s="143" customFormat="1" ht="18.75" customHeight="1">
      <c r="A64" s="154">
        <f ca="1">IF(ROWS($1:53)&gt;COUNT(Dong2),"",OFFSET(TH!C$1,SMALL(Dong2,ROWS($1:53)),))</f>
        <v>42695</v>
      </c>
      <c r="B64" s="154" t="str">
        <f ca="1">IF(ROWS($1:53)&gt;COUNT(Dong2),"",OFFSET(TH!D$1,SMALL(Dong2,ROWS($1:53)),))</f>
        <v>GBN</v>
      </c>
      <c r="C64" s="154">
        <f ca="1">IF(ROWS($1:53)&gt;COUNT(Dong2),"",OFFSET(TH!E$1,SMALL(Dong2,ROWS($1:53)),))</f>
        <v>42695</v>
      </c>
      <c r="D64" s="230" t="str">
        <f ca="1">IF(ROWS($1:53)&gt;COUNT(Dong2),"",OFFSET(TH!F$1,SMALL(Dong2,ROWS($1:53)),))</f>
        <v>Lãi vay</v>
      </c>
      <c r="E64" s="154" t="str">
        <f ca="1">IF(ROWS($1:53)&gt;COUNT(Dong2),"",IF(OFFSET(TH!M$1,SMALL(Dong2,ROWS($1:53)),)=$I$6,OFFSET(TH!L$1,SMALL(Dong2,ROWS($1:53)),),OFFSET(TH!M$1,SMALL(Dong2,ROWS($1:53)),)))</f>
        <v>635</v>
      </c>
      <c r="F64" s="440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0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279861</v>
      </c>
      <c r="H64" s="565">
        <f t="shared" ca="1" si="2"/>
        <v>3450024</v>
      </c>
      <c r="I64" s="437"/>
    </row>
    <row r="65" spans="1:9" s="143" customFormat="1" ht="18.75" customHeight="1">
      <c r="A65" s="154">
        <f ca="1">IF(ROWS($1:54)&gt;COUNT(Dong2),"",OFFSET(TH!C$1,SMALL(Dong2,ROWS($1:54)),))</f>
        <v>42695</v>
      </c>
      <c r="B65" s="154" t="str">
        <f ca="1">IF(ROWS($1:54)&gt;COUNT(Dong2),"",OFFSET(TH!D$1,SMALL(Dong2,ROWS($1:54)),))</f>
        <v>GBN</v>
      </c>
      <c r="C65" s="154">
        <f ca="1">IF(ROWS($1:54)&gt;COUNT(Dong2),"",OFFSET(TH!E$1,SMALL(Dong2,ROWS($1:54)),))</f>
        <v>42695</v>
      </c>
      <c r="D65" s="230" t="str">
        <f ca="1">IF(ROWS($1:54)&gt;COUNT(Dong2),"",OFFSET(TH!F$1,SMALL(Dong2,ROWS($1:54)),))</f>
        <v>Lãi vay</v>
      </c>
      <c r="E65" s="154" t="str">
        <f ca="1">IF(ROWS($1:54)&gt;COUNT(Dong2),"",IF(OFFSET(TH!M$1,SMALL(Dong2,ROWS($1:54)),)=$I$6,OFFSET(TH!L$1,SMALL(Dong2,ROWS($1:54)),),OFFSET(TH!M$1,SMALL(Dong2,ROWS($1:54)),)))</f>
        <v>635</v>
      </c>
      <c r="F65" s="440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0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279861</v>
      </c>
      <c r="H65" s="565">
        <f t="shared" ref="H65:H105" ca="1" si="3">IF(A65&lt;&gt;"",H64+F65-G65,0)</f>
        <v>3170163</v>
      </c>
      <c r="I65" s="437"/>
    </row>
    <row r="66" spans="1:9" s="143" customFormat="1" ht="18.75" customHeight="1">
      <c r="A66" s="154">
        <f ca="1">IF(ROWS($1:55)&gt;COUNT(Dong2),"",OFFSET(TH!C$1,SMALL(Dong2,ROWS($1:55)),))</f>
        <v>42695</v>
      </c>
      <c r="B66" s="154" t="str">
        <f ca="1">IF(ROWS($1:55)&gt;COUNT(Dong2),"",OFFSET(TH!D$1,SMALL(Dong2,ROWS($1:55)),))</f>
        <v>GBN</v>
      </c>
      <c r="C66" s="154">
        <f ca="1">IF(ROWS($1:55)&gt;COUNT(Dong2),"",OFFSET(TH!E$1,SMALL(Dong2,ROWS($1:55)),))</f>
        <v>42695</v>
      </c>
      <c r="D66" s="230" t="str">
        <f ca="1">IF(ROWS($1:55)&gt;COUNT(Dong2),"",OFFSET(TH!F$1,SMALL(Dong2,ROWS($1:55)),))</f>
        <v>Lãi vay</v>
      </c>
      <c r="E66" s="154" t="str">
        <f ca="1">IF(ROWS($1:55)&gt;COUNT(Dong2),"",IF(OFFSET(TH!M$1,SMALL(Dong2,ROWS($1:55)),)=$I$6,OFFSET(TH!L$1,SMALL(Dong2,ROWS($1:55)),),OFFSET(TH!M$1,SMALL(Dong2,ROWS($1:55)),)))</f>
        <v>635</v>
      </c>
      <c r="F66" s="440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40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1218750</v>
      </c>
      <c r="H66" s="565">
        <f t="shared" ca="1" si="3"/>
        <v>1951413</v>
      </c>
      <c r="I66" s="437"/>
    </row>
    <row r="67" spans="1:9" s="143" customFormat="1" ht="18.75" customHeight="1">
      <c r="A67" s="154">
        <f ca="1">IF(ROWS($1:56)&gt;COUNT(Dong2),"",OFFSET(TH!C$1,SMALL(Dong2,ROWS($1:56)),))</f>
        <v>42695</v>
      </c>
      <c r="B67" s="154" t="str">
        <f ca="1">IF(ROWS($1:56)&gt;COUNT(Dong2),"",OFFSET(TH!D$1,SMALL(Dong2,ROWS($1:56)),))</f>
        <v>GBN</v>
      </c>
      <c r="C67" s="154">
        <f ca="1">IF(ROWS($1:56)&gt;COUNT(Dong2),"",OFFSET(TH!E$1,SMALL(Dong2,ROWS($1:56)),))</f>
        <v>42695</v>
      </c>
      <c r="D67" s="230" t="str">
        <f ca="1">IF(ROWS($1:56)&gt;COUNT(Dong2),"",OFFSET(TH!F$1,SMALL(Dong2,ROWS($1:56)),))</f>
        <v>Lãi vay</v>
      </c>
      <c r="E67" s="154" t="str">
        <f ca="1">IF(ROWS($1:56)&gt;COUNT(Dong2),"",IF(OFFSET(TH!M$1,SMALL(Dong2,ROWS($1:56)),)=$I$6,OFFSET(TH!L$1,SMALL(Dong2,ROWS($1:56)),),OFFSET(TH!M$1,SMALL(Dong2,ROWS($1:56)),)))</f>
        <v>635</v>
      </c>
      <c r="F67" s="440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0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118056</v>
      </c>
      <c r="H67" s="565">
        <f t="shared" ca="1" si="3"/>
        <v>1833357</v>
      </c>
      <c r="I67" s="437"/>
    </row>
    <row r="68" spans="1:9" s="143" customFormat="1" ht="18.75" customHeight="1">
      <c r="A68" s="154">
        <f ca="1">IF(ROWS($1:57)&gt;COUNT(Dong2),"",OFFSET(TH!C$1,SMALL(Dong2,ROWS($1:57)),))</f>
        <v>42699</v>
      </c>
      <c r="B68" s="154" t="str">
        <f ca="1">IF(ROWS($1:57)&gt;COUNT(Dong2),"",OFFSET(TH!D$1,SMALL(Dong2,ROWS($1:57)),))</f>
        <v>GBN</v>
      </c>
      <c r="C68" s="154">
        <f ca="1">IF(ROWS($1:57)&gt;COUNT(Dong2),"",OFFSET(TH!E$1,SMALL(Dong2,ROWS($1:57)),))</f>
        <v>42699</v>
      </c>
      <c r="D68" s="230" t="str">
        <f ca="1">IF(ROWS($1:57)&gt;COUNT(Dong2),"",OFFSET(TH!F$1,SMALL(Dong2,ROWS($1:57)),))</f>
        <v>Thu tiền hàng</v>
      </c>
      <c r="E68" s="154" t="str">
        <f ca="1">IF(ROWS($1:57)&gt;COUNT(Dong2),"",IF(OFFSET(TH!M$1,SMALL(Dong2,ROWS($1:57)),)=$I$6,OFFSET(TH!L$1,SMALL(Dong2,ROWS($1:57)),),OFFSET(TH!M$1,SMALL(Dong2,ROWS($1:57)),)))</f>
        <v>131</v>
      </c>
      <c r="F68" s="440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3327720</v>
      </c>
      <c r="G68" s="440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65">
        <f t="shared" ca="1" si="3"/>
        <v>5161077</v>
      </c>
      <c r="I68" s="437"/>
    </row>
    <row r="69" spans="1:9" s="143" customFormat="1" ht="18.75" customHeight="1">
      <c r="A69" s="154">
        <f ca="1">IF(ROWS($1:58)&gt;COUNT(Dong2),"",OFFSET(TH!C$1,SMALL(Dong2,ROWS($1:58)),))</f>
        <v>42703</v>
      </c>
      <c r="B69" s="154" t="str">
        <f ca="1">IF(ROWS($1:58)&gt;COUNT(Dong2),"",OFFSET(TH!D$1,SMALL(Dong2,ROWS($1:58)),))</f>
        <v>T12</v>
      </c>
      <c r="C69" s="154">
        <f ca="1">IF(ROWS($1:58)&gt;COUNT(Dong2),"",OFFSET(TH!E$1,SMALL(Dong2,ROWS($1:58)),))</f>
        <v>42703</v>
      </c>
      <c r="D69" s="230" t="str">
        <f ca="1">IF(ROWS($1:58)&gt;COUNT(Dong2),"",OFFSET(TH!F$1,SMALL(Dong2,ROWS($1:58)),))</f>
        <v>Rút sec</v>
      </c>
      <c r="E69" s="154" t="str">
        <f ca="1">IF(ROWS($1:58)&gt;COUNT(Dong2),"",IF(OFFSET(TH!M$1,SMALL(Dong2,ROWS($1:58)),)=$I$6,OFFSET(TH!L$1,SMALL(Dong2,ROWS($1:58)),),OFFSET(TH!M$1,SMALL(Dong2,ROWS($1:58)),)))</f>
        <v>1111</v>
      </c>
      <c r="F69" s="440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40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3300000</v>
      </c>
      <c r="H69" s="565">
        <f t="shared" ca="1" si="3"/>
        <v>1861077</v>
      </c>
      <c r="I69" s="437"/>
    </row>
    <row r="70" spans="1:9" s="143" customFormat="1" ht="18.75" customHeight="1">
      <c r="A70" s="154">
        <f ca="1">IF(ROWS($1:59)&gt;COUNT(Dong2),"",OFFSET(TH!C$1,SMALL(Dong2,ROWS($1:59)),))</f>
        <v>42703</v>
      </c>
      <c r="B70" s="154" t="str">
        <f ca="1">IF(ROWS($1:59)&gt;COUNT(Dong2),"",OFFSET(TH!D$1,SMALL(Dong2,ROWS($1:59)),))</f>
        <v>GBN</v>
      </c>
      <c r="C70" s="154">
        <f ca="1">IF(ROWS($1:59)&gt;COUNT(Dong2),"",OFFSET(TH!E$1,SMALL(Dong2,ROWS($1:59)),))</f>
        <v>42703</v>
      </c>
      <c r="D70" s="230" t="str">
        <f ca="1">IF(ROWS($1:59)&gt;COUNT(Dong2),"",OFFSET(TH!F$1,SMALL(Dong2,ROWS($1:59)),))</f>
        <v>Thu tiền hàng</v>
      </c>
      <c r="E70" s="154" t="str">
        <f ca="1">IF(ROWS($1:59)&gt;COUNT(Dong2),"",IF(OFFSET(TH!M$1,SMALL(Dong2,ROWS($1:59)),)=$I$6,OFFSET(TH!L$1,SMALL(Dong2,ROWS($1:59)),),OFFSET(TH!M$1,SMALL(Dong2,ROWS($1:59)),)))</f>
        <v>131</v>
      </c>
      <c r="F70" s="440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8507730</v>
      </c>
      <c r="G70" s="440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565">
        <f t="shared" ca="1" si="3"/>
        <v>10368807</v>
      </c>
      <c r="I70" s="437"/>
    </row>
    <row r="71" spans="1:9" s="143" customFormat="1" ht="18.75" customHeight="1">
      <c r="A71" s="154">
        <f ca="1">IF(ROWS($1:60)&gt;COUNT(Dong2),"",OFFSET(TH!C$1,SMALL(Dong2,ROWS($1:60)),))</f>
        <v>42704</v>
      </c>
      <c r="B71" s="154" t="str">
        <f ca="1">IF(ROWS($1:60)&gt;COUNT(Dong2),"",OFFSET(TH!D$1,SMALL(Dong2,ROWS($1:60)),))</f>
        <v>GBN</v>
      </c>
      <c r="C71" s="154">
        <f ca="1">IF(ROWS($1:60)&gt;COUNT(Dong2),"",OFFSET(TH!E$1,SMALL(Dong2,ROWS($1:60)),))</f>
        <v>42704</v>
      </c>
      <c r="D71" s="230" t="str">
        <f ca="1">IF(ROWS($1:60)&gt;COUNT(Dong2),"",OFFSET(TH!F$1,SMALL(Dong2,ROWS($1:60)),))</f>
        <v>Vay</v>
      </c>
      <c r="E71" s="154" t="str">
        <f ca="1">IF(ROWS($1:60)&gt;COUNT(Dong2),"",IF(OFFSET(TH!M$1,SMALL(Dong2,ROWS($1:60)),)=$I$6,OFFSET(TH!L$1,SMALL(Dong2,ROWS($1:60)),),OFFSET(TH!M$1,SMALL(Dong2,ROWS($1:60)),)))</f>
        <v>3412</v>
      </c>
      <c r="F71" s="440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40000000</v>
      </c>
      <c r="G71" s="440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565">
        <f t="shared" ca="1" si="3"/>
        <v>50368807</v>
      </c>
      <c r="I71" s="437"/>
    </row>
    <row r="72" spans="1:9" s="143" customFormat="1" ht="18.75" customHeight="1">
      <c r="A72" s="154">
        <f ca="1">IF(ROWS($1:61)&gt;COUNT(Dong2),"",OFFSET(TH!C$1,SMALL(Dong2,ROWS($1:61)),))</f>
        <v>42704</v>
      </c>
      <c r="B72" s="154" t="str">
        <f ca="1">IF(ROWS($1:61)&gt;COUNT(Dong2),"",OFFSET(TH!D$1,SMALL(Dong2,ROWS($1:61)),))</f>
        <v>GBN</v>
      </c>
      <c r="C72" s="154">
        <f ca="1">IF(ROWS($1:61)&gt;COUNT(Dong2),"",OFFSET(TH!E$1,SMALL(Dong2,ROWS($1:61)),))</f>
        <v>42704</v>
      </c>
      <c r="D72" s="230" t="str">
        <f ca="1">IF(ROWS($1:61)&gt;COUNT(Dong2),"",OFFSET(TH!F$1,SMALL(Dong2,ROWS($1:61)),))</f>
        <v>Thanh toán tiền hàng</v>
      </c>
      <c r="E72" s="154" t="str">
        <f ca="1">IF(ROWS($1:61)&gt;COUNT(Dong2),"",IF(OFFSET(TH!M$1,SMALL(Dong2,ROWS($1:61)),)=$I$6,OFFSET(TH!L$1,SMALL(Dong2,ROWS($1:61)),),OFFSET(TH!M$1,SMALL(Dong2,ROWS($1:61)),)))</f>
        <v>331</v>
      </c>
      <c r="F72" s="440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40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15000000</v>
      </c>
      <c r="H72" s="565">
        <f t="shared" ca="1" si="3"/>
        <v>35368807</v>
      </c>
      <c r="I72" s="437"/>
    </row>
    <row r="73" spans="1:9" s="143" customFormat="1" ht="18.75" customHeight="1">
      <c r="A73" s="154">
        <f ca="1">IF(ROWS($1:62)&gt;COUNT(Dong2),"",OFFSET(TH!C$1,SMALL(Dong2,ROWS($1:62)),))</f>
        <v>42704</v>
      </c>
      <c r="B73" s="154" t="str">
        <f ca="1">IF(ROWS($1:62)&gt;COUNT(Dong2),"",OFFSET(TH!D$1,SMALL(Dong2,ROWS($1:62)),))</f>
        <v>GBN</v>
      </c>
      <c r="C73" s="154">
        <f ca="1">IF(ROWS($1:62)&gt;COUNT(Dong2),"",OFFSET(TH!E$1,SMALL(Dong2,ROWS($1:62)),))</f>
        <v>42704</v>
      </c>
      <c r="D73" s="230" t="str">
        <f ca="1">IF(ROWS($1:62)&gt;COUNT(Dong2),"",OFFSET(TH!F$1,SMALL(Dong2,ROWS($1:62)),))</f>
        <v>Phí chuyển tiền</v>
      </c>
      <c r="E73" s="154" t="str">
        <f ca="1">IF(ROWS($1:62)&gt;COUNT(Dong2),"",IF(OFFSET(TH!M$1,SMALL(Dong2,ROWS($1:62)),)=$I$6,OFFSET(TH!L$1,SMALL(Dong2,ROWS($1:62)),),OFFSET(TH!M$1,SMALL(Dong2,ROWS($1:62)),)))</f>
        <v>642</v>
      </c>
      <c r="F73" s="440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40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565">
        <f t="shared" ca="1" si="3"/>
        <v>35348807</v>
      </c>
      <c r="I73" s="437"/>
    </row>
    <row r="74" spans="1:9" s="143" customFormat="1" ht="18.75" customHeight="1">
      <c r="A74" s="154">
        <f ca="1">IF(ROWS($1:63)&gt;COUNT(Dong2),"",OFFSET(TH!C$1,SMALL(Dong2,ROWS($1:63)),))</f>
        <v>42704</v>
      </c>
      <c r="B74" s="154" t="str">
        <f ca="1">IF(ROWS($1:63)&gt;COUNT(Dong2),"",OFFSET(TH!D$1,SMALL(Dong2,ROWS($1:63)),))</f>
        <v>GBN</v>
      </c>
      <c r="C74" s="154">
        <f ca="1">IF(ROWS($1:63)&gt;COUNT(Dong2),"",OFFSET(TH!E$1,SMALL(Dong2,ROWS($1:63)),))</f>
        <v>42704</v>
      </c>
      <c r="D74" s="230" t="str">
        <f ca="1">IF(ROWS($1:63)&gt;COUNT(Dong2),"",OFFSET(TH!F$1,SMALL(Dong2,ROWS($1:63)),))</f>
        <v>VAT Phí chuyển tiền</v>
      </c>
      <c r="E74" s="154" t="str">
        <f ca="1">IF(ROWS($1:63)&gt;COUNT(Dong2),"",IF(OFFSET(TH!M$1,SMALL(Dong2,ROWS($1:63)),)=$I$6,OFFSET(TH!L$1,SMALL(Dong2,ROWS($1:63)),),OFFSET(TH!M$1,SMALL(Dong2,ROWS($1:63)),)))</f>
        <v>1331</v>
      </c>
      <c r="F74" s="440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40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</v>
      </c>
      <c r="H74" s="565">
        <f t="shared" ca="1" si="3"/>
        <v>35346807</v>
      </c>
      <c r="I74" s="437"/>
    </row>
    <row r="75" spans="1:9" s="143" customFormat="1" ht="18.75" customHeight="1">
      <c r="A75" s="154">
        <f ca="1">IF(ROWS($1:64)&gt;COUNT(Dong2),"",OFFSET(TH!C$1,SMALL(Dong2,ROWS($1:64)),))</f>
        <v>42704</v>
      </c>
      <c r="B75" s="154" t="str">
        <f ca="1">IF(ROWS($1:64)&gt;COUNT(Dong2),"",OFFSET(TH!D$1,SMALL(Dong2,ROWS($1:64)),))</f>
        <v>GBN</v>
      </c>
      <c r="C75" s="154">
        <f ca="1">IF(ROWS($1:64)&gt;COUNT(Dong2),"",OFFSET(TH!E$1,SMALL(Dong2,ROWS($1:64)),))</f>
        <v>42704</v>
      </c>
      <c r="D75" s="230" t="str">
        <f ca="1">IF(ROWS($1:64)&gt;COUNT(Dong2),"",OFFSET(TH!F$1,SMALL(Dong2,ROWS($1:64)),))</f>
        <v>Lãi tiền gửi</v>
      </c>
      <c r="E75" s="154" t="str">
        <f ca="1">IF(ROWS($1:64)&gt;COUNT(Dong2),"",IF(OFFSET(TH!M$1,SMALL(Dong2,ROWS($1:64)),)=$I$6,OFFSET(TH!L$1,SMALL(Dong2,ROWS($1:64)),),OFFSET(TH!M$1,SMALL(Dong2,ROWS($1:64)),)))</f>
        <v>515</v>
      </c>
      <c r="F75" s="440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1300</v>
      </c>
      <c r="G75" s="440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565">
        <f t="shared" ca="1" si="3"/>
        <v>35348107</v>
      </c>
      <c r="I75" s="437"/>
    </row>
    <row r="76" spans="1:9" s="143" customFormat="1" ht="18.75" customHeight="1">
      <c r="A76" s="154">
        <f ca="1">IF(ROWS($1:65)&gt;COUNT(Dong2),"",OFFSET(TH!C$1,SMALL(Dong2,ROWS($1:65)),))</f>
        <v>42705</v>
      </c>
      <c r="B76" s="154" t="str">
        <f ca="1">IF(ROWS($1:65)&gt;COUNT(Dong2),"",OFFSET(TH!D$1,SMALL(Dong2,ROWS($1:65)),))</f>
        <v>GBN</v>
      </c>
      <c r="C76" s="154">
        <f ca="1">IF(ROWS($1:65)&gt;COUNT(Dong2),"",OFFSET(TH!E$1,SMALL(Dong2,ROWS($1:65)),))</f>
        <v>42705</v>
      </c>
      <c r="D76" s="230" t="str">
        <f ca="1">IF(ROWS($1:65)&gt;COUNT(Dong2),"",OFFSET(TH!F$1,SMALL(Dong2,ROWS($1:65)),))</f>
        <v>Thanh toán tiền hàng</v>
      </c>
      <c r="E76" s="154" t="str">
        <f ca="1">IF(ROWS($1:65)&gt;COUNT(Dong2),"",IF(OFFSET(TH!M$1,SMALL(Dong2,ROWS($1:65)),)=$I$6,OFFSET(TH!L$1,SMALL(Dong2,ROWS($1:65)),),OFFSET(TH!M$1,SMALL(Dong2,ROWS($1:65)),)))</f>
        <v>331</v>
      </c>
      <c r="F76" s="440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40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10000000</v>
      </c>
      <c r="H76" s="565">
        <f t="shared" ca="1" si="3"/>
        <v>25348107</v>
      </c>
      <c r="I76" s="437"/>
    </row>
    <row r="77" spans="1:9" s="143" customFormat="1" ht="18.75" customHeight="1">
      <c r="A77" s="154">
        <f ca="1">IF(ROWS($1:66)&gt;COUNT(Dong2),"",OFFSET(TH!C$1,SMALL(Dong2,ROWS($1:66)),))</f>
        <v>42705</v>
      </c>
      <c r="B77" s="154" t="str">
        <f ca="1">IF(ROWS($1:66)&gt;COUNT(Dong2),"",OFFSET(TH!D$1,SMALL(Dong2,ROWS($1:66)),))</f>
        <v>GBN</v>
      </c>
      <c r="C77" s="154">
        <f ca="1">IF(ROWS($1:66)&gt;COUNT(Dong2),"",OFFSET(TH!E$1,SMALL(Dong2,ROWS($1:66)),))</f>
        <v>42705</v>
      </c>
      <c r="D77" s="230" t="str">
        <f ca="1">IF(ROWS($1:66)&gt;COUNT(Dong2),"",OFFSET(TH!F$1,SMALL(Dong2,ROWS($1:66)),))</f>
        <v>Phí chuyển tiền</v>
      </c>
      <c r="E77" s="154" t="str">
        <f ca="1">IF(ROWS($1:66)&gt;COUNT(Dong2),"",IF(OFFSET(TH!M$1,SMALL(Dong2,ROWS($1:66)),)=$I$6,OFFSET(TH!L$1,SMALL(Dong2,ROWS($1:66)),),OFFSET(TH!M$1,SMALL(Dong2,ROWS($1:66)),)))</f>
        <v>642</v>
      </c>
      <c r="F77" s="440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40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20000</v>
      </c>
      <c r="H77" s="565">
        <f t="shared" ca="1" si="3"/>
        <v>25328107</v>
      </c>
      <c r="I77" s="437"/>
    </row>
    <row r="78" spans="1:9" s="143" customFormat="1" ht="18.75" customHeight="1">
      <c r="A78" s="154">
        <f ca="1">IF(ROWS($1:67)&gt;COUNT(Dong2),"",OFFSET(TH!C$1,SMALL(Dong2,ROWS($1:67)),))</f>
        <v>42705</v>
      </c>
      <c r="B78" s="154" t="str">
        <f ca="1">IF(ROWS($1:67)&gt;COUNT(Dong2),"",OFFSET(TH!D$1,SMALL(Dong2,ROWS($1:67)),))</f>
        <v>GBN</v>
      </c>
      <c r="C78" s="154">
        <f ca="1">IF(ROWS($1:67)&gt;COUNT(Dong2),"",OFFSET(TH!E$1,SMALL(Dong2,ROWS($1:67)),))</f>
        <v>42705</v>
      </c>
      <c r="D78" s="230" t="str">
        <f ca="1">IF(ROWS($1:67)&gt;COUNT(Dong2),"",OFFSET(TH!F$1,SMALL(Dong2,ROWS($1:67)),))</f>
        <v>VAT Phí chuyển tiền</v>
      </c>
      <c r="E78" s="154" t="str">
        <f ca="1">IF(ROWS($1:67)&gt;COUNT(Dong2),"",IF(OFFSET(TH!M$1,SMALL(Dong2,ROWS($1:67)),)=$I$6,OFFSET(TH!L$1,SMALL(Dong2,ROWS($1:67)),),OFFSET(TH!M$1,SMALL(Dong2,ROWS($1:67)),)))</f>
        <v>1331</v>
      </c>
      <c r="F78" s="440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40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2000</v>
      </c>
      <c r="H78" s="565">
        <f t="shared" ca="1" si="3"/>
        <v>25326107</v>
      </c>
      <c r="I78" s="437"/>
    </row>
    <row r="79" spans="1:9" s="143" customFormat="1" ht="18.75" customHeight="1">
      <c r="A79" s="154">
        <f ca="1">IF(ROWS($1:68)&gt;COUNT(Dong2),"",OFFSET(TH!C$1,SMALL(Dong2,ROWS($1:68)),))</f>
        <v>42705</v>
      </c>
      <c r="B79" s="154" t="str">
        <f ca="1">IF(ROWS($1:68)&gt;COUNT(Dong2),"",OFFSET(TH!D$1,SMALL(Dong2,ROWS($1:68)),))</f>
        <v>GBN</v>
      </c>
      <c r="C79" s="154">
        <f ca="1">IF(ROWS($1:68)&gt;COUNT(Dong2),"",OFFSET(TH!E$1,SMALL(Dong2,ROWS($1:68)),))</f>
        <v>42705</v>
      </c>
      <c r="D79" s="230" t="str">
        <f ca="1">IF(ROWS($1:68)&gt;COUNT(Dong2),"",OFFSET(TH!F$1,SMALL(Dong2,ROWS($1:68)),))</f>
        <v>Thanh toán tiền hàng</v>
      </c>
      <c r="E79" s="154" t="str">
        <f ca="1">IF(ROWS($1:68)&gt;COUNT(Dong2),"",IF(OFFSET(TH!M$1,SMALL(Dong2,ROWS($1:68)),)=$I$6,OFFSET(TH!L$1,SMALL(Dong2,ROWS($1:68)),),OFFSET(TH!M$1,SMALL(Dong2,ROWS($1:68)),)))</f>
        <v>331</v>
      </c>
      <c r="F79" s="440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40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565">
        <f t="shared" ca="1" si="3"/>
        <v>5326107</v>
      </c>
      <c r="I79" s="437"/>
    </row>
    <row r="80" spans="1:9" s="143" customFormat="1" ht="18.75" customHeight="1">
      <c r="A80" s="154">
        <f ca="1">IF(ROWS($1:69)&gt;COUNT(Dong2),"",OFFSET(TH!C$1,SMALL(Dong2,ROWS($1:69)),))</f>
        <v>42705</v>
      </c>
      <c r="B80" s="154" t="str">
        <f ca="1">IF(ROWS($1:69)&gt;COUNT(Dong2),"",OFFSET(TH!D$1,SMALL(Dong2,ROWS($1:69)),))</f>
        <v>GBN</v>
      </c>
      <c r="C80" s="154">
        <f ca="1">IF(ROWS($1:69)&gt;COUNT(Dong2),"",OFFSET(TH!E$1,SMALL(Dong2,ROWS($1:69)),))</f>
        <v>42705</v>
      </c>
      <c r="D80" s="230" t="str">
        <f ca="1">IF(ROWS($1:69)&gt;COUNT(Dong2),"",OFFSET(TH!F$1,SMALL(Dong2,ROWS($1:69)),))</f>
        <v>Phí chuyển tiền</v>
      </c>
      <c r="E80" s="154" t="str">
        <f ca="1">IF(ROWS($1:69)&gt;COUNT(Dong2),"",IF(OFFSET(TH!M$1,SMALL(Dong2,ROWS($1:69)),)=$I$6,OFFSET(TH!L$1,SMALL(Dong2,ROWS($1:69)),),OFFSET(TH!M$1,SMALL(Dong2,ROWS($1:69)),)))</f>
        <v>642</v>
      </c>
      <c r="F80" s="440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40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</v>
      </c>
      <c r="H80" s="565">
        <f t="shared" ca="1" si="3"/>
        <v>5306107</v>
      </c>
      <c r="I80" s="437"/>
    </row>
    <row r="81" spans="1:9" s="143" customFormat="1" ht="18.75" customHeight="1">
      <c r="A81" s="154">
        <f ca="1">IF(ROWS($1:70)&gt;COUNT(Dong2),"",OFFSET(TH!C$1,SMALL(Dong2,ROWS($1:70)),))</f>
        <v>42705</v>
      </c>
      <c r="B81" s="154" t="str">
        <f ca="1">IF(ROWS($1:70)&gt;COUNT(Dong2),"",OFFSET(TH!D$1,SMALL(Dong2,ROWS($1:70)),))</f>
        <v>GBN</v>
      </c>
      <c r="C81" s="154">
        <f ca="1">IF(ROWS($1:70)&gt;COUNT(Dong2),"",OFFSET(TH!E$1,SMALL(Dong2,ROWS($1:70)),))</f>
        <v>42705</v>
      </c>
      <c r="D81" s="230" t="str">
        <f ca="1">IF(ROWS($1:70)&gt;COUNT(Dong2),"",OFFSET(TH!F$1,SMALL(Dong2,ROWS($1:70)),))</f>
        <v>VAT Phí chuyển tiền</v>
      </c>
      <c r="E81" s="154" t="str">
        <f ca="1">IF(ROWS($1:70)&gt;COUNT(Dong2),"",IF(OFFSET(TH!M$1,SMALL(Dong2,ROWS($1:70)),)=$I$6,OFFSET(TH!L$1,SMALL(Dong2,ROWS($1:70)),),OFFSET(TH!M$1,SMALL(Dong2,ROWS($1:70)),)))</f>
        <v>1331</v>
      </c>
      <c r="F81" s="440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40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</v>
      </c>
      <c r="H81" s="565">
        <f t="shared" ca="1" si="3"/>
        <v>5304107</v>
      </c>
      <c r="I81" s="437"/>
    </row>
    <row r="82" spans="1:9" s="143" customFormat="1" ht="18.75" customHeight="1">
      <c r="A82" s="154">
        <f ca="1">IF(ROWS($1:71)&gt;COUNT(Dong2),"",OFFSET(TH!C$1,SMALL(Dong2,ROWS($1:71)),))</f>
        <v>42709</v>
      </c>
      <c r="B82" s="154" t="str">
        <f ca="1">IF(ROWS($1:71)&gt;COUNT(Dong2),"",OFFSET(TH!D$1,SMALL(Dong2,ROWS($1:71)),))</f>
        <v>GBN</v>
      </c>
      <c r="C82" s="154">
        <f ca="1">IF(ROWS($1:71)&gt;COUNT(Dong2),"",OFFSET(TH!E$1,SMALL(Dong2,ROWS($1:71)),))</f>
        <v>42709</v>
      </c>
      <c r="D82" s="230" t="str">
        <f ca="1">IF(ROWS($1:71)&gt;COUNT(Dong2),"",OFFSET(TH!F$1,SMALL(Dong2,ROWS($1:71)),))</f>
        <v>Phí mua sec</v>
      </c>
      <c r="E82" s="154" t="str">
        <f ca="1">IF(ROWS($1:71)&gt;COUNT(Dong2),"",IF(OFFSET(TH!M$1,SMALL(Dong2,ROWS($1:71)),)=$I$6,OFFSET(TH!L$1,SMALL(Dong2,ROWS($1:71)),),OFFSET(TH!M$1,SMALL(Dong2,ROWS($1:71)),)))</f>
        <v>642</v>
      </c>
      <c r="F82" s="440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40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18182</v>
      </c>
      <c r="H82" s="565">
        <f t="shared" ca="1" si="3"/>
        <v>5285925</v>
      </c>
      <c r="I82" s="437"/>
    </row>
    <row r="83" spans="1:9" s="143" customFormat="1" ht="18.75" customHeight="1">
      <c r="A83" s="154">
        <f ca="1">IF(ROWS($1:72)&gt;COUNT(Dong2),"",OFFSET(TH!C$1,SMALL(Dong2,ROWS($1:72)),))</f>
        <v>42709</v>
      </c>
      <c r="B83" s="154" t="str">
        <f ca="1">IF(ROWS($1:72)&gt;COUNT(Dong2),"",OFFSET(TH!D$1,SMALL(Dong2,ROWS($1:72)),))</f>
        <v>GBN</v>
      </c>
      <c r="C83" s="154">
        <f ca="1">IF(ROWS($1:72)&gt;COUNT(Dong2),"",OFFSET(TH!E$1,SMALL(Dong2,ROWS($1:72)),))</f>
        <v>42709</v>
      </c>
      <c r="D83" s="230" t="str">
        <f ca="1">IF(ROWS($1:72)&gt;COUNT(Dong2),"",OFFSET(TH!F$1,SMALL(Dong2,ROWS($1:72)),))</f>
        <v>VAT Phí mua sec</v>
      </c>
      <c r="E83" s="154" t="str">
        <f ca="1">IF(ROWS($1:72)&gt;COUNT(Dong2),"",IF(OFFSET(TH!M$1,SMALL(Dong2,ROWS($1:72)),)=$I$6,OFFSET(TH!L$1,SMALL(Dong2,ROWS($1:72)),),OFFSET(TH!M$1,SMALL(Dong2,ROWS($1:72)),)))</f>
        <v>1331</v>
      </c>
      <c r="F83" s="440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40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1818</v>
      </c>
      <c r="H83" s="565">
        <f t="shared" ca="1" si="3"/>
        <v>5284107</v>
      </c>
      <c r="I83" s="437"/>
    </row>
    <row r="84" spans="1:9" s="143" customFormat="1" ht="18.75" customHeight="1">
      <c r="A84" s="154">
        <f ca="1">IF(ROWS($1:73)&gt;COUNT(Dong2),"",OFFSET(TH!C$1,SMALL(Dong2,ROWS($1:73)),))</f>
        <v>42712</v>
      </c>
      <c r="B84" s="154" t="str">
        <f ca="1">IF(ROWS($1:73)&gt;COUNT(Dong2),"",OFFSET(TH!D$1,SMALL(Dong2,ROWS($1:73)),))</f>
        <v>GBN</v>
      </c>
      <c r="C84" s="154">
        <f ca="1">IF(ROWS($1:73)&gt;COUNT(Dong2),"",OFFSET(TH!E$1,SMALL(Dong2,ROWS($1:73)),))</f>
        <v>42712</v>
      </c>
      <c r="D84" s="230" t="str">
        <f ca="1">IF(ROWS($1:73)&gt;COUNT(Dong2),"",OFFSET(TH!F$1,SMALL(Dong2,ROWS($1:73)),))</f>
        <v>Thu tiền hàng</v>
      </c>
      <c r="E84" s="154" t="str">
        <f ca="1">IF(ROWS($1:73)&gt;COUNT(Dong2),"",IF(OFFSET(TH!M$1,SMALL(Dong2,ROWS($1:73)),)=$I$6,OFFSET(TH!L$1,SMALL(Dong2,ROWS($1:73)),),OFFSET(TH!M$1,SMALL(Dong2,ROWS($1:73)),)))</f>
        <v>131</v>
      </c>
      <c r="F84" s="440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7623000</v>
      </c>
      <c r="G84" s="440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65">
        <f t="shared" ca="1" si="3"/>
        <v>12907107</v>
      </c>
      <c r="I84" s="437"/>
    </row>
    <row r="85" spans="1:9" s="143" customFormat="1" ht="18.75" customHeight="1">
      <c r="A85" s="154">
        <f ca="1">IF(ROWS($1:74)&gt;COUNT(Dong2),"",OFFSET(TH!C$1,SMALL(Dong2,ROWS($1:74)),))</f>
        <v>42713</v>
      </c>
      <c r="B85" s="154" t="str">
        <f ca="1">IF(ROWS($1:74)&gt;COUNT(Dong2),"",OFFSET(TH!D$1,SMALL(Dong2,ROWS($1:74)),))</f>
        <v>C17</v>
      </c>
      <c r="C85" s="154">
        <f ca="1">IF(ROWS($1:74)&gt;COUNT(Dong2),"",OFFSET(TH!E$1,SMALL(Dong2,ROWS($1:74)),))</f>
        <v>42713</v>
      </c>
      <c r="D85" s="230" t="str">
        <f ca="1">IF(ROWS($1:74)&gt;COUNT(Dong2),"",OFFSET(TH!F$1,SMALL(Dong2,ROWS($1:74)),))</f>
        <v>Nộp TM</v>
      </c>
      <c r="E85" s="154" t="str">
        <f ca="1">IF(ROWS($1:74)&gt;COUNT(Dong2),"",IF(OFFSET(TH!M$1,SMALL(Dong2,ROWS($1:74)),)=$I$6,OFFSET(TH!L$1,SMALL(Dong2,ROWS($1:74)),),OFFSET(TH!M$1,SMALL(Dong2,ROWS($1:74)),)))</f>
        <v>1111</v>
      </c>
      <c r="F85" s="440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49000000</v>
      </c>
      <c r="G85" s="440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565">
        <f t="shared" ca="1" si="3"/>
        <v>61907107</v>
      </c>
      <c r="I85" s="437"/>
    </row>
    <row r="86" spans="1:9" s="143" customFormat="1" ht="18.75" customHeight="1">
      <c r="A86" s="154">
        <f ca="1">IF(ROWS($1:75)&gt;COUNT(Dong2),"",OFFSET(TH!C$1,SMALL(Dong2,ROWS($1:75)),))</f>
        <v>42713</v>
      </c>
      <c r="B86" s="154" t="str">
        <f ca="1">IF(ROWS($1:75)&gt;COUNT(Dong2),"",OFFSET(TH!D$1,SMALL(Dong2,ROWS($1:75)),))</f>
        <v>GBN</v>
      </c>
      <c r="C86" s="154">
        <f ca="1">IF(ROWS($1:75)&gt;COUNT(Dong2),"",OFFSET(TH!E$1,SMALL(Dong2,ROWS($1:75)),))</f>
        <v>42713</v>
      </c>
      <c r="D86" s="230" t="str">
        <f ca="1">IF(ROWS($1:75)&gt;COUNT(Dong2),"",OFFSET(TH!F$1,SMALL(Dong2,ROWS($1:75)),))</f>
        <v>Thanh toán tiền hàng</v>
      </c>
      <c r="E86" s="154" t="str">
        <f ca="1">IF(ROWS($1:75)&gt;COUNT(Dong2),"",IF(OFFSET(TH!M$1,SMALL(Dong2,ROWS($1:75)),)=$I$6,OFFSET(TH!L$1,SMALL(Dong2,ROWS($1:75)),),OFFSET(TH!M$1,SMALL(Dong2,ROWS($1:75)),)))</f>
        <v>331</v>
      </c>
      <c r="F86" s="440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40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50000000</v>
      </c>
      <c r="H86" s="565">
        <f t="shared" ca="1" si="3"/>
        <v>11907107</v>
      </c>
      <c r="I86" s="437"/>
    </row>
    <row r="87" spans="1:9" s="143" customFormat="1" ht="18.75" customHeight="1">
      <c r="A87" s="154">
        <f ca="1">IF(ROWS($1:76)&gt;COUNT(Dong2),"",OFFSET(TH!C$1,SMALL(Dong2,ROWS($1:76)),))</f>
        <v>42713</v>
      </c>
      <c r="B87" s="154" t="str">
        <f ca="1">IF(ROWS($1:76)&gt;COUNT(Dong2),"",OFFSET(TH!D$1,SMALL(Dong2,ROWS($1:76)),))</f>
        <v>GBN</v>
      </c>
      <c r="C87" s="154">
        <f ca="1">IF(ROWS($1:76)&gt;COUNT(Dong2),"",OFFSET(TH!E$1,SMALL(Dong2,ROWS($1:76)),))</f>
        <v>42713</v>
      </c>
      <c r="D87" s="230" t="str">
        <f ca="1">IF(ROWS($1:76)&gt;COUNT(Dong2),"",OFFSET(TH!F$1,SMALL(Dong2,ROWS($1:76)),))</f>
        <v>Phí chuyển tiền</v>
      </c>
      <c r="E87" s="154" t="str">
        <f ca="1">IF(ROWS($1:76)&gt;COUNT(Dong2),"",IF(OFFSET(TH!M$1,SMALL(Dong2,ROWS($1:76)),)=$I$6,OFFSET(TH!L$1,SMALL(Dong2,ROWS($1:76)),),OFFSET(TH!M$1,SMALL(Dong2,ROWS($1:76)),)))</f>
        <v>642</v>
      </c>
      <c r="F87" s="440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40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565">
        <f t="shared" ca="1" si="3"/>
        <v>11892107</v>
      </c>
      <c r="I87" s="437"/>
    </row>
    <row r="88" spans="1:9" s="143" customFormat="1" ht="18.75" customHeight="1">
      <c r="A88" s="154">
        <f ca="1">IF(ROWS($1:77)&gt;COUNT(Dong2),"",OFFSET(TH!C$1,SMALL(Dong2,ROWS($1:77)),))</f>
        <v>42713</v>
      </c>
      <c r="B88" s="154" t="str">
        <f ca="1">IF(ROWS($1:77)&gt;COUNT(Dong2),"",OFFSET(TH!D$1,SMALL(Dong2,ROWS($1:77)),))</f>
        <v>GBN</v>
      </c>
      <c r="C88" s="154">
        <f ca="1">IF(ROWS($1:77)&gt;COUNT(Dong2),"",OFFSET(TH!E$1,SMALL(Dong2,ROWS($1:77)),))</f>
        <v>42713</v>
      </c>
      <c r="D88" s="230" t="str">
        <f ca="1">IF(ROWS($1:77)&gt;COUNT(Dong2),"",OFFSET(TH!F$1,SMALL(Dong2,ROWS($1:77)),))</f>
        <v>VAT Phí chuyển tiền</v>
      </c>
      <c r="E88" s="154" t="str">
        <f ca="1">IF(ROWS($1:77)&gt;COUNT(Dong2),"",IF(OFFSET(TH!M$1,SMALL(Dong2,ROWS($1:77)),)=$I$6,OFFSET(TH!L$1,SMALL(Dong2,ROWS($1:77)),),OFFSET(TH!M$1,SMALL(Dong2,ROWS($1:77)),)))</f>
        <v>1331</v>
      </c>
      <c r="F88" s="440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40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</v>
      </c>
      <c r="H88" s="565">
        <f t="shared" ca="1" si="3"/>
        <v>11890607</v>
      </c>
      <c r="I88" s="437"/>
    </row>
    <row r="89" spans="1:9" s="143" customFormat="1" ht="18.75" customHeight="1">
      <c r="A89" s="154">
        <f ca="1">IF(ROWS($1:78)&gt;COUNT(Dong2),"",OFFSET(TH!C$1,SMALL(Dong2,ROWS($1:78)),))</f>
        <v>42713</v>
      </c>
      <c r="B89" s="154" t="str">
        <f ca="1">IF(ROWS($1:78)&gt;COUNT(Dong2),"",OFFSET(TH!D$1,SMALL(Dong2,ROWS($1:78)),))</f>
        <v>GBN</v>
      </c>
      <c r="C89" s="154">
        <f ca="1">IF(ROWS($1:78)&gt;COUNT(Dong2),"",OFFSET(TH!E$1,SMALL(Dong2,ROWS($1:78)),))</f>
        <v>42713</v>
      </c>
      <c r="D89" s="230" t="str">
        <f ca="1">IF(ROWS($1:78)&gt;COUNT(Dong2),"",OFFSET(TH!F$1,SMALL(Dong2,ROWS($1:78)),))</f>
        <v>Thanh toán tiền hàng</v>
      </c>
      <c r="E89" s="154" t="str">
        <f ca="1">IF(ROWS($1:78)&gt;COUNT(Dong2),"",IF(OFFSET(TH!M$1,SMALL(Dong2,ROWS($1:78)),)=$I$6,OFFSET(TH!L$1,SMALL(Dong2,ROWS($1:78)),),OFFSET(TH!M$1,SMALL(Dong2,ROWS($1:78)),)))</f>
        <v>331</v>
      </c>
      <c r="F89" s="440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40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565">
        <f t="shared" ca="1" si="3"/>
        <v>1890607</v>
      </c>
      <c r="I89" s="437"/>
    </row>
    <row r="90" spans="1:9" s="143" customFormat="1" ht="18.75" customHeight="1">
      <c r="A90" s="154">
        <f ca="1">IF(ROWS($1:79)&gt;COUNT(Dong2),"",OFFSET(TH!C$1,SMALL(Dong2,ROWS($1:79)),))</f>
        <v>42713</v>
      </c>
      <c r="B90" s="154" t="str">
        <f ca="1">IF(ROWS($1:79)&gt;COUNT(Dong2),"",OFFSET(TH!D$1,SMALL(Dong2,ROWS($1:79)),))</f>
        <v>GBN</v>
      </c>
      <c r="C90" s="154">
        <f ca="1">IF(ROWS($1:79)&gt;COUNT(Dong2),"",OFFSET(TH!E$1,SMALL(Dong2,ROWS($1:79)),))</f>
        <v>42713</v>
      </c>
      <c r="D90" s="230" t="str">
        <f ca="1">IF(ROWS($1:79)&gt;COUNT(Dong2),"",OFFSET(TH!F$1,SMALL(Dong2,ROWS($1:79)),))</f>
        <v>Phí chuyển tiền</v>
      </c>
      <c r="E90" s="154" t="str">
        <f ca="1">IF(ROWS($1:79)&gt;COUNT(Dong2),"",IF(OFFSET(TH!M$1,SMALL(Dong2,ROWS($1:79)),)=$I$6,OFFSET(TH!L$1,SMALL(Dong2,ROWS($1:79)),),OFFSET(TH!M$1,SMALL(Dong2,ROWS($1:79)),)))</f>
        <v>642</v>
      </c>
      <c r="F90" s="440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40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15000</v>
      </c>
      <c r="H90" s="565">
        <f t="shared" ca="1" si="3"/>
        <v>1875607</v>
      </c>
      <c r="I90" s="437"/>
    </row>
    <row r="91" spans="1:9" s="143" customFormat="1" ht="18.75" customHeight="1">
      <c r="A91" s="154">
        <f ca="1">IF(ROWS($1:80)&gt;COUNT(Dong2),"",OFFSET(TH!C$1,SMALL(Dong2,ROWS($1:80)),))</f>
        <v>42713</v>
      </c>
      <c r="B91" s="154" t="str">
        <f ca="1">IF(ROWS($1:80)&gt;COUNT(Dong2),"",OFFSET(TH!D$1,SMALL(Dong2,ROWS($1:80)),))</f>
        <v>GBN</v>
      </c>
      <c r="C91" s="154">
        <f ca="1">IF(ROWS($1:80)&gt;COUNT(Dong2),"",OFFSET(TH!E$1,SMALL(Dong2,ROWS($1:80)),))</f>
        <v>42713</v>
      </c>
      <c r="D91" s="230" t="str">
        <f ca="1">IF(ROWS($1:80)&gt;COUNT(Dong2),"",OFFSET(TH!F$1,SMALL(Dong2,ROWS($1:80)),))</f>
        <v>VAT Phí chuyển tiền</v>
      </c>
      <c r="E91" s="154" t="str">
        <f ca="1">IF(ROWS($1:80)&gt;COUNT(Dong2),"",IF(OFFSET(TH!M$1,SMALL(Dong2,ROWS($1:80)),)=$I$6,OFFSET(TH!L$1,SMALL(Dong2,ROWS($1:80)),),OFFSET(TH!M$1,SMALL(Dong2,ROWS($1:80)),)))</f>
        <v>1331</v>
      </c>
      <c r="F91" s="440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40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1500</v>
      </c>
      <c r="H91" s="565">
        <f t="shared" ca="1" si="3"/>
        <v>1874107</v>
      </c>
      <c r="I91" s="437"/>
    </row>
    <row r="92" spans="1:9" s="143" customFormat="1" ht="18.75" customHeight="1">
      <c r="A92" s="154">
        <f ca="1">IF(ROWS($1:81)&gt;COUNT(Dong2),"",OFFSET(TH!C$1,SMALL(Dong2,ROWS($1:81)),))</f>
        <v>42716</v>
      </c>
      <c r="B92" s="154" t="str">
        <f ca="1">IF(ROWS($1:81)&gt;COUNT(Dong2),"",OFFSET(TH!D$1,SMALL(Dong2,ROWS($1:81)),))</f>
        <v>GBN</v>
      </c>
      <c r="C92" s="154">
        <f ca="1">IF(ROWS($1:81)&gt;COUNT(Dong2),"",OFFSET(TH!E$1,SMALL(Dong2,ROWS($1:81)),))</f>
        <v>42716</v>
      </c>
      <c r="D92" s="230" t="str">
        <f ca="1">IF(ROWS($1:81)&gt;COUNT(Dong2),"",OFFSET(TH!F$1,SMALL(Dong2,ROWS($1:81)),))</f>
        <v>Thu tiền hàng</v>
      </c>
      <c r="E92" s="154" t="str">
        <f ca="1">IF(ROWS($1:81)&gt;COUNT(Dong2),"",IF(OFFSET(TH!M$1,SMALL(Dong2,ROWS($1:81)),)=$I$6,OFFSET(TH!L$1,SMALL(Dong2,ROWS($1:81)),),OFFSET(TH!M$1,SMALL(Dong2,ROWS($1:81)),)))</f>
        <v>131</v>
      </c>
      <c r="F92" s="440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19168050</v>
      </c>
      <c r="G92" s="440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0</v>
      </c>
      <c r="H92" s="565">
        <f t="shared" ca="1" si="3"/>
        <v>21042157</v>
      </c>
      <c r="I92" s="437"/>
    </row>
    <row r="93" spans="1:9" s="143" customFormat="1" ht="18.75" customHeight="1">
      <c r="A93" s="154">
        <f ca="1">IF(ROWS($1:82)&gt;COUNT(Dong2),"",OFFSET(TH!C$1,SMALL(Dong2,ROWS($1:82)),))</f>
        <v>42717</v>
      </c>
      <c r="B93" s="154" t="str">
        <f ca="1">IF(ROWS($1:82)&gt;COUNT(Dong2),"",OFFSET(TH!D$1,SMALL(Dong2,ROWS($1:82)),))</f>
        <v>GBN</v>
      </c>
      <c r="C93" s="154">
        <f ca="1">IF(ROWS($1:82)&gt;COUNT(Dong2),"",OFFSET(TH!E$1,SMALL(Dong2,ROWS($1:82)),))</f>
        <v>42717</v>
      </c>
      <c r="D93" s="230" t="str">
        <f ca="1">IF(ROWS($1:82)&gt;COUNT(Dong2),"",OFFSET(TH!F$1,SMALL(Dong2,ROWS($1:82)),))</f>
        <v>Thanh toán tiền hàng</v>
      </c>
      <c r="E93" s="154" t="str">
        <f ca="1">IF(ROWS($1:82)&gt;COUNT(Dong2),"",IF(OFFSET(TH!M$1,SMALL(Dong2,ROWS($1:82)),)=$I$6,OFFSET(TH!L$1,SMALL(Dong2,ROWS($1:82)),),OFFSET(TH!M$1,SMALL(Dong2,ROWS($1:82)),)))</f>
        <v>331</v>
      </c>
      <c r="F93" s="440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40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5000000</v>
      </c>
      <c r="H93" s="565">
        <f t="shared" ca="1" si="3"/>
        <v>16042157</v>
      </c>
      <c r="I93" s="437"/>
    </row>
    <row r="94" spans="1:9" s="143" customFormat="1" ht="18.75" customHeight="1">
      <c r="A94" s="154">
        <f ca="1">IF(ROWS($1:83)&gt;COUNT(Dong2),"",OFFSET(TH!C$1,SMALL(Dong2,ROWS($1:83)),))</f>
        <v>42717</v>
      </c>
      <c r="B94" s="154" t="str">
        <f ca="1">IF(ROWS($1:83)&gt;COUNT(Dong2),"",OFFSET(TH!D$1,SMALL(Dong2,ROWS($1:83)),))</f>
        <v>GBN</v>
      </c>
      <c r="C94" s="154">
        <f ca="1">IF(ROWS($1:83)&gt;COUNT(Dong2),"",OFFSET(TH!E$1,SMALL(Dong2,ROWS($1:83)),))</f>
        <v>42717</v>
      </c>
      <c r="D94" s="230" t="str">
        <f ca="1">IF(ROWS($1:83)&gt;COUNT(Dong2),"",OFFSET(TH!F$1,SMALL(Dong2,ROWS($1:83)),))</f>
        <v>Phí chuyển tiền</v>
      </c>
      <c r="E94" s="154" t="str">
        <f ca="1">IF(ROWS($1:83)&gt;COUNT(Dong2),"",IF(OFFSET(TH!M$1,SMALL(Dong2,ROWS($1:83)),)=$I$6,OFFSET(TH!L$1,SMALL(Dong2,ROWS($1:83)),),OFFSET(TH!M$1,SMALL(Dong2,ROWS($1:83)),)))</f>
        <v>642</v>
      </c>
      <c r="F94" s="440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40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15000</v>
      </c>
      <c r="H94" s="565">
        <f t="shared" ca="1" si="3"/>
        <v>16027157</v>
      </c>
      <c r="I94" s="437"/>
    </row>
    <row r="95" spans="1:9" s="143" customFormat="1" ht="18.75" customHeight="1">
      <c r="A95" s="154">
        <f ca="1">IF(ROWS($1:84)&gt;COUNT(Dong2),"",OFFSET(TH!C$1,SMALL(Dong2,ROWS($1:84)),))</f>
        <v>42717</v>
      </c>
      <c r="B95" s="154" t="str">
        <f ca="1">IF(ROWS($1:84)&gt;COUNT(Dong2),"",OFFSET(TH!D$1,SMALL(Dong2,ROWS($1:84)),))</f>
        <v>GBN</v>
      </c>
      <c r="C95" s="154">
        <f ca="1">IF(ROWS($1:84)&gt;COUNT(Dong2),"",OFFSET(TH!E$1,SMALL(Dong2,ROWS($1:84)),))</f>
        <v>42717</v>
      </c>
      <c r="D95" s="230" t="str">
        <f ca="1">IF(ROWS($1:84)&gt;COUNT(Dong2),"",OFFSET(TH!F$1,SMALL(Dong2,ROWS($1:84)),))</f>
        <v>VAT Phí chuyển tiền</v>
      </c>
      <c r="E95" s="154" t="str">
        <f ca="1">IF(ROWS($1:84)&gt;COUNT(Dong2),"",IF(OFFSET(TH!M$1,SMALL(Dong2,ROWS($1:84)),)=$I$6,OFFSET(TH!L$1,SMALL(Dong2,ROWS($1:84)),),OFFSET(TH!M$1,SMALL(Dong2,ROWS($1:84)),)))</f>
        <v>1331</v>
      </c>
      <c r="F95" s="440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40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1500</v>
      </c>
      <c r="H95" s="565">
        <f t="shared" ca="1" si="3"/>
        <v>16025657</v>
      </c>
      <c r="I95" s="437"/>
    </row>
    <row r="96" spans="1:9" s="143" customFormat="1" ht="18.75" customHeight="1">
      <c r="A96" s="154">
        <f ca="1">IF(ROWS($1:85)&gt;COUNT(Dong2),"",OFFSET(TH!C$1,SMALL(Dong2,ROWS($1:85)),))</f>
        <v>42717</v>
      </c>
      <c r="B96" s="154" t="str">
        <f ca="1">IF(ROWS($1:85)&gt;COUNT(Dong2),"",OFFSET(TH!D$1,SMALL(Dong2,ROWS($1:85)),))</f>
        <v>GBN</v>
      </c>
      <c r="C96" s="154">
        <f ca="1">IF(ROWS($1:85)&gt;COUNT(Dong2),"",OFFSET(TH!E$1,SMALL(Dong2,ROWS($1:85)),))</f>
        <v>42717</v>
      </c>
      <c r="D96" s="230" t="str">
        <f ca="1">IF(ROWS($1:85)&gt;COUNT(Dong2),"",OFFSET(TH!F$1,SMALL(Dong2,ROWS($1:85)),))</f>
        <v>Thu tiền hàng</v>
      </c>
      <c r="E96" s="154" t="str">
        <f ca="1">IF(ROWS($1:85)&gt;COUNT(Dong2),"",IF(OFFSET(TH!M$1,SMALL(Dong2,ROWS($1:85)),)=$I$6,OFFSET(TH!L$1,SMALL(Dong2,ROWS($1:85)),),OFFSET(TH!M$1,SMALL(Dong2,ROWS($1:85)),)))</f>
        <v>131</v>
      </c>
      <c r="F96" s="440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11039105</v>
      </c>
      <c r="G96" s="440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565">
        <f t="shared" ca="1" si="3"/>
        <v>27064762</v>
      </c>
      <c r="I96" s="437"/>
    </row>
    <row r="97" spans="1:9" s="143" customFormat="1" ht="18.75" customHeight="1">
      <c r="A97" s="154">
        <f ca="1">IF(ROWS($1:86)&gt;COUNT(Dong2),"",OFFSET(TH!C$1,SMALL(Dong2,ROWS($1:86)),))</f>
        <v>42718</v>
      </c>
      <c r="B97" s="154" t="str">
        <f ca="1">IF(ROWS($1:86)&gt;COUNT(Dong2),"",OFFSET(TH!D$1,SMALL(Dong2,ROWS($1:86)),))</f>
        <v>C18</v>
      </c>
      <c r="C97" s="154">
        <f ca="1">IF(ROWS($1:86)&gt;COUNT(Dong2),"",OFFSET(TH!E$1,SMALL(Dong2,ROWS($1:86)),))</f>
        <v>42718</v>
      </c>
      <c r="D97" s="230" t="str">
        <f ca="1">IF(ROWS($1:86)&gt;COUNT(Dong2),"",OFFSET(TH!F$1,SMALL(Dong2,ROWS($1:86)),))</f>
        <v>Nộp TM</v>
      </c>
      <c r="E97" s="154" t="str">
        <f ca="1">IF(ROWS($1:86)&gt;COUNT(Dong2),"",IF(OFFSET(TH!M$1,SMALL(Dong2,ROWS($1:86)),)=$I$6,OFFSET(TH!L$1,SMALL(Dong2,ROWS($1:86)),),OFFSET(TH!M$1,SMALL(Dong2,ROWS($1:86)),)))</f>
        <v>1111</v>
      </c>
      <c r="F97" s="440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4500000</v>
      </c>
      <c r="G97" s="440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565">
        <f t="shared" ca="1" si="3"/>
        <v>31564762</v>
      </c>
      <c r="I97" s="437"/>
    </row>
    <row r="98" spans="1:9" s="143" customFormat="1" ht="18.75" customHeight="1">
      <c r="A98" s="154">
        <f ca="1">IF(ROWS($1:87)&gt;COUNT(Dong2),"",OFFSET(TH!C$1,SMALL(Dong2,ROWS($1:87)),))</f>
        <v>42718</v>
      </c>
      <c r="B98" s="154" t="str">
        <f ca="1">IF(ROWS($1:87)&gt;COUNT(Dong2),"",OFFSET(TH!D$1,SMALL(Dong2,ROWS($1:87)),))</f>
        <v>GBN</v>
      </c>
      <c r="C98" s="154">
        <f ca="1">IF(ROWS($1:87)&gt;COUNT(Dong2),"",OFFSET(TH!E$1,SMALL(Dong2,ROWS($1:87)),))</f>
        <v>42718</v>
      </c>
      <c r="D98" s="230" t="str">
        <f ca="1">IF(ROWS($1:87)&gt;COUNT(Dong2),"",OFFSET(TH!F$1,SMALL(Dong2,ROWS($1:87)),))</f>
        <v>Thanh toán tiền hàng</v>
      </c>
      <c r="E98" s="154" t="str">
        <f ca="1">IF(ROWS($1:87)&gt;COUNT(Dong2),"",IF(OFFSET(TH!M$1,SMALL(Dong2,ROWS($1:87)),)=$I$6,OFFSET(TH!L$1,SMALL(Dong2,ROWS($1:87)),),OFFSET(TH!M$1,SMALL(Dong2,ROWS($1:87)),)))</f>
        <v>331</v>
      </c>
      <c r="F98" s="440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40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30000000</v>
      </c>
      <c r="H98" s="565">
        <f t="shared" ca="1" si="3"/>
        <v>1564762</v>
      </c>
      <c r="I98" s="437"/>
    </row>
    <row r="99" spans="1:9" s="143" customFormat="1" ht="18.75" customHeight="1">
      <c r="A99" s="154">
        <f ca="1">IF(ROWS($1:88)&gt;COUNT(Dong2),"",OFFSET(TH!C$1,SMALL(Dong2,ROWS($1:88)),))</f>
        <v>42718</v>
      </c>
      <c r="B99" s="154" t="str">
        <f ca="1">IF(ROWS($1:88)&gt;COUNT(Dong2),"",OFFSET(TH!D$1,SMALL(Dong2,ROWS($1:88)),))</f>
        <v>GBN</v>
      </c>
      <c r="C99" s="154">
        <f ca="1">IF(ROWS($1:88)&gt;COUNT(Dong2),"",OFFSET(TH!E$1,SMALL(Dong2,ROWS($1:88)),))</f>
        <v>42718</v>
      </c>
      <c r="D99" s="230" t="str">
        <f ca="1">IF(ROWS($1:88)&gt;COUNT(Dong2),"",OFFSET(TH!F$1,SMALL(Dong2,ROWS($1:88)),))</f>
        <v>Phí chuyển tiền</v>
      </c>
      <c r="E99" s="154" t="str">
        <f ca="1">IF(ROWS($1:88)&gt;COUNT(Dong2),"",IF(OFFSET(TH!M$1,SMALL(Dong2,ROWS($1:88)),)=$I$6,OFFSET(TH!L$1,SMALL(Dong2,ROWS($1:88)),),OFFSET(TH!M$1,SMALL(Dong2,ROWS($1:88)),)))</f>
        <v>642</v>
      </c>
      <c r="F99" s="440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40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15000</v>
      </c>
      <c r="H99" s="565">
        <f t="shared" ca="1" si="3"/>
        <v>1549762</v>
      </c>
      <c r="I99" s="437"/>
    </row>
    <row r="100" spans="1:9" s="143" customFormat="1" ht="18.75" customHeight="1">
      <c r="A100" s="154">
        <f ca="1">IF(ROWS($1:89)&gt;COUNT(Dong2),"",OFFSET(TH!C$1,SMALL(Dong2,ROWS($1:89)),))</f>
        <v>42718</v>
      </c>
      <c r="B100" s="154" t="str">
        <f ca="1">IF(ROWS($1:89)&gt;COUNT(Dong2),"",OFFSET(TH!D$1,SMALL(Dong2,ROWS($1:89)),))</f>
        <v>GBN</v>
      </c>
      <c r="C100" s="154">
        <f ca="1">IF(ROWS($1:89)&gt;COUNT(Dong2),"",OFFSET(TH!E$1,SMALL(Dong2,ROWS($1:89)),))</f>
        <v>42718</v>
      </c>
      <c r="D100" s="230" t="str">
        <f ca="1">IF(ROWS($1:89)&gt;COUNT(Dong2),"",OFFSET(TH!F$1,SMALL(Dong2,ROWS($1:89)),))</f>
        <v>VAT Phí chuyển tiền</v>
      </c>
      <c r="E100" s="154" t="str">
        <f ca="1">IF(ROWS($1:89)&gt;COUNT(Dong2),"",IF(OFFSET(TH!M$1,SMALL(Dong2,ROWS($1:89)),)=$I$6,OFFSET(TH!L$1,SMALL(Dong2,ROWS($1:89)),),OFFSET(TH!M$1,SMALL(Dong2,ROWS($1:89)),)))</f>
        <v>1331</v>
      </c>
      <c r="F100" s="440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40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1500</v>
      </c>
      <c r="H100" s="565">
        <f t="shared" ca="1" si="3"/>
        <v>1548262</v>
      </c>
      <c r="I100" s="437"/>
    </row>
    <row r="101" spans="1:9" s="143" customFormat="1" ht="18.75" customHeight="1">
      <c r="A101" s="154">
        <f ca="1">IF(ROWS($1:90)&gt;COUNT(Dong2),"",OFFSET(TH!C$1,SMALL(Dong2,ROWS($1:90)),))</f>
        <v>42723</v>
      </c>
      <c r="B101" s="154" t="str">
        <f ca="1">IF(ROWS($1:90)&gt;COUNT(Dong2),"",OFFSET(TH!D$1,SMALL(Dong2,ROWS($1:90)),))</f>
        <v>GBN</v>
      </c>
      <c r="C101" s="154">
        <f ca="1">IF(ROWS($1:90)&gt;COUNT(Dong2),"",OFFSET(TH!E$1,SMALL(Dong2,ROWS($1:90)),))</f>
        <v>42723</v>
      </c>
      <c r="D101" s="230" t="str">
        <f ca="1">IF(ROWS($1:90)&gt;COUNT(Dong2),"",OFFSET(TH!F$1,SMALL(Dong2,ROWS($1:90)),))</f>
        <v>Thu tiền hàng</v>
      </c>
      <c r="E101" s="154" t="str">
        <f ca="1">IF(ROWS($1:90)&gt;COUNT(Dong2),"",IF(OFFSET(TH!M$1,SMALL(Dong2,ROWS($1:90)),)=$I$6,OFFSET(TH!L$1,SMALL(Dong2,ROWS($1:90)),),OFFSET(TH!M$1,SMALL(Dong2,ROWS($1:90)),)))</f>
        <v>131</v>
      </c>
      <c r="F101" s="440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100683000</v>
      </c>
      <c r="G101" s="440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565">
        <f t="shared" ca="1" si="3"/>
        <v>102231262</v>
      </c>
      <c r="I101" s="437"/>
    </row>
    <row r="102" spans="1:9" s="143" customFormat="1" ht="18.75" customHeight="1">
      <c r="A102" s="154">
        <f ca="1">IF(ROWS($1:91)&gt;COUNT(Dong2),"",OFFSET(TH!C$1,SMALL(Dong2,ROWS($1:91)),))</f>
        <v>42724</v>
      </c>
      <c r="B102" s="154" t="str">
        <f ca="1">IF(ROWS($1:91)&gt;COUNT(Dong2),"",OFFSET(TH!D$1,SMALL(Dong2,ROWS($1:91)),))</f>
        <v>GBN</v>
      </c>
      <c r="C102" s="154">
        <f ca="1">IF(ROWS($1:91)&gt;COUNT(Dong2),"",OFFSET(TH!E$1,SMALL(Dong2,ROWS($1:91)),))</f>
        <v>42724</v>
      </c>
      <c r="D102" s="230" t="str">
        <f ca="1">IF(ROWS($1:91)&gt;COUNT(Dong2),"",OFFSET(TH!F$1,SMALL(Dong2,ROWS($1:91)),))</f>
        <v>Lãi vay</v>
      </c>
      <c r="E102" s="154" t="str">
        <f ca="1">IF(ROWS($1:91)&gt;COUNT(Dong2),"",IF(OFFSET(TH!M$1,SMALL(Dong2,ROWS($1:91)),)=$I$6,OFFSET(TH!L$1,SMALL(Dong2,ROWS($1:91)),),OFFSET(TH!M$1,SMALL(Dong2,ROWS($1:91)),)))</f>
        <v>635</v>
      </c>
      <c r="F102" s="440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40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11700000</v>
      </c>
      <c r="H102" s="565">
        <f t="shared" ca="1" si="3"/>
        <v>90531262</v>
      </c>
      <c r="I102" s="437"/>
    </row>
    <row r="103" spans="1:9" s="143" customFormat="1" ht="18.75" customHeight="1">
      <c r="A103" s="154">
        <f ca="1">IF(ROWS($1:92)&gt;COUNT(Dong2),"",OFFSET(TH!C$1,SMALL(Dong2,ROWS($1:92)),))</f>
        <v>42724</v>
      </c>
      <c r="B103" s="154" t="str">
        <f ca="1">IF(ROWS($1:92)&gt;COUNT(Dong2),"",OFFSET(TH!D$1,SMALL(Dong2,ROWS($1:92)),))</f>
        <v>GBN</v>
      </c>
      <c r="C103" s="154">
        <f ca="1">IF(ROWS($1:92)&gt;COUNT(Dong2),"",OFFSET(TH!E$1,SMALL(Dong2,ROWS($1:92)),))</f>
        <v>42724</v>
      </c>
      <c r="D103" s="230" t="str">
        <f ca="1">IF(ROWS($1:92)&gt;COUNT(Dong2),"",OFFSET(TH!F$1,SMALL(Dong2,ROWS($1:92)),))</f>
        <v>Lãi vay</v>
      </c>
      <c r="E103" s="154" t="str">
        <f ca="1">IF(ROWS($1:92)&gt;COUNT(Dong2),"",IF(OFFSET(TH!M$1,SMALL(Dong2,ROWS($1:92)),)=$I$6,OFFSET(TH!L$1,SMALL(Dong2,ROWS($1:92)),),OFFSET(TH!M$1,SMALL(Dong2,ROWS($1:92)),)))</f>
        <v>635</v>
      </c>
      <c r="F103" s="440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40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1083333</v>
      </c>
      <c r="H103" s="565">
        <f t="shared" ca="1" si="3"/>
        <v>89447929</v>
      </c>
      <c r="I103" s="437"/>
    </row>
    <row r="104" spans="1:9" s="143" customFormat="1" ht="18.75" customHeight="1">
      <c r="A104" s="154">
        <f ca="1">IF(ROWS($1:93)&gt;COUNT(Dong2),"",OFFSET(TH!C$1,SMALL(Dong2,ROWS($1:93)),))</f>
        <v>42724</v>
      </c>
      <c r="B104" s="154" t="str">
        <f ca="1">IF(ROWS($1:93)&gt;COUNT(Dong2),"",OFFSET(TH!D$1,SMALL(Dong2,ROWS($1:93)),))</f>
        <v>GBN</v>
      </c>
      <c r="C104" s="154">
        <f ca="1">IF(ROWS($1:93)&gt;COUNT(Dong2),"",OFFSET(TH!E$1,SMALL(Dong2,ROWS($1:93)),))</f>
        <v>42724</v>
      </c>
      <c r="D104" s="230" t="str">
        <f ca="1">IF(ROWS($1:93)&gt;COUNT(Dong2),"",OFFSET(TH!F$1,SMALL(Dong2,ROWS($1:93)),))</f>
        <v>Lãi vay</v>
      </c>
      <c r="E104" s="154" t="str">
        <f ca="1">IF(ROWS($1:93)&gt;COUNT(Dong2),"",IF(OFFSET(TH!M$1,SMALL(Dong2,ROWS($1:93)),)=$I$6,OFFSET(TH!L$1,SMALL(Dong2,ROWS($1:93)),),OFFSET(TH!M$1,SMALL(Dong2,ROWS($1:93)),)))</f>
        <v>635</v>
      </c>
      <c r="F104" s="440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40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586130</v>
      </c>
      <c r="H104" s="565">
        <f t="shared" ca="1" si="3"/>
        <v>88861799</v>
      </c>
      <c r="I104" s="437"/>
    </row>
    <row r="105" spans="1:9" s="143" customFormat="1" ht="18.75" customHeight="1">
      <c r="A105" s="154">
        <f ca="1">IF(ROWS($1:94)&gt;COUNT(Dong2),"",OFFSET(TH!C$1,SMALL(Dong2,ROWS($1:94)),))</f>
        <v>42724</v>
      </c>
      <c r="B105" s="154" t="str">
        <f ca="1">IF(ROWS($1:94)&gt;COUNT(Dong2),"",OFFSET(TH!D$1,SMALL(Dong2,ROWS($1:94)),))</f>
        <v>GBN</v>
      </c>
      <c r="C105" s="154">
        <f ca="1">IF(ROWS($1:94)&gt;COUNT(Dong2),"",OFFSET(TH!E$1,SMALL(Dong2,ROWS($1:94)),))</f>
        <v>42724</v>
      </c>
      <c r="D105" s="230" t="str">
        <f ca="1">IF(ROWS($1:94)&gt;COUNT(Dong2),"",OFFSET(TH!F$1,SMALL(Dong2,ROWS($1:94)),))</f>
        <v>Lãi vay</v>
      </c>
      <c r="E105" s="154" t="str">
        <f ca="1">IF(ROWS($1:94)&gt;COUNT(Dong2),"",IF(OFFSET(TH!M$1,SMALL(Dong2,ROWS($1:94)),)=$I$6,OFFSET(TH!L$1,SMALL(Dong2,ROWS($1:94)),),OFFSET(TH!M$1,SMALL(Dong2,ROWS($1:94)),)))</f>
        <v>635</v>
      </c>
      <c r="F105" s="440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40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270833</v>
      </c>
      <c r="H105" s="565">
        <f t="shared" ca="1" si="3"/>
        <v>88590966</v>
      </c>
      <c r="I105" s="437"/>
    </row>
    <row r="106" spans="1:9" s="143" customFormat="1" ht="18.75" customHeight="1">
      <c r="A106" s="154">
        <f ca="1">IF(ROWS($1:95)&gt;COUNT(Dong2),"",OFFSET(TH!C$1,SMALL(Dong2,ROWS($1:95)),))</f>
        <v>42724</v>
      </c>
      <c r="B106" s="154" t="str">
        <f ca="1">IF(ROWS($1:95)&gt;COUNT(Dong2),"",OFFSET(TH!D$1,SMALL(Dong2,ROWS($1:95)),))</f>
        <v>GBN</v>
      </c>
      <c r="C106" s="154">
        <f ca="1">IF(ROWS($1:95)&gt;COUNT(Dong2),"",OFFSET(TH!E$1,SMALL(Dong2,ROWS($1:95)),))</f>
        <v>42724</v>
      </c>
      <c r="D106" s="230" t="str">
        <f ca="1">IF(ROWS($1:95)&gt;COUNT(Dong2),"",OFFSET(TH!F$1,SMALL(Dong2,ROWS($1:95)),))</f>
        <v>Lãi vay</v>
      </c>
      <c r="E106" s="154" t="str">
        <f ca="1">IF(ROWS($1:95)&gt;COUNT(Dong2),"",IF(OFFSET(TH!M$1,SMALL(Dong2,ROWS($1:95)),)=$I$6,OFFSET(TH!L$1,SMALL(Dong2,ROWS($1:95)),),OFFSET(TH!M$1,SMALL(Dong2,ROWS($1:95)),)))</f>
        <v>635</v>
      </c>
      <c r="F106" s="440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40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270833</v>
      </c>
      <c r="H106" s="565">
        <f t="shared" ref="H106:H114" ca="1" si="4">IF(A106&lt;&gt;"",H105+F106-G106,0)</f>
        <v>88320133</v>
      </c>
      <c r="I106" s="437"/>
    </row>
    <row r="107" spans="1:9" s="143" customFormat="1" ht="18.75" customHeight="1">
      <c r="A107" s="154">
        <f ca="1">IF(ROWS($1:96)&gt;COUNT(Dong2),"",OFFSET(TH!C$1,SMALL(Dong2,ROWS($1:96)),))</f>
        <v>42724</v>
      </c>
      <c r="B107" s="154" t="str">
        <f ca="1">IF(ROWS($1:96)&gt;COUNT(Dong2),"",OFFSET(TH!D$1,SMALL(Dong2,ROWS($1:96)),))</f>
        <v>GBN</v>
      </c>
      <c r="C107" s="154">
        <f ca="1">IF(ROWS($1:96)&gt;COUNT(Dong2),"",OFFSET(TH!E$1,SMALL(Dong2,ROWS($1:96)),))</f>
        <v>42724</v>
      </c>
      <c r="D107" s="230" t="str">
        <f ca="1">IF(ROWS($1:96)&gt;COUNT(Dong2),"",OFFSET(TH!F$1,SMALL(Dong2,ROWS($1:96)),))</f>
        <v>Lãi vay</v>
      </c>
      <c r="E107" s="154" t="str">
        <f ca="1">IF(ROWS($1:96)&gt;COUNT(Dong2),"",IF(OFFSET(TH!M$1,SMALL(Dong2,ROWS($1:96)),)=$I$6,OFFSET(TH!L$1,SMALL(Dong2,ROWS($1:96)),),OFFSET(TH!M$1,SMALL(Dong2,ROWS($1:96)),)))</f>
        <v>635</v>
      </c>
      <c r="F107" s="440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40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1354167</v>
      </c>
      <c r="H107" s="565">
        <f t="shared" ca="1" si="4"/>
        <v>86965966</v>
      </c>
      <c r="I107" s="437"/>
    </row>
    <row r="108" spans="1:9" s="143" customFormat="1" ht="18.75" customHeight="1">
      <c r="A108" s="154">
        <f ca="1">IF(ROWS($1:97)&gt;COUNT(Dong2),"",OFFSET(TH!C$1,SMALL(Dong2,ROWS($1:97)),))</f>
        <v>42724</v>
      </c>
      <c r="B108" s="154" t="str">
        <f ca="1">IF(ROWS($1:97)&gt;COUNT(Dong2),"",OFFSET(TH!D$1,SMALL(Dong2,ROWS($1:97)),))</f>
        <v>GBN</v>
      </c>
      <c r="C108" s="154">
        <f ca="1">IF(ROWS($1:97)&gt;COUNT(Dong2),"",OFFSET(TH!E$1,SMALL(Dong2,ROWS($1:97)),))</f>
        <v>42724</v>
      </c>
      <c r="D108" s="230" t="str">
        <f ca="1">IF(ROWS($1:97)&gt;COUNT(Dong2),"",OFFSET(TH!F$1,SMALL(Dong2,ROWS($1:97)),))</f>
        <v>Lãi vay</v>
      </c>
      <c r="E108" s="154" t="str">
        <f ca="1">IF(ROWS($1:97)&gt;COUNT(Dong2),"",IF(OFFSET(TH!M$1,SMALL(Dong2,ROWS($1:97)),)=$I$6,OFFSET(TH!L$1,SMALL(Dong2,ROWS($1:97)),),OFFSET(TH!M$1,SMALL(Dong2,ROWS($1:97)),)))</f>
        <v>635</v>
      </c>
      <c r="F108" s="440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40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354167</v>
      </c>
      <c r="H108" s="565">
        <f t="shared" ca="1" si="4"/>
        <v>86611799</v>
      </c>
      <c r="I108" s="437"/>
    </row>
    <row r="109" spans="1:9" s="143" customFormat="1" ht="18.75" customHeight="1">
      <c r="A109" s="154">
        <f ca="1">IF(ROWS($1:98)&gt;COUNT(Dong2),"",OFFSET(TH!C$1,SMALL(Dong2,ROWS($1:98)),))</f>
        <v>42724</v>
      </c>
      <c r="B109" s="154" t="str">
        <f ca="1">IF(ROWS($1:98)&gt;COUNT(Dong2),"",OFFSET(TH!D$1,SMALL(Dong2,ROWS($1:98)),))</f>
        <v>GBN</v>
      </c>
      <c r="C109" s="154">
        <f ca="1">IF(ROWS($1:98)&gt;COUNT(Dong2),"",OFFSET(TH!E$1,SMALL(Dong2,ROWS($1:98)),))</f>
        <v>42724</v>
      </c>
      <c r="D109" s="230" t="str">
        <f ca="1">IF(ROWS($1:98)&gt;COUNT(Dong2),"",OFFSET(TH!F$1,SMALL(Dong2,ROWS($1:98)),))</f>
        <v>Lãi vay</v>
      </c>
      <c r="E109" s="154" t="str">
        <f ca="1">IF(ROWS($1:98)&gt;COUNT(Dong2),"",IF(OFFSET(TH!M$1,SMALL(Dong2,ROWS($1:98)),)=$I$6,OFFSET(TH!L$1,SMALL(Dong2,ROWS($1:98)),),OFFSET(TH!M$1,SMALL(Dong2,ROWS($1:98)),)))</f>
        <v>635</v>
      </c>
      <c r="F109" s="440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40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4797917</v>
      </c>
      <c r="H109" s="565">
        <f t="shared" ca="1" si="4"/>
        <v>81813882</v>
      </c>
      <c r="I109" s="437"/>
    </row>
    <row r="110" spans="1:9" s="143" customFormat="1" ht="18.75" customHeight="1">
      <c r="A110" s="154">
        <f ca="1">IF(ROWS($1:99)&gt;COUNT(Dong2),"",OFFSET(TH!C$1,SMALL(Dong2,ROWS($1:99)),))</f>
        <v>42724</v>
      </c>
      <c r="B110" s="154" t="str">
        <f ca="1">IF(ROWS($1:99)&gt;COUNT(Dong2),"",OFFSET(TH!D$1,SMALL(Dong2,ROWS($1:99)),))</f>
        <v>GBN</v>
      </c>
      <c r="C110" s="154">
        <f ca="1">IF(ROWS($1:99)&gt;COUNT(Dong2),"",OFFSET(TH!E$1,SMALL(Dong2,ROWS($1:99)),))</f>
        <v>42724</v>
      </c>
      <c r="D110" s="230" t="str">
        <f ca="1">IF(ROWS($1:99)&gt;COUNT(Dong2),"",OFFSET(TH!F$1,SMALL(Dong2,ROWS($1:99)),))</f>
        <v>Lãi vay</v>
      </c>
      <c r="E110" s="154" t="str">
        <f ca="1">IF(ROWS($1:99)&gt;COUNT(Dong2),"",IF(OFFSET(TH!M$1,SMALL(Dong2,ROWS($1:99)),)=$I$6,OFFSET(TH!L$1,SMALL(Dong2,ROWS($1:99)),),OFFSET(TH!M$1,SMALL(Dong2,ROWS($1:99)),)))</f>
        <v>635</v>
      </c>
      <c r="F110" s="440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40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188889</v>
      </c>
      <c r="H110" s="565">
        <f t="shared" ca="1" si="4"/>
        <v>81624993</v>
      </c>
      <c r="I110" s="437"/>
    </row>
    <row r="111" spans="1:9" s="143" customFormat="1" ht="18.75" customHeight="1">
      <c r="A111" s="154">
        <f ca="1">IF(ROWS($1:100)&gt;COUNT(Dong2),"",OFFSET(TH!C$1,SMALL(Dong2,ROWS($1:100)),))</f>
        <v>42725</v>
      </c>
      <c r="B111" s="154" t="str">
        <f ca="1">IF(ROWS($1:100)&gt;COUNT(Dong2),"",OFFSET(TH!D$1,SMALL(Dong2,ROWS($1:100)),))</f>
        <v>T15</v>
      </c>
      <c r="C111" s="154">
        <f ca="1">IF(ROWS($1:100)&gt;COUNT(Dong2),"",OFFSET(TH!E$1,SMALL(Dong2,ROWS($1:100)),))</f>
        <v>42725</v>
      </c>
      <c r="D111" s="230" t="str">
        <f ca="1">IF(ROWS($1:100)&gt;COUNT(Dong2),"",OFFSET(TH!F$1,SMALL(Dong2,ROWS($1:100)),))</f>
        <v>Rút sec</v>
      </c>
      <c r="E111" s="154" t="str">
        <f ca="1">IF(ROWS($1:100)&gt;COUNT(Dong2),"",IF(OFFSET(TH!M$1,SMALL(Dong2,ROWS($1:100)),)=$I$6,OFFSET(TH!L$1,SMALL(Dong2,ROWS($1:100)),),OFFSET(TH!M$1,SMALL(Dong2,ROWS($1:100)),)))</f>
        <v>1111</v>
      </c>
      <c r="F111" s="440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40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80000000</v>
      </c>
      <c r="H111" s="565">
        <f t="shared" ca="1" si="4"/>
        <v>1624993</v>
      </c>
      <c r="I111" s="437"/>
    </row>
    <row r="112" spans="1:9" s="143" customFormat="1" ht="18.75" customHeight="1">
      <c r="A112" s="154">
        <f ca="1">IF(ROWS($1:101)&gt;COUNT(Dong2),"",OFFSET(TH!C$1,SMALL(Dong2,ROWS($1:101)),))</f>
        <v>42726</v>
      </c>
      <c r="B112" s="154" t="str">
        <f ca="1">IF(ROWS($1:101)&gt;COUNT(Dong2),"",OFFSET(TH!D$1,SMALL(Dong2,ROWS($1:101)),))</f>
        <v>GBN</v>
      </c>
      <c r="C112" s="154">
        <f ca="1">IF(ROWS($1:101)&gt;COUNT(Dong2),"",OFFSET(TH!E$1,SMALL(Dong2,ROWS($1:101)),))</f>
        <v>42726</v>
      </c>
      <c r="D112" s="230" t="str">
        <f ca="1">IF(ROWS($1:101)&gt;COUNT(Dong2),"",OFFSET(TH!F$1,SMALL(Dong2,ROWS($1:101)),))</f>
        <v>Phí dịch vụ SMS</v>
      </c>
      <c r="E112" s="154" t="str">
        <f ca="1">IF(ROWS($1:101)&gt;COUNT(Dong2),"",IF(OFFSET(TH!M$1,SMALL(Dong2,ROWS($1:101)),)=$I$6,OFFSET(TH!L$1,SMALL(Dong2,ROWS($1:101)),),OFFSET(TH!M$1,SMALL(Dong2,ROWS($1:101)),)))</f>
        <v>642</v>
      </c>
      <c r="F112" s="440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40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40000</v>
      </c>
      <c r="H112" s="565">
        <f t="shared" ca="1" si="4"/>
        <v>1584993</v>
      </c>
      <c r="I112" s="437"/>
    </row>
    <row r="113" spans="1:9" s="143" customFormat="1" ht="18.75" customHeight="1">
      <c r="A113" s="154">
        <f ca="1">IF(ROWS($1:102)&gt;COUNT(Dong2),"",OFFSET(TH!C$1,SMALL(Dong2,ROWS($1:102)),))</f>
        <v>42726</v>
      </c>
      <c r="B113" s="154" t="str">
        <f ca="1">IF(ROWS($1:102)&gt;COUNT(Dong2),"",OFFSET(TH!D$1,SMALL(Dong2,ROWS($1:102)),))</f>
        <v>GBN</v>
      </c>
      <c r="C113" s="154">
        <f ca="1">IF(ROWS($1:102)&gt;COUNT(Dong2),"",OFFSET(TH!E$1,SMALL(Dong2,ROWS($1:102)),))</f>
        <v>42726</v>
      </c>
      <c r="D113" s="230" t="str">
        <f ca="1">IF(ROWS($1:102)&gt;COUNT(Dong2),"",OFFSET(TH!F$1,SMALL(Dong2,ROWS($1:102)),))</f>
        <v>VAT Phí dịch vụ SMS</v>
      </c>
      <c r="E113" s="154" t="str">
        <f ca="1">IF(ROWS($1:102)&gt;COUNT(Dong2),"",IF(OFFSET(TH!M$1,SMALL(Dong2,ROWS($1:102)),)=$I$6,OFFSET(TH!L$1,SMALL(Dong2,ROWS($1:102)),),OFFSET(TH!M$1,SMALL(Dong2,ROWS($1:102)),)))</f>
        <v>1331</v>
      </c>
      <c r="F113" s="440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40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4000</v>
      </c>
      <c r="H113" s="565">
        <f t="shared" ca="1" si="4"/>
        <v>1580993</v>
      </c>
      <c r="I113" s="437"/>
    </row>
    <row r="114" spans="1:9" s="143" customFormat="1" ht="18.75" customHeight="1">
      <c r="A114" s="154">
        <f ca="1">IF(ROWS($1:103)&gt;COUNT(Dong2),"",OFFSET(TH!C$1,SMALL(Dong2,ROWS($1:103)),))</f>
        <v>42726</v>
      </c>
      <c r="B114" s="154" t="str">
        <f ca="1">IF(ROWS($1:103)&gt;COUNT(Dong2),"",OFFSET(TH!D$1,SMALL(Dong2,ROWS($1:103)),))</f>
        <v>GBN</v>
      </c>
      <c r="C114" s="154">
        <f ca="1">IF(ROWS($1:103)&gt;COUNT(Dong2),"",OFFSET(TH!E$1,SMALL(Dong2,ROWS($1:103)),))</f>
        <v>42726</v>
      </c>
      <c r="D114" s="230" t="str">
        <f ca="1">IF(ROWS($1:103)&gt;COUNT(Dong2),"",OFFSET(TH!F$1,SMALL(Dong2,ROWS($1:103)),))</f>
        <v>Thu tiền hàng</v>
      </c>
      <c r="E114" s="154" t="str">
        <f ca="1">IF(ROWS($1:103)&gt;COUNT(Dong2),"",IF(OFFSET(TH!M$1,SMALL(Dong2,ROWS($1:103)),)=$I$6,OFFSET(TH!L$1,SMALL(Dong2,ROWS($1:103)),),OFFSET(TH!M$1,SMALL(Dong2,ROWS($1:103)),)))</f>
        <v>131</v>
      </c>
      <c r="F114" s="440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7144000</v>
      </c>
      <c r="G114" s="440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565">
        <f t="shared" ca="1" si="4"/>
        <v>8724993</v>
      </c>
      <c r="I114" s="437"/>
    </row>
    <row r="115" spans="1:9" s="143" customFormat="1" ht="18.75" customHeight="1">
      <c r="A115" s="154">
        <f ca="1">IF(ROWS($1:104)&gt;COUNT(Dong2),"",OFFSET(TH!C$1,SMALL(Dong2,ROWS($1:104)),))</f>
        <v>42726</v>
      </c>
      <c r="B115" s="154" t="str">
        <f ca="1">IF(ROWS($1:104)&gt;COUNT(Dong2),"",OFFSET(TH!D$1,SMALL(Dong2,ROWS($1:104)),))</f>
        <v>GBN</v>
      </c>
      <c r="C115" s="154">
        <f ca="1">IF(ROWS($1:104)&gt;COUNT(Dong2),"",OFFSET(TH!E$1,SMALL(Dong2,ROWS($1:104)),))</f>
        <v>42726</v>
      </c>
      <c r="D115" s="230" t="str">
        <f ca="1">IF(ROWS($1:104)&gt;COUNT(Dong2),"",OFFSET(TH!F$1,SMALL(Dong2,ROWS($1:104)),))</f>
        <v>Phí tín dụng</v>
      </c>
      <c r="E115" s="154" t="str">
        <f ca="1">IF(ROWS($1:104)&gt;COUNT(Dong2),"",IF(OFFSET(TH!M$1,SMALL(Dong2,ROWS($1:104)),)=$I$6,OFFSET(TH!L$1,SMALL(Dong2,ROWS($1:104)),),OFFSET(TH!M$1,SMALL(Dong2,ROWS($1:104)),)))</f>
        <v>642</v>
      </c>
      <c r="F115" s="440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40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200000</v>
      </c>
      <c r="H115" s="565">
        <f t="shared" ref="H115:H133" ca="1" si="5">IF(A115&lt;&gt;"",H114+F115-G115,0)</f>
        <v>8524993</v>
      </c>
      <c r="I115" s="437"/>
    </row>
    <row r="116" spans="1:9" s="143" customFormat="1" ht="18.75" customHeight="1">
      <c r="A116" s="154">
        <f ca="1">IF(ROWS($1:105)&gt;COUNT(Dong2),"",OFFSET(TH!C$1,SMALL(Dong2,ROWS($1:105)),))</f>
        <v>42730</v>
      </c>
      <c r="B116" s="154" t="str">
        <f ca="1">IF(ROWS($1:105)&gt;COUNT(Dong2),"",OFFSET(TH!D$1,SMALL(Dong2,ROWS($1:105)),))</f>
        <v>C19</v>
      </c>
      <c r="C116" s="154">
        <f ca="1">IF(ROWS($1:105)&gt;COUNT(Dong2),"",OFFSET(TH!E$1,SMALL(Dong2,ROWS($1:105)),))</f>
        <v>42730</v>
      </c>
      <c r="D116" s="230" t="str">
        <f ca="1">IF(ROWS($1:105)&gt;COUNT(Dong2),"",OFFSET(TH!F$1,SMALL(Dong2,ROWS($1:105)),))</f>
        <v>Nộp TM</v>
      </c>
      <c r="E116" s="154" t="str">
        <f ca="1">IF(ROWS($1:105)&gt;COUNT(Dong2),"",IF(OFFSET(TH!M$1,SMALL(Dong2,ROWS($1:105)),)=$I$6,OFFSET(TH!L$1,SMALL(Dong2,ROWS($1:105)),),OFFSET(TH!M$1,SMALL(Dong2,ROWS($1:105)),)))</f>
        <v>1111</v>
      </c>
      <c r="F116" s="440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80000000</v>
      </c>
      <c r="G116" s="440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565">
        <f t="shared" ca="1" si="5"/>
        <v>88524993</v>
      </c>
      <c r="I116" s="437"/>
    </row>
    <row r="117" spans="1:9" s="143" customFormat="1" ht="18.75" customHeight="1">
      <c r="A117" s="154">
        <f ca="1">IF(ROWS($1:106)&gt;COUNT(Dong2),"",OFFSET(TH!C$1,SMALL(Dong2,ROWS($1:106)),))</f>
        <v>42731</v>
      </c>
      <c r="B117" s="154" t="str">
        <f ca="1">IF(ROWS($1:106)&gt;COUNT(Dong2),"",OFFSET(TH!D$1,SMALL(Dong2,ROWS($1:106)),))</f>
        <v>GBN</v>
      </c>
      <c r="C117" s="154">
        <f ca="1">IF(ROWS($1:106)&gt;COUNT(Dong2),"",OFFSET(TH!E$1,SMALL(Dong2,ROWS($1:106)),))</f>
        <v>42731</v>
      </c>
      <c r="D117" s="230" t="str">
        <f ca="1">IF(ROWS($1:106)&gt;COUNT(Dong2),"",OFFSET(TH!F$1,SMALL(Dong2,ROWS($1:106)),))</f>
        <v>Thanh toán tiền hàng</v>
      </c>
      <c r="E117" s="154" t="str">
        <f ca="1">IF(ROWS($1:106)&gt;COUNT(Dong2),"",IF(OFFSET(TH!M$1,SMALL(Dong2,ROWS($1:106)),)=$I$6,OFFSET(TH!L$1,SMALL(Dong2,ROWS($1:106)),),OFFSET(TH!M$1,SMALL(Dong2,ROWS($1:106)),)))</f>
        <v>331</v>
      </c>
      <c r="F117" s="440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40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6000000</v>
      </c>
      <c r="H117" s="565">
        <f t="shared" ca="1" si="5"/>
        <v>82524993</v>
      </c>
      <c r="I117" s="437"/>
    </row>
    <row r="118" spans="1:9" s="143" customFormat="1" ht="18.75" customHeight="1">
      <c r="A118" s="154">
        <f ca="1">IF(ROWS($1:107)&gt;COUNT(Dong2),"",OFFSET(TH!C$1,SMALL(Dong2,ROWS($1:107)),))</f>
        <v>42731</v>
      </c>
      <c r="B118" s="154" t="str">
        <f ca="1">IF(ROWS($1:107)&gt;COUNT(Dong2),"",OFFSET(TH!D$1,SMALL(Dong2,ROWS($1:107)),))</f>
        <v>GBN</v>
      </c>
      <c r="C118" s="154">
        <f ca="1">IF(ROWS($1:107)&gt;COUNT(Dong2),"",OFFSET(TH!E$1,SMALL(Dong2,ROWS($1:107)),))</f>
        <v>42731</v>
      </c>
      <c r="D118" s="230" t="str">
        <f ca="1">IF(ROWS($1:107)&gt;COUNT(Dong2),"",OFFSET(TH!F$1,SMALL(Dong2,ROWS($1:107)),))</f>
        <v>Phí chuyển tiền</v>
      </c>
      <c r="E118" s="154" t="str">
        <f ca="1">IF(ROWS($1:107)&gt;COUNT(Dong2),"",IF(OFFSET(TH!M$1,SMALL(Dong2,ROWS($1:107)),)=$I$6,OFFSET(TH!L$1,SMALL(Dong2,ROWS($1:107)),),OFFSET(TH!M$1,SMALL(Dong2,ROWS($1:107)),)))</f>
        <v>642</v>
      </c>
      <c r="F118" s="440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40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15000</v>
      </c>
      <c r="H118" s="565">
        <f t="shared" ca="1" si="5"/>
        <v>82509993</v>
      </c>
      <c r="I118" s="437"/>
    </row>
    <row r="119" spans="1:9" s="143" customFormat="1" ht="18.75" customHeight="1">
      <c r="A119" s="154">
        <f ca="1">IF(ROWS($1:108)&gt;COUNT(Dong2),"",OFFSET(TH!C$1,SMALL(Dong2,ROWS($1:108)),))</f>
        <v>42731</v>
      </c>
      <c r="B119" s="154" t="str">
        <f ca="1">IF(ROWS($1:108)&gt;COUNT(Dong2),"",OFFSET(TH!D$1,SMALL(Dong2,ROWS($1:108)),))</f>
        <v>GBN</v>
      </c>
      <c r="C119" s="154">
        <f ca="1">IF(ROWS($1:108)&gt;COUNT(Dong2),"",OFFSET(TH!E$1,SMALL(Dong2,ROWS($1:108)),))</f>
        <v>42731</v>
      </c>
      <c r="D119" s="230" t="str">
        <f ca="1">IF(ROWS($1:108)&gt;COUNT(Dong2),"",OFFSET(TH!F$1,SMALL(Dong2,ROWS($1:108)),))</f>
        <v>VAT Phí chuyển tiền</v>
      </c>
      <c r="E119" s="154" t="str">
        <f ca="1">IF(ROWS($1:108)&gt;COUNT(Dong2),"",IF(OFFSET(TH!M$1,SMALL(Dong2,ROWS($1:108)),)=$I$6,OFFSET(TH!L$1,SMALL(Dong2,ROWS($1:108)),),OFFSET(TH!M$1,SMALL(Dong2,ROWS($1:108)),)))</f>
        <v>1331</v>
      </c>
      <c r="F119" s="440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40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1500</v>
      </c>
      <c r="H119" s="565">
        <f t="shared" ca="1" si="5"/>
        <v>82508493</v>
      </c>
      <c r="I119" s="437"/>
    </row>
    <row r="120" spans="1:9" s="143" customFormat="1" ht="18.75" customHeight="1">
      <c r="A120" s="154">
        <f ca="1">IF(ROWS($1:109)&gt;COUNT(Dong2),"",OFFSET(TH!C$1,SMALL(Dong2,ROWS($1:109)),))</f>
        <v>42731</v>
      </c>
      <c r="B120" s="154" t="str">
        <f ca="1">IF(ROWS($1:109)&gt;COUNT(Dong2),"",OFFSET(TH!D$1,SMALL(Dong2,ROWS($1:109)),))</f>
        <v>GBN</v>
      </c>
      <c r="C120" s="154">
        <f ca="1">IF(ROWS($1:109)&gt;COUNT(Dong2),"",OFFSET(TH!E$1,SMALL(Dong2,ROWS($1:109)),))</f>
        <v>42731</v>
      </c>
      <c r="D120" s="230" t="str">
        <f ca="1">IF(ROWS($1:109)&gt;COUNT(Dong2),"",OFFSET(TH!F$1,SMALL(Dong2,ROWS($1:109)),))</f>
        <v>Thanh toán tiền hàng</v>
      </c>
      <c r="E120" s="154" t="str">
        <f ca="1">IF(ROWS($1:109)&gt;COUNT(Dong2),"",IF(OFFSET(TH!M$1,SMALL(Dong2,ROWS($1:109)),)=$I$6,OFFSET(TH!L$1,SMALL(Dong2,ROWS($1:109)),),OFFSET(TH!M$1,SMALL(Dong2,ROWS($1:109)),)))</f>
        <v>331</v>
      </c>
      <c r="F120" s="440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40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10000000</v>
      </c>
      <c r="H120" s="565">
        <f t="shared" ca="1" si="5"/>
        <v>72508493</v>
      </c>
      <c r="I120" s="437"/>
    </row>
    <row r="121" spans="1:9" s="143" customFormat="1" ht="18.75" customHeight="1">
      <c r="A121" s="154">
        <f ca="1">IF(ROWS($1:110)&gt;COUNT(Dong2),"",OFFSET(TH!C$1,SMALL(Dong2,ROWS($1:110)),))</f>
        <v>42731</v>
      </c>
      <c r="B121" s="154" t="str">
        <f ca="1">IF(ROWS($1:110)&gt;COUNT(Dong2),"",OFFSET(TH!D$1,SMALL(Dong2,ROWS($1:110)),))</f>
        <v>GBN</v>
      </c>
      <c r="C121" s="154">
        <f ca="1">IF(ROWS($1:110)&gt;COUNT(Dong2),"",OFFSET(TH!E$1,SMALL(Dong2,ROWS($1:110)),))</f>
        <v>42731</v>
      </c>
      <c r="D121" s="230" t="str">
        <f ca="1">IF(ROWS($1:110)&gt;COUNT(Dong2),"",OFFSET(TH!F$1,SMALL(Dong2,ROWS($1:110)),))</f>
        <v>Phí chuyển tiền</v>
      </c>
      <c r="E121" s="154" t="str">
        <f ca="1">IF(ROWS($1:110)&gt;COUNT(Dong2),"",IF(OFFSET(TH!M$1,SMALL(Dong2,ROWS($1:110)),)=$I$6,OFFSET(TH!L$1,SMALL(Dong2,ROWS($1:110)),),OFFSET(TH!M$1,SMALL(Dong2,ROWS($1:110)),)))</f>
        <v>642</v>
      </c>
      <c r="F121" s="440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40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15000</v>
      </c>
      <c r="H121" s="565">
        <f t="shared" ca="1" si="5"/>
        <v>72493493</v>
      </c>
      <c r="I121" s="437"/>
    </row>
    <row r="122" spans="1:9" s="143" customFormat="1" ht="18.75" customHeight="1">
      <c r="A122" s="154">
        <f ca="1">IF(ROWS($1:111)&gt;COUNT(Dong2),"",OFFSET(TH!C$1,SMALL(Dong2,ROWS($1:111)),))</f>
        <v>42731</v>
      </c>
      <c r="B122" s="154" t="str">
        <f ca="1">IF(ROWS($1:111)&gt;COUNT(Dong2),"",OFFSET(TH!D$1,SMALL(Dong2,ROWS($1:111)),))</f>
        <v>GBN</v>
      </c>
      <c r="C122" s="154">
        <f ca="1">IF(ROWS($1:111)&gt;COUNT(Dong2),"",OFFSET(TH!E$1,SMALL(Dong2,ROWS($1:111)),))</f>
        <v>42731</v>
      </c>
      <c r="D122" s="230" t="str">
        <f ca="1">IF(ROWS($1:111)&gt;COUNT(Dong2),"",OFFSET(TH!F$1,SMALL(Dong2,ROWS($1:111)),))</f>
        <v>VAT Phí chuyển tiền</v>
      </c>
      <c r="E122" s="154" t="str">
        <f ca="1">IF(ROWS($1:111)&gt;COUNT(Dong2),"",IF(OFFSET(TH!M$1,SMALL(Dong2,ROWS($1:111)),)=$I$6,OFFSET(TH!L$1,SMALL(Dong2,ROWS($1:111)),),OFFSET(TH!M$1,SMALL(Dong2,ROWS($1:111)),)))</f>
        <v>1331</v>
      </c>
      <c r="F122" s="440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40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</v>
      </c>
      <c r="H122" s="565">
        <f t="shared" ca="1" si="5"/>
        <v>72491993</v>
      </c>
      <c r="I122" s="437"/>
    </row>
    <row r="123" spans="1:9" s="143" customFormat="1" ht="18.75" customHeight="1">
      <c r="A123" s="154">
        <f ca="1">IF(ROWS($1:112)&gt;COUNT(Dong2),"",OFFSET(TH!C$1,SMALL(Dong2,ROWS($1:112)),))</f>
        <v>42731</v>
      </c>
      <c r="B123" s="154" t="str">
        <f ca="1">IF(ROWS($1:112)&gt;COUNT(Dong2),"",OFFSET(TH!D$1,SMALL(Dong2,ROWS($1:112)),))</f>
        <v>GBN</v>
      </c>
      <c r="C123" s="154">
        <f ca="1">IF(ROWS($1:112)&gt;COUNT(Dong2),"",OFFSET(TH!E$1,SMALL(Dong2,ROWS($1:112)),))</f>
        <v>42731</v>
      </c>
      <c r="D123" s="230" t="str">
        <f ca="1">IF(ROWS($1:112)&gt;COUNT(Dong2),"",OFFSET(TH!F$1,SMALL(Dong2,ROWS($1:112)),))</f>
        <v>Thanh toán tiền hàng</v>
      </c>
      <c r="E123" s="154" t="str">
        <f ca="1">IF(ROWS($1:112)&gt;COUNT(Dong2),"",IF(OFFSET(TH!M$1,SMALL(Dong2,ROWS($1:112)),)=$I$6,OFFSET(TH!L$1,SMALL(Dong2,ROWS($1:112)),),OFFSET(TH!M$1,SMALL(Dong2,ROWS($1:112)),)))</f>
        <v>331</v>
      </c>
      <c r="F123" s="440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40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5000000</v>
      </c>
      <c r="H123" s="565">
        <f t="shared" ca="1" si="5"/>
        <v>67491993</v>
      </c>
      <c r="I123" s="437"/>
    </row>
    <row r="124" spans="1:9" s="143" customFormat="1" ht="18.75" customHeight="1">
      <c r="A124" s="154">
        <f ca="1">IF(ROWS($1:113)&gt;COUNT(Dong2),"",OFFSET(TH!C$1,SMALL(Dong2,ROWS($1:113)),))</f>
        <v>42731</v>
      </c>
      <c r="B124" s="154" t="str">
        <f ca="1">IF(ROWS($1:113)&gt;COUNT(Dong2),"",OFFSET(TH!D$1,SMALL(Dong2,ROWS($1:113)),))</f>
        <v>GBN</v>
      </c>
      <c r="C124" s="154">
        <f ca="1">IF(ROWS($1:113)&gt;COUNT(Dong2),"",OFFSET(TH!E$1,SMALL(Dong2,ROWS($1:113)),))</f>
        <v>42731</v>
      </c>
      <c r="D124" s="230" t="str">
        <f ca="1">IF(ROWS($1:113)&gt;COUNT(Dong2),"",OFFSET(TH!F$1,SMALL(Dong2,ROWS($1:113)),))</f>
        <v>Phí chuyển tiền</v>
      </c>
      <c r="E124" s="154" t="str">
        <f ca="1">IF(ROWS($1:113)&gt;COUNT(Dong2),"",IF(OFFSET(TH!M$1,SMALL(Dong2,ROWS($1:113)),)=$I$6,OFFSET(TH!L$1,SMALL(Dong2,ROWS($1:113)),),OFFSET(TH!M$1,SMALL(Dong2,ROWS($1:113)),)))</f>
        <v>642</v>
      </c>
      <c r="F124" s="440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40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15000</v>
      </c>
      <c r="H124" s="565">
        <f t="shared" ca="1" si="5"/>
        <v>67476993</v>
      </c>
      <c r="I124" s="437"/>
    </row>
    <row r="125" spans="1:9" s="143" customFormat="1" ht="18.75" customHeight="1">
      <c r="A125" s="154">
        <f ca="1">IF(ROWS($1:114)&gt;COUNT(Dong2),"",OFFSET(TH!C$1,SMALL(Dong2,ROWS($1:114)),))</f>
        <v>42731</v>
      </c>
      <c r="B125" s="154" t="str">
        <f ca="1">IF(ROWS($1:114)&gt;COUNT(Dong2),"",OFFSET(TH!D$1,SMALL(Dong2,ROWS($1:114)),))</f>
        <v>GBN</v>
      </c>
      <c r="C125" s="154">
        <f ca="1">IF(ROWS($1:114)&gt;COUNT(Dong2),"",OFFSET(TH!E$1,SMALL(Dong2,ROWS($1:114)),))</f>
        <v>42731</v>
      </c>
      <c r="D125" s="230" t="str">
        <f ca="1">IF(ROWS($1:114)&gt;COUNT(Dong2),"",OFFSET(TH!F$1,SMALL(Dong2,ROWS($1:114)),))</f>
        <v>VAT Phí chuyển tiền</v>
      </c>
      <c r="E125" s="154" t="str">
        <f ca="1">IF(ROWS($1:114)&gt;COUNT(Dong2),"",IF(OFFSET(TH!M$1,SMALL(Dong2,ROWS($1:114)),)=$I$6,OFFSET(TH!L$1,SMALL(Dong2,ROWS($1:114)),),OFFSET(TH!M$1,SMALL(Dong2,ROWS($1:114)),)))</f>
        <v>1331</v>
      </c>
      <c r="F125" s="440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40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</v>
      </c>
      <c r="H125" s="565">
        <f t="shared" ca="1" si="5"/>
        <v>67475493</v>
      </c>
      <c r="I125" s="437"/>
    </row>
    <row r="126" spans="1:9" s="143" customFormat="1" ht="18.75" customHeight="1">
      <c r="A126" s="154">
        <f ca="1">IF(ROWS($1:115)&gt;COUNT(Dong2),"",OFFSET(TH!C$1,SMALL(Dong2,ROWS($1:115)),))</f>
        <v>42731</v>
      </c>
      <c r="B126" s="154" t="str">
        <f ca="1">IF(ROWS($1:115)&gt;COUNT(Dong2),"",OFFSET(TH!D$1,SMALL(Dong2,ROWS($1:115)),))</f>
        <v>GBN</v>
      </c>
      <c r="C126" s="154">
        <f ca="1">IF(ROWS($1:115)&gt;COUNT(Dong2),"",OFFSET(TH!E$1,SMALL(Dong2,ROWS($1:115)),))</f>
        <v>42731</v>
      </c>
      <c r="D126" s="230" t="str">
        <f ca="1">IF(ROWS($1:115)&gt;COUNT(Dong2),"",OFFSET(TH!F$1,SMALL(Dong2,ROWS($1:115)),))</f>
        <v>Thanh toán tiền hàng</v>
      </c>
      <c r="E126" s="154" t="str">
        <f ca="1">IF(ROWS($1:115)&gt;COUNT(Dong2),"",IF(OFFSET(TH!M$1,SMALL(Dong2,ROWS($1:115)),)=$I$6,OFFSET(TH!L$1,SMALL(Dong2,ROWS($1:115)),),OFFSET(TH!M$1,SMALL(Dong2,ROWS($1:115)),)))</f>
        <v>331</v>
      </c>
      <c r="F126" s="440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40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565">
        <f t="shared" ca="1" si="5"/>
        <v>52475493</v>
      </c>
      <c r="I126" s="437"/>
    </row>
    <row r="127" spans="1:9" s="143" customFormat="1" ht="18.75" customHeight="1">
      <c r="A127" s="154">
        <f ca="1">IF(ROWS($1:116)&gt;COUNT(Dong2),"",OFFSET(TH!C$1,SMALL(Dong2,ROWS($1:116)),))</f>
        <v>42731</v>
      </c>
      <c r="B127" s="154" t="str">
        <f ca="1">IF(ROWS($1:116)&gt;COUNT(Dong2),"",OFFSET(TH!D$1,SMALL(Dong2,ROWS($1:116)),))</f>
        <v>GBN</v>
      </c>
      <c r="C127" s="154">
        <f ca="1">IF(ROWS($1:116)&gt;COUNT(Dong2),"",OFFSET(TH!E$1,SMALL(Dong2,ROWS($1:116)),))</f>
        <v>42731</v>
      </c>
      <c r="D127" s="230" t="str">
        <f ca="1">IF(ROWS($1:116)&gt;COUNT(Dong2),"",OFFSET(TH!F$1,SMALL(Dong2,ROWS($1:116)),))</f>
        <v>Phí chuyển tiền</v>
      </c>
      <c r="E127" s="154" t="str">
        <f ca="1">IF(ROWS($1:116)&gt;COUNT(Dong2),"",IF(OFFSET(TH!M$1,SMALL(Dong2,ROWS($1:116)),)=$I$6,OFFSET(TH!L$1,SMALL(Dong2,ROWS($1:116)),),OFFSET(TH!M$1,SMALL(Dong2,ROWS($1:116)),)))</f>
        <v>642</v>
      </c>
      <c r="F127" s="440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40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20000</v>
      </c>
      <c r="H127" s="565">
        <f t="shared" ca="1" si="5"/>
        <v>52455493</v>
      </c>
      <c r="I127" s="437"/>
    </row>
    <row r="128" spans="1:9" s="143" customFormat="1" ht="18.75" customHeight="1">
      <c r="A128" s="154">
        <f ca="1">IF(ROWS($1:117)&gt;COUNT(Dong2),"",OFFSET(TH!C$1,SMALL(Dong2,ROWS($1:117)),))</f>
        <v>42731</v>
      </c>
      <c r="B128" s="154" t="str">
        <f ca="1">IF(ROWS($1:117)&gt;COUNT(Dong2),"",OFFSET(TH!D$1,SMALL(Dong2,ROWS($1:117)),))</f>
        <v>GBN</v>
      </c>
      <c r="C128" s="154">
        <f ca="1">IF(ROWS($1:117)&gt;COUNT(Dong2),"",OFFSET(TH!E$1,SMALL(Dong2,ROWS($1:117)),))</f>
        <v>42731</v>
      </c>
      <c r="D128" s="230" t="str">
        <f ca="1">IF(ROWS($1:117)&gt;COUNT(Dong2),"",OFFSET(TH!F$1,SMALL(Dong2,ROWS($1:117)),))</f>
        <v>VAT Phí chuyển tiền</v>
      </c>
      <c r="E128" s="154" t="str">
        <f ca="1">IF(ROWS($1:117)&gt;COUNT(Dong2),"",IF(OFFSET(TH!M$1,SMALL(Dong2,ROWS($1:117)),)=$I$6,OFFSET(TH!L$1,SMALL(Dong2,ROWS($1:117)),),OFFSET(TH!M$1,SMALL(Dong2,ROWS($1:117)),)))</f>
        <v>1331</v>
      </c>
      <c r="F128" s="440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40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2000</v>
      </c>
      <c r="H128" s="565">
        <f t="shared" ca="1" si="5"/>
        <v>52453493</v>
      </c>
      <c r="I128" s="437"/>
    </row>
    <row r="129" spans="1:21" s="143" customFormat="1" ht="18.75" customHeight="1">
      <c r="A129" s="154">
        <f ca="1">IF(ROWS($1:118)&gt;COUNT(Dong2),"",OFFSET(TH!C$1,SMALL(Dong2,ROWS($1:118)),))</f>
        <v>42731</v>
      </c>
      <c r="B129" s="154" t="str">
        <f ca="1">IF(ROWS($1:118)&gt;COUNT(Dong2),"",OFFSET(TH!D$1,SMALL(Dong2,ROWS($1:118)),))</f>
        <v>GBN</v>
      </c>
      <c r="C129" s="154">
        <f ca="1">IF(ROWS($1:118)&gt;COUNT(Dong2),"",OFFSET(TH!E$1,SMALL(Dong2,ROWS($1:118)),))</f>
        <v>42731</v>
      </c>
      <c r="D129" s="230" t="str">
        <f ca="1">IF(ROWS($1:118)&gt;COUNT(Dong2),"",OFFSET(TH!F$1,SMALL(Dong2,ROWS($1:118)),))</f>
        <v>Vay</v>
      </c>
      <c r="E129" s="154" t="str">
        <f ca="1">IF(ROWS($1:118)&gt;COUNT(Dong2),"",IF(OFFSET(TH!M$1,SMALL(Dong2,ROWS($1:118)),)=$I$6,OFFSET(TH!L$1,SMALL(Dong2,ROWS($1:118)),),OFFSET(TH!M$1,SMALL(Dong2,ROWS($1:118)),)))</f>
        <v>3412</v>
      </c>
      <c r="F129" s="440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90000000</v>
      </c>
      <c r="G129" s="440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0</v>
      </c>
      <c r="H129" s="565">
        <f t="shared" ca="1" si="5"/>
        <v>142453493</v>
      </c>
      <c r="I129" s="437"/>
    </row>
    <row r="130" spans="1:21" s="143" customFormat="1" ht="18.75" customHeight="1">
      <c r="A130" s="154">
        <f ca="1">IF(ROWS($1:119)&gt;COUNT(Dong2),"",OFFSET(TH!C$1,SMALL(Dong2,ROWS($1:119)),))</f>
        <v>42731</v>
      </c>
      <c r="B130" s="154" t="str">
        <f ca="1">IF(ROWS($1:119)&gt;COUNT(Dong2),"",OFFSET(TH!D$1,SMALL(Dong2,ROWS($1:119)),))</f>
        <v>GBN</v>
      </c>
      <c r="C130" s="154">
        <f ca="1">IF(ROWS($1:119)&gt;COUNT(Dong2),"",OFFSET(TH!E$1,SMALL(Dong2,ROWS($1:119)),))</f>
        <v>42731</v>
      </c>
      <c r="D130" s="230" t="str">
        <f ca="1">IF(ROWS($1:119)&gt;COUNT(Dong2),"",OFFSET(TH!F$1,SMALL(Dong2,ROWS($1:119)),))</f>
        <v>Thanh toán tiền hàng</v>
      </c>
      <c r="E130" s="154" t="str">
        <f ca="1">IF(ROWS($1:119)&gt;COUNT(Dong2),"",IF(OFFSET(TH!M$1,SMALL(Dong2,ROWS($1:119)),)=$I$6,OFFSET(TH!L$1,SMALL(Dong2,ROWS($1:119)),),OFFSET(TH!M$1,SMALL(Dong2,ROWS($1:119)),)))</f>
        <v>331</v>
      </c>
      <c r="F130" s="440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40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30000000</v>
      </c>
      <c r="H130" s="565">
        <f t="shared" ca="1" si="5"/>
        <v>112453493</v>
      </c>
      <c r="I130" s="437"/>
    </row>
    <row r="131" spans="1:21" s="143" customFormat="1" ht="18.75" customHeight="1">
      <c r="A131" s="154">
        <f ca="1">IF(ROWS($1:120)&gt;COUNT(Dong2),"",OFFSET(TH!C$1,SMALL(Dong2,ROWS($1:120)),))</f>
        <v>42731</v>
      </c>
      <c r="B131" s="154" t="str">
        <f ca="1">IF(ROWS($1:120)&gt;COUNT(Dong2),"",OFFSET(TH!D$1,SMALL(Dong2,ROWS($1:120)),))</f>
        <v>GBN</v>
      </c>
      <c r="C131" s="154">
        <f ca="1">IF(ROWS($1:120)&gt;COUNT(Dong2),"",OFFSET(TH!E$1,SMALL(Dong2,ROWS($1:120)),))</f>
        <v>42731</v>
      </c>
      <c r="D131" s="230" t="str">
        <f ca="1">IF(ROWS($1:120)&gt;COUNT(Dong2),"",OFFSET(TH!F$1,SMALL(Dong2,ROWS($1:120)),))</f>
        <v>Phí chuyển tiền</v>
      </c>
      <c r="E131" s="154" t="str">
        <f ca="1">IF(ROWS($1:120)&gt;COUNT(Dong2),"",IF(OFFSET(TH!M$1,SMALL(Dong2,ROWS($1:120)),)=$I$6,OFFSET(TH!L$1,SMALL(Dong2,ROWS($1:120)),),OFFSET(TH!M$1,SMALL(Dong2,ROWS($1:120)),)))</f>
        <v>642</v>
      </c>
      <c r="F131" s="440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40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</v>
      </c>
      <c r="H131" s="565">
        <f t="shared" ca="1" si="5"/>
        <v>112433493</v>
      </c>
      <c r="I131" s="437"/>
    </row>
    <row r="132" spans="1:21" s="143" customFormat="1" ht="18.75" customHeight="1">
      <c r="A132" s="154">
        <f ca="1">IF(ROWS($1:121)&gt;COUNT(Dong2),"",OFFSET(TH!C$1,SMALL(Dong2,ROWS($1:121)),))</f>
        <v>42731</v>
      </c>
      <c r="B132" s="154" t="str">
        <f ca="1">IF(ROWS($1:121)&gt;COUNT(Dong2),"",OFFSET(TH!D$1,SMALL(Dong2,ROWS($1:121)),))</f>
        <v>GBN</v>
      </c>
      <c r="C132" s="154">
        <f ca="1">IF(ROWS($1:121)&gt;COUNT(Dong2),"",OFFSET(TH!E$1,SMALL(Dong2,ROWS($1:121)),))</f>
        <v>42731</v>
      </c>
      <c r="D132" s="230" t="str">
        <f ca="1">IF(ROWS($1:121)&gt;COUNT(Dong2),"",OFFSET(TH!F$1,SMALL(Dong2,ROWS($1:121)),))</f>
        <v>VAT Phí chuyển tiền</v>
      </c>
      <c r="E132" s="154" t="str">
        <f ca="1">IF(ROWS($1:121)&gt;COUNT(Dong2),"",IF(OFFSET(TH!M$1,SMALL(Dong2,ROWS($1:121)),)=$I$6,OFFSET(TH!L$1,SMALL(Dong2,ROWS($1:121)),),OFFSET(TH!M$1,SMALL(Dong2,ROWS($1:121)),)))</f>
        <v>1331</v>
      </c>
      <c r="F132" s="440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40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2000</v>
      </c>
      <c r="H132" s="565">
        <f t="shared" ca="1" si="5"/>
        <v>112431493</v>
      </c>
      <c r="I132" s="437"/>
    </row>
    <row r="133" spans="1:21" s="143" customFormat="1" ht="18.75" customHeight="1">
      <c r="A133" s="154">
        <f ca="1">IF(ROWS($1:122)&gt;COUNT(Dong2),"",OFFSET(TH!C$1,SMALL(Dong2,ROWS($1:122)),))</f>
        <v>42733</v>
      </c>
      <c r="B133" s="154" t="str">
        <f ca="1">IF(ROWS($1:122)&gt;COUNT(Dong2),"",OFFSET(TH!D$1,SMALL(Dong2,ROWS($1:122)),))</f>
        <v>GBN</v>
      </c>
      <c r="C133" s="154">
        <f ca="1">IF(ROWS($1:122)&gt;COUNT(Dong2),"",OFFSET(TH!E$1,SMALL(Dong2,ROWS($1:122)),))</f>
        <v>42733</v>
      </c>
      <c r="D133" s="230" t="str">
        <f ca="1">IF(ROWS($1:122)&gt;COUNT(Dong2),"",OFFSET(TH!F$1,SMALL(Dong2,ROWS($1:122)),))</f>
        <v>Thanh toán tiền hàng</v>
      </c>
      <c r="E133" s="154" t="str">
        <f ca="1">IF(ROWS($1:122)&gt;COUNT(Dong2),"",IF(OFFSET(TH!M$1,SMALL(Dong2,ROWS($1:122)),)=$I$6,OFFSET(TH!L$1,SMALL(Dong2,ROWS($1:122)),),OFFSET(TH!M$1,SMALL(Dong2,ROWS($1:122)),)))</f>
        <v>331</v>
      </c>
      <c r="F133" s="440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40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50000000</v>
      </c>
      <c r="H133" s="565">
        <f t="shared" ca="1" si="5"/>
        <v>62431493</v>
      </c>
      <c r="I133" s="437"/>
    </row>
    <row r="134" spans="1:21" s="143" customFormat="1" ht="18.75" customHeight="1">
      <c r="A134" s="154">
        <f ca="1">IF(ROWS($1:123)&gt;COUNT(Dong2),"",OFFSET(TH!C$1,SMALL(Dong2,ROWS($1:123)),))</f>
        <v>42733</v>
      </c>
      <c r="B134" s="154" t="str">
        <f ca="1">IF(ROWS($1:123)&gt;COUNT(Dong2),"",OFFSET(TH!D$1,SMALL(Dong2,ROWS($1:123)),))</f>
        <v>GBN</v>
      </c>
      <c r="C134" s="154">
        <f ca="1">IF(ROWS($1:123)&gt;COUNT(Dong2),"",OFFSET(TH!E$1,SMALL(Dong2,ROWS($1:123)),))</f>
        <v>42733</v>
      </c>
      <c r="D134" s="230" t="str">
        <f ca="1">IF(ROWS($1:123)&gt;COUNT(Dong2),"",OFFSET(TH!F$1,SMALL(Dong2,ROWS($1:123)),))</f>
        <v>Phí chuyển tiền</v>
      </c>
      <c r="E134" s="154" t="str">
        <f ca="1">IF(ROWS($1:123)&gt;COUNT(Dong2),"",IF(OFFSET(TH!M$1,SMALL(Dong2,ROWS($1:123)),)=$I$6,OFFSET(TH!L$1,SMALL(Dong2,ROWS($1:123)),),OFFSET(TH!M$1,SMALL(Dong2,ROWS($1:123)),)))</f>
        <v>642</v>
      </c>
      <c r="F134" s="440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40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16500</v>
      </c>
      <c r="H134" s="565">
        <f t="shared" ref="H134:H139" ca="1" si="6">IF(A134&lt;&gt;"",H133+F134-G134,0)</f>
        <v>62414993</v>
      </c>
      <c r="I134" s="437"/>
    </row>
    <row r="135" spans="1:21" s="143" customFormat="1" ht="18.75" customHeight="1">
      <c r="A135" s="154">
        <f ca="1">IF(ROWS($1:124)&gt;COUNT(Dong2),"",OFFSET(TH!C$1,SMALL(Dong2,ROWS($1:124)),))</f>
        <v>42734</v>
      </c>
      <c r="B135" s="154" t="str">
        <f ca="1">IF(ROWS($1:124)&gt;COUNT(Dong2),"",OFFSET(TH!D$1,SMALL(Dong2,ROWS($1:124)),))</f>
        <v>GBN</v>
      </c>
      <c r="C135" s="154">
        <f ca="1">IF(ROWS($1:124)&gt;COUNT(Dong2),"",OFFSET(TH!E$1,SMALL(Dong2,ROWS($1:124)),))</f>
        <v>42734</v>
      </c>
      <c r="D135" s="230" t="str">
        <f ca="1">IF(ROWS($1:124)&gt;COUNT(Dong2),"",OFFSET(TH!F$1,SMALL(Dong2,ROWS($1:124)),))</f>
        <v>Thanh toán tiền hàng</v>
      </c>
      <c r="E135" s="154" t="str">
        <f ca="1">IF(ROWS($1:124)&gt;COUNT(Dong2),"",IF(OFFSET(TH!M$1,SMALL(Dong2,ROWS($1:124)),)=$I$6,OFFSET(TH!L$1,SMALL(Dong2,ROWS($1:124)),),OFFSET(TH!M$1,SMALL(Dong2,ROWS($1:124)),)))</f>
        <v>1388</v>
      </c>
      <c r="F135" s="440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40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10000000</v>
      </c>
      <c r="H135" s="565">
        <f t="shared" ca="1" si="6"/>
        <v>52414993</v>
      </c>
      <c r="I135" s="437"/>
    </row>
    <row r="136" spans="1:21" s="143" customFormat="1" ht="18.75" customHeight="1">
      <c r="A136" s="154">
        <f ca="1">IF(ROWS($1:125)&gt;COUNT(Dong2),"",OFFSET(TH!C$1,SMALL(Dong2,ROWS($1:125)),))</f>
        <v>42734</v>
      </c>
      <c r="B136" s="154" t="str">
        <f ca="1">IF(ROWS($1:125)&gt;COUNT(Dong2),"",OFFSET(TH!D$1,SMALL(Dong2,ROWS($1:125)),))</f>
        <v>GBN</v>
      </c>
      <c r="C136" s="154">
        <f ca="1">IF(ROWS($1:125)&gt;COUNT(Dong2),"",OFFSET(TH!E$1,SMALL(Dong2,ROWS($1:125)),))</f>
        <v>42734</v>
      </c>
      <c r="D136" s="230" t="str">
        <f ca="1">IF(ROWS($1:125)&gt;COUNT(Dong2),"",OFFSET(TH!F$1,SMALL(Dong2,ROWS($1:125)),))</f>
        <v>Phí chuyển tiền</v>
      </c>
      <c r="E136" s="154" t="str">
        <f ca="1">IF(ROWS($1:125)&gt;COUNT(Dong2),"",IF(OFFSET(TH!M$1,SMALL(Dong2,ROWS($1:125)),)=$I$6,OFFSET(TH!L$1,SMALL(Dong2,ROWS($1:125)),),OFFSET(TH!M$1,SMALL(Dong2,ROWS($1:125)),)))</f>
        <v>642</v>
      </c>
      <c r="F136" s="440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40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22000</v>
      </c>
      <c r="H136" s="565">
        <f t="shared" ca="1" si="6"/>
        <v>52392993</v>
      </c>
      <c r="I136" s="437"/>
    </row>
    <row r="137" spans="1:21" s="143" customFormat="1" ht="18.75" customHeight="1">
      <c r="A137" s="154">
        <f ca="1">IF(ROWS($1:126)&gt;COUNT(Dong2),"",OFFSET(TH!C$1,SMALL(Dong2,ROWS($1:126)),))</f>
        <v>42734</v>
      </c>
      <c r="B137" s="154" t="str">
        <f ca="1">IF(ROWS($1:126)&gt;COUNT(Dong2),"",OFFSET(TH!D$1,SMALL(Dong2,ROWS($1:126)),))</f>
        <v>GBN</v>
      </c>
      <c r="C137" s="154">
        <f ca="1">IF(ROWS($1:126)&gt;COUNT(Dong2),"",OFFSET(TH!E$1,SMALL(Dong2,ROWS($1:126)),))</f>
        <v>42734</v>
      </c>
      <c r="D137" s="230" t="str">
        <f ca="1">IF(ROWS($1:126)&gt;COUNT(Dong2),"",OFFSET(TH!F$1,SMALL(Dong2,ROWS($1:126)),))</f>
        <v>Hoàn trả lệnh chuyển tiền</v>
      </c>
      <c r="E137" s="154" t="str">
        <f ca="1">IF(ROWS($1:126)&gt;COUNT(Dong2),"",IF(OFFSET(TH!M$1,SMALL(Dong2,ROWS($1:126)),)=$I$6,OFFSET(TH!L$1,SMALL(Dong2,ROWS($1:126)),),OFFSET(TH!M$1,SMALL(Dong2,ROWS($1:126)),)))</f>
        <v>1388</v>
      </c>
      <c r="F137" s="440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10000000</v>
      </c>
      <c r="G137" s="440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0</v>
      </c>
      <c r="H137" s="565">
        <f t="shared" ca="1" si="6"/>
        <v>62392993</v>
      </c>
      <c r="I137" s="437"/>
    </row>
    <row r="138" spans="1:21" s="143" customFormat="1" ht="18.75" customHeight="1">
      <c r="A138" s="154">
        <f ca="1">IF(ROWS($1:127)&gt;COUNT(Dong2),"",OFFSET(TH!C$1,SMALL(Dong2,ROWS($1:127)),))</f>
        <v>42734</v>
      </c>
      <c r="B138" s="154" t="str">
        <f ca="1">IF(ROWS($1:127)&gt;COUNT(Dong2),"",OFFSET(TH!D$1,SMALL(Dong2,ROWS($1:127)),))</f>
        <v>GBN</v>
      </c>
      <c r="C138" s="154">
        <f ca="1">IF(ROWS($1:127)&gt;COUNT(Dong2),"",OFFSET(TH!E$1,SMALL(Dong2,ROWS($1:127)),))</f>
        <v>42734</v>
      </c>
      <c r="D138" s="230" t="str">
        <f ca="1">IF(ROWS($1:127)&gt;COUNT(Dong2),"",OFFSET(TH!F$1,SMALL(Dong2,ROWS($1:127)),))</f>
        <v>Thanh toán tiền hàng</v>
      </c>
      <c r="E138" s="154" t="str">
        <f ca="1">IF(ROWS($1:127)&gt;COUNT(Dong2),"",IF(OFFSET(TH!M$1,SMALL(Dong2,ROWS($1:127)),)=$I$6,OFFSET(TH!L$1,SMALL(Dong2,ROWS($1:127)),),OFFSET(TH!M$1,SMALL(Dong2,ROWS($1:127)),)))</f>
        <v>331</v>
      </c>
      <c r="F138" s="440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40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10000000</v>
      </c>
      <c r="H138" s="565">
        <f t="shared" ca="1" si="6"/>
        <v>52392993</v>
      </c>
      <c r="I138" s="437"/>
    </row>
    <row r="139" spans="1:21" s="143" customFormat="1" ht="18.75" customHeight="1">
      <c r="A139" s="154">
        <f ca="1">IF(ROWS($1:128)&gt;COUNT(Dong2),"",OFFSET(TH!C$1,SMALL(Dong2,ROWS($1:128)),))</f>
        <v>42734</v>
      </c>
      <c r="B139" s="154" t="str">
        <f ca="1">IF(ROWS($1:128)&gt;COUNT(Dong2),"",OFFSET(TH!D$1,SMALL(Dong2,ROWS($1:128)),))</f>
        <v>GBN</v>
      </c>
      <c r="C139" s="154">
        <f ca="1">IF(ROWS($1:128)&gt;COUNT(Dong2),"",OFFSET(TH!E$1,SMALL(Dong2,ROWS($1:128)),))</f>
        <v>42734</v>
      </c>
      <c r="D139" s="230" t="str">
        <f ca="1">IF(ROWS($1:128)&gt;COUNT(Dong2),"",OFFSET(TH!F$1,SMALL(Dong2,ROWS($1:128)),))</f>
        <v>Phí chuyển tiền</v>
      </c>
      <c r="E139" s="154" t="str">
        <f ca="1">IF(ROWS($1:128)&gt;COUNT(Dong2),"",IF(OFFSET(TH!M$1,SMALL(Dong2,ROWS($1:128)),)=$I$6,OFFSET(TH!L$1,SMALL(Dong2,ROWS($1:128)),),OFFSET(TH!M$1,SMALL(Dong2,ROWS($1:128)),)))</f>
        <v>642</v>
      </c>
      <c r="F139" s="440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40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22000</v>
      </c>
      <c r="H139" s="565">
        <f t="shared" ca="1" si="6"/>
        <v>52370993</v>
      </c>
      <c r="I139" s="437"/>
    </row>
    <row r="140" spans="1:21" s="143" customFormat="1" ht="18.75" customHeight="1">
      <c r="A140" s="154">
        <f ca="1">IF(ROWS($1:129)&gt;COUNT(Dong2),"",OFFSET(TH!C$1,SMALL(Dong2,ROWS($1:129)),))</f>
        <v>42734</v>
      </c>
      <c r="B140" s="154" t="str">
        <f ca="1">IF(ROWS($1:129)&gt;COUNT(Dong2),"",OFFSET(TH!D$1,SMALL(Dong2,ROWS($1:129)),))</f>
        <v>GBN</v>
      </c>
      <c r="C140" s="154">
        <f ca="1">IF(ROWS($1:129)&gt;COUNT(Dong2),"",OFFSET(TH!E$1,SMALL(Dong2,ROWS($1:129)),))</f>
        <v>42734</v>
      </c>
      <c r="D140" s="230" t="str">
        <f ca="1">IF(ROWS($1:129)&gt;COUNT(Dong2),"",OFFSET(TH!F$1,SMALL(Dong2,ROWS($1:129)),))</f>
        <v>Thanh toán tiền hàng</v>
      </c>
      <c r="E140" s="154" t="str">
        <f ca="1">IF(ROWS($1:129)&gt;COUNT(Dong2),"",IF(OFFSET(TH!M$1,SMALL(Dong2,ROWS($1:129)),)=$I$6,OFFSET(TH!L$1,SMALL(Dong2,ROWS($1:129)),),OFFSET(TH!M$1,SMALL(Dong2,ROWS($1:129)),)))</f>
        <v>331</v>
      </c>
      <c r="F140" s="440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40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10800900</v>
      </c>
      <c r="H140" s="565">
        <f t="shared" ref="H140:H142" ca="1" si="7">IF(A140&lt;&gt;"",H139+F140-G140,0)</f>
        <v>41570093</v>
      </c>
      <c r="I140" s="437"/>
    </row>
    <row r="141" spans="1:21" s="143" customFormat="1" ht="18.75" customHeight="1">
      <c r="A141" s="154">
        <f ca="1">IF(ROWS($1:130)&gt;COUNT(Dong2),"",OFFSET(TH!C$1,SMALL(Dong2,ROWS($1:130)),))</f>
        <v>42735</v>
      </c>
      <c r="B141" s="154" t="str">
        <f ca="1">IF(ROWS($1:130)&gt;COUNT(Dong2),"",OFFSET(TH!D$1,SMALL(Dong2,ROWS($1:130)),))</f>
        <v>GBN</v>
      </c>
      <c r="C141" s="154">
        <f ca="1">IF(ROWS($1:130)&gt;COUNT(Dong2),"",OFFSET(TH!E$1,SMALL(Dong2,ROWS($1:130)),))</f>
        <v>42735</v>
      </c>
      <c r="D141" s="230" t="str">
        <f ca="1">IF(ROWS($1:130)&gt;COUNT(Dong2),"",OFFSET(TH!F$1,SMALL(Dong2,ROWS($1:130)),))</f>
        <v>Lãi tiền gửi</v>
      </c>
      <c r="E141" s="154" t="str">
        <f ca="1">IF(ROWS($1:130)&gt;COUNT(Dong2),"",IF(OFFSET(TH!M$1,SMALL(Dong2,ROWS($1:130)),)=$I$6,OFFSET(TH!L$1,SMALL(Dong2,ROWS($1:130)),),OFFSET(TH!M$1,SMALL(Dong2,ROWS($1:130)),)))</f>
        <v>515</v>
      </c>
      <c r="F141" s="440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6600</v>
      </c>
      <c r="G141" s="440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0</v>
      </c>
      <c r="H141" s="565">
        <f t="shared" ca="1" si="7"/>
        <v>41576693</v>
      </c>
      <c r="I141" s="437"/>
    </row>
    <row r="142" spans="1:21" s="143" customFormat="1" ht="18.75" customHeight="1">
      <c r="A142" s="154" t="str">
        <f ca="1">IF(ROWS($1:131)&gt;COUNT(Dong2),"",OFFSET(TH!C$1,SMALL(Dong2,ROWS($1:131)),))</f>
        <v/>
      </c>
      <c r="B142" s="154" t="str">
        <f ca="1">IF(ROWS($1:131)&gt;COUNT(Dong2),"",OFFSET(TH!D$1,SMALL(Dong2,ROWS($1:131)),))</f>
        <v/>
      </c>
      <c r="C142" s="154" t="str">
        <f ca="1">IF(ROWS($1:131)&gt;COUNT(Dong2),"",OFFSET(TH!E$1,SMALL(Dong2,ROWS($1:131)),))</f>
        <v/>
      </c>
      <c r="D142" s="230" t="str">
        <f ca="1">IF(ROWS($1:131)&gt;COUNT(Dong2),"",OFFSET(TH!F$1,SMALL(Dong2,ROWS($1:131)),))</f>
        <v/>
      </c>
      <c r="E142" s="154" t="str">
        <f ca="1">IF(ROWS($1:131)&gt;COUNT(Dong2),"",IF(OFFSET(TH!M$1,SMALL(Dong2,ROWS($1:131)),)=$I$6,OFFSET(TH!L$1,SMALL(Dong2,ROWS($1:131)),),OFFSET(TH!M$1,SMALL(Dong2,ROWS($1:131)),)))</f>
        <v/>
      </c>
      <c r="F142" s="440" t="str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/>
      </c>
      <c r="G142" s="440" t="str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/>
      </c>
      <c r="H142" s="565">
        <f t="shared" ca="1" si="7"/>
        <v>0</v>
      </c>
      <c r="I142" s="437"/>
      <c r="Q142" s="153"/>
      <c r="R142" s="153"/>
      <c r="S142" s="153"/>
      <c r="T142" s="153"/>
      <c r="U142" s="153"/>
    </row>
    <row r="143" spans="1:21" s="153" customFormat="1" ht="18.75" customHeight="1">
      <c r="A143" s="155"/>
      <c r="B143" s="156"/>
      <c r="C143" s="155"/>
      <c r="D143" s="152" t="s">
        <v>133</v>
      </c>
      <c r="E143" s="157"/>
      <c r="F143" s="439">
        <f ca="1">SUM(F12:F142)</f>
        <v>1622548032</v>
      </c>
      <c r="G143" s="439">
        <f ca="1">SUM(G12:G142)</f>
        <v>1581654329</v>
      </c>
      <c r="H143" s="439">
        <f ca="1">H11+F143-G143</f>
        <v>41576693</v>
      </c>
      <c r="I143" s="438"/>
    </row>
    <row r="144" spans="1:21" s="153" customFormat="1" ht="18.75" customHeight="1">
      <c r="A144" s="155"/>
      <c r="B144" s="156"/>
      <c r="C144" s="155"/>
      <c r="D144" s="152" t="s">
        <v>10</v>
      </c>
      <c r="E144" s="157"/>
      <c r="F144" s="158"/>
      <c r="G144" s="158"/>
      <c r="H144" s="439">
        <f ca="1">H143</f>
        <v>41576693</v>
      </c>
      <c r="I144" s="157"/>
    </row>
    <row r="145" spans="1:21" s="153" customFormat="1" ht="22.5" customHeight="1">
      <c r="A145" s="247" t="s">
        <v>154</v>
      </c>
      <c r="B145" s="159"/>
      <c r="F145" s="160"/>
      <c r="H145" s="558"/>
      <c r="I145" s="161"/>
    </row>
    <row r="146" spans="1:21" s="153" customFormat="1" ht="12.75">
      <c r="A146" s="178" t="str">
        <f ca="1">"- Ngày mở sổ: "&amp;DAY($A$12)&amp;"/"&amp;MONTH($A$12)&amp;"/ " &amp;YEAR($A$12)</f>
        <v>- Ngày mở sổ: 6/10/ 2016</v>
      </c>
      <c r="B146" s="162"/>
      <c r="F146" s="160"/>
      <c r="H146" s="558"/>
      <c r="I146" s="161"/>
    </row>
    <row r="147" spans="1:21" s="153" customFormat="1" ht="12.75">
      <c r="A147" s="163"/>
      <c r="B147" s="164"/>
      <c r="C147" s="165"/>
      <c r="F147" s="160"/>
      <c r="G147" s="188" t="str">
        <f ca="1">"Ngày "&amp;IF(OR($K$9=4,$K$9=6,$K$9=9,$K$9=11),"30",IF($K$9=2,"28","31"))&amp;"  tháng  "&amp;$O$8&amp;"  năm   "&amp;YEAR($A$12)</f>
        <v>Ngày 31  tháng  12  năm   2016</v>
      </c>
      <c r="H147" s="558"/>
    </row>
    <row r="148" spans="1:21" s="153" customFormat="1" ht="17.25" customHeight="1">
      <c r="B148" s="166" t="s">
        <v>11</v>
      </c>
      <c r="D148" s="166" t="s">
        <v>12</v>
      </c>
      <c r="F148" s="167"/>
      <c r="G148" s="215" t="s">
        <v>109</v>
      </c>
      <c r="H148" s="559"/>
      <c r="I148" s="231"/>
      <c r="J148" s="168"/>
      <c r="K148" s="163"/>
      <c r="L148" s="163"/>
    </row>
    <row r="149" spans="1:21" s="153" customFormat="1">
      <c r="B149" s="216" t="s">
        <v>13</v>
      </c>
      <c r="D149" s="169" t="s">
        <v>13</v>
      </c>
      <c r="F149" s="170"/>
      <c r="G149" s="217" t="s">
        <v>136</v>
      </c>
      <c r="H149" s="558"/>
      <c r="K149" s="171"/>
      <c r="L149" s="171"/>
      <c r="Q149" s="172"/>
      <c r="R149" s="172"/>
      <c r="S149" s="172"/>
      <c r="T149" s="172"/>
      <c r="U149" s="172"/>
    </row>
  </sheetData>
  <autoFilter ref="A10:K146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78"/>
  <sheetViews>
    <sheetView showZeros="0" topLeftCell="A4" workbookViewId="0">
      <pane ySplit="2" topLeftCell="A48" activePane="bottomLeft" state="frozen"/>
      <selection activeCell="A4" sqref="A4"/>
      <selection pane="bottomLeft" activeCell="C72" sqref="C72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8">
      <c r="A1" s="746" t="str">
        <f>TH!$A$1</f>
        <v>Đơn vị: CÔNG TY TNHH SX TM KIM DUNG PHÁT</v>
      </c>
    </row>
    <row r="2" spans="1:8">
      <c r="A2" s="747" t="str">
        <f>TH!$A$2</f>
        <v>Địa chỉ: 1A227/1 Ấp 1, Phạm Văn Hai, Bình Chánh, TPHCM</v>
      </c>
    </row>
    <row r="3" spans="1:8" ht="27" customHeight="1">
      <c r="A3" s="1032" t="s">
        <v>336</v>
      </c>
      <c r="B3" s="1032"/>
      <c r="C3" s="1032"/>
      <c r="D3" s="1032"/>
      <c r="E3" s="1032"/>
      <c r="F3" s="1032"/>
      <c r="G3" s="1032"/>
      <c r="H3" s="1032"/>
    </row>
    <row r="4" spans="1:8" s="10" customFormat="1" ht="14.25" customHeight="1">
      <c r="A4" s="1033" t="s">
        <v>35</v>
      </c>
      <c r="B4" s="1035" t="s">
        <v>36</v>
      </c>
      <c r="C4" s="1037" t="s">
        <v>37</v>
      </c>
      <c r="D4" s="1038"/>
      <c r="E4" s="1037" t="s">
        <v>38</v>
      </c>
      <c r="F4" s="1038"/>
      <c r="G4" s="1037" t="s">
        <v>41</v>
      </c>
      <c r="H4" s="1038"/>
    </row>
    <row r="5" spans="1:8" s="10" customFormat="1" ht="14.25" customHeight="1">
      <c r="A5" s="1034"/>
      <c r="B5" s="1036"/>
      <c r="C5" s="571" t="s">
        <v>42</v>
      </c>
      <c r="D5" s="571" t="s">
        <v>43</v>
      </c>
      <c r="E5" s="571" t="s">
        <v>42</v>
      </c>
      <c r="F5" s="571" t="s">
        <v>43</v>
      </c>
      <c r="G5" s="571" t="s">
        <v>42</v>
      </c>
      <c r="H5" s="571" t="s">
        <v>43</v>
      </c>
    </row>
    <row r="6" spans="1:8" s="10" customFormat="1" ht="16.5" customHeight="1">
      <c r="A6" s="6">
        <f t="shared" ref="A6:A38" si="0">IF(B6&lt;&gt;"",ROW()-5,"")</f>
        <v>1</v>
      </c>
      <c r="B6" s="945" t="s">
        <v>777</v>
      </c>
      <c r="C6" s="445">
        <v>7895900</v>
      </c>
      <c r="D6" s="8"/>
      <c r="E6" s="8">
        <f t="array" ref="E6">SUM(IF("131"&amp;B6=KHN&amp;KH,TH))</f>
        <v>85455375</v>
      </c>
      <c r="F6" s="8">
        <f t="array" ref="F6">SUM(IF("131"&amp;B6=KHC&amp;KH,TH))</f>
        <v>39622550</v>
      </c>
      <c r="G6" s="55">
        <f t="shared" ref="G6:G38" si="1">ROUND(MAX(C6+E6-D6-F6,0),2)</f>
        <v>53728725</v>
      </c>
      <c r="H6" s="55">
        <f t="shared" ref="H6:H38" si="2">ROUND(MAX(D6+F6-C6-E6,0),2)</f>
        <v>0</v>
      </c>
    </row>
    <row r="7" spans="1:8" s="10" customFormat="1" ht="16.5" customHeight="1">
      <c r="A7" s="6">
        <f t="shared" si="0"/>
        <v>2</v>
      </c>
      <c r="B7" s="923" t="s">
        <v>1564</v>
      </c>
      <c r="C7" s="445">
        <v>12898600</v>
      </c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12898600</v>
      </c>
      <c r="H7" s="55">
        <f t="shared" si="2"/>
        <v>0</v>
      </c>
    </row>
    <row r="8" spans="1:8" s="10" customFormat="1" ht="16.5" customHeight="1">
      <c r="A8" s="6">
        <f t="shared" si="0"/>
        <v>3</v>
      </c>
      <c r="B8" s="923" t="s">
        <v>1565</v>
      </c>
      <c r="C8" s="445">
        <v>8834680</v>
      </c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709">
        <f t="shared" si="1"/>
        <v>8834680</v>
      </c>
      <c r="H8" s="709">
        <f t="shared" si="2"/>
        <v>0</v>
      </c>
    </row>
    <row r="9" spans="1:8" s="10" customFormat="1" ht="16.5" customHeight="1">
      <c r="A9" s="6">
        <f t="shared" si="0"/>
        <v>4</v>
      </c>
      <c r="B9" s="923" t="s">
        <v>1566</v>
      </c>
      <c r="C9" s="445">
        <v>21793466</v>
      </c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709">
        <f t="shared" si="1"/>
        <v>21793466</v>
      </c>
      <c r="H9" s="709">
        <f t="shared" si="2"/>
        <v>0</v>
      </c>
    </row>
    <row r="10" spans="1:8" s="10" customFormat="1" ht="16.5" customHeight="1">
      <c r="A10" s="6">
        <f t="shared" si="0"/>
        <v>5</v>
      </c>
      <c r="B10" s="923" t="s">
        <v>609</v>
      </c>
      <c r="C10" s="445">
        <v>71372125</v>
      </c>
      <c r="D10" s="8"/>
      <c r="E10" s="8">
        <f t="array" ref="E10">SUM(IF("131"&amp;B10=KHN&amp;KH,TH))</f>
        <v>397504580</v>
      </c>
      <c r="F10" s="8">
        <f t="array" ref="F10">SUM(IF("131"&amp;B10=KHC&amp;KH,TH))</f>
        <v>468409205</v>
      </c>
      <c r="G10" s="709">
        <f t="shared" si="1"/>
        <v>467500</v>
      </c>
      <c r="H10" s="709">
        <f t="shared" si="2"/>
        <v>0</v>
      </c>
    </row>
    <row r="11" spans="1:8" s="10" customFormat="1" ht="16.5" customHeight="1">
      <c r="A11" s="6">
        <f t="shared" si="0"/>
        <v>6</v>
      </c>
      <c r="B11" s="833" t="s">
        <v>501</v>
      </c>
      <c r="C11" s="445">
        <v>16230665</v>
      </c>
      <c r="D11" s="8"/>
      <c r="E11" s="8">
        <f t="array" ref="E11">SUM(IF("131"&amp;B11=KHN&amp;KH,TH))</f>
        <v>44968440</v>
      </c>
      <c r="F11" s="8">
        <f t="array" ref="F11">SUM(IF("131"&amp;B11=KHC&amp;KH,TH))</f>
        <v>44968440</v>
      </c>
      <c r="G11" s="709">
        <f t="shared" si="1"/>
        <v>16230665</v>
      </c>
      <c r="H11" s="709">
        <f t="shared" si="2"/>
        <v>0</v>
      </c>
    </row>
    <row r="12" spans="1:8" s="10" customFormat="1" ht="16.5" customHeight="1">
      <c r="A12" s="6">
        <f t="shared" si="0"/>
        <v>7</v>
      </c>
      <c r="B12" s="833" t="s">
        <v>391</v>
      </c>
      <c r="C12" s="445">
        <v>32693915</v>
      </c>
      <c r="D12" s="8"/>
      <c r="E12" s="8">
        <f t="array" ref="E12">SUM(IF("131"&amp;B12=KHN&amp;KH,TH))</f>
        <v>252558122</v>
      </c>
      <c r="F12" s="8">
        <f t="array" ref="F12">SUM(IF("131"&amp;B12=KHC&amp;KH,TH))</f>
        <v>242614179</v>
      </c>
      <c r="G12" s="709">
        <f t="shared" si="1"/>
        <v>42637858</v>
      </c>
      <c r="H12" s="709">
        <f t="shared" si="2"/>
        <v>0</v>
      </c>
    </row>
    <row r="13" spans="1:8" s="10" customFormat="1" ht="16.5" customHeight="1">
      <c r="A13" s="6">
        <f t="shared" si="0"/>
        <v>8</v>
      </c>
      <c r="B13" s="923" t="s">
        <v>1567</v>
      </c>
      <c r="C13" s="445">
        <v>42499050</v>
      </c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709">
        <f t="shared" si="1"/>
        <v>42499050</v>
      </c>
      <c r="H13" s="709">
        <f t="shared" si="2"/>
        <v>0</v>
      </c>
    </row>
    <row r="14" spans="1:8" s="10" customFormat="1" ht="16.5" customHeight="1">
      <c r="A14" s="6">
        <f t="shared" si="0"/>
        <v>9</v>
      </c>
      <c r="B14" s="923" t="s">
        <v>417</v>
      </c>
      <c r="C14" s="445">
        <v>34419440</v>
      </c>
      <c r="D14" s="8"/>
      <c r="E14" s="8">
        <f t="array" ref="E14">SUM(IF("131"&amp;B14=KHN&amp;KH,TH))</f>
        <v>55184470</v>
      </c>
      <c r="F14" s="8">
        <f t="array" ref="F14">SUM(IF("131"&amp;B14=KHC&amp;KH,TH))</f>
        <v>0</v>
      </c>
      <c r="G14" s="709">
        <f t="shared" si="1"/>
        <v>89603910</v>
      </c>
      <c r="H14" s="709">
        <f t="shared" si="2"/>
        <v>0</v>
      </c>
    </row>
    <row r="15" spans="1:8" s="10" customFormat="1" ht="16.5" customHeight="1">
      <c r="A15" s="6">
        <f t="shared" si="0"/>
        <v>10</v>
      </c>
      <c r="B15" s="923" t="s">
        <v>557</v>
      </c>
      <c r="C15" s="445">
        <v>34707531</v>
      </c>
      <c r="D15" s="8"/>
      <c r="E15" s="8">
        <f t="array" ref="E15">SUM(IF("131"&amp;B15=KHN&amp;KH,TH))</f>
        <v>18910188</v>
      </c>
      <c r="F15" s="8">
        <f t="array" ref="F15">SUM(IF("131"&amp;B15=KHC&amp;KH,TH))</f>
        <v>13979757</v>
      </c>
      <c r="G15" s="709">
        <f t="shared" si="1"/>
        <v>39637962</v>
      </c>
      <c r="H15" s="709">
        <f t="shared" si="2"/>
        <v>0</v>
      </c>
    </row>
    <row r="16" spans="1:8" s="10" customFormat="1" ht="16.5" customHeight="1">
      <c r="A16" s="6">
        <f t="shared" si="0"/>
        <v>11</v>
      </c>
      <c r="B16" s="923" t="s">
        <v>1568</v>
      </c>
      <c r="C16" s="445">
        <v>2464000</v>
      </c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709">
        <f t="shared" si="1"/>
        <v>2464000</v>
      </c>
      <c r="H16" s="709">
        <f t="shared" si="2"/>
        <v>0</v>
      </c>
    </row>
    <row r="17" spans="1:8" s="10" customFormat="1" ht="16.5" customHeight="1">
      <c r="A17" s="6">
        <f t="shared" si="0"/>
        <v>12</v>
      </c>
      <c r="B17" s="923" t="s">
        <v>1569</v>
      </c>
      <c r="C17" s="445">
        <v>1429345</v>
      </c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709">
        <f t="shared" si="1"/>
        <v>1429345</v>
      </c>
      <c r="H17" s="709">
        <f t="shared" si="2"/>
        <v>0</v>
      </c>
    </row>
    <row r="18" spans="1:8" s="10" customFormat="1" ht="16.5" customHeight="1">
      <c r="A18" s="6">
        <f t="shared" si="0"/>
        <v>13</v>
      </c>
      <c r="B18" s="923" t="s">
        <v>1570</v>
      </c>
      <c r="C18" s="445">
        <v>28258120</v>
      </c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709">
        <f t="shared" si="1"/>
        <v>28258120</v>
      </c>
      <c r="H18" s="709">
        <f t="shared" si="2"/>
        <v>0</v>
      </c>
    </row>
    <row r="19" spans="1:8" s="10" customFormat="1" ht="16.5" customHeight="1">
      <c r="A19" s="6">
        <f t="shared" si="0"/>
        <v>14</v>
      </c>
      <c r="B19" s="923" t="s">
        <v>1571</v>
      </c>
      <c r="C19" s="445">
        <v>17244755</v>
      </c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709">
        <f t="shared" si="1"/>
        <v>17244755</v>
      </c>
      <c r="H19" s="709">
        <f t="shared" si="2"/>
        <v>0</v>
      </c>
    </row>
    <row r="20" spans="1:8" s="10" customFormat="1" ht="16.5" customHeight="1">
      <c r="A20" s="6">
        <f t="shared" si="0"/>
        <v>15</v>
      </c>
      <c r="B20" s="945" t="s">
        <v>780</v>
      </c>
      <c r="C20" s="445">
        <v>29251480</v>
      </c>
      <c r="D20" s="8"/>
      <c r="E20" s="8">
        <f t="array" ref="E20">SUM(IF("131"&amp;B20=KHN&amp;KH,TH))</f>
        <v>131325590</v>
      </c>
      <c r="F20" s="8">
        <f t="array" ref="F20">SUM(IF("131"&amp;B20=KHC&amp;KH,TH))</f>
        <v>118930470</v>
      </c>
      <c r="G20" s="709">
        <f t="shared" si="1"/>
        <v>41646600</v>
      </c>
      <c r="H20" s="709">
        <f t="shared" si="2"/>
        <v>0</v>
      </c>
    </row>
    <row r="21" spans="1:8" s="10" customFormat="1" ht="16.5" customHeight="1">
      <c r="A21" s="6">
        <f t="shared" si="0"/>
        <v>16</v>
      </c>
      <c r="B21" s="923" t="s">
        <v>571</v>
      </c>
      <c r="C21" s="445">
        <v>17322448</v>
      </c>
      <c r="D21" s="8"/>
      <c r="E21" s="8">
        <f t="array" ref="E21">SUM(IF("131"&amp;B21=KHN&amp;KH,TH))</f>
        <v>0</v>
      </c>
      <c r="F21" s="8">
        <f t="array" ref="F21">SUM(IF("131"&amp;B21=KHC&amp;KH,TH))</f>
        <v>16342736</v>
      </c>
      <c r="G21" s="709">
        <f t="shared" si="1"/>
        <v>979712</v>
      </c>
      <c r="H21" s="709">
        <f t="shared" si="2"/>
        <v>0</v>
      </c>
    </row>
    <row r="22" spans="1:8" s="10" customFormat="1" ht="16.5" customHeight="1">
      <c r="A22" s="6">
        <f t="shared" si="0"/>
        <v>17</v>
      </c>
      <c r="B22" s="923" t="s">
        <v>1572</v>
      </c>
      <c r="C22" s="445">
        <v>42039393</v>
      </c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09">
        <f t="shared" si="1"/>
        <v>42039393</v>
      </c>
      <c r="H22" s="709">
        <f t="shared" si="2"/>
        <v>0</v>
      </c>
    </row>
    <row r="23" spans="1:8" s="10" customFormat="1" ht="16.5" customHeight="1">
      <c r="A23" s="6">
        <f t="shared" si="0"/>
        <v>18</v>
      </c>
      <c r="B23" s="923" t="s">
        <v>615</v>
      </c>
      <c r="C23" s="445">
        <v>29539400</v>
      </c>
      <c r="D23" s="8"/>
      <c r="E23" s="8">
        <f t="array" ref="E23">SUM(IF("131"&amp;B23=KHN&amp;KH,TH))</f>
        <v>335431060</v>
      </c>
      <c r="F23" s="8">
        <f t="array" ref="F23">SUM(IF("131"&amp;B23=KHC&amp;KH,TH))</f>
        <v>346188260</v>
      </c>
      <c r="G23" s="709">
        <f t="shared" si="1"/>
        <v>18782200</v>
      </c>
      <c r="H23" s="709">
        <f t="shared" si="2"/>
        <v>0</v>
      </c>
    </row>
    <row r="24" spans="1:8" s="10" customFormat="1" ht="16.5" customHeight="1">
      <c r="A24" s="6">
        <f t="shared" si="0"/>
        <v>19</v>
      </c>
      <c r="B24" s="923" t="s">
        <v>1573</v>
      </c>
      <c r="C24" s="445">
        <v>23652750</v>
      </c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09">
        <f t="shared" si="1"/>
        <v>23652750</v>
      </c>
      <c r="H24" s="709">
        <f t="shared" si="2"/>
        <v>0</v>
      </c>
    </row>
    <row r="25" spans="1:8" s="10" customFormat="1" ht="16.5" customHeight="1">
      <c r="A25" s="6">
        <f t="shared" si="0"/>
        <v>20</v>
      </c>
      <c r="B25" s="833" t="s">
        <v>664</v>
      </c>
      <c r="C25" s="445">
        <v>28823080</v>
      </c>
      <c r="D25" s="8"/>
      <c r="E25" s="8">
        <f t="array" ref="E25">SUM(IF("131"&amp;B25=KHN&amp;KH,TH))</f>
        <v>8552500</v>
      </c>
      <c r="F25" s="8">
        <f t="array" ref="F25">SUM(IF("131"&amp;B25=KHC&amp;KH,TH))</f>
        <v>37375580</v>
      </c>
      <c r="G25" s="709">
        <f t="shared" si="1"/>
        <v>0</v>
      </c>
      <c r="H25" s="709">
        <f t="shared" si="2"/>
        <v>0</v>
      </c>
    </row>
    <row r="26" spans="1:8" s="10" customFormat="1" ht="16.5" customHeight="1">
      <c r="A26" s="6">
        <f t="shared" si="0"/>
        <v>21</v>
      </c>
      <c r="B26" s="7" t="s">
        <v>551</v>
      </c>
      <c r="C26" s="8">
        <v>50325000</v>
      </c>
      <c r="D26" s="8"/>
      <c r="E26" s="8">
        <f t="array" ref="E26">SUM(IF("131"&amp;B26=KHN&amp;KH,TH))</f>
        <v>3322000</v>
      </c>
      <c r="F26" s="8">
        <f t="array" ref="F26">SUM(IF("131"&amp;B26=KHC&amp;KH,TH))</f>
        <v>50325000</v>
      </c>
      <c r="G26" s="709">
        <f t="shared" si="1"/>
        <v>3322000</v>
      </c>
      <c r="H26" s="709">
        <f t="shared" si="2"/>
        <v>0</v>
      </c>
    </row>
    <row r="27" spans="1:8" s="10" customFormat="1" ht="16.5" customHeight="1">
      <c r="A27" s="6">
        <f t="shared" si="0"/>
        <v>22</v>
      </c>
      <c r="B27" s="7" t="s">
        <v>648</v>
      </c>
      <c r="C27" s="8">
        <v>2371600</v>
      </c>
      <c r="D27" s="8"/>
      <c r="E27" s="8">
        <f t="array" ref="E27">SUM(IF("131"&amp;B27=KHN&amp;KH,TH))</f>
        <v>17201800</v>
      </c>
      <c r="F27" s="8">
        <f t="array" ref="F27">SUM(IF("131"&amp;B27=KHC&amp;KH,TH))</f>
        <v>19573400</v>
      </c>
      <c r="G27" s="709">
        <f t="shared" si="1"/>
        <v>0</v>
      </c>
      <c r="H27" s="709">
        <f t="shared" si="2"/>
        <v>0</v>
      </c>
    </row>
    <row r="28" spans="1:8" s="10" customFormat="1" ht="16.5" customHeight="1">
      <c r="A28" s="6">
        <f t="shared" si="0"/>
        <v>23</v>
      </c>
      <c r="B28" s="7" t="s">
        <v>424</v>
      </c>
      <c r="C28" s="8">
        <v>12215500</v>
      </c>
      <c r="D28" s="8"/>
      <c r="E28" s="8">
        <f t="array" ref="E28">SUM(IF("131"&amp;B28=KHN&amp;KH,TH))</f>
        <v>1573000</v>
      </c>
      <c r="F28" s="8">
        <f t="array" ref="F28">SUM(IF("131"&amp;B28=KHC&amp;KH,TH))</f>
        <v>12215500</v>
      </c>
      <c r="G28" s="709">
        <f t="shared" si="1"/>
        <v>1573000</v>
      </c>
      <c r="H28" s="709">
        <f t="shared" si="2"/>
        <v>0</v>
      </c>
    </row>
    <row r="29" spans="1:8" s="10" customFormat="1" ht="16.5" customHeight="1">
      <c r="A29" s="6">
        <f t="shared" si="0"/>
        <v>24</v>
      </c>
      <c r="B29" s="7" t="s">
        <v>1598</v>
      </c>
      <c r="C29" s="8">
        <v>2853400</v>
      </c>
      <c r="D29" s="8"/>
      <c r="E29" s="8">
        <f t="array" ref="E29">SUM(IF("131"&amp;B29=KHN&amp;KH,TH))</f>
        <v>0</v>
      </c>
      <c r="F29" s="8">
        <f t="array" ref="F29">SUM(IF("131"&amp;B29=KHC&amp;KH,TH))</f>
        <v>2853400</v>
      </c>
      <c r="G29" s="709">
        <f t="shared" si="1"/>
        <v>0</v>
      </c>
      <c r="H29" s="709">
        <f t="shared" si="2"/>
        <v>0</v>
      </c>
    </row>
    <row r="30" spans="1:8" s="10" customFormat="1" ht="16.5" customHeight="1">
      <c r="A30" s="6">
        <f t="shared" si="0"/>
        <v>25</v>
      </c>
      <c r="B30" s="7" t="s">
        <v>1589</v>
      </c>
      <c r="C30" s="8">
        <v>5368000</v>
      </c>
      <c r="D30" s="8"/>
      <c r="E30" s="8">
        <f t="array" ref="E30">SUM(IF("131"&amp;B30=KHN&amp;KH,TH))</f>
        <v>0</v>
      </c>
      <c r="F30" s="8">
        <f t="array" ref="F30">SUM(IF("131"&amp;B30=KHC&amp;KH,TH))</f>
        <v>5368000</v>
      </c>
      <c r="G30" s="709">
        <f t="shared" si="1"/>
        <v>0</v>
      </c>
      <c r="H30" s="709">
        <f t="shared" si="2"/>
        <v>0</v>
      </c>
    </row>
    <row r="31" spans="1:8" s="10" customFormat="1" ht="16.5" customHeight="1">
      <c r="A31" s="6">
        <f t="shared" si="0"/>
        <v>26</v>
      </c>
      <c r="B31" s="7" t="s">
        <v>654</v>
      </c>
      <c r="C31" s="8">
        <v>32298085</v>
      </c>
      <c r="D31" s="8"/>
      <c r="E31" s="8">
        <f t="array" ref="E31">SUM(IF("131"&amp;B31=KHN&amp;KH,TH))</f>
        <v>9918295</v>
      </c>
      <c r="F31" s="8">
        <f t="array" ref="F31">SUM(IF("131"&amp;B31=KHC&amp;KH,TH))</f>
        <v>32298085</v>
      </c>
      <c r="G31" s="709">
        <f t="shared" si="1"/>
        <v>9918295</v>
      </c>
      <c r="H31" s="709">
        <f t="shared" si="2"/>
        <v>0</v>
      </c>
    </row>
    <row r="32" spans="1:8" s="10" customFormat="1" ht="16.5" customHeight="1">
      <c r="A32" s="6">
        <f t="shared" si="0"/>
        <v>27</v>
      </c>
      <c r="B32" s="7" t="s">
        <v>1594</v>
      </c>
      <c r="C32" s="8">
        <v>17174144</v>
      </c>
      <c r="D32" s="8"/>
      <c r="E32" s="8">
        <f t="array" ref="E32">SUM(IF("131"&amp;B32=KHN&amp;KH,TH))</f>
        <v>0</v>
      </c>
      <c r="F32" s="8">
        <f t="array" ref="F32">SUM(IF("131"&amp;B32=KHC&amp;KH,TH))</f>
        <v>17174144</v>
      </c>
      <c r="G32" s="709">
        <f t="shared" si="1"/>
        <v>0</v>
      </c>
      <c r="H32" s="709">
        <f t="shared" si="2"/>
        <v>0</v>
      </c>
    </row>
    <row r="33" spans="1:8" s="10" customFormat="1" ht="16.5" customHeight="1">
      <c r="A33" s="6">
        <f t="shared" si="0"/>
        <v>28</v>
      </c>
      <c r="B33" s="208" t="s">
        <v>527</v>
      </c>
      <c r="C33" s="8">
        <v>132399337</v>
      </c>
      <c r="D33" s="8"/>
      <c r="E33" s="8">
        <f t="array" ref="E33">SUM(IF("131"&amp;B33=KHN&amp;KH,TH))</f>
        <v>170541841</v>
      </c>
      <c r="F33" s="8">
        <f t="array" ref="F33">SUM(IF("131"&amp;B33=KHC&amp;KH,TH))</f>
        <v>132399337</v>
      </c>
      <c r="G33" s="709">
        <f t="shared" si="1"/>
        <v>170541841</v>
      </c>
      <c r="H33" s="709">
        <f t="shared" si="2"/>
        <v>0</v>
      </c>
    </row>
    <row r="34" spans="1:8" s="10" customFormat="1" ht="16.5" customHeight="1">
      <c r="A34" s="6">
        <f t="shared" si="0"/>
        <v>29</v>
      </c>
      <c r="B34" s="7" t="s">
        <v>612</v>
      </c>
      <c r="C34" s="8">
        <v>7857850</v>
      </c>
      <c r="D34" s="8"/>
      <c r="E34" s="8">
        <f t="array" ref="E34">SUM(IF("131"&amp;B34=KHN&amp;KH,TH))</f>
        <v>15365350</v>
      </c>
      <c r="F34" s="8">
        <f t="array" ref="F34">SUM(IF("131"&amp;B34=KHC&amp;KH,TH))</f>
        <v>7857850</v>
      </c>
      <c r="G34" s="709">
        <f t="shared" si="1"/>
        <v>15365350</v>
      </c>
      <c r="H34" s="709">
        <f t="shared" si="2"/>
        <v>0</v>
      </c>
    </row>
    <row r="35" spans="1:8" s="10" customFormat="1" ht="16.5" customHeight="1">
      <c r="A35" s="6">
        <f t="shared" si="0"/>
        <v>30</v>
      </c>
      <c r="B35" s="7" t="s">
        <v>643</v>
      </c>
      <c r="C35" s="8">
        <v>47586000</v>
      </c>
      <c r="D35" s="8"/>
      <c r="E35" s="8">
        <f t="array" ref="E35">SUM(IF("131"&amp;B35=KHN&amp;KH,TH))</f>
        <v>105748500</v>
      </c>
      <c r="F35" s="8">
        <f t="array" ref="F35">SUM(IF("131"&amp;B35=KHC&amp;KH,TH))</f>
        <v>47586000</v>
      </c>
      <c r="G35" s="709">
        <f t="shared" si="1"/>
        <v>105748500</v>
      </c>
      <c r="H35" s="709">
        <f t="shared" si="2"/>
        <v>0</v>
      </c>
    </row>
    <row r="36" spans="1:8" s="10" customFormat="1" ht="16.5" customHeight="1">
      <c r="A36" s="6">
        <f t="shared" si="0"/>
        <v>31</v>
      </c>
      <c r="B36" s="10" t="s">
        <v>788</v>
      </c>
      <c r="C36" s="8">
        <v>27675890</v>
      </c>
      <c r="D36" s="8"/>
      <c r="E36" s="8">
        <f t="array" ref="E36">SUM(IF("131"&amp;B36=KHN&amp;KH,TH))</f>
        <v>37857050</v>
      </c>
      <c r="F36" s="8">
        <f t="array" ref="F36">SUM(IF("131"&amp;B36=KHC&amp;KH,TH))</f>
        <v>44451330</v>
      </c>
      <c r="G36" s="709">
        <f t="shared" si="1"/>
        <v>21081610</v>
      </c>
      <c r="H36" s="709">
        <f t="shared" si="2"/>
        <v>0</v>
      </c>
    </row>
    <row r="37" spans="1:8" s="10" customFormat="1" ht="16.5" customHeight="1">
      <c r="A37" s="6">
        <f t="shared" si="0"/>
        <v>32</v>
      </c>
      <c r="B37" s="7" t="s">
        <v>399</v>
      </c>
      <c r="C37" s="8">
        <v>68802800</v>
      </c>
      <c r="D37" s="8"/>
      <c r="E37" s="8">
        <f t="array" ref="E37">SUM(IF("131"&amp;B37=KHN&amp;KH,TH))</f>
        <v>177960860</v>
      </c>
      <c r="F37" s="8">
        <f t="array" ref="F37">SUM(IF("131"&amp;B37=KHC&amp;KH,TH))</f>
        <v>68802800</v>
      </c>
      <c r="G37" s="709">
        <f t="shared" si="1"/>
        <v>177960860</v>
      </c>
      <c r="H37" s="709">
        <f t="shared" si="2"/>
        <v>0</v>
      </c>
    </row>
    <row r="38" spans="1:8" s="10" customFormat="1" ht="16.5" customHeight="1">
      <c r="A38" s="6">
        <f t="shared" si="0"/>
        <v>33</v>
      </c>
      <c r="B38" s="191" t="s">
        <v>565</v>
      </c>
      <c r="C38" s="8">
        <v>11694980</v>
      </c>
      <c r="D38" s="8"/>
      <c r="E38" s="8">
        <f t="array" ref="E38">SUM(IF("131"&amp;B38=KHN&amp;KH,TH))</f>
        <v>119939270</v>
      </c>
      <c r="F38" s="8">
        <f t="array" ref="F38">SUM(IF("131"&amp;B38=KHC&amp;KH,TH))</f>
        <v>11694980</v>
      </c>
      <c r="G38" s="709">
        <f t="shared" si="1"/>
        <v>119939270</v>
      </c>
      <c r="H38" s="709">
        <f t="shared" si="2"/>
        <v>0</v>
      </c>
    </row>
    <row r="39" spans="1:8" s="10" customFormat="1" ht="16.5" customHeight="1">
      <c r="A39" s="6">
        <f t="shared" ref="A39:A62" si="3">IF(B39&lt;&gt;"",ROW()-5,"")</f>
        <v>34</v>
      </c>
      <c r="B39" s="191" t="s">
        <v>1579</v>
      </c>
      <c r="C39" s="8">
        <v>32743700</v>
      </c>
      <c r="D39" s="8"/>
      <c r="E39" s="8">
        <f t="array" ref="E39">SUM(IF("131"&amp;B39=KHN&amp;KH,TH))</f>
        <v>0</v>
      </c>
      <c r="F39" s="8">
        <f t="array" ref="F39">SUM(IF("131"&amp;B39=KHC&amp;KH,TH))</f>
        <v>32743700</v>
      </c>
      <c r="G39" s="709">
        <f t="shared" ref="G39:G43" si="4">ROUND(MAX(C39+E39-D39-F39,0),2)</f>
        <v>0</v>
      </c>
      <c r="H39" s="709">
        <f t="shared" ref="H39:H43" si="5">ROUND(MAX(D39+F39-C39-E39,0),2)</f>
        <v>0</v>
      </c>
    </row>
    <row r="40" spans="1:8" s="10" customFormat="1" ht="16.5" customHeight="1">
      <c r="A40" s="6">
        <f t="shared" si="3"/>
        <v>35</v>
      </c>
      <c r="B40" s="191" t="s">
        <v>1582</v>
      </c>
      <c r="C40" s="8">
        <v>2508000</v>
      </c>
      <c r="D40" s="8"/>
      <c r="E40" s="8">
        <f t="array" ref="E40">SUM(IF("131"&amp;B40=KHN&amp;KH,TH))</f>
        <v>0</v>
      </c>
      <c r="F40" s="8">
        <f t="array" ref="F40">SUM(IF("131"&amp;B40=KHC&amp;KH,TH))</f>
        <v>2508000</v>
      </c>
      <c r="G40" s="709">
        <f t="shared" si="4"/>
        <v>0</v>
      </c>
      <c r="H40" s="709">
        <f t="shared" si="5"/>
        <v>0</v>
      </c>
    </row>
    <row r="41" spans="1:8" s="10" customFormat="1" ht="16.5" customHeight="1">
      <c r="A41" s="6">
        <f t="shared" si="3"/>
        <v>36</v>
      </c>
      <c r="B41" s="191" t="s">
        <v>1268</v>
      </c>
      <c r="C41" s="8">
        <v>2035000</v>
      </c>
      <c r="D41" s="8"/>
      <c r="E41" s="8">
        <f t="array" ref="E41">SUM(IF("131"&amp;B41=KHN&amp;KH,TH))</f>
        <v>26845500</v>
      </c>
      <c r="F41" s="8">
        <f t="array" ref="F41">SUM(IF("131"&amp;B41=KHC&amp;KH,TH))</f>
        <v>23686740</v>
      </c>
      <c r="G41" s="709">
        <f t="shared" si="4"/>
        <v>5193760</v>
      </c>
      <c r="H41" s="709">
        <f t="shared" si="5"/>
        <v>0</v>
      </c>
    </row>
    <row r="42" spans="1:8" s="10" customFormat="1" ht="16.5" customHeight="1">
      <c r="A42" s="6">
        <f t="shared" si="3"/>
        <v>37</v>
      </c>
      <c r="B42" s="191" t="s">
        <v>785</v>
      </c>
      <c r="C42" s="8">
        <v>8069094</v>
      </c>
      <c r="D42" s="8"/>
      <c r="E42" s="8">
        <f t="array" ref="E42">SUM(IF("131"&amp;B42=KHN&amp;KH,TH))</f>
        <v>20192271</v>
      </c>
      <c r="F42" s="8">
        <f t="array" ref="F42">SUM(IF("131"&amp;B42=KHC&amp;KH,TH))</f>
        <v>27362860</v>
      </c>
      <c r="G42" s="709">
        <f t="shared" si="4"/>
        <v>898505</v>
      </c>
      <c r="H42" s="709">
        <f t="shared" si="5"/>
        <v>0</v>
      </c>
    </row>
    <row r="43" spans="1:8" s="10" customFormat="1" ht="16.5" customHeight="1">
      <c r="A43" s="6">
        <f t="shared" si="3"/>
        <v>38</v>
      </c>
      <c r="B43" s="191" t="s">
        <v>1204</v>
      </c>
      <c r="C43" s="8">
        <v>240150418</v>
      </c>
      <c r="D43" s="8"/>
      <c r="E43" s="8">
        <f t="array" ref="E43">SUM(IF("131"&amp;B43=KHN&amp;KH,TH))</f>
        <v>104238506</v>
      </c>
      <c r="F43" s="8">
        <f t="array" ref="F43">SUM(IF("131"&amp;B43=KHC&amp;KH,TH))</f>
        <v>240150418</v>
      </c>
      <c r="G43" s="709">
        <f t="shared" si="4"/>
        <v>104238506</v>
      </c>
      <c r="H43" s="709">
        <f t="shared" si="5"/>
        <v>0</v>
      </c>
    </row>
    <row r="44" spans="1:8" s="10" customFormat="1" ht="16.5" customHeight="1">
      <c r="A44" s="6">
        <f t="shared" si="3"/>
        <v>39</v>
      </c>
      <c r="B44" s="191" t="s">
        <v>637</v>
      </c>
      <c r="C44" s="8"/>
      <c r="D44" s="8"/>
      <c r="E44" s="8">
        <f t="array" ref="E44">SUM(IF("131"&amp;B44=KHN&amp;KH,TH))</f>
        <v>2282500</v>
      </c>
      <c r="F44" s="8">
        <f t="array" ref="F44">SUM(IF("131"&amp;B44=KHC&amp;KH,TH))</f>
        <v>2282500</v>
      </c>
      <c r="G44" s="709">
        <f t="shared" ref="G44:G46" si="6">ROUND(MAX(C44+E44-D44-F44,0),2)</f>
        <v>0</v>
      </c>
      <c r="H44" s="709">
        <f t="shared" ref="H44:H46" si="7">ROUND(MAX(D44+F44-C44-E44,0),2)</f>
        <v>0</v>
      </c>
    </row>
    <row r="45" spans="1:8" s="10" customFormat="1" ht="16.5" customHeight="1">
      <c r="A45" s="6">
        <f t="shared" si="3"/>
        <v>40</v>
      </c>
      <c r="B45" s="191" t="s">
        <v>428</v>
      </c>
      <c r="C45" s="8"/>
      <c r="D45" s="8"/>
      <c r="E45" s="8">
        <f t="array" ref="E45">SUM(IF("131"&amp;B45=KHN&amp;KH,TH))</f>
        <v>95639940</v>
      </c>
      <c r="F45" s="8">
        <f t="array" ref="F45">SUM(IF("131"&amp;B45=KHC&amp;KH,TH))</f>
        <v>95639940</v>
      </c>
      <c r="G45" s="709">
        <f t="shared" si="6"/>
        <v>0</v>
      </c>
      <c r="H45" s="709">
        <f t="shared" si="7"/>
        <v>0</v>
      </c>
    </row>
    <row r="46" spans="1:8" s="10" customFormat="1" ht="16.5" customHeight="1">
      <c r="A46" s="6">
        <f t="shared" si="3"/>
        <v>41</v>
      </c>
      <c r="B46" s="191" t="s">
        <v>783</v>
      </c>
      <c r="C46" s="8"/>
      <c r="D46" s="8"/>
      <c r="E46" s="8">
        <f t="array" ref="E46">SUM(IF("131"&amp;B46=KHN&amp;KH,TH))</f>
        <v>16417060</v>
      </c>
      <c r="F46" s="8">
        <f t="array" ref="F46">SUM(IF("131"&amp;B46=KHC&amp;KH,TH))</f>
        <v>12245200</v>
      </c>
      <c r="G46" s="709">
        <f t="shared" si="6"/>
        <v>4171860</v>
      </c>
      <c r="H46" s="709">
        <f t="shared" si="7"/>
        <v>0</v>
      </c>
    </row>
    <row r="47" spans="1:8" s="10" customFormat="1" ht="16.5" customHeight="1">
      <c r="A47" s="6">
        <f t="shared" si="3"/>
        <v>42</v>
      </c>
      <c r="B47" s="191" t="s">
        <v>778</v>
      </c>
      <c r="C47" s="8"/>
      <c r="D47" s="8"/>
      <c r="E47" s="8">
        <f t="array" ref="E47">SUM(IF("131"&amp;B47=KHN&amp;KH,TH))</f>
        <v>31218000</v>
      </c>
      <c r="F47" s="8">
        <f t="array" ref="F47">SUM(IF("131"&amp;B47=KHC&amp;KH,TH))</f>
        <v>24247000</v>
      </c>
      <c r="G47" s="709">
        <f t="shared" ref="G47:G51" si="8">ROUND(MAX(C47+E47-D47-F47,0),2)</f>
        <v>6971000</v>
      </c>
      <c r="H47" s="709">
        <f t="shared" ref="H47:H51" si="9">ROUND(MAX(D47+F47-C47-E47,0),2)</f>
        <v>0</v>
      </c>
    </row>
    <row r="48" spans="1:8" s="10" customFormat="1" ht="16.5" customHeight="1">
      <c r="A48" s="6">
        <f t="shared" si="3"/>
        <v>43</v>
      </c>
      <c r="B48" s="191" t="s">
        <v>1283</v>
      </c>
      <c r="C48" s="8"/>
      <c r="D48" s="8"/>
      <c r="E48" s="8">
        <f t="array" ref="E48">SUM(IF("131"&amp;B48=KHN&amp;KH,TH))</f>
        <v>41893500</v>
      </c>
      <c r="F48" s="8">
        <f t="array" ref="F48">SUM(IF("131"&amp;B48=KHC&amp;KH,TH))</f>
        <v>0</v>
      </c>
      <c r="G48" s="709">
        <f t="shared" si="8"/>
        <v>41893500</v>
      </c>
      <c r="H48" s="709">
        <f t="shared" si="9"/>
        <v>0</v>
      </c>
    </row>
    <row r="49" spans="1:8" s="10" customFormat="1" ht="16.5" customHeight="1">
      <c r="A49" s="6">
        <f t="shared" si="3"/>
        <v>44</v>
      </c>
      <c r="B49" s="191" t="s">
        <v>784</v>
      </c>
      <c r="C49" s="8"/>
      <c r="D49" s="8"/>
      <c r="E49" s="8">
        <f t="array" ref="E49">SUM(IF("131"&amp;B49=KHN&amp;KH,TH))</f>
        <v>15022920</v>
      </c>
      <c r="F49" s="8">
        <f t="array" ref="F49">SUM(IF("131"&amp;B49=KHC&amp;KH,TH))</f>
        <v>15022920</v>
      </c>
      <c r="G49" s="709">
        <f t="shared" si="8"/>
        <v>0</v>
      </c>
      <c r="H49" s="709">
        <f t="shared" si="9"/>
        <v>0</v>
      </c>
    </row>
    <row r="50" spans="1:8" s="10" customFormat="1" ht="16.5" customHeight="1">
      <c r="A50" s="6">
        <f t="shared" si="3"/>
        <v>45</v>
      </c>
      <c r="B50" s="191" t="s">
        <v>786</v>
      </c>
      <c r="C50" s="8"/>
      <c r="D50" s="8"/>
      <c r="E50" s="8">
        <f t="array" ref="E50">SUM(IF("131"&amp;B50=KHN&amp;KH,TH))</f>
        <v>26528260</v>
      </c>
      <c r="F50" s="8">
        <f t="array" ref="F50">SUM(IF("131"&amp;B50=KHC&amp;KH,TH))</f>
        <v>8140000</v>
      </c>
      <c r="G50" s="709">
        <f t="shared" si="8"/>
        <v>18388260</v>
      </c>
      <c r="H50" s="709">
        <f t="shared" si="9"/>
        <v>0</v>
      </c>
    </row>
    <row r="51" spans="1:8" s="10" customFormat="1" ht="16.5" customHeight="1">
      <c r="A51" s="6">
        <f t="shared" si="3"/>
        <v>46</v>
      </c>
      <c r="B51" s="191" t="s">
        <v>1284</v>
      </c>
      <c r="C51" s="8"/>
      <c r="D51" s="8"/>
      <c r="E51" s="8">
        <f t="array" ref="E51">SUM(IF("131"&amp;B51=KHN&amp;KH,TH))</f>
        <v>5663900</v>
      </c>
      <c r="F51" s="8">
        <f t="array" ref="F51">SUM(IF("131"&amp;B51=KHC&amp;KH,TH))</f>
        <v>0</v>
      </c>
      <c r="G51" s="709">
        <f t="shared" si="8"/>
        <v>5663900</v>
      </c>
      <c r="H51" s="709">
        <f t="shared" si="9"/>
        <v>0</v>
      </c>
    </row>
    <row r="52" spans="1:8" s="10" customFormat="1" ht="16.5" customHeight="1">
      <c r="A52" s="6">
        <f t="shared" si="3"/>
        <v>47</v>
      </c>
      <c r="B52" s="191" t="s">
        <v>1285</v>
      </c>
      <c r="C52" s="8"/>
      <c r="D52" s="8"/>
      <c r="E52" s="8">
        <f t="array" ref="E52">SUM(IF("131"&amp;B52=KHN&amp;KH,TH))</f>
        <v>15401760</v>
      </c>
      <c r="F52" s="8">
        <f t="array" ref="F52">SUM(IF("131"&amp;B52=KHC&amp;KH,TH))</f>
        <v>15372500</v>
      </c>
      <c r="G52" s="709">
        <f t="shared" ref="G52:G70" si="10">ROUND(MAX(C52+E52-D52-F52,0),2)</f>
        <v>29260</v>
      </c>
      <c r="H52" s="709">
        <f t="shared" ref="H52:H70" si="11">ROUND(MAX(D52+F52-C52-E52,0),2)</f>
        <v>0</v>
      </c>
    </row>
    <row r="53" spans="1:8" s="10" customFormat="1" ht="16.5" customHeight="1">
      <c r="A53" s="6">
        <f t="shared" si="3"/>
        <v>48</v>
      </c>
      <c r="B53" s="191" t="s">
        <v>797</v>
      </c>
      <c r="C53" s="8"/>
      <c r="D53" s="8"/>
      <c r="E53" s="8">
        <f t="array" ref="E53">SUM(IF("131"&amp;B53=KHN&amp;KH,TH))</f>
        <v>40897824</v>
      </c>
      <c r="F53" s="8">
        <f t="array" ref="F53">SUM(IF("131"&amp;B53=KHC&amp;KH,TH))</f>
        <v>24636980</v>
      </c>
      <c r="G53" s="709">
        <f t="shared" si="10"/>
        <v>16260844</v>
      </c>
      <c r="H53" s="709">
        <f t="shared" si="11"/>
        <v>0</v>
      </c>
    </row>
    <row r="54" spans="1:8" s="10" customFormat="1" ht="16.5" customHeight="1">
      <c r="A54" s="6">
        <f t="shared" si="3"/>
        <v>49</v>
      </c>
      <c r="B54" s="191" t="s">
        <v>969</v>
      </c>
      <c r="C54" s="8"/>
      <c r="D54" s="8"/>
      <c r="E54" s="8">
        <f t="array" ref="E54">SUM(IF("131"&amp;B54=KHN&amp;KH,TH))</f>
        <v>4944500</v>
      </c>
      <c r="F54" s="8">
        <f t="array" ref="F54">SUM(IF("131"&amp;B54=KHC&amp;KH,TH))</f>
        <v>0</v>
      </c>
      <c r="G54" s="709">
        <f t="shared" si="10"/>
        <v>4944500</v>
      </c>
      <c r="H54" s="709">
        <f t="shared" si="11"/>
        <v>0</v>
      </c>
    </row>
    <row r="55" spans="1:8" s="10" customFormat="1" ht="16.5" customHeight="1">
      <c r="A55" s="6">
        <f t="shared" si="3"/>
        <v>50</v>
      </c>
      <c r="B55" s="191" t="s">
        <v>798</v>
      </c>
      <c r="C55" s="8"/>
      <c r="D55" s="8"/>
      <c r="E55" s="8">
        <f t="array" ref="E55">SUM(IF("131"&amp;B55=KHN&amp;KH,TH))</f>
        <v>31774380</v>
      </c>
      <c r="F55" s="8">
        <f t="array" ref="F55">SUM(IF("131"&amp;B55=KHC&amp;KH,TH))</f>
        <v>31774380</v>
      </c>
      <c r="G55" s="709">
        <f t="shared" si="10"/>
        <v>0</v>
      </c>
      <c r="H55" s="709">
        <f t="shared" si="11"/>
        <v>0</v>
      </c>
    </row>
    <row r="56" spans="1:8" s="10" customFormat="1" ht="16.5" customHeight="1">
      <c r="A56" s="6">
        <f t="shared" si="3"/>
        <v>51</v>
      </c>
      <c r="B56" s="191" t="s">
        <v>544</v>
      </c>
      <c r="C56" s="8"/>
      <c r="D56" s="8"/>
      <c r="E56" s="8">
        <f t="array" ref="E56">SUM(IF("131"&amp;B56=KHN&amp;KH,TH))</f>
        <v>4356000</v>
      </c>
      <c r="F56" s="8">
        <f t="array" ref="F56">SUM(IF("131"&amp;B56=KHC&amp;KH,TH))</f>
        <v>0</v>
      </c>
      <c r="G56" s="709">
        <f t="shared" ref="G56:G62" si="12">ROUND(MAX(C56+E56-D56-F56,0),2)</f>
        <v>4356000</v>
      </c>
      <c r="H56" s="709">
        <f t="shared" ref="H56:H62" si="13">ROUND(MAX(D56+F56-C56-E56,0),2)</f>
        <v>0</v>
      </c>
    </row>
    <row r="57" spans="1:8" s="10" customFormat="1" ht="16.5" customHeight="1">
      <c r="A57" s="6">
        <f t="shared" si="3"/>
        <v>52</v>
      </c>
      <c r="B57" s="191" t="s">
        <v>1060</v>
      </c>
      <c r="C57" s="8"/>
      <c r="D57" s="8"/>
      <c r="E57" s="8">
        <f t="array" ref="E57">SUM(IF("131"&amp;B57=KHN&amp;KH,TH))</f>
        <v>9671200</v>
      </c>
      <c r="F57" s="8">
        <f t="array" ref="F57">SUM(IF("131"&amp;B57=KHC&amp;KH,TH))</f>
        <v>0</v>
      </c>
      <c r="G57" s="709">
        <f t="shared" si="12"/>
        <v>9671200</v>
      </c>
      <c r="H57" s="709">
        <f t="shared" si="13"/>
        <v>0</v>
      </c>
    </row>
    <row r="58" spans="1:8" s="10" customFormat="1" ht="16.5" customHeight="1">
      <c r="A58" s="6">
        <f t="shared" si="3"/>
        <v>53</v>
      </c>
      <c r="B58" s="191" t="s">
        <v>1261</v>
      </c>
      <c r="C58" s="8"/>
      <c r="D58" s="8"/>
      <c r="E58" s="8">
        <f t="array" ref="E58">SUM(IF("131"&amp;B58=KHN&amp;KH,TH))</f>
        <v>5340214</v>
      </c>
      <c r="F58" s="8">
        <f t="array" ref="F58">SUM(IF("131"&amp;B58=KHC&amp;KH,TH))</f>
        <v>5340214</v>
      </c>
      <c r="G58" s="709">
        <f t="shared" si="12"/>
        <v>0</v>
      </c>
      <c r="H58" s="709">
        <f t="shared" si="13"/>
        <v>0</v>
      </c>
    </row>
    <row r="59" spans="1:8" s="10" customFormat="1" ht="16.5" customHeight="1">
      <c r="A59" s="6">
        <f t="shared" si="3"/>
        <v>54</v>
      </c>
      <c r="B59" s="191" t="s">
        <v>1319</v>
      </c>
      <c r="C59" s="8"/>
      <c r="D59" s="8"/>
      <c r="E59" s="8">
        <f t="array" ref="E59">SUM(IF("131"&amp;B59=KHN&amp;KH,TH))</f>
        <v>10270854</v>
      </c>
      <c r="F59" s="8">
        <f t="array" ref="F59">SUM(IF("131"&amp;B59=KHC&amp;KH,TH))</f>
        <v>8386724</v>
      </c>
      <c r="G59" s="709">
        <f t="shared" si="12"/>
        <v>1884130</v>
      </c>
      <c r="H59" s="709">
        <f t="shared" si="13"/>
        <v>0</v>
      </c>
    </row>
    <row r="60" spans="1:8" s="10" customFormat="1" ht="16.5" customHeight="1">
      <c r="A60" s="6">
        <f t="shared" si="3"/>
        <v>55</v>
      </c>
      <c r="B60" s="191" t="s">
        <v>1323</v>
      </c>
      <c r="C60" s="8"/>
      <c r="D60" s="8"/>
      <c r="E60" s="8">
        <f t="array" ref="E60">SUM(IF("131"&amp;B60=KHN&amp;KH,TH))</f>
        <v>21559230</v>
      </c>
      <c r="F60" s="8">
        <f t="array" ref="F60">SUM(IF("131"&amp;B60=KHC&amp;KH,TH))</f>
        <v>21559230</v>
      </c>
      <c r="G60" s="709">
        <f t="shared" si="12"/>
        <v>0</v>
      </c>
      <c r="H60" s="709">
        <f t="shared" si="13"/>
        <v>0</v>
      </c>
    </row>
    <row r="61" spans="1:8" s="10" customFormat="1" ht="16.5" customHeight="1">
      <c r="A61" s="6">
        <f t="shared" si="3"/>
        <v>56</v>
      </c>
      <c r="B61" s="191" t="s">
        <v>1328</v>
      </c>
      <c r="C61" s="8"/>
      <c r="D61" s="8"/>
      <c r="E61" s="8">
        <f t="array" ref="E61">SUM(IF("131"&amp;B61=KHN&amp;KH,TH))</f>
        <v>29634715</v>
      </c>
      <c r="F61" s="8">
        <f t="array" ref="F61">SUM(IF("131"&amp;B61=KHC&amp;KH,TH))</f>
        <v>14366825</v>
      </c>
      <c r="G61" s="709">
        <f t="shared" si="12"/>
        <v>15267890</v>
      </c>
      <c r="H61" s="709">
        <f t="shared" si="13"/>
        <v>0</v>
      </c>
    </row>
    <row r="62" spans="1:8" s="10" customFormat="1" ht="16.5" customHeight="1">
      <c r="A62" s="6">
        <f t="shared" si="3"/>
        <v>57</v>
      </c>
      <c r="B62" s="191" t="s">
        <v>1346</v>
      </c>
      <c r="C62" s="8"/>
      <c r="D62" s="8"/>
      <c r="E62" s="8">
        <f t="array" ref="E62">SUM(IF("131"&amp;B62=KHN&amp;KH,TH))</f>
        <v>6236802</v>
      </c>
      <c r="F62" s="8">
        <f t="array" ref="F62">SUM(IF("131"&amp;B62=KHC&amp;KH,TH))</f>
        <v>0</v>
      </c>
      <c r="G62" s="709">
        <f t="shared" si="12"/>
        <v>6236802</v>
      </c>
      <c r="H62" s="709">
        <f t="shared" si="13"/>
        <v>0</v>
      </c>
    </row>
    <row r="63" spans="1:8" s="10" customFormat="1" ht="16.5" customHeight="1">
      <c r="A63" s="6">
        <f t="shared" ref="A63:A69" si="14">IF(B63&lt;&gt;"",ROW()-5,"")</f>
        <v>58</v>
      </c>
      <c r="B63" s="191" t="s">
        <v>1356</v>
      </c>
      <c r="C63" s="8"/>
      <c r="D63" s="8"/>
      <c r="E63" s="8">
        <f t="array" ref="E63">SUM(IF("131"&amp;B63=KHN&amp;KH,TH))</f>
        <v>13551560</v>
      </c>
      <c r="F63" s="8">
        <f t="array" ref="F63">SUM(IF("131"&amp;B63=KHC&amp;KH,TH))</f>
        <v>0</v>
      </c>
      <c r="G63" s="709">
        <f t="shared" si="10"/>
        <v>13551560</v>
      </c>
      <c r="H63" s="709">
        <f t="shared" si="11"/>
        <v>0</v>
      </c>
    </row>
    <row r="64" spans="1:8" s="10" customFormat="1" ht="16.5" customHeight="1">
      <c r="A64" s="6">
        <f t="shared" si="14"/>
        <v>59</v>
      </c>
      <c r="B64" s="191" t="s">
        <v>1364</v>
      </c>
      <c r="C64" s="8"/>
      <c r="D64" s="8"/>
      <c r="E64" s="8">
        <f t="array" ref="E64">SUM(IF("131"&amp;B64=KHN&amp;KH,TH))</f>
        <v>3607537</v>
      </c>
      <c r="F64" s="8">
        <f t="array" ref="F64">SUM(IF("131"&amp;B64=KHC&amp;KH,TH))</f>
        <v>0</v>
      </c>
      <c r="G64" s="709">
        <f t="shared" si="10"/>
        <v>3607537</v>
      </c>
      <c r="H64" s="709">
        <f t="shared" si="11"/>
        <v>0</v>
      </c>
    </row>
    <row r="65" spans="1:8" s="10" customFormat="1" ht="16.5" customHeight="1">
      <c r="A65" s="6">
        <f t="shared" si="14"/>
        <v>60</v>
      </c>
      <c r="B65" s="191" t="s">
        <v>1372</v>
      </c>
      <c r="C65" s="8"/>
      <c r="D65" s="8"/>
      <c r="E65" s="8">
        <f t="array" ref="E65">SUM(IF("131"&amp;B65=KHN&amp;KH,TH))</f>
        <v>4989600</v>
      </c>
      <c r="F65" s="8">
        <f t="array" ref="F65">SUM(IF("131"&amp;B65=KHC&amp;KH,TH))</f>
        <v>4989600</v>
      </c>
      <c r="G65" s="709">
        <f t="shared" si="10"/>
        <v>0</v>
      </c>
      <c r="H65" s="709">
        <f t="shared" si="11"/>
        <v>0</v>
      </c>
    </row>
    <row r="66" spans="1:8" s="10" customFormat="1" ht="16.5" customHeight="1">
      <c r="A66" s="6">
        <f t="shared" si="14"/>
        <v>61</v>
      </c>
      <c r="B66" s="191" t="s">
        <v>1395</v>
      </c>
      <c r="C66" s="8"/>
      <c r="D66" s="8"/>
      <c r="E66" s="8">
        <f t="array" ref="E66">SUM(IF("131"&amp;B66=KHN&amp;KH,TH))</f>
        <v>10220378</v>
      </c>
      <c r="F66" s="8">
        <f t="array" ref="F66">SUM(IF("131"&amp;B66=KHC&amp;KH,TH))</f>
        <v>10057303</v>
      </c>
      <c r="G66" s="709">
        <f t="shared" ref="G66:G69" si="15">ROUND(MAX(C66+E66-D66-F66,0),2)</f>
        <v>163075</v>
      </c>
      <c r="H66" s="709">
        <f t="shared" ref="H66:H69" si="16">ROUND(MAX(D66+F66-C66-E66,0),2)</f>
        <v>0</v>
      </c>
    </row>
    <row r="67" spans="1:8" s="10" customFormat="1" ht="16.5" customHeight="1">
      <c r="A67" s="6">
        <f t="shared" si="14"/>
        <v>62</v>
      </c>
      <c r="B67" s="191" t="s">
        <v>1400</v>
      </c>
      <c r="C67" s="8"/>
      <c r="D67" s="8"/>
      <c r="E67" s="8">
        <f t="array" ref="E67">SUM(IF("131"&amp;B67=KHN&amp;KH,TH))</f>
        <v>100683000</v>
      </c>
      <c r="F67" s="8">
        <f t="array" ref="F67">SUM(IF("131"&amp;B67=KHC&amp;KH,TH))</f>
        <v>100683000</v>
      </c>
      <c r="G67" s="709">
        <f t="shared" si="15"/>
        <v>0</v>
      </c>
      <c r="H67" s="709">
        <f t="shared" si="16"/>
        <v>0</v>
      </c>
    </row>
    <row r="68" spans="1:8" s="10" customFormat="1" ht="16.5" customHeight="1">
      <c r="A68" s="6">
        <f t="shared" si="14"/>
        <v>63</v>
      </c>
      <c r="B68" s="191" t="s">
        <v>1299</v>
      </c>
      <c r="C68" s="8"/>
      <c r="D68" s="8"/>
      <c r="E68" s="8">
        <f t="array" ref="E68">SUM(IF("131"&amp;B68=KHN&amp;KH,TH))</f>
        <v>924000000</v>
      </c>
      <c r="F68" s="8">
        <f t="array" ref="F68">SUM(IF("131"&amp;B68=KHC&amp;KH,TH))</f>
        <v>0</v>
      </c>
      <c r="G68" s="709">
        <f t="shared" si="15"/>
        <v>924000000</v>
      </c>
      <c r="H68" s="709">
        <f t="shared" si="16"/>
        <v>0</v>
      </c>
    </row>
    <row r="69" spans="1:8" s="10" customFormat="1" ht="16.5" customHeight="1">
      <c r="A69" s="6">
        <f t="shared" si="14"/>
        <v>64</v>
      </c>
      <c r="B69" s="191" t="s">
        <v>1471</v>
      </c>
      <c r="C69" s="8"/>
      <c r="D69" s="8"/>
      <c r="E69" s="8">
        <f t="array" ref="E69">SUM(IF("131"&amp;B69=KHN&amp;KH,TH))</f>
        <v>325949250</v>
      </c>
      <c r="F69" s="8">
        <f t="array" ref="F69">SUM(IF("131"&amp;B69=KHC&amp;KH,TH))</f>
        <v>67320000</v>
      </c>
      <c r="G69" s="709">
        <f t="shared" si="15"/>
        <v>258629250</v>
      </c>
      <c r="H69" s="709">
        <f t="shared" si="16"/>
        <v>0</v>
      </c>
    </row>
    <row r="70" spans="1:8" s="10" customFormat="1" ht="16.5" customHeight="1">
      <c r="A70" s="6">
        <f t="shared" ref="A70" si="17">IF(B70&lt;&gt;"",ROW()-5,"")</f>
        <v>65</v>
      </c>
      <c r="B70" s="191" t="s">
        <v>1483</v>
      </c>
      <c r="C70" s="8"/>
      <c r="D70" s="8"/>
      <c r="E70" s="8">
        <f t="array" ref="E70">SUM(IF("131"&amp;B70=KHN&amp;KH,TH))</f>
        <v>5471180</v>
      </c>
      <c r="F70" s="8">
        <f t="array" ref="F70">SUM(IF("131"&amp;B70=KHC&amp;KH,TH))</f>
        <v>0</v>
      </c>
      <c r="G70" s="709">
        <f t="shared" si="10"/>
        <v>5471180</v>
      </c>
      <c r="H70" s="709">
        <f t="shared" si="11"/>
        <v>0</v>
      </c>
    </row>
    <row r="71" spans="1:8" s="10" customFormat="1" ht="16.5" customHeight="1">
      <c r="A71" s="6" t="str">
        <f t="shared" ref="A71" si="18">IF(B71&lt;&gt;"",ROW()-3,"")</f>
        <v/>
      </c>
      <c r="B71" s="44"/>
      <c r="C71" s="8"/>
      <c r="D71" s="8"/>
      <c r="E71" s="8"/>
      <c r="F71" s="8"/>
      <c r="G71" s="55"/>
      <c r="H71" s="55"/>
    </row>
    <row r="72" spans="1:8" s="14" customFormat="1" ht="14.25" customHeight="1">
      <c r="A72" s="11"/>
      <c r="B72" s="12" t="s">
        <v>39</v>
      </c>
      <c r="C72" s="13">
        <f>SUM(C6:C71)</f>
        <v>1207498941</v>
      </c>
      <c r="D72" s="13">
        <f t="shared" ref="D72:H72" si="19">SUM(D6:D71)</f>
        <v>0</v>
      </c>
      <c r="E72" s="13">
        <f t="shared" si="19"/>
        <v>3943820632</v>
      </c>
      <c r="F72" s="13">
        <f t="shared" si="19"/>
        <v>2569547037</v>
      </c>
      <c r="G72" s="13">
        <f t="shared" si="19"/>
        <v>2581772536</v>
      </c>
      <c r="H72" s="13">
        <f t="shared" si="19"/>
        <v>0</v>
      </c>
    </row>
    <row r="73" spans="1:8">
      <c r="D73" s="181"/>
      <c r="E73" s="15">
        <f>E72-CDPS!E14</f>
        <v>0</v>
      </c>
      <c r="F73" s="15">
        <f>F72-CDPS!F14</f>
        <v>0</v>
      </c>
      <c r="H73" s="181"/>
    </row>
    <row r="74" spans="1:8">
      <c r="E74" s="15"/>
      <c r="F74" s="15"/>
    </row>
    <row r="76" spans="1:8">
      <c r="E76" s="15"/>
      <c r="F76" s="1031" t="s">
        <v>387</v>
      </c>
      <c r="G76" s="1031"/>
      <c r="H76" s="1031"/>
    </row>
    <row r="77" spans="1:8">
      <c r="F77" s="1031" t="s">
        <v>109</v>
      </c>
      <c r="G77" s="1031"/>
      <c r="H77" s="1031"/>
    </row>
    <row r="78" spans="1:8">
      <c r="E78" s="181"/>
      <c r="F78" s="1031" t="s">
        <v>136</v>
      </c>
      <c r="G78" s="1031"/>
      <c r="H78" s="1031"/>
    </row>
  </sheetData>
  <sortState ref="A6:I31">
    <sortCondition ref="B6:B31"/>
  </sortState>
  <mergeCells count="9">
    <mergeCell ref="F76:H76"/>
    <mergeCell ref="F77:H77"/>
    <mergeCell ref="F78:H78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0" customFormat="1" ht="14.25" customHeight="1">
      <c r="A1" s="576" t="str">
        <f>TH!A1</f>
        <v>Đơn vị: CÔNG TY TNHH SX TM KIM DUNG PHÁT</v>
      </c>
      <c r="B1" s="568"/>
      <c r="C1" s="568"/>
      <c r="G1" s="2"/>
      <c r="H1" s="1041" t="s">
        <v>46</v>
      </c>
      <c r="I1" s="1041"/>
      <c r="J1" s="1041"/>
    </row>
    <row r="2" spans="1:10" s="430" customFormat="1" ht="14.25" customHeight="1">
      <c r="A2" s="575" t="str">
        <f>TH!A2</f>
        <v>Địa chỉ: 1A227/1 Ấp 1, Phạm Văn Hai, Bình Chánh, TPHCM</v>
      </c>
      <c r="B2" s="568"/>
      <c r="C2" s="568"/>
      <c r="G2" s="17"/>
      <c r="H2" s="1042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42"/>
      <c r="J2" s="1042"/>
    </row>
    <row r="3" spans="1:10" s="430" customFormat="1" ht="14.25" customHeight="1">
      <c r="A3" s="570"/>
      <c r="B3" s="568"/>
      <c r="C3" s="568"/>
      <c r="G3" s="17"/>
      <c r="H3" s="1042"/>
      <c r="I3" s="1042"/>
      <c r="J3" s="1042"/>
    </row>
    <row r="4" spans="1:10" s="5" customFormat="1" ht="28.5" customHeight="1">
      <c r="A4" s="1043" t="s">
        <v>26</v>
      </c>
      <c r="B4" s="1043"/>
      <c r="C4" s="1043"/>
      <c r="D4" s="1043"/>
      <c r="E4" s="1043"/>
      <c r="F4" s="1043"/>
      <c r="G4" s="1043"/>
      <c r="H4" s="1043"/>
      <c r="I4" s="1043"/>
      <c r="J4" s="1043"/>
    </row>
    <row r="5" spans="1:10" s="18" customFormat="1" ht="14.25" customHeight="1">
      <c r="E5" s="566" t="s">
        <v>27</v>
      </c>
    </row>
    <row r="6" spans="1:10" s="18" customFormat="1" ht="14.25" customHeight="1">
      <c r="E6" s="566" t="s">
        <v>339</v>
      </c>
    </row>
    <row r="7" spans="1:10" s="18" customFormat="1" ht="14.25" customHeight="1">
      <c r="D7" s="20" t="s">
        <v>45</v>
      </c>
      <c r="E7" s="1044" t="s">
        <v>777</v>
      </c>
      <c r="F7" s="1044"/>
      <c r="G7" s="1044"/>
      <c r="H7" s="1044"/>
    </row>
    <row r="8" spans="1:10" s="18" customFormat="1" ht="14.25" customHeight="1">
      <c r="E8" s="566" t="s">
        <v>29</v>
      </c>
    </row>
    <row r="9" spans="1:10" s="18" customFormat="1" ht="6.75" customHeight="1">
      <c r="B9" s="566"/>
      <c r="C9" s="1045"/>
      <c r="D9" s="1045"/>
      <c r="E9" s="1045"/>
      <c r="F9" s="1045"/>
      <c r="G9" s="1045"/>
      <c r="H9" s="1045"/>
      <c r="I9" s="1045"/>
      <c r="J9" s="1045"/>
    </row>
    <row r="10" spans="1:10" s="18" customFormat="1" ht="14.25" customHeight="1">
      <c r="A10" s="1009" t="s">
        <v>20</v>
      </c>
      <c r="B10" s="1046" t="s">
        <v>1</v>
      </c>
      <c r="C10" s="1046"/>
      <c r="D10" s="1009" t="s">
        <v>0</v>
      </c>
      <c r="E10" s="1009" t="s">
        <v>14</v>
      </c>
      <c r="F10" s="1009" t="s">
        <v>30</v>
      </c>
      <c r="G10" s="1039" t="s">
        <v>21</v>
      </c>
      <c r="H10" s="1040"/>
      <c r="I10" s="1039" t="s">
        <v>31</v>
      </c>
      <c r="J10" s="1040"/>
    </row>
    <row r="11" spans="1:10" s="18" customFormat="1" ht="24.75" customHeight="1">
      <c r="A11" s="1009"/>
      <c r="B11" s="30" t="s">
        <v>15</v>
      </c>
      <c r="C11" s="30" t="s">
        <v>32</v>
      </c>
      <c r="D11" s="1009"/>
      <c r="E11" s="1009"/>
      <c r="F11" s="100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2" t="s">
        <v>2</v>
      </c>
      <c r="B12" s="573" t="s">
        <v>3</v>
      </c>
      <c r="C12" s="572" t="s">
        <v>4</v>
      </c>
      <c r="D12" s="572" t="s">
        <v>5</v>
      </c>
      <c r="E12" s="572" t="s">
        <v>6</v>
      </c>
      <c r="F12" s="572">
        <v>1</v>
      </c>
      <c r="G12" s="572">
        <v>2</v>
      </c>
      <c r="H12" s="572">
        <v>3</v>
      </c>
      <c r="I12" s="572">
        <v>4</v>
      </c>
      <c r="J12" s="572">
        <v>5</v>
      </c>
    </row>
    <row r="13" spans="1:10" s="18" customFormat="1" ht="18" customHeight="1">
      <c r="A13" s="572"/>
      <c r="B13" s="572"/>
      <c r="C13" s="572"/>
      <c r="D13" s="23" t="s">
        <v>7</v>
      </c>
      <c r="E13" s="572"/>
      <c r="F13" s="24"/>
      <c r="G13" s="24"/>
      <c r="H13" s="24"/>
      <c r="I13" s="47">
        <f>VLOOKUP($E$7,'131'!$B$6:$H$71,2,0)</f>
        <v>7895900</v>
      </c>
      <c r="J13" s="47">
        <f>VLOOKUP($E$7,'131'!$B$6:$H$71,3,0)</f>
        <v>0</v>
      </c>
    </row>
    <row r="14" spans="1:10" s="18" customFormat="1" ht="18" customHeight="1">
      <c r="A14" s="9">
        <f ca="1">IF(ROWS($1:1)&gt;COUNT(Dong14),"",OFFSET(TH!C$1,SMALL(Dong14,ROWS($1:1)),))</f>
        <v>42376</v>
      </c>
      <c r="B14" s="9" t="str">
        <f ca="1">IF(ROWS($1:1)&gt;COUNT(Dong14),"",OFFSET(TH!D$1,SMALL(Dong14,ROWS($1:1)),))</f>
        <v>TP/X07</v>
      </c>
      <c r="C14" s="9">
        <f ca="1">IF(ROWS($1:1)&gt;COUNT(Dong14),"",OFFSET(TH!E$1,SMALL(Dong14,ROWS($1:1)),))</f>
        <v>42376</v>
      </c>
      <c r="D14" s="224" t="str">
        <f ca="1">IF(ROWS($1:1)&gt;COUNT(Dong14),"",OFFSET(TH!F$1,SMALL(Dong14,ROWS($1:1)),))</f>
        <v>Thùng (61x36x43)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1806700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9702600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42376</v>
      </c>
      <c r="B15" s="9" t="str">
        <f ca="1">IF(ROWS($1:2)&gt;COUNT(Dong14),"",OFFSET(TH!D$1,SMALL(Dong14,ROWS($1:2)),))</f>
        <v>TP/X07</v>
      </c>
      <c r="C15" s="9">
        <f ca="1">IF(ROWS($1:2)&gt;COUNT(Dong14),"",OFFSET(TH!E$1,SMALL(Dong14,ROWS($1:2)),))</f>
        <v>42376</v>
      </c>
      <c r="D15" s="224" t="str">
        <f ca="1">IF(ROWS($1:2)&gt;COUNT(Dong14),"",OFFSET(TH!F$1,SMALL(Dong14,ROWS($1:2)),))</f>
        <v>Thùng (61x49,5x46)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1196000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10898600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42376</v>
      </c>
      <c r="B16" s="9" t="str">
        <f ca="1">IF(ROWS($1:3)&gt;COUNT(Dong14),"",OFFSET(TH!D$1,SMALL(Dong14,ROWS($1:3)),))</f>
        <v>TP/X07</v>
      </c>
      <c r="C16" s="9">
        <f ca="1">IF(ROWS($1:3)&gt;COUNT(Dong14),"",OFFSET(TH!E$1,SMALL(Dong14,ROWS($1:3)),))</f>
        <v>42376</v>
      </c>
      <c r="D16" s="224" t="str">
        <f ca="1">IF(ROWS($1:3)&gt;COUNT(Dong14),"",OFFSET(TH!F$1,SMALL(Dong14,ROWS($1:3)),))</f>
        <v>Thùng (46x36x47)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300000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11198600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42376</v>
      </c>
      <c r="B17" s="9" t="str">
        <f ca="1">IF(ROWS($1:4)&gt;COUNT(Dong14),"",OFFSET(TH!D$1,SMALL(Dong14,ROWS($1:4)),))</f>
        <v>TP/X07</v>
      </c>
      <c r="C17" s="9">
        <f ca="1">IF(ROWS($1:4)&gt;COUNT(Dong14),"",OFFSET(TH!E$1,SMALL(Dong14,ROWS($1:4)),))</f>
        <v>42376</v>
      </c>
      <c r="D17" s="224" t="str">
        <f ca="1">IF(ROWS($1:4)&gt;COUNT(Dong14),"",OFFSET(TH!F$1,SMALL(Dong14,ROWS($1:4)),))</f>
        <v>Thùng (39x45x46)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391000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11589600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42376</v>
      </c>
      <c r="B18" s="9" t="str">
        <f ca="1">IF(ROWS($1:5)&gt;COUNT(Dong14),"",OFFSET(TH!D$1,SMALL(Dong14,ROWS($1:5)),))</f>
        <v>TP/X07</v>
      </c>
      <c r="C18" s="9">
        <f ca="1">IF(ROWS($1:5)&gt;COUNT(Dong14),"",OFFSET(TH!E$1,SMALL(Dong14,ROWS($1:5)),))</f>
        <v>42376</v>
      </c>
      <c r="D18" s="224" t="str">
        <f ca="1">IF(ROWS($1:5)&gt;COUNT(Dong14),"",OFFSET(TH!F$1,SMALL(Dong14,ROWS($1:5)),))</f>
        <v>Thùng (42x48x51)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440000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12029600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42376</v>
      </c>
      <c r="B19" s="9" t="str">
        <f ca="1">IF(ROWS($1:6)&gt;COUNT(Dong14),"",OFFSET(TH!D$1,SMALL(Dong14,ROWS($1:6)),))</f>
        <v>TP/X07</v>
      </c>
      <c r="C19" s="9">
        <f ca="1">IF(ROWS($1:6)&gt;COUNT(Dong14),"",OFFSET(TH!E$1,SMALL(Dong14,ROWS($1:6)),))</f>
        <v>42376</v>
      </c>
      <c r="D19" s="224" t="str">
        <f ca="1">IF(ROWS($1:6)&gt;COUNT(Dong14),"",OFFSET(TH!F$1,SMALL(Dong14,ROWS($1:6)),))</f>
        <v>Thùng (46x53x55)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484000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12513600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4" t="str">
        <f ca="1">IF(ROWS($1:7)&gt;COUNT(Dong14),"",OFFSET(TH!F$1,SMALL(Dong14,ROWS($1:7)),))</f>
        <v>Thùng (51x62x55)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510300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13023900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4" t="str">
        <f ca="1">IF(ROWS($1:8)&gt;COUNT(Dong14),"",OFFSET(TH!F$1,SMALL(Dong14,ROWS($1:8)),))</f>
        <v>Thùng (51x69x55)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572000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13595900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4" t="str">
        <f ca="1">IF(ROWS($1:9)&gt;COUNT(Dong14),"",OFFSET(TH!F$1,SMALL(Dong14,ROWS($1:9)),))</f>
        <v>Thùng (51x72x55)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583800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14179700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4" t="str">
        <f ca="1">IF(ROWS($1:10)&gt;COUNT(Dong14),"",OFFSET(TH!F$1,SMALL(Dong14,ROWS($1:10)),))</f>
        <v>Thùng (59x80x61)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744000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14923700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4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702780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15626480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TP/X09</v>
      </c>
      <c r="C25" s="9">
        <f ca="1">IF(ROWS($1:12)&gt;COUNT(Dong14),"",OFFSET(TH!E$1,SMALL(Dong14,ROWS($1:12)),))</f>
        <v>42376</v>
      </c>
      <c r="D25" s="224" t="str">
        <f ca="1">IF(ROWS($1:12)&gt;COUNT(Dong14),"",OFFSET(TH!F$1,SMALL(Dong14,ROWS($1:12)),))</f>
        <v>Thùng (59x89x61)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726000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16352480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TP/X09</v>
      </c>
      <c r="C26" s="9">
        <f ca="1">IF(ROWS($1:13)&gt;COUNT(Dong14),"",OFFSET(TH!E$1,SMALL(Dong14,ROWS($1:13)),))</f>
        <v>42376</v>
      </c>
      <c r="D26" s="224" t="str">
        <f ca="1">IF(ROWS($1:13)&gt;COUNT(Dong14),"",OFFSET(TH!F$1,SMALL(Dong14,ROWS($1:13)),))</f>
        <v>Thùng (59x94x61)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16702480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TP/X09</v>
      </c>
      <c r="C27" s="9">
        <f ca="1">IF(ROWS($1:14)&gt;COUNT(Dong14),"",OFFSET(TH!E$1,SMALL(Dong14,ROWS($1:14)),))</f>
        <v>42376</v>
      </c>
      <c r="D27" s="224" t="str">
        <f ca="1">IF(ROWS($1:14)&gt;COUNT(Dong14),"",OFFSET(TH!F$1,SMALL(Dong14,ROWS($1:14)),))</f>
        <v>Thùng (64x114x63)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600000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17302480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TP/X09</v>
      </c>
      <c r="C28" s="9">
        <f ca="1">IF(ROWS($1:15)&gt;COUNT(Dong14),"",OFFSET(TH!E$1,SMALL(Dong14,ROWS($1:15)),))</f>
        <v>42376</v>
      </c>
      <c r="D28" s="224" t="str">
        <f ca="1">IF(ROWS($1:15)&gt;COUNT(Dong14),"",OFFSET(TH!F$1,SMALL(Dong14,ROWS($1:15)),))</f>
        <v>Giấy 2 da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2790000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20092480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TP/X09</v>
      </c>
      <c r="C29" s="9">
        <f ca="1">IF(ROWS($1:16)&gt;COUNT(Dong14),"",OFFSET(TH!E$1,SMALL(Dong14,ROWS($1:16)),))</f>
        <v>42376</v>
      </c>
      <c r="D29" s="224" t="str">
        <f ca="1">IF(ROWS($1:16)&gt;COUNT(Dong14),"",OFFSET(TH!F$1,SMALL(Dong14,ROWS($1:16)),))</f>
        <v>VAT Thùng carton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20539080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TP/X10</v>
      </c>
      <c r="C30" s="9">
        <f ca="1">IF(ROWS($1:17)&gt;COUNT(Dong14),"",OFFSET(TH!E$1,SMALL(Dong14,ROWS($1:17)),))</f>
        <v>42376</v>
      </c>
      <c r="D30" s="224" t="str">
        <f ca="1">IF(ROWS($1:17)&gt;COUNT(Dong14),"",OFFSET(TH!F$1,SMALL(Dong14,ROWS($1:17)),))</f>
        <v>Giấy 2 da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492900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21031980</v>
      </c>
      <c r="J30" s="25">
        <f t="shared" ca="1" si="1"/>
        <v>0</v>
      </c>
    </row>
    <row r="31" spans="1:10" s="18" customFormat="1" ht="18" customHeight="1">
      <c r="A31" s="218"/>
      <c r="B31" s="218"/>
      <c r="C31" s="218"/>
      <c r="D31" s="219"/>
      <c r="E31" s="220"/>
      <c r="F31" s="220"/>
      <c r="G31" s="221"/>
      <c r="H31" s="221"/>
      <c r="I31" s="222"/>
      <c r="J31" s="222"/>
    </row>
    <row r="32" spans="1:10" s="18" customFormat="1" ht="18" customHeight="1">
      <c r="A32" s="24"/>
      <c r="B32" s="572"/>
      <c r="C32" s="26"/>
      <c r="D32" s="23" t="s">
        <v>33</v>
      </c>
      <c r="E32" s="572" t="s">
        <v>19</v>
      </c>
      <c r="F32" s="572" t="s">
        <v>19</v>
      </c>
      <c r="G32" s="27">
        <f ca="1">SUM(G14:G30)</f>
        <v>13136080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72"/>
      <c r="C33" s="572"/>
      <c r="D33" s="23" t="s">
        <v>10</v>
      </c>
      <c r="E33" s="572" t="s">
        <v>19</v>
      </c>
      <c r="F33" s="572" t="s">
        <v>19</v>
      </c>
      <c r="G33" s="27" t="s">
        <v>19</v>
      </c>
      <c r="H33" s="27" t="s">
        <v>19</v>
      </c>
      <c r="I33" s="27">
        <f ca="1">MAX(I13+G32-H32-J13,0)</f>
        <v>21031980</v>
      </c>
      <c r="J33" s="27">
        <f ca="1">MAX(J13+H32-G32-I13,0)</f>
        <v>0</v>
      </c>
    </row>
    <row r="34" spans="1:11" s="18" customFormat="1" ht="6" customHeight="1">
      <c r="B34" s="566"/>
      <c r="C34" s="566"/>
      <c r="E34" s="566"/>
    </row>
    <row r="35" spans="1:11" s="18" customFormat="1" ht="14.25" customHeight="1">
      <c r="A35" s="28" t="s">
        <v>151</v>
      </c>
      <c r="B35" s="566"/>
      <c r="C35" s="566"/>
      <c r="E35" s="566"/>
      <c r="K35" s="28" t="s">
        <v>151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7/1/ 2016</v>
      </c>
      <c r="B36" s="566"/>
      <c r="C36" s="566"/>
      <c r="E36" s="566"/>
      <c r="K36" s="28" t="s">
        <v>34</v>
      </c>
    </row>
    <row r="37" spans="1:11" s="18" customFormat="1" ht="14.25" customHeight="1">
      <c r="B37" s="566"/>
      <c r="C37" s="566"/>
      <c r="E37" s="997" t="str">
        <f ca="1">"Ngày 31 tháng  12  năm  "&amp;YEAR($A$14)</f>
        <v>Ngày 31 tháng  12  năm  2016</v>
      </c>
      <c r="F37" s="997"/>
      <c r="G37" s="997"/>
      <c r="H37" s="997"/>
      <c r="I37" s="997"/>
      <c r="J37" s="997"/>
    </row>
    <row r="38" spans="1:11" s="18" customFormat="1" ht="14.25" customHeight="1">
      <c r="C38" s="566" t="s">
        <v>11</v>
      </c>
      <c r="E38" s="997" t="s">
        <v>12</v>
      </c>
      <c r="F38" s="997"/>
      <c r="G38" s="997"/>
      <c r="H38" s="997"/>
      <c r="I38" s="997"/>
      <c r="J38" s="997"/>
    </row>
    <row r="39" spans="1:11" s="18" customFormat="1" ht="14.25" customHeight="1">
      <c r="C39" s="566" t="s">
        <v>13</v>
      </c>
      <c r="E39" s="997" t="s">
        <v>13</v>
      </c>
      <c r="F39" s="997"/>
      <c r="G39" s="997"/>
      <c r="H39" s="997"/>
      <c r="I39" s="997"/>
      <c r="J39" s="997"/>
    </row>
    <row r="40" spans="1:11" s="29" customFormat="1"/>
    <row r="46" spans="1:11" ht="15">
      <c r="C46" s="567" t="s">
        <v>150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2"/>
  <sheetViews>
    <sheetView showZeros="0" workbookViewId="0">
      <pane ySplit="5" topLeftCell="A18" activePane="bottomLeft" state="frozen"/>
      <selection pane="bottomLeft" activeCell="B26" sqref="B26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9" width="12.85546875" style="15" bestFit="1" customWidth="1"/>
    <col min="10" max="10" width="11.28515625" style="179" bestFit="1" customWidth="1"/>
    <col min="11" max="16384" width="8" style="179"/>
  </cols>
  <sheetData>
    <row r="1" spans="1:10">
      <c r="A1" s="746" t="str">
        <f>TH!$A$1</f>
        <v>Đơn vị: CÔNG TY TNHH SX TM KIM DUNG PHÁT</v>
      </c>
    </row>
    <row r="2" spans="1:10">
      <c r="A2" s="747" t="str">
        <f>TH!$A$2</f>
        <v>Địa chỉ: 1A227/1 Ấp 1, Phạm Văn Hai, Bình Chánh, TPHCM</v>
      </c>
    </row>
    <row r="3" spans="1:10" ht="27" customHeight="1">
      <c r="A3" s="1032" t="s">
        <v>102</v>
      </c>
      <c r="B3" s="1032"/>
      <c r="C3" s="1032"/>
      <c r="D3" s="1032"/>
      <c r="E3" s="1032"/>
      <c r="F3" s="1032"/>
      <c r="G3" s="1032"/>
      <c r="H3" s="1032"/>
    </row>
    <row r="4" spans="1:10" s="10" customFormat="1" ht="14.25" customHeight="1">
      <c r="A4" s="1033" t="s">
        <v>35</v>
      </c>
      <c r="B4" s="1035" t="s">
        <v>36</v>
      </c>
      <c r="C4" s="1037" t="s">
        <v>37</v>
      </c>
      <c r="D4" s="1038"/>
      <c r="E4" s="1037" t="s">
        <v>38</v>
      </c>
      <c r="F4" s="1038"/>
      <c r="G4" s="1037" t="s">
        <v>41</v>
      </c>
      <c r="H4" s="1038"/>
      <c r="I4" s="282"/>
    </row>
    <row r="5" spans="1:10" s="10" customFormat="1" ht="14.25" customHeight="1">
      <c r="A5" s="1034"/>
      <c r="B5" s="1036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  <c r="I5" s="282"/>
    </row>
    <row r="6" spans="1:10" s="10" customFormat="1" ht="16.5" customHeight="1">
      <c r="A6" s="6">
        <f>IF(B6&lt;&gt;"",ROW()-5,"")</f>
        <v>1</v>
      </c>
      <c r="B6" s="7" t="s">
        <v>811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15" si="0">ROUND(MAX(C6+E6-D6-F6,0),2)</f>
        <v>0</v>
      </c>
      <c r="H6" s="55">
        <f t="shared" ref="H6:H15" si="1">ROUND(MAX(D6+F6-C6-E6,0),2)</f>
        <v>0</v>
      </c>
      <c r="I6" s="282" t="str">
        <f>IF(ISNA(VLOOKUP(B6,[2]!DSKH,1,0)),"","x")</f>
        <v/>
      </c>
    </row>
    <row r="7" spans="1:10" s="10" customFormat="1" ht="16.5" customHeight="1">
      <c r="A7" s="6">
        <f t="shared" ref="A7:A26" si="2">IF(B7&lt;&gt;"",ROW()-5,"")</f>
        <v>2</v>
      </c>
      <c r="B7" s="712" t="s">
        <v>686</v>
      </c>
      <c r="C7" s="8"/>
      <c r="D7" s="8"/>
      <c r="E7" s="8">
        <f t="array" ref="E7">SUM(IF("331"&amp;B7=KHN&amp;KH,TH))</f>
        <v>24749120</v>
      </c>
      <c r="F7" s="8">
        <f t="array" ref="F7">SUM(IF("331"&amp;B7=KHC&amp;KH,TH))</f>
        <v>24749120</v>
      </c>
      <c r="G7" s="55">
        <f t="shared" si="0"/>
        <v>0</v>
      </c>
      <c r="H7" s="55">
        <f t="shared" si="1"/>
        <v>0</v>
      </c>
      <c r="I7" s="282" t="str">
        <f>IF(ISNA(VLOOKUP(B7,[2]!DSKH,1,0)),"","x")</f>
        <v>x</v>
      </c>
    </row>
    <row r="8" spans="1:10" s="10" customFormat="1" ht="16.5" customHeight="1">
      <c r="A8" s="6">
        <f t="shared" ref="A8" si="3">IF(B8&lt;&gt;"",ROW()-5,"")</f>
        <v>3</v>
      </c>
      <c r="B8" s="712" t="s">
        <v>1356</v>
      </c>
      <c r="C8" s="8"/>
      <c r="D8" s="8"/>
      <c r="E8" s="8">
        <f t="array" ref="E8">SUM(IF("331"&amp;B8=KHN&amp;KH,TH))</f>
        <v>388080</v>
      </c>
      <c r="F8" s="8">
        <f t="array" ref="F8">SUM(IF("331"&amp;B8=KHC&amp;KH,TH))</f>
        <v>388080</v>
      </c>
      <c r="G8" s="709">
        <f t="shared" ref="G8" si="4">ROUND(MAX(C8+E8-D8-F8,0),2)</f>
        <v>0</v>
      </c>
      <c r="H8" s="709">
        <f t="shared" ref="H8" si="5">ROUND(MAX(D8+F8-C8-E8,0),2)</f>
        <v>0</v>
      </c>
      <c r="I8" s="282"/>
      <c r="J8" s="890"/>
    </row>
    <row r="9" spans="1:10" s="10" customFormat="1" ht="16.5" customHeight="1">
      <c r="A9" s="6">
        <f t="shared" si="2"/>
        <v>4</v>
      </c>
      <c r="B9" s="7" t="s">
        <v>858</v>
      </c>
      <c r="C9" s="8"/>
      <c r="D9" s="8"/>
      <c r="E9" s="8">
        <f t="array" ref="E9">SUM(IF("331"&amp;B9=KHN&amp;KH,TH))</f>
        <v>41360000</v>
      </c>
      <c r="F9" s="8">
        <f t="array" ref="F9">SUM(IF("331"&amp;B9=KHC&amp;KH,TH))</f>
        <v>41360000</v>
      </c>
      <c r="G9" s="55">
        <f>ROUND(MAX(C9+E9-D9-F9,0),2)</f>
        <v>0</v>
      </c>
      <c r="H9" s="55">
        <f>ROUND(MAX(D9+F9-C9-E9,0),2)</f>
        <v>0</v>
      </c>
      <c r="I9" s="282" t="str">
        <f>IF(ISNA(VLOOKUP(B9,[2]!DSKH,1,0)),"","x")</f>
        <v/>
      </c>
    </row>
    <row r="10" spans="1:10" s="10" customFormat="1" ht="16.5" customHeight="1">
      <c r="A10" s="6">
        <f t="shared" si="2"/>
        <v>5</v>
      </c>
      <c r="B10" s="7" t="s">
        <v>792</v>
      </c>
      <c r="C10" s="8"/>
      <c r="D10" s="8"/>
      <c r="E10" s="8">
        <f t="array" ref="E10">SUM(IF("331"&amp;B10=KHN&amp;KH,TH))</f>
        <v>159181330</v>
      </c>
      <c r="F10" s="8">
        <f t="array" ref="F10">SUM(IF("331"&amp;B10=KHC&amp;KH,TH))</f>
        <v>159381330</v>
      </c>
      <c r="G10" s="709">
        <f>ROUND(MAX(C10+E10-D10-F10,0),2)</f>
        <v>0</v>
      </c>
      <c r="H10" s="709">
        <f>ROUND(MAX(D10+F10-C10-E10,0),2)</f>
        <v>200000</v>
      </c>
      <c r="I10" s="282" t="str">
        <f>IF(ISNA(VLOOKUP(B10,[2]!DSKH,1,0)),"","x")</f>
        <v/>
      </c>
      <c r="J10" s="890"/>
    </row>
    <row r="11" spans="1:10" s="10" customFormat="1" ht="16.5" customHeight="1">
      <c r="A11" s="6">
        <f t="shared" si="2"/>
        <v>6</v>
      </c>
      <c r="B11" s="45" t="s">
        <v>803</v>
      </c>
      <c r="C11" s="8"/>
      <c r="D11" s="8"/>
      <c r="E11" s="8">
        <f t="array" ref="E11">SUM(IF("331"&amp;B11=KHN&amp;KH,TH))</f>
        <v>272328980</v>
      </c>
      <c r="F11" s="8">
        <f t="array" ref="F11">SUM(IF("331"&amp;B11=KHC&amp;KH,TH))</f>
        <v>272328980</v>
      </c>
      <c r="G11" s="709">
        <f>ROUND(MAX(C11+E11-D11-F11,0),2)</f>
        <v>0</v>
      </c>
      <c r="H11" s="709">
        <f>ROUND(MAX(D11+F11-C11-E11,0),2)</f>
        <v>0</v>
      </c>
      <c r="I11" s="282" t="str">
        <f>IF(ISNA(VLOOKUP(B11,[2]!DSKH,1,0)),"","x")</f>
        <v>x</v>
      </c>
    </row>
    <row r="12" spans="1:10" s="10" customFormat="1" ht="16.5" customHeight="1">
      <c r="A12" s="6">
        <f t="shared" si="2"/>
        <v>7</v>
      </c>
      <c r="B12" s="7" t="s">
        <v>1450</v>
      </c>
      <c r="C12" s="8"/>
      <c r="D12" s="8">
        <v>150195820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709">
        <f t="shared" si="0"/>
        <v>0</v>
      </c>
      <c r="H12" s="709">
        <f t="shared" si="1"/>
        <v>150195820</v>
      </c>
      <c r="I12" s="282"/>
    </row>
    <row r="13" spans="1:10" s="10" customFormat="1" ht="16.5" customHeight="1">
      <c r="A13" s="6">
        <f t="shared" si="2"/>
        <v>8</v>
      </c>
      <c r="B13" s="7" t="s">
        <v>1451</v>
      </c>
      <c r="C13" s="8"/>
      <c r="D13" s="8">
        <v>148850760</v>
      </c>
      <c r="E13" s="8">
        <f t="array" ref="E13">SUM(IF("331"&amp;B13=KHN&amp;KH,TH))</f>
        <v>40000000</v>
      </c>
      <c r="F13" s="8">
        <f t="array" ref="F13">SUM(IF("331"&amp;B13=KHC&amp;KH,TH))</f>
        <v>0</v>
      </c>
      <c r="G13" s="709">
        <f t="shared" si="0"/>
        <v>0</v>
      </c>
      <c r="H13" s="709">
        <f t="shared" si="1"/>
        <v>108850760</v>
      </c>
      <c r="I13" s="282"/>
    </row>
    <row r="14" spans="1:10" s="10" customFormat="1" ht="16.5" customHeight="1">
      <c r="A14" s="6">
        <f t="shared" si="2"/>
        <v>9</v>
      </c>
      <c r="B14" s="7" t="s">
        <v>1452</v>
      </c>
      <c r="C14" s="8"/>
      <c r="D14" s="8">
        <v>238409660</v>
      </c>
      <c r="E14" s="8">
        <f t="array" ref="E14">SUM(IF("331"&amp;B14=KHN&amp;KH,TH))</f>
        <v>153224860</v>
      </c>
      <c r="F14" s="8">
        <f t="array" ref="F14">SUM(IF("331"&amp;B14=KHC&amp;KH,TH))</f>
        <v>0</v>
      </c>
      <c r="G14" s="709">
        <f t="shared" si="0"/>
        <v>0</v>
      </c>
      <c r="H14" s="709">
        <f t="shared" si="1"/>
        <v>85184800</v>
      </c>
      <c r="I14" s="282">
        <v>45000000</v>
      </c>
      <c r="J14" s="890">
        <f t="shared" ref="J14:J22" si="6">I14-H14</f>
        <v>-40184800</v>
      </c>
    </row>
    <row r="15" spans="1:10" s="10" customFormat="1" ht="16.5" customHeight="1">
      <c r="A15" s="6">
        <f t="shared" si="2"/>
        <v>10</v>
      </c>
      <c r="B15" s="7" t="s">
        <v>1554</v>
      </c>
      <c r="C15" s="8"/>
      <c r="D15" s="8">
        <v>146189560</v>
      </c>
      <c r="E15" s="8">
        <f t="array" ref="E15">SUM(IF("331"&amp;B15=KHN&amp;KH,TH))</f>
        <v>211189560</v>
      </c>
      <c r="F15" s="8">
        <f t="array" ref="F15">SUM(IF("331"&amp;B15=KHC&amp;KH,TH))</f>
        <v>505127700</v>
      </c>
      <c r="G15" s="709">
        <f t="shared" si="0"/>
        <v>0</v>
      </c>
      <c r="H15" s="709">
        <f t="shared" si="1"/>
        <v>440127700</v>
      </c>
      <c r="I15" s="282">
        <v>408838700</v>
      </c>
      <c r="J15" s="890">
        <f>I15-H15</f>
        <v>-31289000</v>
      </c>
    </row>
    <row r="16" spans="1:10" s="10" customFormat="1" ht="16.5" customHeight="1">
      <c r="A16" s="6">
        <f t="shared" si="2"/>
        <v>11</v>
      </c>
      <c r="B16" s="7" t="s">
        <v>1453</v>
      </c>
      <c r="C16" s="8"/>
      <c r="D16" s="8">
        <v>274277920</v>
      </c>
      <c r="E16" s="8">
        <f t="array" ref="E16">SUM(IF("331"&amp;B16=KHN&amp;KH,TH))</f>
        <v>154000000</v>
      </c>
      <c r="F16" s="8">
        <f t="array" ref="F16">SUM(IF("331"&amp;B16=KHC&amp;KH,TH))</f>
        <v>0</v>
      </c>
      <c r="G16" s="709">
        <f t="shared" ref="G16:G23" si="7">ROUND(MAX(C16+E16-D16-F16,0),2)</f>
        <v>0</v>
      </c>
      <c r="H16" s="709">
        <f t="shared" ref="H16:H23" si="8">ROUND(MAX(D16+F16-C16-E16,0),2)</f>
        <v>120277920</v>
      </c>
      <c r="I16" s="282">
        <v>86277920</v>
      </c>
      <c r="J16" s="890">
        <f t="shared" si="6"/>
        <v>-34000000</v>
      </c>
    </row>
    <row r="17" spans="1:10" s="10" customFormat="1" ht="16.5" customHeight="1">
      <c r="A17" s="6">
        <f t="shared" si="2"/>
        <v>12</v>
      </c>
      <c r="B17" s="7" t="s">
        <v>1454</v>
      </c>
      <c r="C17" s="8"/>
      <c r="D17" s="8">
        <v>266682020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709">
        <f t="shared" si="7"/>
        <v>0</v>
      </c>
      <c r="H17" s="709">
        <f t="shared" si="8"/>
        <v>266682020</v>
      </c>
      <c r="I17" s="282"/>
      <c r="J17" s="890"/>
    </row>
    <row r="18" spans="1:10" s="10" customFormat="1" ht="16.5" customHeight="1">
      <c r="A18" s="6">
        <f t="shared" si="2"/>
        <v>13</v>
      </c>
      <c r="B18" s="7" t="s">
        <v>1455</v>
      </c>
      <c r="C18" s="8"/>
      <c r="D18" s="8">
        <v>230553200</v>
      </c>
      <c r="E18" s="8">
        <f t="array" ref="E18">SUM(IF("331"&amp;B18=KHN&amp;KH,TH))</f>
        <v>51000000</v>
      </c>
      <c r="F18" s="8">
        <f t="array" ref="F18">SUM(IF("331"&amp;B18=KHC&amp;KH,TH))</f>
        <v>0</v>
      </c>
      <c r="G18" s="709">
        <f t="shared" si="7"/>
        <v>0</v>
      </c>
      <c r="H18" s="709">
        <f t="shared" si="8"/>
        <v>179553200</v>
      </c>
      <c r="I18" s="282">
        <v>139400000</v>
      </c>
      <c r="J18" s="890">
        <f t="shared" si="6"/>
        <v>-40153200</v>
      </c>
    </row>
    <row r="19" spans="1:10" s="10" customFormat="1" ht="16.5" customHeight="1">
      <c r="A19" s="6">
        <f t="shared" si="2"/>
        <v>14</v>
      </c>
      <c r="B19" s="7" t="s">
        <v>1456</v>
      </c>
      <c r="C19" s="8"/>
      <c r="D19" s="8">
        <v>388135760</v>
      </c>
      <c r="E19" s="8">
        <f t="array" ref="E19">SUM(IF("331"&amp;B19=KHN&amp;KH,TH))</f>
        <v>0</v>
      </c>
      <c r="F19" s="8">
        <f t="array" ref="F19">SUM(IF("331"&amp;B19=KHC&amp;KH,TH))</f>
        <v>0</v>
      </c>
      <c r="G19" s="709">
        <f t="shared" ref="G19" si="9">ROUND(MAX(C19+E19-D19-F19,0),2)</f>
        <v>0</v>
      </c>
      <c r="H19" s="709">
        <f t="shared" ref="H19" si="10">ROUND(MAX(D19+F19-C19-E19,0),2)</f>
        <v>388135760</v>
      </c>
      <c r="I19" s="282">
        <v>393062795</v>
      </c>
      <c r="J19" s="890">
        <f t="shared" si="6"/>
        <v>4927035</v>
      </c>
    </row>
    <row r="20" spans="1:10" s="10" customFormat="1" ht="16.5" customHeight="1">
      <c r="A20" s="6">
        <f t="shared" si="2"/>
        <v>15</v>
      </c>
      <c r="B20" s="7" t="s">
        <v>1457</v>
      </c>
      <c r="C20" s="8"/>
      <c r="D20" s="8">
        <v>88276440</v>
      </c>
      <c r="E20" s="8">
        <f t="array" ref="E20">SUM(IF("331"&amp;B20=KHN&amp;KH,TH))</f>
        <v>5000000</v>
      </c>
      <c r="F20" s="8">
        <f t="array" ref="F20">SUM(IF("331"&amp;B20=KHC&amp;KH,TH))</f>
        <v>0</v>
      </c>
      <c r="G20" s="709">
        <f t="shared" si="7"/>
        <v>0</v>
      </c>
      <c r="H20" s="709">
        <f t="shared" si="8"/>
        <v>83276440</v>
      </c>
      <c r="I20" s="282">
        <v>81000000</v>
      </c>
      <c r="J20" s="890">
        <f t="shared" si="6"/>
        <v>-2276440</v>
      </c>
    </row>
    <row r="21" spans="1:10" s="10" customFormat="1" ht="16.5" customHeight="1">
      <c r="A21" s="6">
        <f t="shared" si="2"/>
        <v>16</v>
      </c>
      <c r="B21" s="191" t="s">
        <v>824</v>
      </c>
      <c r="C21" s="8"/>
      <c r="D21" s="8"/>
      <c r="E21" s="8">
        <f t="array" ref="E21">SUM(IF("331"&amp;B21=KHN&amp;KH,TH))</f>
        <v>9746418</v>
      </c>
      <c r="F21" s="8">
        <f t="array" ref="F21">SUM(IF("331"&amp;B21=KHC&amp;KH,TH))</f>
        <v>544797418</v>
      </c>
      <c r="G21" s="709">
        <f t="shared" si="7"/>
        <v>0</v>
      </c>
      <c r="H21" s="709">
        <f t="shared" si="8"/>
        <v>535051000</v>
      </c>
      <c r="I21" s="282" t="str">
        <f>IF(ISNA(VLOOKUP(B21,[2]!DSKH,1,0)),"","x")</f>
        <v/>
      </c>
      <c r="J21" s="890"/>
    </row>
    <row r="22" spans="1:10" s="10" customFormat="1" ht="16.5" customHeight="1">
      <c r="A22" s="6">
        <f t="shared" si="2"/>
        <v>17</v>
      </c>
      <c r="B22" s="7" t="s">
        <v>829</v>
      </c>
      <c r="C22" s="8"/>
      <c r="D22" s="8"/>
      <c r="E22" s="8">
        <f t="array" ref="E22">SUM(IF("331"&amp;B22=KHN&amp;KH,TH))</f>
        <v>166200000</v>
      </c>
      <c r="F22" s="8">
        <f t="array" ref="F22">SUM(IF("331"&amp;B22=KHC&amp;KH,TH))</f>
        <v>272599580</v>
      </c>
      <c r="G22" s="709">
        <f t="shared" si="7"/>
        <v>0</v>
      </c>
      <c r="H22" s="709">
        <f t="shared" si="8"/>
        <v>106399580</v>
      </c>
      <c r="I22" s="282">
        <v>50000000</v>
      </c>
      <c r="J22" s="890">
        <f t="shared" si="6"/>
        <v>-56399580</v>
      </c>
    </row>
    <row r="23" spans="1:10" s="10" customFormat="1" ht="16.5" customHeight="1">
      <c r="A23" s="6">
        <f t="shared" si="2"/>
        <v>18</v>
      </c>
      <c r="B23" s="7" t="s">
        <v>855</v>
      </c>
      <c r="C23" s="8"/>
      <c r="D23" s="8"/>
      <c r="E23" s="8">
        <f t="array" ref="E23">SUM(IF("331"&amp;B23=KHN&amp;KH,TH))</f>
        <v>114625550</v>
      </c>
      <c r="F23" s="8">
        <f t="array" ref="F23">SUM(IF("331"&amp;B23=KHC&amp;KH,TH))</f>
        <v>582970630</v>
      </c>
      <c r="G23" s="709">
        <f t="shared" si="7"/>
        <v>0</v>
      </c>
      <c r="H23" s="709">
        <f t="shared" si="8"/>
        <v>468345080</v>
      </c>
      <c r="I23" s="282" t="str">
        <f>IF(ISNA(VLOOKUP(B23,[2]!DSKH,1,0)),"","x")</f>
        <v/>
      </c>
      <c r="J23" s="890"/>
    </row>
    <row r="24" spans="1:10" s="10" customFormat="1" ht="16.5" customHeight="1">
      <c r="A24" s="6">
        <f t="shared" si="2"/>
        <v>19</v>
      </c>
      <c r="B24" s="7" t="s">
        <v>834</v>
      </c>
      <c r="C24" s="8"/>
      <c r="D24" s="8"/>
      <c r="E24" s="8">
        <f t="array" ref="E24">SUM(IF("331"&amp;B24=KHN&amp;KH,TH))</f>
        <v>163000000</v>
      </c>
      <c r="F24" s="8">
        <f t="array" ref="F24">SUM(IF("331"&amp;B24=KHC&amp;KH,TH))</f>
        <v>298354540</v>
      </c>
      <c r="G24" s="709">
        <f t="shared" ref="G24:G25" si="11">ROUND(MAX(C24+E24-D24-F24,0),2)</f>
        <v>0</v>
      </c>
      <c r="H24" s="709">
        <f t="shared" ref="H24:H25" si="12">ROUND(MAX(D24+F24-C24-E24,0),2)</f>
        <v>135354540</v>
      </c>
      <c r="I24" s="282">
        <v>554295000</v>
      </c>
      <c r="J24" s="890">
        <f>I24-H24</f>
        <v>418940460</v>
      </c>
    </row>
    <row r="25" spans="1:10" s="10" customFormat="1" ht="16.5" customHeight="1">
      <c r="A25" s="6">
        <f t="shared" si="2"/>
        <v>20</v>
      </c>
      <c r="B25" s="7" t="s">
        <v>844</v>
      </c>
      <c r="C25" s="8"/>
      <c r="D25" s="8"/>
      <c r="E25" s="8">
        <f t="array" ref="E25">SUM(IF("331"&amp;B25=KHN&amp;KH,TH))</f>
        <v>118178560</v>
      </c>
      <c r="F25" s="8">
        <f t="array" ref="F25">SUM(IF("331"&amp;B25=KHC&amp;KH,TH))</f>
        <v>191193200</v>
      </c>
      <c r="G25" s="709">
        <f t="shared" si="11"/>
        <v>0</v>
      </c>
      <c r="H25" s="709">
        <f t="shared" si="12"/>
        <v>73014640</v>
      </c>
      <c r="I25" s="282">
        <v>52700000</v>
      </c>
      <c r="J25" s="890">
        <f>I25-H25</f>
        <v>-20314640</v>
      </c>
    </row>
    <row r="26" spans="1:10" s="10" customFormat="1" ht="16.5" customHeight="1">
      <c r="A26" s="6">
        <f t="shared" si="2"/>
        <v>21</v>
      </c>
      <c r="B26" s="191" t="s">
        <v>1563</v>
      </c>
      <c r="C26" s="8"/>
      <c r="D26" s="8"/>
      <c r="E26" s="8">
        <f t="array" ref="E26">SUM(IF("331"&amp;B26=KHN&amp;KH,TH))</f>
        <v>673522385</v>
      </c>
      <c r="F26" s="8">
        <f t="array" ref="F26">SUM(IF("331"&amp;B26=KHC&amp;KH,TH))</f>
        <v>683500000</v>
      </c>
      <c r="G26" s="709">
        <f t="shared" ref="G26" si="13">ROUND(MAX(C26+E26-D26-F26,0),2)</f>
        <v>0</v>
      </c>
      <c r="H26" s="709">
        <f t="shared" ref="H26" si="14">ROUND(MAX(D26+F26-C26-E26,0),2)</f>
        <v>9977615</v>
      </c>
      <c r="I26" s="282"/>
      <c r="J26" s="890"/>
    </row>
    <row r="27" spans="1:10" s="10" customFormat="1" ht="16.5" customHeight="1">
      <c r="A27" s="6" t="str">
        <f>IF(B27&lt;&gt;"",ROW()-3,"")</f>
        <v/>
      </c>
      <c r="B27" s="44"/>
      <c r="C27" s="8"/>
      <c r="D27" s="8"/>
      <c r="E27" s="445"/>
      <c r="F27" s="445"/>
      <c r="G27" s="446"/>
      <c r="H27" s="446"/>
      <c r="I27" s="282"/>
    </row>
    <row r="28" spans="1:10" s="14" customFormat="1" ht="14.25" customHeight="1">
      <c r="A28" s="11"/>
      <c r="B28" s="12" t="s">
        <v>39</v>
      </c>
      <c r="C28" s="13">
        <f t="shared" ref="C28:H28" si="15">SUM(C6:C27)</f>
        <v>0</v>
      </c>
      <c r="D28" s="13">
        <f t="shared" si="15"/>
        <v>1931571140</v>
      </c>
      <c r="E28" s="13">
        <f t="shared" si="15"/>
        <v>2362024443</v>
      </c>
      <c r="F28" s="13">
        <f t="shared" si="15"/>
        <v>3581080178</v>
      </c>
      <c r="G28" s="13">
        <f t="shared" si="15"/>
        <v>0</v>
      </c>
      <c r="H28" s="13">
        <f t="shared" si="15"/>
        <v>3150626875</v>
      </c>
      <c r="I28" s="889"/>
    </row>
    <row r="29" spans="1:10">
      <c r="C29" s="181"/>
      <c r="D29" s="181"/>
      <c r="E29" s="181">
        <f>E28-CDPS!E28</f>
        <v>-616367400</v>
      </c>
      <c r="F29" s="181">
        <f>F28-CDPS!F28</f>
        <v>0</v>
      </c>
      <c r="H29" s="181"/>
    </row>
    <row r="30" spans="1:10">
      <c r="E30" s="15"/>
      <c r="F30" s="1031" t="s">
        <v>387</v>
      </c>
      <c r="G30" s="1031"/>
      <c r="H30" s="1031"/>
    </row>
    <row r="31" spans="1:10">
      <c r="F31" s="1031" t="s">
        <v>109</v>
      </c>
      <c r="G31" s="1031"/>
      <c r="H31" s="1031"/>
    </row>
    <row r="32" spans="1:10">
      <c r="E32" s="181"/>
      <c r="F32" s="1031" t="s">
        <v>136</v>
      </c>
      <c r="G32" s="1031"/>
      <c r="H32" s="1031"/>
    </row>
  </sheetData>
  <mergeCells count="9">
    <mergeCell ref="F30:H30"/>
    <mergeCell ref="F31:H31"/>
    <mergeCell ref="F32:H3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6" t="str">
        <f>TH!A1</f>
        <v>Đơn vị: CÔNG TY TNHH SX TM KIM DUNG PHÁT</v>
      </c>
      <c r="B1" s="16"/>
      <c r="C1" s="16"/>
      <c r="G1" s="2"/>
      <c r="H1" s="1041" t="s">
        <v>46</v>
      </c>
      <c r="I1" s="1041"/>
      <c r="J1" s="1041"/>
    </row>
    <row r="2" spans="1:10" s="3" customFormat="1" ht="14.25" customHeight="1">
      <c r="A2" s="575" t="str">
        <f>TH!A2</f>
        <v>Địa chỉ: 1A227/1 Ấp 1, Phạm Văn Hai, Bình Chánh, TPHCM</v>
      </c>
      <c r="B2" s="16"/>
      <c r="C2" s="16"/>
      <c r="G2" s="17"/>
      <c r="H2" s="104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42"/>
      <c r="J2" s="1042"/>
    </row>
    <row r="3" spans="1:10" s="3" customFormat="1" ht="14.25" customHeight="1">
      <c r="A3" s="4"/>
      <c r="B3" s="16"/>
      <c r="C3" s="16"/>
      <c r="G3" s="17"/>
      <c r="H3" s="1042"/>
      <c r="I3" s="1042"/>
      <c r="J3" s="1042"/>
    </row>
    <row r="4" spans="1:10" s="5" customFormat="1" ht="28.5" customHeight="1">
      <c r="A4" s="1043" t="s">
        <v>26</v>
      </c>
      <c r="B4" s="1043"/>
      <c r="C4" s="1043"/>
      <c r="D4" s="1043"/>
      <c r="E4" s="1043"/>
      <c r="F4" s="1043"/>
      <c r="G4" s="1043"/>
      <c r="H4" s="1043"/>
      <c r="I4" s="1043"/>
      <c r="J4" s="104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44" t="s">
        <v>1450</v>
      </c>
      <c r="F7" s="1044"/>
      <c r="G7" s="1044"/>
      <c r="H7" s="104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5"/>
      <c r="D9" s="1045"/>
      <c r="E9" s="1045"/>
      <c r="F9" s="1045"/>
      <c r="G9" s="1045"/>
      <c r="H9" s="1045"/>
      <c r="I9" s="1045"/>
      <c r="J9" s="1045"/>
    </row>
    <row r="10" spans="1:10" s="18" customFormat="1" ht="14.25" customHeight="1">
      <c r="A10" s="1009" t="s">
        <v>20</v>
      </c>
      <c r="B10" s="1046" t="s">
        <v>1</v>
      </c>
      <c r="C10" s="1046"/>
      <c r="D10" s="1009" t="s">
        <v>0</v>
      </c>
      <c r="E10" s="1009" t="s">
        <v>14</v>
      </c>
      <c r="F10" s="1009" t="s">
        <v>30</v>
      </c>
      <c r="G10" s="1039" t="s">
        <v>21</v>
      </c>
      <c r="H10" s="1040"/>
      <c r="I10" s="1039" t="s">
        <v>31</v>
      </c>
      <c r="J10" s="1040"/>
    </row>
    <row r="11" spans="1:10" s="18" customFormat="1" ht="24.75" customHeight="1">
      <c r="A11" s="1009"/>
      <c r="B11" s="30" t="s">
        <v>15</v>
      </c>
      <c r="C11" s="30" t="s">
        <v>32</v>
      </c>
      <c r="D11" s="1009"/>
      <c r="E11" s="1009"/>
      <c r="F11" s="100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VLOOKUP($E$7,'331'!$B$6:$H$27,2,0)</f>
        <v>0</v>
      </c>
      <c r="J13" s="47">
        <f>VLOOKUP($E$7,'331'!$B$6:$H$27,3,0)</f>
        <v>150195820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4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4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4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4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4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4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4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4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4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4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4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4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4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4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4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4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4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4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4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4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4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4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4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4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4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4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4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4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4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4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4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4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4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4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4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4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4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150195820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151</v>
      </c>
      <c r="B54" s="19"/>
      <c r="C54" s="19"/>
      <c r="E54" s="19"/>
      <c r="K54" s="28" t="s">
        <v>151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7" t="e">
        <f ca="1">"Ngày 31 tháng  12  năm  "&amp;YEAR($A$14)</f>
        <v>#VALUE!</v>
      </c>
      <c r="F56" s="997"/>
      <c r="G56" s="997"/>
      <c r="H56" s="997"/>
      <c r="I56" s="997"/>
      <c r="J56" s="997"/>
    </row>
    <row r="57" spans="1:11" s="18" customFormat="1" ht="14.25" customHeight="1">
      <c r="C57" s="212" t="s">
        <v>11</v>
      </c>
      <c r="E57" s="997" t="s">
        <v>12</v>
      </c>
      <c r="F57" s="997"/>
      <c r="G57" s="997"/>
      <c r="H57" s="997"/>
      <c r="I57" s="997"/>
      <c r="J57" s="997"/>
    </row>
    <row r="58" spans="1:11" s="18" customFormat="1" ht="14.25" customHeight="1">
      <c r="C58" s="212" t="s">
        <v>13</v>
      </c>
      <c r="E58" s="997" t="s">
        <v>13</v>
      </c>
      <c r="F58" s="997"/>
      <c r="G58" s="997"/>
      <c r="H58" s="997"/>
      <c r="I58" s="997"/>
      <c r="J58" s="997"/>
    </row>
    <row r="59" spans="1:11" s="29" customFormat="1"/>
    <row r="65" spans="3:3" ht="15">
      <c r="C65" s="223" t="s">
        <v>150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4"/>
  <sheetViews>
    <sheetView showZeros="0" workbookViewId="0">
      <selection activeCell="C19" sqref="C19"/>
    </sheetView>
  </sheetViews>
  <sheetFormatPr defaultColWidth="8" defaultRowHeight="13.5"/>
  <cols>
    <col min="1" max="1" width="4.28515625" style="179" customWidth="1"/>
    <col min="2" max="2" width="21.85546875" style="179" customWidth="1"/>
    <col min="3" max="3" width="8.7109375" style="179" customWidth="1"/>
    <col min="4" max="4" width="9.42578125" style="179" customWidth="1"/>
    <col min="5" max="5" width="13.7109375" style="179" customWidth="1"/>
    <col min="6" max="6" width="14.5703125" style="179" customWidth="1"/>
    <col min="7" max="7" width="13.7109375" style="179" customWidth="1"/>
    <col min="8" max="8" width="12.140625" style="179" customWidth="1"/>
    <col min="9" max="9" width="14" style="179" customWidth="1"/>
    <col min="10" max="10" width="9.85546875" style="179" bestFit="1" customWidth="1"/>
    <col min="11" max="16384" width="8" style="179"/>
  </cols>
  <sheetData>
    <row r="1" spans="1:9" ht="21.75" customHeight="1">
      <c r="A1" s="1032" t="s">
        <v>736</v>
      </c>
      <c r="B1" s="1032"/>
      <c r="C1" s="1032"/>
      <c r="D1" s="1032"/>
      <c r="E1" s="1032"/>
      <c r="F1" s="1032"/>
      <c r="G1" s="1032"/>
      <c r="H1" s="1032"/>
      <c r="I1" s="1032"/>
    </row>
    <row r="2" spans="1:9" s="10" customFormat="1" ht="15.75" customHeight="1">
      <c r="A2" s="1047" t="s">
        <v>35</v>
      </c>
      <c r="B2" s="1048" t="s">
        <v>737</v>
      </c>
      <c r="C2" s="1048" t="s">
        <v>738</v>
      </c>
      <c r="D2" s="1048" t="s">
        <v>37</v>
      </c>
      <c r="E2" s="1048"/>
      <c r="F2" s="1048" t="s">
        <v>38</v>
      </c>
      <c r="G2" s="1048"/>
      <c r="H2" s="1049" t="s">
        <v>351</v>
      </c>
      <c r="I2" s="1038"/>
    </row>
    <row r="3" spans="1:9" s="10" customFormat="1" ht="15.75" customHeight="1">
      <c r="A3" s="1047"/>
      <c r="B3" s="1048"/>
      <c r="C3" s="1048"/>
      <c r="D3" s="791" t="s">
        <v>42</v>
      </c>
      <c r="E3" s="791" t="s">
        <v>43</v>
      </c>
      <c r="F3" s="791" t="s">
        <v>42</v>
      </c>
      <c r="G3" s="791" t="s">
        <v>43</v>
      </c>
      <c r="H3" s="791" t="s">
        <v>42</v>
      </c>
      <c r="I3" s="791" t="s">
        <v>43</v>
      </c>
    </row>
    <row r="4" spans="1:9" s="10" customFormat="1" ht="18" customHeight="1">
      <c r="A4" s="431">
        <f t="shared" ref="A4:A20" si="0">IF(B4&lt;&gt;"",ROW()-3,"")</f>
        <v>1</v>
      </c>
      <c r="B4" s="191" t="s">
        <v>757</v>
      </c>
      <c r="C4" s="793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792">
        <f t="shared" ref="H4:H20" si="1">ROUND(MAX(D4+F4-E4-G4,0),2)</f>
        <v>0</v>
      </c>
      <c r="I4" s="792">
        <f t="shared" ref="I4:I20" si="2">ROUND(MAX(E4+G4-D4-F4,0),2)</f>
        <v>0</v>
      </c>
    </row>
    <row r="5" spans="1:9" s="10" customFormat="1" ht="18" customHeight="1">
      <c r="A5" s="431">
        <f t="shared" si="0"/>
        <v>2</v>
      </c>
      <c r="B5" s="191" t="s">
        <v>763</v>
      </c>
      <c r="C5" s="793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792">
        <f t="shared" si="1"/>
        <v>0</v>
      </c>
      <c r="I5" s="792">
        <f t="shared" si="2"/>
        <v>0</v>
      </c>
    </row>
    <row r="6" spans="1:9" s="10" customFormat="1" ht="18" customHeight="1">
      <c r="A6" s="431">
        <f t="shared" si="0"/>
        <v>3</v>
      </c>
      <c r="B6" s="191" t="s">
        <v>767</v>
      </c>
      <c r="C6" s="182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792">
        <f t="shared" si="1"/>
        <v>0</v>
      </c>
      <c r="I6" s="792">
        <f t="shared" si="2"/>
        <v>0</v>
      </c>
    </row>
    <row r="7" spans="1:9" s="10" customFormat="1" ht="18" customHeight="1">
      <c r="A7" s="431">
        <f t="shared" si="0"/>
        <v>4</v>
      </c>
      <c r="B7" s="191" t="s">
        <v>768</v>
      </c>
      <c r="C7" s="182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792">
        <f t="shared" si="1"/>
        <v>0</v>
      </c>
      <c r="I7" s="792">
        <f t="shared" si="2"/>
        <v>0</v>
      </c>
    </row>
    <row r="8" spans="1:9" s="10" customFormat="1" ht="18" customHeight="1">
      <c r="A8" s="431">
        <f t="shared" si="0"/>
        <v>5</v>
      </c>
      <c r="B8" s="191" t="s">
        <v>1279</v>
      </c>
      <c r="C8" s="793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792">
        <f t="shared" si="1"/>
        <v>0</v>
      </c>
      <c r="I8" s="792">
        <f t="shared" si="2"/>
        <v>0</v>
      </c>
    </row>
    <row r="9" spans="1:9" s="10" customFormat="1" ht="18" customHeight="1">
      <c r="A9" s="431">
        <f t="shared" si="0"/>
        <v>6</v>
      </c>
      <c r="B9" s="191" t="s">
        <v>1291</v>
      </c>
      <c r="C9" s="689">
        <v>42600</v>
      </c>
      <c r="D9" s="8">
        <v>0</v>
      </c>
      <c r="E9" s="8"/>
      <c r="F9" s="8">
        <f t="array" ref="F9">SUM(IF("341"&amp;B9=LEFT(KHN,3)&amp;KH,TH))</f>
        <v>240000000</v>
      </c>
      <c r="G9" s="8">
        <f t="array" ref="G9">SUM(IF("341"&amp;B9=LEFT(KHC,3)&amp;KH,TH))</f>
        <v>2400000000</v>
      </c>
      <c r="H9" s="792">
        <f t="shared" si="1"/>
        <v>0</v>
      </c>
      <c r="I9" s="792">
        <f t="shared" si="2"/>
        <v>2160000000</v>
      </c>
    </row>
    <row r="10" spans="1:9" s="10" customFormat="1" ht="18" customHeight="1">
      <c r="A10" s="431">
        <f t="shared" si="0"/>
        <v>7</v>
      </c>
      <c r="B10" s="191" t="s">
        <v>1294</v>
      </c>
      <c r="C10" s="689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100000000</v>
      </c>
      <c r="H10" s="792">
        <f t="shared" si="1"/>
        <v>0</v>
      </c>
      <c r="I10" s="792">
        <f t="shared" si="2"/>
        <v>100000000</v>
      </c>
    </row>
    <row r="11" spans="1:9" s="10" customFormat="1" ht="18" customHeight="1">
      <c r="A11" s="431">
        <f t="shared" si="0"/>
        <v>8</v>
      </c>
      <c r="B11" s="191" t="s">
        <v>1295</v>
      </c>
      <c r="C11" s="689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792">
        <f t="shared" si="1"/>
        <v>0</v>
      </c>
      <c r="I11" s="792">
        <f t="shared" si="2"/>
        <v>100000000</v>
      </c>
    </row>
    <row r="12" spans="1:9" s="10" customFormat="1" ht="18" customHeight="1">
      <c r="A12" s="431">
        <f t="shared" si="0"/>
        <v>9</v>
      </c>
      <c r="B12" s="886" t="s">
        <v>1465</v>
      </c>
      <c r="C12" s="781">
        <v>42649</v>
      </c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50000000</v>
      </c>
      <c r="H12" s="792">
        <f t="shared" si="1"/>
        <v>0</v>
      </c>
      <c r="I12" s="792">
        <f t="shared" si="2"/>
        <v>50000000</v>
      </c>
    </row>
    <row r="13" spans="1:9" s="10" customFormat="1" ht="18" customHeight="1">
      <c r="A13" s="431">
        <f t="shared" si="0"/>
        <v>10</v>
      </c>
      <c r="B13" s="191" t="s">
        <v>1460</v>
      </c>
      <c r="C13" s="189">
        <v>42654</v>
      </c>
      <c r="D13" s="8"/>
      <c r="E13" s="8"/>
      <c r="F13" s="8">
        <f t="array" ref="F13">SUM(IF("341"&amp;B13=LEFT(KHN,3)&amp;KH,TH))</f>
        <v>0</v>
      </c>
      <c r="G13" s="8">
        <f t="array" ref="G13">SUM(IF("341"&amp;B13=LEFT(KHC,3)&amp;KH,TH))</f>
        <v>50000000</v>
      </c>
      <c r="H13" s="792">
        <f t="shared" si="1"/>
        <v>0</v>
      </c>
      <c r="I13" s="792">
        <f t="shared" si="2"/>
        <v>50000000</v>
      </c>
    </row>
    <row r="14" spans="1:9" s="10" customFormat="1" ht="18" customHeight="1">
      <c r="A14" s="431">
        <f t="shared" si="0"/>
        <v>11</v>
      </c>
      <c r="B14" s="191" t="s">
        <v>1466</v>
      </c>
      <c r="C14" s="189">
        <v>42667</v>
      </c>
      <c r="D14" s="8"/>
      <c r="E14" s="8"/>
      <c r="F14" s="8">
        <f t="array" ref="F14">SUM(IF("341"&amp;B14=LEFT(KHN,3)&amp;KH,TH))</f>
        <v>0</v>
      </c>
      <c r="G14" s="8">
        <f t="array" ref="G14">SUM(IF("341"&amp;B14=LEFT(KHC,3)&amp;KH,TH))</f>
        <v>250000000</v>
      </c>
      <c r="H14" s="792">
        <f t="shared" si="1"/>
        <v>0</v>
      </c>
      <c r="I14" s="792">
        <f t="shared" si="2"/>
        <v>250000000</v>
      </c>
    </row>
    <row r="15" spans="1:9" s="10" customFormat="1" ht="18" customHeight="1">
      <c r="A15" s="431">
        <f t="shared" si="0"/>
        <v>12</v>
      </c>
      <c r="B15" s="191" t="s">
        <v>1513</v>
      </c>
      <c r="C15" s="189">
        <v>42684</v>
      </c>
      <c r="D15" s="8"/>
      <c r="E15" s="8"/>
      <c r="F15" s="8">
        <f t="array" ref="F15">SUM(IF("341"&amp;B15=LEFT(KHN,3)&amp;KH,TH))</f>
        <v>0</v>
      </c>
      <c r="G15" s="8">
        <f t="array" ref="G15">SUM(IF("341"&amp;B15=LEFT(KHC,3)&amp;KH,TH))</f>
        <v>50000000</v>
      </c>
      <c r="H15" s="792">
        <f t="shared" si="1"/>
        <v>0</v>
      </c>
      <c r="I15" s="792">
        <f t="shared" si="2"/>
        <v>50000000</v>
      </c>
    </row>
    <row r="16" spans="1:9" s="10" customFormat="1" ht="18" customHeight="1">
      <c r="A16" s="431">
        <f t="shared" si="0"/>
        <v>13</v>
      </c>
      <c r="B16" s="191" t="s">
        <v>1517</v>
      </c>
      <c r="C16" s="691">
        <v>42689</v>
      </c>
      <c r="D16" s="8"/>
      <c r="E16" s="8"/>
      <c r="F16" s="8">
        <f t="array" ref="F16">SUM(IF("341"&amp;B16=LEFT(KHN,3)&amp;KH,TH))</f>
        <v>0</v>
      </c>
      <c r="G16" s="8">
        <f t="array" ref="G16">SUM(IF("341"&amp;B16=LEFT(KHC,3)&amp;KH,TH))</f>
        <v>470000000</v>
      </c>
      <c r="H16" s="792">
        <f t="shared" si="1"/>
        <v>0</v>
      </c>
      <c r="I16" s="792">
        <f t="shared" si="2"/>
        <v>470000000</v>
      </c>
    </row>
    <row r="17" spans="1:10" s="10" customFormat="1" ht="18" customHeight="1">
      <c r="A17" s="431">
        <f t="shared" si="0"/>
        <v>14</v>
      </c>
      <c r="B17" s="191" t="s">
        <v>1514</v>
      </c>
      <c r="C17" s="189">
        <v>42704</v>
      </c>
      <c r="D17" s="8"/>
      <c r="E17" s="8"/>
      <c r="F17" s="8">
        <f t="array" ref="F17">SUM(IF("341"&amp;B17=LEFT(KHN,3)&amp;KH,TH))</f>
        <v>0</v>
      </c>
      <c r="G17" s="8">
        <f t="array" ref="G17">SUM(IF("341"&amp;B17=LEFT(KHC,3)&amp;KH,TH))</f>
        <v>40000000</v>
      </c>
      <c r="H17" s="792">
        <f t="shared" si="1"/>
        <v>0</v>
      </c>
      <c r="I17" s="792">
        <f t="shared" si="2"/>
        <v>40000000</v>
      </c>
    </row>
    <row r="18" spans="1:10" s="10" customFormat="1" ht="18" customHeight="1">
      <c r="A18" s="431">
        <f t="shared" si="0"/>
        <v>15</v>
      </c>
      <c r="B18" s="191" t="s">
        <v>1519</v>
      </c>
      <c r="C18" s="946">
        <v>42731</v>
      </c>
      <c r="D18" s="8"/>
      <c r="E18" s="8"/>
      <c r="F18" s="8">
        <f t="array" ref="F18">SUM(IF("341"&amp;B18=LEFT(KHN,3)&amp;KH,TH))</f>
        <v>0</v>
      </c>
      <c r="G18" s="8">
        <f t="array" ref="G18">SUM(IF("341"&amp;B18=LEFT(KHC,3)&amp;KH,TH))</f>
        <v>90000000</v>
      </c>
      <c r="H18" s="792">
        <f t="shared" si="1"/>
        <v>0</v>
      </c>
      <c r="I18" s="792">
        <f t="shared" si="2"/>
        <v>90000000</v>
      </c>
    </row>
    <row r="19" spans="1:10" s="10" customFormat="1" ht="18" customHeight="1">
      <c r="A19" s="431" t="str">
        <f t="shared" si="0"/>
        <v/>
      </c>
      <c r="B19" s="191"/>
      <c r="C19" s="689"/>
      <c r="D19" s="8"/>
      <c r="E19" s="8"/>
      <c r="F19" s="8">
        <f t="array" ref="F19">SUM(IF("341"&amp;B19=LEFT(KHN,3)&amp;KH,TH))</f>
        <v>0</v>
      </c>
      <c r="G19" s="8">
        <f t="array" ref="G19">SUM(IF("341"&amp;B19=LEFT(KHC,3)&amp;KH,TH))</f>
        <v>0</v>
      </c>
      <c r="H19" s="792">
        <f t="shared" si="1"/>
        <v>0</v>
      </c>
      <c r="I19" s="792">
        <f t="shared" si="2"/>
        <v>0</v>
      </c>
    </row>
    <row r="20" spans="1:10" s="10" customFormat="1" ht="18" customHeight="1">
      <c r="A20" s="431" t="str">
        <f t="shared" si="0"/>
        <v/>
      </c>
      <c r="B20" s="191"/>
      <c r="C20" s="689"/>
      <c r="D20" s="8"/>
      <c r="E20" s="8"/>
      <c r="F20" s="8">
        <f t="array" ref="F20">SUM(IF("341"&amp;B20=LEFT(KHN,3)&amp;KH,TH))</f>
        <v>0</v>
      </c>
      <c r="G20" s="8">
        <f t="array" ref="G20">SUM(IF("341"&amp;B20=LEFT(KHC,3)&amp;KH,TH))</f>
        <v>0</v>
      </c>
      <c r="H20" s="792">
        <f t="shared" si="1"/>
        <v>0</v>
      </c>
      <c r="I20" s="792">
        <f t="shared" si="2"/>
        <v>0</v>
      </c>
    </row>
    <row r="21" spans="1:10" s="10" customFormat="1" ht="18" customHeight="1">
      <c r="A21" s="431" t="str">
        <f t="shared" ref="A21" si="3">IF(B21&lt;&gt;"",ROW()-3,"")</f>
        <v/>
      </c>
      <c r="B21" s="794"/>
      <c r="C21" s="795"/>
      <c r="D21" s="180"/>
      <c r="E21" s="180"/>
      <c r="F21" s="180"/>
      <c r="G21" s="180"/>
      <c r="H21" s="796"/>
      <c r="I21" s="796"/>
    </row>
    <row r="22" spans="1:10" s="14" customFormat="1" ht="18" customHeight="1">
      <c r="A22" s="11"/>
      <c r="B22" s="12" t="s">
        <v>39</v>
      </c>
      <c r="C22" s="12"/>
      <c r="D22" s="13">
        <f t="shared" ref="D22:I22" si="4">SUM(D4:D21)</f>
        <v>0</v>
      </c>
      <c r="E22" s="13">
        <f t="shared" si="4"/>
        <v>1814423000</v>
      </c>
      <c r="F22" s="13">
        <f t="shared" si="4"/>
        <v>2453572000</v>
      </c>
      <c r="G22" s="13">
        <f t="shared" si="4"/>
        <v>3999149000</v>
      </c>
      <c r="H22" s="13">
        <f t="shared" si="4"/>
        <v>0</v>
      </c>
      <c r="I22" s="13">
        <f t="shared" si="4"/>
        <v>3360000000</v>
      </c>
    </row>
    <row r="23" spans="1:10">
      <c r="I23" s="15">
        <f>CDPS!H41</f>
        <v>3360000000</v>
      </c>
      <c r="J23" s="181">
        <f>I23-I22</f>
        <v>0</v>
      </c>
    </row>
    <row r="24" spans="1:10">
      <c r="B24" s="179">
        <v>1</v>
      </c>
      <c r="C24" s="179">
        <v>2</v>
      </c>
      <c r="D24" s="179">
        <v>3</v>
      </c>
      <c r="E24" s="179">
        <v>4</v>
      </c>
      <c r="F24" s="179">
        <v>5</v>
      </c>
      <c r="G24" s="179">
        <v>6</v>
      </c>
      <c r="H24" s="179">
        <v>7</v>
      </c>
      <c r="I24" s="179">
        <v>8</v>
      </c>
    </row>
  </sheetData>
  <sortState ref="A4:J20">
    <sortCondition ref="C4:C2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17" customWidth="1"/>
    <col min="2" max="2" width="8.28515625" style="817" customWidth="1"/>
    <col min="3" max="3" width="9.28515625" style="817" customWidth="1"/>
    <col min="4" max="4" width="37.28515625" style="817" customWidth="1"/>
    <col min="5" max="5" width="10.140625" style="817" customWidth="1"/>
    <col min="6" max="9" width="15" style="817" customWidth="1"/>
    <col min="10" max="16384" width="9.140625" style="817"/>
  </cols>
  <sheetData>
    <row r="1" spans="1:9" s="798" customFormat="1" ht="16.5" customHeight="1">
      <c r="A1" s="576" t="str">
        <f>[3]TH!A1</f>
        <v>Đơn vị: CÔNG TY TNHH SX TM KIM DUNG PHÁT</v>
      </c>
      <c r="B1" s="797"/>
      <c r="C1" s="797"/>
      <c r="F1" s="797"/>
      <c r="G1" s="1041" t="s">
        <v>740</v>
      </c>
      <c r="H1" s="1041"/>
      <c r="I1" s="1041"/>
    </row>
    <row r="2" spans="1:9" s="798" customFormat="1" ht="16.5" customHeight="1">
      <c r="A2" s="575" t="str">
        <f>[3]TH!A2</f>
        <v>Địa chỉ: 1A227/1 Ấp 1, Phạm Văn Hai, Bình Chánh, TPHCM</v>
      </c>
      <c r="B2" s="775"/>
      <c r="C2" s="775"/>
      <c r="F2" s="666"/>
      <c r="G2" s="1042" t="s">
        <v>741</v>
      </c>
      <c r="H2" s="1042"/>
      <c r="I2" s="1042"/>
    </row>
    <row r="3" spans="1:9" s="798" customFormat="1" ht="16.5" customHeight="1">
      <c r="A3" s="775"/>
      <c r="B3" s="775"/>
      <c r="C3" s="775"/>
      <c r="F3" s="666"/>
      <c r="G3" s="1042"/>
      <c r="H3" s="1042"/>
      <c r="I3" s="1042"/>
    </row>
    <row r="4" spans="1:9" s="798" customFormat="1" ht="16.5" customHeight="1">
      <c r="A4" s="775"/>
      <c r="B4" s="775"/>
      <c r="C4" s="775"/>
      <c r="F4" s="666"/>
      <c r="G4" s="776"/>
      <c r="H4" s="776"/>
      <c r="I4" s="776"/>
    </row>
    <row r="5" spans="1:9" s="18" customFormat="1" ht="23.25" customHeight="1">
      <c r="A5" s="1050" t="s">
        <v>742</v>
      </c>
      <c r="B5" s="1050"/>
      <c r="C5" s="1050"/>
      <c r="D5" s="1050"/>
      <c r="E5" s="1050"/>
      <c r="F5" s="1050"/>
      <c r="G5" s="1050"/>
      <c r="H5" s="1050"/>
      <c r="I5" s="1050"/>
    </row>
    <row r="6" spans="1:9" s="18" customFormat="1">
      <c r="A6" s="997" t="s">
        <v>743</v>
      </c>
      <c r="B6" s="997"/>
      <c r="C6" s="997"/>
      <c r="D6" s="997"/>
      <c r="E6" s="997"/>
      <c r="F6" s="997"/>
      <c r="G6" s="997"/>
      <c r="H6" s="997"/>
      <c r="I6" s="997"/>
    </row>
    <row r="7" spans="1:9" s="18" customFormat="1">
      <c r="A7" s="997" t="s">
        <v>744</v>
      </c>
      <c r="B7" s="997"/>
      <c r="C7" s="997"/>
      <c r="D7" s="997"/>
      <c r="E7" s="997"/>
      <c r="F7" s="997"/>
      <c r="G7" s="997"/>
      <c r="H7" s="997"/>
      <c r="I7" s="997"/>
    </row>
    <row r="8" spans="1:9" s="18" customFormat="1" ht="15" customHeight="1">
      <c r="A8" s="997" t="str">
        <f>IF(MID($E$9,4,4)="1015","Đối tượng cho vay: NH Eximbank CN Q11","Đối tượng cho vay: NH Eximbank CN Q4")</f>
        <v>Đối tượng cho vay: NH Eximbank CN Q4</v>
      </c>
      <c r="B8" s="997"/>
      <c r="C8" s="997"/>
      <c r="D8" s="997"/>
      <c r="E8" s="997"/>
      <c r="F8" s="997"/>
      <c r="G8" s="997"/>
      <c r="H8" s="997"/>
      <c r="I8" s="997"/>
    </row>
    <row r="9" spans="1:9" s="18" customFormat="1">
      <c r="A9" s="773"/>
      <c r="B9" s="773"/>
      <c r="C9" s="773"/>
      <c r="D9" s="20" t="s">
        <v>745</v>
      </c>
      <c r="E9" s="1051" t="s">
        <v>739</v>
      </c>
      <c r="F9" s="1051"/>
      <c r="G9" s="777" t="e">
        <f>"ngày "&amp; TEXT(VLOOKUP($E$9,'341'!$B$4:$I$21,2,0),"dd/MM/yy")</f>
        <v>#N/A</v>
      </c>
      <c r="H9" s="773"/>
      <c r="I9" s="773"/>
    </row>
    <row r="10" spans="1:9" s="18" customFormat="1">
      <c r="A10" s="997" t="s">
        <v>746</v>
      </c>
      <c r="B10" s="997"/>
      <c r="C10" s="997"/>
      <c r="D10" s="997"/>
      <c r="E10" s="997"/>
      <c r="F10" s="997"/>
      <c r="G10" s="997"/>
      <c r="H10" s="997"/>
      <c r="I10" s="997"/>
    </row>
    <row r="11" spans="1:9" s="18" customFormat="1">
      <c r="C11" s="1045"/>
      <c r="D11" s="1045"/>
      <c r="E11" s="1045"/>
      <c r="F11" s="1045"/>
      <c r="G11" s="1045"/>
      <c r="H11" s="1045"/>
      <c r="I11" s="1045"/>
    </row>
    <row r="12" spans="1:9" s="18" customFormat="1" ht="15.75" customHeight="1">
      <c r="A12" s="1052" t="s">
        <v>20</v>
      </c>
      <c r="B12" s="1039" t="s">
        <v>1</v>
      </c>
      <c r="C12" s="1040"/>
      <c r="D12" s="1052" t="s">
        <v>0</v>
      </c>
      <c r="E12" s="1052" t="s">
        <v>14</v>
      </c>
      <c r="F12" s="1054" t="s">
        <v>747</v>
      </c>
      <c r="G12" s="1055"/>
      <c r="H12" s="1054" t="s">
        <v>748</v>
      </c>
      <c r="I12" s="1055"/>
    </row>
    <row r="13" spans="1:9" s="18" customFormat="1" ht="33.75" customHeight="1">
      <c r="A13" s="1053"/>
      <c r="B13" s="237" t="s">
        <v>15</v>
      </c>
      <c r="C13" s="237" t="s">
        <v>32</v>
      </c>
      <c r="D13" s="1053"/>
      <c r="E13" s="1053"/>
      <c r="F13" s="799" t="s">
        <v>22</v>
      </c>
      <c r="G13" s="799" t="s">
        <v>23</v>
      </c>
      <c r="H13" s="799" t="s">
        <v>22</v>
      </c>
      <c r="I13" s="799" t="s">
        <v>23</v>
      </c>
    </row>
    <row r="14" spans="1:9" s="773" customFormat="1">
      <c r="A14" s="774" t="s">
        <v>2</v>
      </c>
      <c r="B14" s="778" t="s">
        <v>3</v>
      </c>
      <c r="C14" s="774" t="s">
        <v>4</v>
      </c>
      <c r="D14" s="774" t="s">
        <v>5</v>
      </c>
      <c r="E14" s="774" t="s">
        <v>6</v>
      </c>
      <c r="F14" s="774">
        <v>3</v>
      </c>
      <c r="G14" s="774">
        <v>5</v>
      </c>
      <c r="H14" s="774">
        <v>7</v>
      </c>
      <c r="I14" s="774">
        <v>9</v>
      </c>
    </row>
    <row r="15" spans="1:9" s="18" customFormat="1" ht="19.5" customHeight="1">
      <c r="A15" s="800"/>
      <c r="B15" s="800"/>
      <c r="C15" s="800"/>
      <c r="D15" s="232" t="s">
        <v>7</v>
      </c>
      <c r="E15" s="233"/>
      <c r="F15" s="800"/>
      <c r="G15" s="800"/>
      <c r="H15" s="801" t="e">
        <f>VLOOKUP($E$9,'341'!$B$4:$I$21,3,0)</f>
        <v>#N/A</v>
      </c>
      <c r="I15" s="801" t="e">
        <f>VLOOKUP($E$9,'341'!$B$4:$I$21,4,0)</f>
        <v>#N/A</v>
      </c>
    </row>
    <row r="16" spans="1:9" s="18" customFormat="1" ht="19.5" customHeight="1">
      <c r="A16" s="197" t="str">
        <f ca="1">IF(ROWS($1:1)&gt;COUNT(Dong4),"",OFFSET([3]TH!C$1,SMALL(Dong4,ROWS($1:1)),))</f>
        <v/>
      </c>
      <c r="B16" s="182" t="str">
        <f ca="1">IF(ROWS($1:1)&gt;COUNT(Dong4),"",OFFSET([3]TH!D$1,SMALL(Dong4,ROWS($1:1)),))</f>
        <v/>
      </c>
      <c r="C16" s="182" t="str">
        <f ca="1">IF(ROWS($1:1)&gt;COUNT(Dong4),"",OFFSET([3]TH!E$1,SMALL(Dong4,ROWS($1:1)),))</f>
        <v/>
      </c>
      <c r="D16" s="802" t="str">
        <f ca="1">IF(ROWS($1:1)&gt;COUNT(Dong4),"",OFFSET([3]TH!F$1,SMALL(Dong4,ROWS($1:1)),))</f>
        <v/>
      </c>
      <c r="E16" s="182" t="str">
        <f ca="1">IF(ROWS($1:1)&gt;COUNT(Dong4),"",IF(LEFT(OFFSET([3]TH!M$1,SMALL(Dong4,ROWS($1:1)),),3)="341",OFFSET([3]TH!L$1,SMALL(Dong4,ROWS($1:1)),),OFFSET([3]TH!M$1,SMALL(Dong4,ROWS($1:1)),)))</f>
        <v/>
      </c>
      <c r="F16" s="803" t="str">
        <f ca="1">IF(ROWS($1:1)&gt;COUNT(Dong4),"",IF(LEFT(OFFSET([3]TH!L$1,SMALL(Dong4,ROWS($1:1)),),3)="341",OFFSET([3]TH!K$1,SMALL(Dong4,ROWS($1:1)),),0))</f>
        <v/>
      </c>
      <c r="G16" s="803" t="str">
        <f ca="1">IF(ROWS($1:1)&gt;COUNT(Dong4),"",IF(LEFT(OFFSET([3]TH!M$1,SMALL(Dong4,ROWS($1:1)),),3)="341",OFFSET([3]TH!K$1,SMALL(Dong4,ROWS($1:1)),),0))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04" customFormat="1" ht="19.5" customHeight="1">
      <c r="A17" s="197" t="str">
        <f ca="1">IF(ROWS($1:2)&gt;COUNT(Dong4),"",OFFSET([3]TH!C$1,SMALL(Dong4,ROWS($1:2)),))</f>
        <v/>
      </c>
      <c r="B17" s="182" t="str">
        <f ca="1">IF(ROWS($1:2)&gt;COUNT(Dong4),"",OFFSET([3]TH!D$1,SMALL(Dong4,ROWS($1:2)),))</f>
        <v/>
      </c>
      <c r="C17" s="182" t="str">
        <f ca="1">IF(ROWS($1:2)&gt;COUNT(Dong4),"",OFFSET([3]TH!E$1,SMALL(Dong4,ROWS($1:2)),))</f>
        <v/>
      </c>
      <c r="D17" s="802" t="str">
        <f ca="1">IF(ROWS($1:2)&gt;COUNT(Dong4),"",OFFSET([3]TH!F$1,SMALL(Dong4,ROWS($1:2)),))</f>
        <v/>
      </c>
      <c r="E17" s="182" t="str">
        <f ca="1">IF(ROWS($1:2)&gt;COUNT(Dong4),"",IF(LEFT(OFFSET([3]TH!M$1,SMALL(Dong4,ROWS($1:2)),),3)="341",OFFSET([3]TH!L$1,SMALL(Dong4,ROWS($1:2)),),OFFSET([3]TH!M$1,SMALL(Dong4,ROWS($1:2)),)))</f>
        <v/>
      </c>
      <c r="F17" s="803" t="str">
        <f ca="1">IF(ROWS($1:2)&gt;COUNT(Dong4),"",IF(LEFT(OFFSET([3]TH!L$1,SMALL(Dong4,ROWS($1:2)),),3)="341",OFFSET([3]TH!K$1,SMALL(Dong4,ROWS($1:2)),),0))</f>
        <v/>
      </c>
      <c r="G17" s="803" t="str">
        <f ca="1">IF(ROWS($1:2)&gt;COUNT(Dong4),"",IF(LEFT(OFFSET([3]TH!M$1,SMALL(Dong4,ROWS($1:2)),),3)="341",OFFSET([3]TH!K$1,SMALL(Dong4,ROWS($1:2)),),0))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04" customFormat="1" ht="19.5" customHeight="1">
      <c r="A18" s="197" t="str">
        <f ca="1">IF(ROWS($1:3)&gt;COUNT(Dong4),"",OFFSET([3]TH!C$1,SMALL(Dong4,ROWS($1:3)),))</f>
        <v/>
      </c>
      <c r="B18" s="182" t="str">
        <f ca="1">IF(ROWS($1:3)&gt;COUNT(Dong4),"",OFFSET([3]TH!D$1,SMALL(Dong4,ROWS($1:3)),))</f>
        <v/>
      </c>
      <c r="C18" s="182" t="str">
        <f ca="1">IF(ROWS($1:3)&gt;COUNT(Dong4),"",OFFSET([3]TH!E$1,SMALL(Dong4,ROWS($1:3)),))</f>
        <v/>
      </c>
      <c r="D18" s="802" t="str">
        <f ca="1">IF(ROWS($1:3)&gt;COUNT(Dong4),"",OFFSET([3]TH!F$1,SMALL(Dong4,ROWS($1:3)),))</f>
        <v/>
      </c>
      <c r="E18" s="182" t="str">
        <f ca="1">IF(ROWS($1:3)&gt;COUNT(Dong4),"",IF(LEFT(OFFSET([3]TH!M$1,SMALL(Dong4,ROWS($1:3)),),3)="341",OFFSET([3]TH!L$1,SMALL(Dong4,ROWS($1:3)),),OFFSET([3]TH!M$1,SMALL(Dong4,ROWS($1:3)),)))</f>
        <v/>
      </c>
      <c r="F18" s="803" t="str">
        <f ca="1">IF(ROWS($1:3)&gt;COUNT(Dong4),"",IF(LEFT(OFFSET([3]TH!L$1,SMALL(Dong4,ROWS($1:3)),),3)="341",OFFSET([3]TH!K$1,SMALL(Dong4,ROWS($1:3)),),0))</f>
        <v/>
      </c>
      <c r="G18" s="803" t="str">
        <f ca="1">IF(ROWS($1:3)&gt;COUNT(Dong4),"",IF(LEFT(OFFSET([3]TH!M$1,SMALL(Dong4,ROWS($1:3)),),3)="341",OFFSET([3]TH!K$1,SMALL(Dong4,ROWS($1:3)),),0))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04" customFormat="1" ht="19.5" customHeight="1">
      <c r="A19" s="197" t="str">
        <f ca="1">IF(ROWS($1:4)&gt;COUNT(Dong4),"",OFFSET([3]TH!C$1,SMALL(Dong4,ROWS($1:4)),))</f>
        <v/>
      </c>
      <c r="B19" s="182" t="str">
        <f ca="1">IF(ROWS($1:4)&gt;COUNT(Dong4),"",OFFSET([3]TH!D$1,SMALL(Dong4,ROWS($1:4)),))</f>
        <v/>
      </c>
      <c r="C19" s="182" t="str">
        <f ca="1">IF(ROWS($1:4)&gt;COUNT(Dong4),"",OFFSET([3]TH!E$1,SMALL(Dong4,ROWS($1:4)),))</f>
        <v/>
      </c>
      <c r="D19" s="802" t="str">
        <f ca="1">IF(ROWS($1:4)&gt;COUNT(Dong4),"",OFFSET([3]TH!F$1,SMALL(Dong4,ROWS($1:4)),))</f>
        <v/>
      </c>
      <c r="E19" s="182" t="str">
        <f ca="1">IF(ROWS($1:4)&gt;COUNT(Dong4),"",IF(LEFT(OFFSET([3]TH!M$1,SMALL(Dong4,ROWS($1:4)),),3)="341",OFFSET([3]TH!L$1,SMALL(Dong4,ROWS($1:4)),),OFFSET([3]TH!M$1,SMALL(Dong4,ROWS($1:4)),)))</f>
        <v/>
      </c>
      <c r="F19" s="803" t="str">
        <f ca="1">IF(ROWS($1:4)&gt;COUNT(Dong4),"",IF(LEFT(OFFSET([3]TH!L$1,SMALL(Dong4,ROWS($1:4)),),3)="341",OFFSET([3]TH!K$1,SMALL(Dong4,ROWS($1:4)),),0))</f>
        <v/>
      </c>
      <c r="G19" s="803" t="str">
        <f ca="1">IF(ROWS($1:4)&gt;COUNT(Dong4),"",IF(LEFT(OFFSET([3]TH!M$1,SMALL(Dong4,ROWS($1:4)),),3)="341",OFFSET([3]TH!K$1,SMALL(Dong4,ROWS($1:4)),),0))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04" customFormat="1" ht="19.5" customHeight="1">
      <c r="A20" s="197" t="str">
        <f ca="1">IF(ROWS($1:5)&gt;COUNT(Dong4),"",OFFSET([3]TH!C$1,SMALL(Dong4,ROWS($1:5)),))</f>
        <v/>
      </c>
      <c r="B20" s="182" t="str">
        <f ca="1">IF(ROWS($1:5)&gt;COUNT(Dong4),"",OFFSET([3]TH!D$1,SMALL(Dong4,ROWS($1:5)),))</f>
        <v/>
      </c>
      <c r="C20" s="182" t="str">
        <f ca="1">IF(ROWS($1:5)&gt;COUNT(Dong4),"",OFFSET([3]TH!E$1,SMALL(Dong4,ROWS($1:5)),))</f>
        <v/>
      </c>
      <c r="D20" s="802" t="str">
        <f ca="1">IF(ROWS($1:5)&gt;COUNT(Dong4),"",OFFSET([3]TH!F$1,SMALL(Dong4,ROWS($1:5)),))</f>
        <v/>
      </c>
      <c r="E20" s="182" t="str">
        <f ca="1">IF(ROWS($1:5)&gt;COUNT(Dong4),"",IF(LEFT(OFFSET([3]TH!M$1,SMALL(Dong4,ROWS($1:5)),),3)="341",OFFSET([3]TH!L$1,SMALL(Dong4,ROWS($1:5)),),OFFSET([3]TH!M$1,SMALL(Dong4,ROWS($1:5)),)))</f>
        <v/>
      </c>
      <c r="F20" s="803" t="str">
        <f ca="1">IF(ROWS($1:5)&gt;COUNT(Dong4),"",IF(LEFT(OFFSET([3]TH!L$1,SMALL(Dong4,ROWS($1:5)),),3)="341",OFFSET([3]TH!K$1,SMALL(Dong4,ROWS($1:5)),),0))</f>
        <v/>
      </c>
      <c r="G20" s="803" t="str">
        <f ca="1">IF(ROWS($1:5)&gt;COUNT(Dong4),"",IF(LEFT(OFFSET([3]TH!M$1,SMALL(Dong4,ROWS($1:5)),),3)="341",OFFSET([3]TH!K$1,SMALL(Dong4,ROWS($1:5)),),0))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04" customFormat="1" ht="19.5" customHeight="1">
      <c r="A21" s="197" t="str">
        <f ca="1">IF(ROWS($1:6)&gt;COUNT(Dong4),"",OFFSET([3]TH!C$1,SMALL(Dong4,ROWS($1:6)),))</f>
        <v/>
      </c>
      <c r="B21" s="182" t="str">
        <f ca="1">IF(ROWS($1:6)&gt;COUNT(Dong4),"",OFFSET([3]TH!D$1,SMALL(Dong4,ROWS($1:6)),))</f>
        <v/>
      </c>
      <c r="C21" s="182" t="str">
        <f ca="1">IF(ROWS($1:6)&gt;COUNT(Dong4),"",OFFSET([3]TH!E$1,SMALL(Dong4,ROWS($1:6)),))</f>
        <v/>
      </c>
      <c r="D21" s="802" t="str">
        <f ca="1">IF(ROWS($1:6)&gt;COUNT(Dong4),"",OFFSET([3]TH!F$1,SMALL(Dong4,ROWS($1:6)),))</f>
        <v/>
      </c>
      <c r="E21" s="182" t="str">
        <f ca="1">IF(ROWS($1:6)&gt;COUNT(Dong4),"",IF(LEFT(OFFSET([3]TH!M$1,SMALL(Dong4,ROWS($1:6)),),3)="341",OFFSET([3]TH!L$1,SMALL(Dong4,ROWS($1:6)),),OFFSET([3]TH!M$1,SMALL(Dong4,ROWS($1:6)),)))</f>
        <v/>
      </c>
      <c r="F21" s="803" t="str">
        <f ca="1">IF(ROWS($1:6)&gt;COUNT(Dong4),"",IF(LEFT(OFFSET([3]TH!L$1,SMALL(Dong4,ROWS($1:6)),),3)="341",OFFSET([3]TH!K$1,SMALL(Dong4,ROWS($1:6)),),0))</f>
        <v/>
      </c>
      <c r="G21" s="803" t="str">
        <f ca="1">IF(ROWS($1:6)&gt;COUNT(Dong4),"",IF(LEFT(OFFSET([3]TH!M$1,SMALL(Dong4,ROWS($1:6)),),3)="341",OFFSET([3]TH!K$1,SMALL(Dong4,ROWS($1:6)),),0))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04" customFormat="1" ht="19.5" customHeight="1">
      <c r="A22" s="197" t="str">
        <f ca="1">IF(ROWS($1:7)&gt;COUNT(Dong4),"",OFFSET([3]TH!C$1,SMALL(Dong4,ROWS($1:7)),))</f>
        <v/>
      </c>
      <c r="B22" s="182" t="str">
        <f ca="1">IF(ROWS($1:7)&gt;COUNT(Dong4),"",OFFSET([3]TH!D$1,SMALL(Dong4,ROWS($1:7)),))</f>
        <v/>
      </c>
      <c r="C22" s="182" t="str">
        <f ca="1">IF(ROWS($1:7)&gt;COUNT(Dong4),"",OFFSET([3]TH!E$1,SMALL(Dong4,ROWS($1:7)),))</f>
        <v/>
      </c>
      <c r="D22" s="802" t="str">
        <f ca="1">IF(ROWS($1:7)&gt;COUNT(Dong4),"",OFFSET([3]TH!F$1,SMALL(Dong4,ROWS($1:7)),))</f>
        <v/>
      </c>
      <c r="E22" s="182" t="str">
        <f ca="1">IF(ROWS($1:7)&gt;COUNT(Dong4),"",IF(LEFT(OFFSET([3]TH!M$1,SMALL(Dong4,ROWS($1:7)),),3)="341",OFFSET([3]TH!L$1,SMALL(Dong4,ROWS($1:7)),),OFFSET([3]TH!M$1,SMALL(Dong4,ROWS($1:7)),)))</f>
        <v/>
      </c>
      <c r="F22" s="803" t="str">
        <f ca="1">IF(ROWS($1:7)&gt;COUNT(Dong4),"",IF(LEFT(OFFSET([3]TH!L$1,SMALL(Dong4,ROWS($1:7)),),3)="341",OFFSET([3]TH!K$1,SMALL(Dong4,ROWS($1:7)),),0))</f>
        <v/>
      </c>
      <c r="G22" s="803" t="str">
        <f ca="1">IF(ROWS($1:7)&gt;COUNT(Dong4),"",IF(LEFT(OFFSET([3]TH!M$1,SMALL(Dong4,ROWS($1:7)),),3)="341",OFFSET([3]TH!K$1,SMALL(Dong4,ROWS($1:7)),),0))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04" customFormat="1" ht="19.5" customHeight="1">
      <c r="A23" s="197" t="str">
        <f ca="1">IF(ROWS($1:8)&gt;COUNT(Dong4),"",OFFSET([3]TH!C$1,SMALL(Dong4,ROWS($1:8)),))</f>
        <v/>
      </c>
      <c r="B23" s="182" t="str">
        <f ca="1">IF(ROWS($1:8)&gt;COUNT(Dong4),"",OFFSET([3]TH!D$1,SMALL(Dong4,ROWS($1:8)),))</f>
        <v/>
      </c>
      <c r="C23" s="182" t="str">
        <f ca="1">IF(ROWS($1:8)&gt;COUNT(Dong4),"",OFFSET([3]TH!E$1,SMALL(Dong4,ROWS($1:8)),))</f>
        <v/>
      </c>
      <c r="D23" s="802" t="str">
        <f ca="1">IF(ROWS($1:8)&gt;COUNT(Dong4),"",OFFSET([3]TH!F$1,SMALL(Dong4,ROWS($1:8)),))</f>
        <v/>
      </c>
      <c r="E23" s="182" t="str">
        <f ca="1">IF(ROWS($1:8)&gt;COUNT(Dong4),"",IF(LEFT(OFFSET([3]TH!M$1,SMALL(Dong4,ROWS($1:8)),),3)="341",OFFSET([3]TH!L$1,SMALL(Dong4,ROWS($1:8)),),OFFSET([3]TH!M$1,SMALL(Dong4,ROWS($1:8)),)))</f>
        <v/>
      </c>
      <c r="F23" s="803" t="str">
        <f ca="1">IF(ROWS($1:8)&gt;COUNT(Dong4),"",IF(LEFT(OFFSET([3]TH!L$1,SMALL(Dong4,ROWS($1:8)),),3)="341",OFFSET([3]TH!K$1,SMALL(Dong4,ROWS($1:8)),),0))</f>
        <v/>
      </c>
      <c r="G23" s="803" t="str">
        <f ca="1">IF(ROWS($1:8)&gt;COUNT(Dong4),"",IF(LEFT(OFFSET([3]TH!M$1,SMALL(Dong4,ROWS($1:8)),),3)="341",OFFSET([3]TH!K$1,SMALL(Dong4,ROWS($1:8)),),0))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04" customFormat="1" ht="19.5" customHeight="1">
      <c r="A24" s="197" t="str">
        <f ca="1">IF(ROWS($1:9)&gt;COUNT(Dong4),"",OFFSET([3]TH!C$1,SMALL(Dong4,ROWS($1:9)),))</f>
        <v/>
      </c>
      <c r="B24" s="182" t="str">
        <f ca="1">IF(ROWS($1:9)&gt;COUNT(Dong4),"",OFFSET([3]TH!D$1,SMALL(Dong4,ROWS($1:9)),))</f>
        <v/>
      </c>
      <c r="C24" s="182" t="str">
        <f ca="1">IF(ROWS($1:9)&gt;COUNT(Dong4),"",OFFSET([3]TH!E$1,SMALL(Dong4,ROWS($1:9)),))</f>
        <v/>
      </c>
      <c r="D24" s="802" t="str">
        <f ca="1">IF(ROWS($1:9)&gt;COUNT(Dong4),"",OFFSET([3]TH!F$1,SMALL(Dong4,ROWS($1:9)),))</f>
        <v/>
      </c>
      <c r="E24" s="182" t="str">
        <f ca="1">IF(ROWS($1:9)&gt;COUNT(Dong4),"",IF(LEFT(OFFSET([3]TH!M$1,SMALL(Dong4,ROWS($1:9)),),3)="341",OFFSET([3]TH!L$1,SMALL(Dong4,ROWS($1:9)),),OFFSET([3]TH!M$1,SMALL(Dong4,ROWS($1:9)),)))</f>
        <v/>
      </c>
      <c r="F24" s="803" t="str">
        <f ca="1">IF(ROWS($1:9)&gt;COUNT(Dong4),"",IF(LEFT(OFFSET([3]TH!L$1,SMALL(Dong4,ROWS($1:9)),),3)="341",OFFSET([3]TH!K$1,SMALL(Dong4,ROWS($1:9)),),0))</f>
        <v/>
      </c>
      <c r="G24" s="803" t="str">
        <f ca="1">IF(ROWS($1:9)&gt;COUNT(Dong4),"",IF(LEFT(OFFSET([3]TH!M$1,SMALL(Dong4,ROWS($1:9)),),3)="341",OFFSET([3]TH!K$1,SMALL(Dong4,ROWS($1:9)),),0))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04" customFormat="1" ht="19.5" customHeight="1">
      <c r="A25" s="805"/>
      <c r="B25" s="805"/>
      <c r="C25" s="805"/>
      <c r="D25" s="806"/>
      <c r="E25" s="807"/>
      <c r="F25" s="808"/>
      <c r="G25" s="809"/>
      <c r="H25" s="8"/>
      <c r="I25" s="8"/>
    </row>
    <row r="26" spans="1:9" s="18" customFormat="1" ht="19.5" customHeight="1">
      <c r="A26" s="182"/>
      <c r="B26" s="182"/>
      <c r="C26" s="182"/>
      <c r="D26" s="234" t="s">
        <v>33</v>
      </c>
      <c r="E26" s="198" t="s">
        <v>19</v>
      </c>
      <c r="F26" s="708">
        <f ca="1">SUM(F16:F25)</f>
        <v>0</v>
      </c>
      <c r="G26" s="708">
        <f ca="1">SUM(G16:G25)</f>
        <v>0</v>
      </c>
      <c r="H26" s="810" t="s">
        <v>19</v>
      </c>
      <c r="I26" s="810" t="s">
        <v>19</v>
      </c>
    </row>
    <row r="27" spans="1:9" s="18" customFormat="1" ht="19.5" customHeight="1">
      <c r="A27" s="811"/>
      <c r="B27" s="811"/>
      <c r="C27" s="811"/>
      <c r="D27" s="235" t="s">
        <v>10</v>
      </c>
      <c r="E27" s="236" t="s">
        <v>19</v>
      </c>
      <c r="F27" s="236" t="s">
        <v>19</v>
      </c>
      <c r="G27" s="236" t="s">
        <v>19</v>
      </c>
      <c r="H27" s="812" t="e">
        <f ca="1">MAX(H15+F26-I15-G26,0)</f>
        <v>#N/A</v>
      </c>
      <c r="I27" s="812" t="e">
        <f ca="1">MAX(I15+G26-H15-F26,0)</f>
        <v>#N/A</v>
      </c>
    </row>
    <row r="28" spans="1:9" s="18" customFormat="1">
      <c r="E28" s="773"/>
    </row>
    <row r="29" spans="1:9" s="18" customFormat="1">
      <c r="A29" s="813" t="s">
        <v>749</v>
      </c>
      <c r="E29" s="773"/>
    </row>
    <row r="30" spans="1:9" s="18" customFormat="1">
      <c r="A30" s="813" t="e">
        <f>"- Ngày mở sổ: "&amp; TEXT(VLOOKUP($E$9,'341'!$B$4:$I$21,2,0),"dd/MM/yy")</f>
        <v>#N/A</v>
      </c>
      <c r="E30" s="773"/>
    </row>
    <row r="31" spans="1:9" s="18" customFormat="1">
      <c r="E31" s="773"/>
      <c r="H31" s="773" t="s">
        <v>750</v>
      </c>
    </row>
    <row r="32" spans="1:9" s="18" customFormat="1">
      <c r="C32" s="773" t="s">
        <v>11</v>
      </c>
      <c r="E32" s="773"/>
      <c r="H32" s="773" t="s">
        <v>12</v>
      </c>
    </row>
    <row r="33" spans="2:8" s="18" customFormat="1">
      <c r="C33" s="773" t="s">
        <v>13</v>
      </c>
      <c r="E33" s="773"/>
      <c r="H33" s="773" t="s">
        <v>13</v>
      </c>
    </row>
    <row r="34" spans="2:8" s="18" customFormat="1">
      <c r="E34" s="773"/>
    </row>
    <row r="35" spans="2:8" s="18" customFormat="1">
      <c r="E35" s="773"/>
    </row>
    <row r="36" spans="2:8" s="814" customFormat="1"/>
    <row r="37" spans="2:8" s="814" customFormat="1"/>
    <row r="38" spans="2:8" s="814" customFormat="1"/>
    <row r="39" spans="2:8" s="814" customFormat="1"/>
    <row r="40" spans="2:8" s="814" customFormat="1" ht="15">
      <c r="B40" s="815"/>
      <c r="C40" s="816" t="s">
        <v>751</v>
      </c>
      <c r="D40" s="815"/>
    </row>
    <row r="41" spans="2:8" s="814" customFormat="1"/>
    <row r="42" spans="2:8" s="814" customFormat="1"/>
    <row r="43" spans="2:8" s="814" customFormat="1"/>
    <row r="44" spans="2:8" s="814" customFormat="1"/>
    <row r="45" spans="2:8" s="814" customFormat="1"/>
    <row r="46" spans="2:8" s="814" customFormat="1"/>
    <row r="47" spans="2:8" s="814" customFormat="1"/>
    <row r="48" spans="2:8" s="814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8" customWidth="1"/>
    <col min="2" max="2" width="7" style="258" customWidth="1"/>
    <col min="3" max="3" width="9.140625" style="258"/>
    <col min="4" max="4" width="40.140625" style="258" customWidth="1"/>
    <col min="5" max="5" width="6.5703125" style="258" customWidth="1"/>
    <col min="6" max="8" width="10" style="258" customWidth="1"/>
    <col min="9" max="9" width="13.7109375" style="258" customWidth="1"/>
    <col min="10" max="10" width="10" style="258" customWidth="1"/>
    <col min="11" max="11" width="8.7109375" style="258" customWidth="1"/>
    <col min="12" max="12" width="15" style="258" customWidth="1"/>
    <col min="13" max="13" width="10" style="258" customWidth="1"/>
    <col min="14" max="14" width="9.42578125" style="258" customWidth="1"/>
    <col min="15" max="16384" width="9.140625" style="258"/>
  </cols>
  <sheetData>
    <row r="2" spans="1:14">
      <c r="A2" s="746" t="str">
        <f>TH!$A$1</f>
        <v>Đơn vị: CÔNG TY TNHH SX TM KIM DUNG PHÁT</v>
      </c>
      <c r="C2" s="259"/>
      <c r="F2" s="260"/>
      <c r="G2" s="260"/>
      <c r="H2" s="260"/>
      <c r="I2" s="260"/>
      <c r="J2" s="1057" t="s">
        <v>177</v>
      </c>
      <c r="K2" s="1057"/>
      <c r="L2" s="1057"/>
      <c r="M2" s="1057"/>
      <c r="N2" s="260"/>
    </row>
    <row r="3" spans="1:14">
      <c r="A3" s="747" t="str">
        <f>TH!$A$2</f>
        <v>Địa chỉ: 1A227/1 Ấp 1, Phạm Văn Hai, Bình Chánh, TPHCM</v>
      </c>
      <c r="C3" s="259"/>
      <c r="F3" s="261"/>
      <c r="G3" s="261"/>
      <c r="H3" s="261"/>
      <c r="I3" s="261"/>
      <c r="J3" s="1056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6"/>
      <c r="L3" s="1056"/>
      <c r="M3" s="1056"/>
      <c r="N3" s="261"/>
    </row>
    <row r="4" spans="1:14">
      <c r="F4" s="261"/>
      <c r="G4" s="261"/>
      <c r="H4" s="261"/>
      <c r="I4" s="261"/>
      <c r="J4" s="1056"/>
      <c r="K4" s="1056"/>
      <c r="L4" s="1056"/>
      <c r="M4" s="1056"/>
      <c r="N4" s="261"/>
    </row>
    <row r="5" spans="1:14" s="262" customFormat="1" ht="23.25" customHeight="1">
      <c r="A5" s="1066" t="s">
        <v>178</v>
      </c>
      <c r="B5" s="1066"/>
      <c r="C5" s="1066"/>
      <c r="D5" s="1066"/>
      <c r="E5" s="1066"/>
      <c r="F5" s="1066"/>
      <c r="G5" s="1066"/>
      <c r="H5" s="1066"/>
      <c r="I5" s="1066"/>
      <c r="J5" s="1066"/>
      <c r="K5" s="1066"/>
      <c r="L5" s="1066"/>
      <c r="M5" s="1066"/>
      <c r="N5" s="1066"/>
    </row>
    <row r="6" spans="1:14">
      <c r="A6" s="1057" t="s">
        <v>388</v>
      </c>
      <c r="B6" s="1057" t="s">
        <v>179</v>
      </c>
      <c r="C6" s="1057"/>
      <c r="D6" s="1057"/>
      <c r="E6" s="1057"/>
      <c r="F6" s="1057"/>
      <c r="G6" s="1057"/>
      <c r="H6" s="1057"/>
      <c r="I6" s="1057"/>
      <c r="J6" s="1057"/>
      <c r="K6" s="1057"/>
      <c r="L6" s="1057"/>
      <c r="M6" s="1057"/>
      <c r="N6" s="1057"/>
    </row>
    <row r="7" spans="1:14">
      <c r="C7" s="1067"/>
      <c r="D7" s="1067"/>
      <c r="E7" s="1067"/>
      <c r="F7" s="1067"/>
      <c r="G7" s="1067"/>
      <c r="H7" s="1067"/>
      <c r="I7" s="1067"/>
      <c r="J7" s="1067"/>
      <c r="K7" s="1067"/>
      <c r="L7" s="1067"/>
      <c r="M7" s="1067"/>
      <c r="N7" s="1067"/>
    </row>
    <row r="8" spans="1:14" ht="15.75" customHeight="1">
      <c r="A8" s="1060" t="s">
        <v>20</v>
      </c>
      <c r="B8" s="1068" t="s">
        <v>1</v>
      </c>
      <c r="C8" s="1069"/>
      <c r="D8" s="1060" t="s">
        <v>0</v>
      </c>
      <c r="E8" s="1060" t="s">
        <v>14</v>
      </c>
      <c r="F8" s="1059" t="s">
        <v>21</v>
      </c>
      <c r="G8" s="1059"/>
      <c r="H8" s="1059"/>
      <c r="I8" s="1059"/>
      <c r="J8" s="1059"/>
      <c r="K8" s="1059"/>
      <c r="L8" s="1059" t="s">
        <v>31</v>
      </c>
      <c r="M8" s="1059"/>
      <c r="N8" s="1059"/>
    </row>
    <row r="9" spans="1:14" ht="15.75" customHeight="1">
      <c r="A9" s="1060"/>
      <c r="B9" s="1070"/>
      <c r="C9" s="1071"/>
      <c r="D9" s="1060"/>
      <c r="E9" s="1060"/>
      <c r="F9" s="1059" t="s">
        <v>180</v>
      </c>
      <c r="G9" s="1059"/>
      <c r="H9" s="1059"/>
      <c r="I9" s="1059" t="s">
        <v>181</v>
      </c>
      <c r="J9" s="1059"/>
      <c r="K9" s="1059"/>
      <c r="L9" s="1060" t="s">
        <v>182</v>
      </c>
      <c r="M9" s="1060" t="s">
        <v>183</v>
      </c>
      <c r="N9" s="1060" t="s">
        <v>184</v>
      </c>
    </row>
    <row r="10" spans="1:14" ht="15.75" customHeight="1">
      <c r="A10" s="1060"/>
      <c r="B10" s="1062" t="s">
        <v>15</v>
      </c>
      <c r="C10" s="1062" t="s">
        <v>32</v>
      </c>
      <c r="D10" s="1060"/>
      <c r="E10" s="1060"/>
      <c r="F10" s="1064" t="s">
        <v>182</v>
      </c>
      <c r="G10" s="1064" t="s">
        <v>183</v>
      </c>
      <c r="H10" s="1064" t="s">
        <v>184</v>
      </c>
      <c r="I10" s="1064" t="s">
        <v>182</v>
      </c>
      <c r="J10" s="1064" t="s">
        <v>183</v>
      </c>
      <c r="K10" s="1064" t="s">
        <v>184</v>
      </c>
      <c r="L10" s="1061"/>
      <c r="M10" s="1061"/>
      <c r="N10" s="1061"/>
    </row>
    <row r="11" spans="1:14">
      <c r="A11" s="1060"/>
      <c r="B11" s="1063"/>
      <c r="C11" s="1063"/>
      <c r="D11" s="1060"/>
      <c r="E11" s="1060"/>
      <c r="F11" s="1065"/>
      <c r="G11" s="1065"/>
      <c r="H11" s="1065"/>
      <c r="I11" s="1065"/>
      <c r="J11" s="1065"/>
      <c r="K11" s="1065"/>
      <c r="L11" s="1061"/>
      <c r="M11" s="1061"/>
      <c r="N11" s="1061"/>
    </row>
    <row r="12" spans="1:14" s="261" customFormat="1">
      <c r="A12" s="263" t="s">
        <v>2</v>
      </c>
      <c r="B12" s="264" t="s">
        <v>3</v>
      </c>
      <c r="C12" s="263" t="s">
        <v>4</v>
      </c>
      <c r="D12" s="263" t="s">
        <v>5</v>
      </c>
      <c r="E12" s="263" t="s">
        <v>6</v>
      </c>
      <c r="F12" s="263">
        <v>1</v>
      </c>
      <c r="G12" s="263"/>
      <c r="H12" s="263"/>
      <c r="I12" s="263"/>
      <c r="J12" s="263"/>
      <c r="K12" s="263"/>
      <c r="L12" s="263"/>
      <c r="M12" s="263"/>
      <c r="N12" s="263"/>
    </row>
    <row r="13" spans="1:14">
      <c r="A13" s="265"/>
      <c r="B13" s="265"/>
      <c r="C13" s="750"/>
      <c r="D13" s="266" t="s">
        <v>7</v>
      </c>
      <c r="E13" s="265"/>
      <c r="F13" s="265"/>
      <c r="G13" s="265"/>
      <c r="H13" s="265"/>
      <c r="I13" s="265"/>
      <c r="J13" s="265"/>
      <c r="K13" s="265"/>
      <c r="L13" s="267">
        <f>CDPS!$D$43</f>
        <v>1900000000</v>
      </c>
      <c r="M13" s="265"/>
      <c r="N13" s="265"/>
    </row>
    <row r="14" spans="1:14">
      <c r="A14" s="749">
        <v>40634</v>
      </c>
      <c r="B14" s="657" t="s">
        <v>354</v>
      </c>
      <c r="C14" s="749">
        <v>40634</v>
      </c>
      <c r="D14" s="268" t="s">
        <v>378</v>
      </c>
      <c r="E14" s="657" t="s">
        <v>47</v>
      </c>
      <c r="F14" s="268"/>
      <c r="G14" s="268"/>
      <c r="H14" s="268"/>
      <c r="I14" s="332">
        <v>1700000000</v>
      </c>
      <c r="J14" s="268"/>
      <c r="K14" s="268"/>
      <c r="L14" s="660">
        <f>L13+I14-G14</f>
        <v>3600000000</v>
      </c>
      <c r="M14" s="268"/>
      <c r="N14" s="268"/>
    </row>
    <row r="15" spans="1:14">
      <c r="A15" s="749">
        <v>40634</v>
      </c>
      <c r="B15" s="657" t="s">
        <v>355</v>
      </c>
      <c r="C15" s="749">
        <v>40634</v>
      </c>
      <c r="D15" s="269" t="s">
        <v>379</v>
      </c>
      <c r="E15" s="658" t="s">
        <v>47</v>
      </c>
      <c r="F15" s="269"/>
      <c r="G15" s="269"/>
      <c r="H15" s="269"/>
      <c r="I15" s="337">
        <v>100000000</v>
      </c>
      <c r="J15" s="269"/>
      <c r="K15" s="269"/>
      <c r="L15" s="660">
        <f t="shared" ref="L15:L16" si="0">L14+I15-G15</f>
        <v>3700000000</v>
      </c>
      <c r="M15" s="269"/>
      <c r="N15" s="269"/>
    </row>
    <row r="16" spans="1:14">
      <c r="A16" s="749">
        <v>40634</v>
      </c>
      <c r="B16" s="657" t="s">
        <v>359</v>
      </c>
      <c r="C16" s="749">
        <v>40634</v>
      </c>
      <c r="D16" s="269" t="s">
        <v>380</v>
      </c>
      <c r="E16" s="658" t="s">
        <v>47</v>
      </c>
      <c r="F16" s="269"/>
      <c r="G16" s="269"/>
      <c r="H16" s="269"/>
      <c r="I16" s="337">
        <v>100000000</v>
      </c>
      <c r="J16" s="269"/>
      <c r="K16" s="269"/>
      <c r="L16" s="660">
        <f t="shared" si="0"/>
        <v>3800000000</v>
      </c>
      <c r="M16" s="269"/>
      <c r="N16" s="269"/>
    </row>
    <row r="17" spans="1:14">
      <c r="A17" s="657"/>
      <c r="B17" s="268"/>
      <c r="C17" s="657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</row>
    <row r="18" spans="1:14">
      <c r="A18" s="657"/>
      <c r="B18" s="268"/>
      <c r="C18" s="657"/>
      <c r="D18" s="270" t="s">
        <v>133</v>
      </c>
      <c r="E18" s="457" t="s">
        <v>19</v>
      </c>
      <c r="F18" s="271"/>
      <c r="G18" s="271"/>
      <c r="H18" s="271"/>
      <c r="I18" s="659">
        <f>SUM(I13:I17)</f>
        <v>1900000000</v>
      </c>
      <c r="J18" s="271"/>
      <c r="K18" s="271"/>
      <c r="L18" s="661">
        <f>L13+I18-F18</f>
        <v>3800000000</v>
      </c>
      <c r="M18" s="271"/>
      <c r="N18" s="271"/>
    </row>
    <row r="19" spans="1:14">
      <c r="A19" s="272"/>
      <c r="B19" s="272"/>
      <c r="C19" s="272"/>
      <c r="D19" s="273" t="s">
        <v>10</v>
      </c>
      <c r="E19" s="458" t="s">
        <v>19</v>
      </c>
      <c r="F19" s="272"/>
      <c r="G19" s="272"/>
      <c r="H19" s="272"/>
      <c r="I19" s="272"/>
      <c r="J19" s="272"/>
      <c r="K19" s="272"/>
      <c r="L19" s="274">
        <f>L13+L18</f>
        <v>5700000000</v>
      </c>
      <c r="M19" s="272"/>
      <c r="N19" s="272"/>
    </row>
    <row r="21" spans="1:14">
      <c r="C21" s="275" t="s">
        <v>185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6"/>
      <c r="C23" s="276"/>
      <c r="D23" s="276"/>
      <c r="E23" s="1058" t="str">
        <f>"Ngày 31 tháng  12  năm  "&amp;YEAR($A$14)</f>
        <v>Ngày 31 tháng  12  năm  2011</v>
      </c>
      <c r="F23" s="1058"/>
      <c r="G23" s="1058"/>
      <c r="H23" s="1058"/>
      <c r="I23" s="1058"/>
      <c r="J23" s="1058"/>
      <c r="K23" s="1058"/>
      <c r="L23" s="1058"/>
      <c r="M23" s="1058"/>
      <c r="N23" s="1058"/>
    </row>
    <row r="24" spans="1:14">
      <c r="A24" s="1058" t="s">
        <v>11</v>
      </c>
      <c r="B24" s="1058"/>
      <c r="C24" s="1058"/>
      <c r="D24" s="1058"/>
      <c r="E24" s="1058" t="s">
        <v>12</v>
      </c>
      <c r="F24" s="1058"/>
      <c r="G24" s="1058"/>
      <c r="H24" s="1058"/>
      <c r="I24" s="1058"/>
      <c r="J24" s="1058"/>
      <c r="K24" s="1058"/>
      <c r="L24" s="1058"/>
      <c r="M24" s="1058"/>
      <c r="N24" s="1058"/>
    </row>
    <row r="25" spans="1:14">
      <c r="A25" s="1058" t="s">
        <v>13</v>
      </c>
      <c r="B25" s="1058"/>
      <c r="C25" s="1058"/>
      <c r="D25" s="1058"/>
      <c r="E25" s="1058" t="s">
        <v>13</v>
      </c>
      <c r="F25" s="1058"/>
      <c r="G25" s="1058"/>
      <c r="H25" s="1058"/>
      <c r="I25" s="1058"/>
      <c r="J25" s="1058"/>
      <c r="K25" s="1058"/>
      <c r="L25" s="1058"/>
      <c r="M25" s="1058"/>
      <c r="N25" s="1058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4"/>
  <sheetViews>
    <sheetView topLeftCell="A9" workbookViewId="0">
      <pane ySplit="3" topLeftCell="A12" activePane="bottomLeft" state="frozen"/>
      <selection activeCell="A9" sqref="A9"/>
      <selection pane="bottomLeft" activeCell="C15" sqref="C15"/>
    </sheetView>
  </sheetViews>
  <sheetFormatPr defaultRowHeight="12.75"/>
  <cols>
    <col min="1" max="1" width="3.7109375" style="280" customWidth="1"/>
    <col min="2" max="2" width="3.42578125" style="280" customWidth="1"/>
    <col min="3" max="3" width="34" style="280" customWidth="1"/>
    <col min="4" max="4" width="7.7109375" style="281" customWidth="1"/>
    <col min="5" max="5" width="8.7109375" style="297" customWidth="1"/>
    <col min="6" max="6" width="13" style="297" customWidth="1"/>
    <col min="7" max="7" width="8" style="282" customWidth="1"/>
    <col min="8" max="8" width="12.140625" style="282" customWidth="1"/>
    <col min="9" max="9" width="7.85546875" style="282" customWidth="1"/>
    <col min="10" max="10" width="11.7109375" style="282" customWidth="1"/>
    <col min="11" max="11" width="8.5703125" style="282" customWidth="1"/>
    <col min="12" max="12" width="13.140625" style="282" customWidth="1"/>
    <col min="13" max="13" width="9" style="280" customWidth="1"/>
    <col min="14" max="14" width="11.140625" style="282" bestFit="1" customWidth="1"/>
    <col min="15" max="16384" width="9.140625" style="280"/>
  </cols>
  <sheetData>
    <row r="1" spans="1:14" s="430" customFormat="1" ht="14.25" customHeight="1">
      <c r="B1" s="746" t="str">
        <f>TH!$A$1</f>
        <v>Đơn vị: CÔNG TY TNHH SX TM KIM DUNG PHÁT</v>
      </c>
      <c r="C1" s="881"/>
      <c r="D1" s="881"/>
      <c r="E1" s="881"/>
      <c r="F1" s="277"/>
      <c r="G1" s="277"/>
      <c r="H1" s="1041" t="s">
        <v>186</v>
      </c>
      <c r="I1" s="1041"/>
      <c r="J1" s="1041"/>
      <c r="K1" s="1041"/>
      <c r="L1" s="1041"/>
      <c r="M1" s="868"/>
      <c r="N1" s="662"/>
    </row>
    <row r="2" spans="1:14" s="430" customFormat="1" ht="14.25" customHeight="1">
      <c r="B2" s="747" t="str">
        <f>TH!$A$2</f>
        <v>Địa chỉ: 1A227/1 Ấp 1, Phạm Văn Hai, Bình Chánh, TPHCM</v>
      </c>
      <c r="C2" s="882"/>
      <c r="D2" s="882"/>
      <c r="E2" s="882"/>
      <c r="F2" s="882"/>
      <c r="G2" s="882"/>
      <c r="H2" s="1042" t="str">
        <f>IF(YEAR('[4]152-CT'!$C$50)&gt;=2015,"(Ban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42"/>
      <c r="J2" s="1042"/>
      <c r="K2" s="1042"/>
      <c r="L2" s="1042"/>
      <c r="M2" s="666"/>
      <c r="N2" s="662"/>
    </row>
    <row r="3" spans="1:14" s="430" customFormat="1" ht="14.25" customHeight="1">
      <c r="B3" s="882"/>
      <c r="C3" s="882"/>
      <c r="D3" s="882"/>
      <c r="E3" s="882"/>
      <c r="F3" s="882"/>
      <c r="G3" s="882"/>
      <c r="H3" s="1042"/>
      <c r="I3" s="1042"/>
      <c r="J3" s="1042"/>
      <c r="K3" s="1042"/>
      <c r="L3" s="1042"/>
      <c r="M3" s="667"/>
      <c r="N3" s="662"/>
    </row>
    <row r="4" spans="1:14" s="278" customFormat="1" ht="27.75" customHeight="1">
      <c r="B4" s="1073" t="s">
        <v>187</v>
      </c>
      <c r="C4" s="1073"/>
      <c r="D4" s="1073"/>
      <c r="E4" s="1073"/>
      <c r="F4" s="1073"/>
      <c r="G4" s="1073"/>
      <c r="H4" s="1073"/>
      <c r="I4" s="1073"/>
      <c r="J4" s="1073"/>
      <c r="K4" s="1073"/>
      <c r="L4" s="1073"/>
      <c r="N4" s="663"/>
    </row>
    <row r="5" spans="1:14" s="278" customFormat="1" ht="15" customHeight="1">
      <c r="B5" s="1072" t="s">
        <v>188</v>
      </c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N5" s="663"/>
    </row>
    <row r="6" spans="1:14" s="278" customFormat="1" ht="12.75" customHeight="1">
      <c r="B6" s="1072" t="s">
        <v>189</v>
      </c>
      <c r="C6" s="1072"/>
      <c r="D6" s="1072"/>
      <c r="E6" s="1072"/>
      <c r="F6" s="1072"/>
      <c r="G6" s="1072"/>
      <c r="H6" s="1072"/>
      <c r="I6" s="1072"/>
      <c r="J6" s="1072"/>
      <c r="K6" s="1072"/>
      <c r="L6" s="1072"/>
      <c r="N6" s="663"/>
    </row>
    <row r="7" spans="1:14" s="279" customFormat="1" ht="24" customHeight="1">
      <c r="C7" s="1074" t="s">
        <v>190</v>
      </c>
      <c r="D7" s="1074"/>
      <c r="E7" s="1074"/>
      <c r="F7" s="1074"/>
      <c r="G7" s="1074"/>
      <c r="H7" s="1074"/>
      <c r="I7" s="1074"/>
      <c r="J7" s="1074"/>
      <c r="K7" s="1074"/>
      <c r="L7" s="1074"/>
      <c r="N7" s="664"/>
    </row>
    <row r="8" spans="1:14" ht="20.25" customHeight="1">
      <c r="B8" s="1075" t="s">
        <v>35</v>
      </c>
      <c r="C8" s="1076" t="s">
        <v>191</v>
      </c>
      <c r="D8" s="1077" t="s">
        <v>192</v>
      </c>
      <c r="E8" s="1079" t="s">
        <v>139</v>
      </c>
      <c r="F8" s="1079"/>
      <c r="G8" s="1079"/>
      <c r="H8" s="1079"/>
      <c r="I8" s="1079"/>
      <c r="J8" s="1079"/>
      <c r="K8" s="1079"/>
      <c r="L8" s="1079"/>
    </row>
    <row r="9" spans="1:14" ht="20.25" customHeight="1">
      <c r="B9" s="1075"/>
      <c r="C9" s="1076"/>
      <c r="D9" s="1078"/>
      <c r="E9" s="1079" t="s">
        <v>193</v>
      </c>
      <c r="F9" s="1079"/>
      <c r="G9" s="1080" t="s">
        <v>194</v>
      </c>
      <c r="H9" s="1080"/>
      <c r="I9" s="1080" t="s">
        <v>195</v>
      </c>
      <c r="J9" s="1080"/>
      <c r="K9" s="1080" t="s">
        <v>196</v>
      </c>
      <c r="L9" s="1080"/>
    </row>
    <row r="10" spans="1:14" ht="20.25" customHeight="1">
      <c r="B10" s="1075"/>
      <c r="C10" s="1076"/>
      <c r="D10" s="870"/>
      <c r="E10" s="871" t="s">
        <v>197</v>
      </c>
      <c r="F10" s="871" t="s">
        <v>198</v>
      </c>
      <c r="G10" s="871" t="s">
        <v>197</v>
      </c>
      <c r="H10" s="871" t="s">
        <v>198</v>
      </c>
      <c r="I10" s="871" t="s">
        <v>197</v>
      </c>
      <c r="J10" s="871" t="s">
        <v>198</v>
      </c>
      <c r="K10" s="871" t="s">
        <v>197</v>
      </c>
      <c r="L10" s="871" t="s">
        <v>198</v>
      </c>
    </row>
    <row r="11" spans="1:14" s="281" customFormat="1">
      <c r="B11" s="869" t="s">
        <v>2</v>
      </c>
      <c r="C11" s="870" t="s">
        <v>3</v>
      </c>
      <c r="D11" s="870"/>
      <c r="E11" s="871">
        <v>1</v>
      </c>
      <c r="F11" s="871">
        <v>1</v>
      </c>
      <c r="G11" s="871">
        <v>2</v>
      </c>
      <c r="H11" s="871">
        <v>2</v>
      </c>
      <c r="I11" s="871">
        <v>3</v>
      </c>
      <c r="J11" s="871">
        <v>3</v>
      </c>
      <c r="K11" s="871">
        <v>4</v>
      </c>
      <c r="L11" s="871">
        <v>4</v>
      </c>
      <c r="N11" s="665"/>
    </row>
    <row r="12" spans="1:14" ht="18" customHeight="1">
      <c r="A12" s="282" t="str">
        <f t="shared" ref="A12:A17" si="0">IF(B12&lt;&gt;"","VL","")</f>
        <v>VL</v>
      </c>
      <c r="B12" s="283">
        <f>IF(C12&lt;&gt;"",ROW()-11,"")</f>
        <v>1</v>
      </c>
      <c r="C12" s="190" t="s">
        <v>335</v>
      </c>
      <c r="D12" s="285" t="s">
        <v>334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1">E12+G12-I12</f>
        <v>0</v>
      </c>
      <c r="L12" s="25">
        <f t="shared" si="1"/>
        <v>0</v>
      </c>
      <c r="M12" s="282"/>
    </row>
    <row r="13" spans="1:14" ht="18" customHeight="1">
      <c r="A13" s="282" t="str">
        <f t="shared" si="0"/>
        <v>VL</v>
      </c>
      <c r="B13" s="283">
        <f>IF(C13&lt;&gt;"",ROW()-11,"")</f>
        <v>2</v>
      </c>
      <c r="C13" s="190" t="s">
        <v>813</v>
      </c>
      <c r="D13" s="285" t="s">
        <v>334</v>
      </c>
      <c r="E13" s="8"/>
      <c r="F13" s="8"/>
      <c r="G13" s="25">
        <f t="array" ref="G13">SUM(IF("1522"&amp;C13=KHN&amp;MH,SL))</f>
        <v>1200</v>
      </c>
      <c r="H13" s="25">
        <f t="array" ref="H13">SUM(IF("1522"&amp;C13=KHN&amp;MH,TH))</f>
        <v>22499200</v>
      </c>
      <c r="I13" s="25">
        <f t="array" ref="I13">SUM(IF("1522"&amp;C13=KHC&amp;MH,SL))</f>
        <v>1200</v>
      </c>
      <c r="J13" s="25">
        <f t="array" ref="J13">SUM(IF("1522"&amp;C13=KHC&amp;MH,TH))</f>
        <v>22499200</v>
      </c>
      <c r="K13" s="8">
        <f t="shared" si="1"/>
        <v>0</v>
      </c>
      <c r="L13" s="8">
        <f t="shared" si="1"/>
        <v>0</v>
      </c>
      <c r="M13" s="282"/>
    </row>
    <row r="14" spans="1:14" ht="18" customHeight="1">
      <c r="A14" s="282" t="str">
        <f t="shared" si="0"/>
        <v>VL</v>
      </c>
      <c r="B14" s="283">
        <f>IF(C14&lt;&gt;"",ROW()-11,"")</f>
        <v>3</v>
      </c>
      <c r="C14" s="190" t="s">
        <v>857</v>
      </c>
      <c r="D14" s="285" t="s">
        <v>334</v>
      </c>
      <c r="E14" s="8"/>
      <c r="F14" s="8"/>
      <c r="G14" s="25">
        <f t="array" ref="G14">SUM(IF("1522"&amp;C14=KHN&amp;MH,SL))</f>
        <v>2000</v>
      </c>
      <c r="H14" s="25">
        <f t="array" ref="H14">SUM(IF("1522"&amp;C14=KHN&amp;MH,TH))</f>
        <v>37600000</v>
      </c>
      <c r="I14" s="25">
        <f t="array" ref="I14">SUM(IF("1522"&amp;C14=KHC&amp;MH,SL))</f>
        <v>2000</v>
      </c>
      <c r="J14" s="25">
        <f t="array" ref="J14">SUM(IF("1522"&amp;C14=KHC&amp;MH,TH))</f>
        <v>37600000</v>
      </c>
      <c r="K14" s="8">
        <f t="shared" si="1"/>
        <v>0</v>
      </c>
      <c r="L14" s="8">
        <f t="shared" si="1"/>
        <v>0</v>
      </c>
      <c r="M14" s="282"/>
    </row>
    <row r="15" spans="1:14" ht="18" customHeight="1">
      <c r="A15" s="282" t="str">
        <f t="shared" si="0"/>
        <v>VL</v>
      </c>
      <c r="B15" s="283">
        <f>IF(C15&lt;&gt;"",ROW()-11,"")</f>
        <v>4</v>
      </c>
      <c r="C15" s="187" t="s">
        <v>1552</v>
      </c>
      <c r="D15" s="285" t="s">
        <v>334</v>
      </c>
      <c r="E15" s="8"/>
      <c r="F15" s="8"/>
      <c r="G15" s="25">
        <f t="array" ref="G15">SUM(IF("1522"&amp;C15=KHN&amp;MH,SL))</f>
        <v>7</v>
      </c>
      <c r="H15" s="25">
        <f t="array" ref="H15">SUM(IF("1522"&amp;C15=KHN&amp;MH,TH))</f>
        <v>352800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7</v>
      </c>
      <c r="L15" s="8">
        <f t="shared" ref="L15" si="3">F15+H15-J15</f>
        <v>352800</v>
      </c>
      <c r="M15" s="282"/>
    </row>
    <row r="16" spans="1:14" ht="18.75" customHeight="1">
      <c r="A16" s="282" t="str">
        <f t="shared" si="0"/>
        <v/>
      </c>
      <c r="B16" s="283" t="str">
        <f>IF(C16&lt;&gt;"",ROW()-11,"")</f>
        <v/>
      </c>
      <c r="C16" s="287"/>
      <c r="D16" s="288"/>
      <c r="E16" s="289"/>
      <c r="F16" s="289"/>
      <c r="G16" s="25"/>
      <c r="H16" s="289"/>
      <c r="I16" s="289"/>
      <c r="J16" s="289"/>
      <c r="K16" s="289"/>
      <c r="L16" s="289"/>
      <c r="M16" s="282"/>
    </row>
    <row r="17" spans="1:14" ht="18.75" customHeight="1">
      <c r="A17" s="282" t="str">
        <f t="shared" si="0"/>
        <v/>
      </c>
      <c r="B17" s="869"/>
      <c r="C17" s="290" t="s">
        <v>333</v>
      </c>
      <c r="D17" s="13"/>
      <c r="E17" s="13">
        <f t="shared" ref="E17:L17" si="4">SUM(E12:E16)</f>
        <v>0</v>
      </c>
      <c r="F17" s="13">
        <f t="shared" si="4"/>
        <v>0</v>
      </c>
      <c r="G17" s="13">
        <f t="shared" si="4"/>
        <v>3303</v>
      </c>
      <c r="H17" s="13">
        <f t="shared" si="4"/>
        <v>64388000</v>
      </c>
      <c r="I17" s="13">
        <f t="shared" si="4"/>
        <v>3296</v>
      </c>
      <c r="J17" s="13">
        <f t="shared" si="4"/>
        <v>64035200</v>
      </c>
      <c r="K17" s="13">
        <f t="shared" si="4"/>
        <v>7</v>
      </c>
      <c r="L17" s="13">
        <f t="shared" si="4"/>
        <v>352800</v>
      </c>
      <c r="M17" s="282"/>
    </row>
    <row r="18" spans="1:14" ht="18.75" customHeight="1">
      <c r="A18" s="282"/>
      <c r="B18" s="442"/>
      <c r="C18" s="443"/>
      <c r="D18" s="444"/>
      <c r="E18" s="444"/>
      <c r="F18" s="444">
        <f>F17-CDPS!C20</f>
        <v>0</v>
      </c>
      <c r="G18" s="444"/>
      <c r="H18" s="444">
        <f>H17-CDPS!E20</f>
        <v>0</v>
      </c>
      <c r="I18" s="444"/>
      <c r="J18" s="444">
        <f>J17-CDPS!F20</f>
        <v>0</v>
      </c>
      <c r="K18" s="444"/>
      <c r="L18" s="444">
        <f>L17-CDPS!G20</f>
        <v>0</v>
      </c>
      <c r="M18" s="282"/>
    </row>
    <row r="19" spans="1:14" ht="18.75" customHeight="1">
      <c r="A19" s="282" t="str">
        <f t="shared" ref="A19:A28" si="5">IF(B19&lt;&gt;"","NL","")</f>
        <v>NL</v>
      </c>
      <c r="B19" s="441">
        <f>IF(C19&lt;&gt;"",B18+1,"")</f>
        <v>1</v>
      </c>
      <c r="C19" s="190" t="s">
        <v>680</v>
      </c>
      <c r="D19" s="285" t="s">
        <v>334</v>
      </c>
      <c r="E19" s="25">
        <v>2648</v>
      </c>
      <c r="F19" s="25">
        <v>23832000</v>
      </c>
      <c r="G19" s="25">
        <f t="array" ref="G19">SUM(IF("1521"&amp;C19=KHN&amp;MH,SL))</f>
        <v>51023</v>
      </c>
      <c r="H19" s="25">
        <f t="array" ref="H19">SUM(IF("1521"&amp;C19=KHN&amp;MH,TH))</f>
        <v>459207000</v>
      </c>
      <c r="I19" s="25">
        <f t="array" ref="I19">SUM(IF("1521"&amp;C19=KHC&amp;MH,SL))</f>
        <v>43999</v>
      </c>
      <c r="J19" s="25">
        <f t="array" ref="J19">SUM(IF("1521"&amp;C19=KHC&amp;MH,TH))</f>
        <v>395991000</v>
      </c>
      <c r="K19" s="25">
        <f t="shared" ref="K19:K28" si="6">E19+G19-I19</f>
        <v>9672</v>
      </c>
      <c r="L19" s="25">
        <f t="shared" ref="L19:L28" si="7">F19+H19-J19</f>
        <v>87048000</v>
      </c>
      <c r="M19" s="282"/>
      <c r="N19" s="282">
        <f>F19/E19</f>
        <v>9000</v>
      </c>
    </row>
    <row r="20" spans="1:14" ht="18.75" customHeight="1">
      <c r="A20" s="282" t="str">
        <f t="shared" si="5"/>
        <v>NL</v>
      </c>
      <c r="B20" s="441">
        <f t="shared" ref="B20:B28" si="8">IF(C20&lt;&gt;"",B19+1,"")</f>
        <v>2</v>
      </c>
      <c r="C20" s="286" t="s">
        <v>676</v>
      </c>
      <c r="D20" s="285" t="s">
        <v>334</v>
      </c>
      <c r="E20" s="8">
        <v>5441</v>
      </c>
      <c r="F20" s="8">
        <v>39719300</v>
      </c>
      <c r="G20" s="25">
        <f t="array" ref="G20">SUM(IF("1521"&amp;C20=KHN&amp;MH,SL))</f>
        <v>119994</v>
      </c>
      <c r="H20" s="25">
        <f t="array" ref="H20">SUM(IF("1521"&amp;C20=KHN&amp;MH,TH))</f>
        <v>907793800</v>
      </c>
      <c r="I20" s="25">
        <f t="array" ref="I20">SUM(IF("1521"&amp;C20=KHC&amp;MH,SL))</f>
        <v>82925</v>
      </c>
      <c r="J20" s="25">
        <f t="array" ref="J20">SUM(IF("1521"&amp;C20=KHC&amp;MH,TH))</f>
        <v>608928100</v>
      </c>
      <c r="K20" s="8">
        <f t="shared" si="6"/>
        <v>42510</v>
      </c>
      <c r="L20" s="8">
        <f t="shared" si="7"/>
        <v>338585000</v>
      </c>
      <c r="M20" s="282"/>
      <c r="N20" s="282">
        <f>L20/K20</f>
        <v>7964.8318042813453</v>
      </c>
    </row>
    <row r="21" spans="1:14" ht="18.75" customHeight="1">
      <c r="A21" s="282" t="str">
        <f t="shared" si="5"/>
        <v>NL</v>
      </c>
      <c r="B21" s="441">
        <f t="shared" si="8"/>
        <v>3</v>
      </c>
      <c r="C21" s="190" t="s">
        <v>682</v>
      </c>
      <c r="D21" s="285" t="s">
        <v>334</v>
      </c>
      <c r="E21" s="8">
        <v>65413</v>
      </c>
      <c r="F21" s="8">
        <v>544954000</v>
      </c>
      <c r="G21" s="25">
        <f t="array" ref="G21">SUM(IF("1521"&amp;C21=KHN&amp;MH,SL))</f>
        <v>33077</v>
      </c>
      <c r="H21" s="25">
        <f t="array" ref="H21">SUM(IF("1521"&amp;C21=KHN&amp;MH,TH))</f>
        <v>271231400</v>
      </c>
      <c r="I21" s="25">
        <f t="array" ref="I21">SUM(IF("1521"&amp;C21=KHC&amp;MH,SL))</f>
        <v>98490</v>
      </c>
      <c r="J21" s="25">
        <f t="array" ref="J21">SUM(IF("1521"&amp;C21=KHC&amp;MH,TH))</f>
        <v>816185400</v>
      </c>
      <c r="K21" s="8">
        <f t="shared" si="6"/>
        <v>0</v>
      </c>
      <c r="L21" s="8">
        <f t="shared" si="7"/>
        <v>0</v>
      </c>
      <c r="M21" s="282"/>
      <c r="N21" s="282">
        <f>F21/E21</f>
        <v>8330.9739654197183</v>
      </c>
    </row>
    <row r="22" spans="1:14" ht="18.75" customHeight="1">
      <c r="A22" s="282" t="str">
        <f t="shared" si="5"/>
        <v>NL</v>
      </c>
      <c r="B22" s="441">
        <f t="shared" si="8"/>
        <v>4</v>
      </c>
      <c r="C22" s="286" t="s">
        <v>690</v>
      </c>
      <c r="D22" s="285" t="s">
        <v>334</v>
      </c>
      <c r="E22" s="8"/>
      <c r="F22" s="8"/>
      <c r="G22" s="25">
        <f t="array" ref="G22">SUM(IF("1521"&amp;C22=KHN&amp;MH,SL))</f>
        <v>29440</v>
      </c>
      <c r="H22" s="25">
        <f t="array" ref="H22">SUM(IF("1521"&amp;C22=KHN&amp;MH,TH))</f>
        <v>247817800</v>
      </c>
      <c r="I22" s="25">
        <f t="array" ref="I22">SUM(IF("1521"&amp;C22=KHC&amp;MH,SL))</f>
        <v>29440</v>
      </c>
      <c r="J22" s="25">
        <f t="array" ref="J22">SUM(IF("1521"&amp;C22=KHC&amp;MH,TH))</f>
        <v>247817800</v>
      </c>
      <c r="K22" s="8">
        <f t="shared" si="6"/>
        <v>0</v>
      </c>
      <c r="L22" s="8">
        <f t="shared" si="7"/>
        <v>0</v>
      </c>
      <c r="M22" s="282"/>
    </row>
    <row r="23" spans="1:14" ht="18" customHeight="1">
      <c r="A23" s="282" t="str">
        <f t="shared" si="5"/>
        <v>NL</v>
      </c>
      <c r="B23" s="441">
        <f t="shared" si="8"/>
        <v>5</v>
      </c>
      <c r="C23" s="187" t="s">
        <v>853</v>
      </c>
      <c r="D23" s="285" t="s">
        <v>334</v>
      </c>
      <c r="E23" s="8"/>
      <c r="F23" s="8"/>
      <c r="G23" s="25">
        <f t="array" ref="G23">SUM(IF("1521"&amp;C23=KHN&amp;MH,SL))</f>
        <v>4777</v>
      </c>
      <c r="H23" s="25">
        <f t="array" ref="H23">SUM(IF("1521"&amp;C23=KHN&amp;MH,TH))</f>
        <v>40604500</v>
      </c>
      <c r="I23" s="25">
        <f t="array" ref="I23">SUM(IF("1521"&amp;C23=KHC&amp;MH,SL))</f>
        <v>4777</v>
      </c>
      <c r="J23" s="25">
        <f t="array" ref="J23">SUM(IF("1521"&amp;C23=KHC&amp;MH,TH))</f>
        <v>40604500</v>
      </c>
      <c r="K23" s="8">
        <f t="shared" si="6"/>
        <v>0</v>
      </c>
      <c r="L23" s="8">
        <f t="shared" si="7"/>
        <v>0</v>
      </c>
      <c r="M23" s="282"/>
    </row>
    <row r="24" spans="1:14" ht="18" customHeight="1">
      <c r="A24" s="282" t="str">
        <f t="shared" si="5"/>
        <v>NL</v>
      </c>
      <c r="B24" s="441">
        <f t="shared" si="8"/>
        <v>6</v>
      </c>
      <c r="C24" s="187" t="s">
        <v>1248</v>
      </c>
      <c r="D24" s="285" t="s">
        <v>334</v>
      </c>
      <c r="E24" s="8"/>
      <c r="F24" s="8"/>
      <c r="G24" s="25">
        <f t="array" ref="G24">SUM(IF("1521"&amp;C24=KHN&amp;MH,SL))</f>
        <v>23976</v>
      </c>
      <c r="H24" s="25">
        <f t="array" ref="H24">SUM(IF("1521"&amp;C24=KHN&amp;MH,TH))</f>
        <v>203796000</v>
      </c>
      <c r="I24" s="25">
        <f t="array" ref="I24">SUM(IF("1521"&amp;C24=KHC&amp;MH,SL))</f>
        <v>14333</v>
      </c>
      <c r="J24" s="25">
        <f t="array" ref="J24">SUM(IF("1521"&amp;C24=KHC&amp;MH,TH))</f>
        <v>121830500</v>
      </c>
      <c r="K24" s="8">
        <f t="shared" si="6"/>
        <v>9643</v>
      </c>
      <c r="L24" s="8">
        <f t="shared" si="7"/>
        <v>81965500</v>
      </c>
      <c r="M24" s="282"/>
    </row>
    <row r="25" spans="1:14" ht="18" customHeight="1">
      <c r="A25" s="282" t="str">
        <f t="shared" si="5"/>
        <v>NL</v>
      </c>
      <c r="B25" s="441">
        <f t="shared" si="8"/>
        <v>7</v>
      </c>
      <c r="C25" s="187" t="s">
        <v>1247</v>
      </c>
      <c r="D25" s="285" t="s">
        <v>334</v>
      </c>
      <c r="E25" s="8"/>
      <c r="F25" s="8"/>
      <c r="G25" s="25">
        <f t="array" ref="G25">SUM(IF("1521"&amp;C25=KHN&amp;MH,SL))</f>
        <v>14743</v>
      </c>
      <c r="H25" s="25">
        <f t="array" ref="H25">SUM(IF("1521"&amp;C25=KHN&amp;MH,TH))</f>
        <v>135635600</v>
      </c>
      <c r="I25" s="25">
        <f t="array" ref="I25">SUM(IF("1521"&amp;C25=KHC&amp;MH,SL))</f>
        <v>7497</v>
      </c>
      <c r="J25" s="25">
        <f t="array" ref="J25">SUM(IF("1521"&amp;C25=KHC&amp;MH,TH))</f>
        <v>68972400</v>
      </c>
      <c r="K25" s="8">
        <f t="shared" si="6"/>
        <v>7246</v>
      </c>
      <c r="L25" s="8">
        <f t="shared" si="7"/>
        <v>66663200</v>
      </c>
      <c r="M25" s="282"/>
    </row>
    <row r="26" spans="1:14" ht="18" customHeight="1">
      <c r="A26" s="282" t="str">
        <f t="shared" si="5"/>
        <v>NL</v>
      </c>
      <c r="B26" s="441">
        <f t="shared" si="8"/>
        <v>8</v>
      </c>
      <c r="C26" s="187" t="s">
        <v>1250</v>
      </c>
      <c r="D26" s="285" t="s">
        <v>334</v>
      </c>
      <c r="E26" s="8"/>
      <c r="F26" s="8"/>
      <c r="G26" s="25">
        <f t="array" ref="G26">SUM(IF("1521"&amp;C26=KHN&amp;MH,SL))</f>
        <v>3085</v>
      </c>
      <c r="H26" s="25">
        <f t="array" ref="H26">SUM(IF("1521"&amp;C26=KHN&amp;MH,TH))</f>
        <v>28382000</v>
      </c>
      <c r="I26" s="25">
        <f t="array" ref="I26">SUM(IF("1521"&amp;C26=KHC&amp;MH,SL))</f>
        <v>3085</v>
      </c>
      <c r="J26" s="25">
        <f t="array" ref="J26">SUM(IF("1521"&amp;C26=KHC&amp;MH,TH))</f>
        <v>28382000</v>
      </c>
      <c r="K26" s="8">
        <f t="shared" si="6"/>
        <v>0</v>
      </c>
      <c r="L26" s="8">
        <f t="shared" si="7"/>
        <v>0</v>
      </c>
      <c r="M26" s="282"/>
    </row>
    <row r="27" spans="1:14" ht="18" customHeight="1">
      <c r="A27" s="282" t="str">
        <f t="shared" si="5"/>
        <v>NL</v>
      </c>
      <c r="B27" s="441">
        <f t="shared" si="8"/>
        <v>9</v>
      </c>
      <c r="C27" s="837" t="s">
        <v>822</v>
      </c>
      <c r="D27" s="294" t="s">
        <v>1458</v>
      </c>
      <c r="E27" s="8"/>
      <c r="F27" s="8"/>
      <c r="G27" s="25">
        <f t="array" ref="G27">SUM(IF("1521"&amp;C27=KHN&amp;MH,SL))</f>
        <v>300</v>
      </c>
      <c r="H27" s="25">
        <f t="array" ref="H27">SUM(IF("1521"&amp;C27=KHN&amp;MH,TH))</f>
        <v>2967900</v>
      </c>
      <c r="I27" s="25">
        <f t="array" ref="I27">SUM(IF("1521"&amp;C27=KHC&amp;MH,SL))</f>
        <v>300</v>
      </c>
      <c r="J27" s="25">
        <f t="array" ref="J27">SUM(IF("1521"&amp;C27=KHC&amp;MH,TH))</f>
        <v>2967900</v>
      </c>
      <c r="K27" s="8">
        <f t="shared" si="6"/>
        <v>0</v>
      </c>
      <c r="L27" s="8">
        <f t="shared" si="7"/>
        <v>0</v>
      </c>
      <c r="M27" s="282"/>
    </row>
    <row r="28" spans="1:14" ht="18" customHeight="1">
      <c r="A28" s="282" t="str">
        <f t="shared" si="5"/>
        <v>NL</v>
      </c>
      <c r="B28" s="441">
        <f t="shared" si="8"/>
        <v>10</v>
      </c>
      <c r="C28" s="187" t="s">
        <v>825</v>
      </c>
      <c r="D28" s="294" t="s">
        <v>1458</v>
      </c>
      <c r="E28" s="8"/>
      <c r="F28" s="8"/>
      <c r="G28" s="25">
        <f t="array" ref="G28">SUM(IF("1521"&amp;C28=KHN&amp;MH,SL))</f>
        <v>640</v>
      </c>
      <c r="H28" s="25">
        <f t="array" ref="H28">SUM(IF("1521"&amp;C28=KHN&amp;MH,TH))</f>
        <v>5892480</v>
      </c>
      <c r="I28" s="25">
        <f t="array" ref="I28">SUM(IF("1521"&amp;C28=KHC&amp;MH,SL))</f>
        <v>640</v>
      </c>
      <c r="J28" s="25">
        <f t="array" ref="J28">SUM(IF("1521"&amp;C28=KHC&amp;MH,TH))</f>
        <v>5892480</v>
      </c>
      <c r="K28" s="8">
        <f t="shared" si="6"/>
        <v>0</v>
      </c>
      <c r="L28" s="8">
        <f t="shared" si="7"/>
        <v>0</v>
      </c>
      <c r="M28" s="282"/>
    </row>
    <row r="29" spans="1:14" ht="18" customHeight="1">
      <c r="A29" s="282" t="str">
        <f t="shared" ref="A29:A31" si="9">IF(B29&lt;&gt;"","NL","")</f>
        <v>NL</v>
      </c>
      <c r="B29" s="441">
        <f t="shared" ref="B29:B31" si="10">IF(C29&lt;&gt;"",B28+1,"")</f>
        <v>11</v>
      </c>
      <c r="C29" s="190" t="s">
        <v>1245</v>
      </c>
      <c r="D29" s="285" t="s">
        <v>334</v>
      </c>
      <c r="E29" s="8"/>
      <c r="F29" s="8"/>
      <c r="G29" s="25">
        <f t="array" ref="G29">SUM(IF("1521"&amp;C29=KHN&amp;MH,SL))</f>
        <v>10539</v>
      </c>
      <c r="H29" s="25">
        <f t="array" ref="H29">SUM(IF("1521"&amp;C29=KHN&amp;MH,TH))</f>
        <v>80811000</v>
      </c>
      <c r="I29" s="25">
        <f t="array" ref="I29">SUM(IF("1521"&amp;C29=KHC&amp;MH,SL))</f>
        <v>806</v>
      </c>
      <c r="J29" s="25">
        <f t="array" ref="J29">SUM(IF("1521"&amp;C29=KHC&amp;MH,TH))</f>
        <v>6125600</v>
      </c>
      <c r="K29" s="8">
        <f t="shared" ref="K29:K31" si="11">E29+G29-I29</f>
        <v>9733</v>
      </c>
      <c r="L29" s="8">
        <f t="shared" ref="L29:L31" si="12">F29+H29-J29</f>
        <v>74685400</v>
      </c>
      <c r="M29" s="282"/>
    </row>
    <row r="30" spans="1:14" ht="18" customHeight="1">
      <c r="A30" s="282" t="str">
        <f t="shared" si="9"/>
        <v>NL</v>
      </c>
      <c r="B30" s="441">
        <f t="shared" si="10"/>
        <v>12</v>
      </c>
      <c r="C30" s="187" t="s">
        <v>1420</v>
      </c>
      <c r="D30" s="285" t="s">
        <v>334</v>
      </c>
      <c r="E30" s="8"/>
      <c r="F30" s="8"/>
      <c r="G30" s="25">
        <f t="array" ref="G30">SUM(IF("1521"&amp;C30=KHN&amp;MH,SL))</f>
        <v>1120</v>
      </c>
      <c r="H30" s="25">
        <f t="array" ref="H30">SUM(IF("1521"&amp;C30=KHN&amp;MH,TH))</f>
        <v>9968000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1"/>
        <v>1120</v>
      </c>
      <c r="L30" s="8">
        <f t="shared" si="12"/>
        <v>9968000</v>
      </c>
      <c r="M30" s="282"/>
    </row>
    <row r="31" spans="1:14" ht="18" customHeight="1">
      <c r="A31" s="282" t="str">
        <f t="shared" si="9"/>
        <v>NL</v>
      </c>
      <c r="B31" s="441">
        <f t="shared" si="10"/>
        <v>13</v>
      </c>
      <c r="C31" s="187" t="s">
        <v>1422</v>
      </c>
      <c r="D31" s="285" t="s">
        <v>334</v>
      </c>
      <c r="E31" s="8"/>
      <c r="F31" s="8"/>
      <c r="G31" s="25">
        <f t="array" ref="G31">SUM(IF("1521"&amp;C31=KHN&amp;MH,SL))</f>
        <v>3458</v>
      </c>
      <c r="H31" s="25">
        <f t="array" ref="H31">SUM(IF("1521"&amp;C31=KHN&amp;MH,TH))</f>
        <v>30776200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1"/>
        <v>3458</v>
      </c>
      <c r="L31" s="8">
        <f t="shared" si="12"/>
        <v>30776200</v>
      </c>
      <c r="M31" s="282"/>
    </row>
    <row r="32" spans="1:14" ht="19.5" customHeight="1">
      <c r="A32" s="282" t="str">
        <f t="shared" ref="A32:A33" si="13">IF(B32&lt;&gt;"","NL","")</f>
        <v/>
      </c>
      <c r="B32" s="283" t="str">
        <f>IF(C32&lt;&gt;"",#REF!+1,"")</f>
        <v/>
      </c>
      <c r="C32" s="291"/>
      <c r="D32" s="292"/>
      <c r="E32" s="293"/>
      <c r="F32" s="293"/>
      <c r="G32" s="293"/>
      <c r="H32" s="293"/>
      <c r="I32" s="293"/>
      <c r="J32" s="293"/>
      <c r="K32" s="8"/>
      <c r="L32" s="8"/>
      <c r="M32" s="282"/>
    </row>
    <row r="33" spans="1:13" ht="19.5" customHeight="1">
      <c r="A33" s="282" t="str">
        <f t="shared" si="13"/>
        <v/>
      </c>
      <c r="B33" s="869"/>
      <c r="C33" s="290" t="s">
        <v>338</v>
      </c>
      <c r="D33" s="869"/>
      <c r="E33" s="13">
        <f t="shared" ref="E33:L33" si="14">SUM(E19:E32)</f>
        <v>73502</v>
      </c>
      <c r="F33" s="13">
        <f t="shared" si="14"/>
        <v>608505300</v>
      </c>
      <c r="G33" s="13">
        <f t="shared" si="14"/>
        <v>296172</v>
      </c>
      <c r="H33" s="13">
        <f t="shared" si="14"/>
        <v>2424883680</v>
      </c>
      <c r="I33" s="13">
        <f t="shared" si="14"/>
        <v>286292</v>
      </c>
      <c r="J33" s="13">
        <f t="shared" si="14"/>
        <v>2343697680</v>
      </c>
      <c r="K33" s="13">
        <f t="shared" si="14"/>
        <v>83382</v>
      </c>
      <c r="L33" s="13">
        <f t="shared" si="14"/>
        <v>689691300</v>
      </c>
      <c r="M33" s="282"/>
    </row>
    <row r="34" spans="1:13" ht="19.5" customHeight="1">
      <c r="A34" s="282"/>
      <c r="B34" s="442"/>
      <c r="C34" s="443"/>
      <c r="D34" s="442"/>
      <c r="E34" s="444"/>
      <c r="F34" s="444">
        <f>F33-CDPS!C19</f>
        <v>0</v>
      </c>
      <c r="G34" s="444"/>
      <c r="H34" s="444">
        <f>H33-CDPS!E19</f>
        <v>0</v>
      </c>
      <c r="I34" s="444"/>
      <c r="J34" s="444">
        <f>J33-CDPS!F19</f>
        <v>0</v>
      </c>
      <c r="K34" s="444"/>
      <c r="L34" s="444">
        <f>L33-CDPS!G19</f>
        <v>0</v>
      </c>
      <c r="M34" s="282"/>
    </row>
    <row r="35" spans="1:13" ht="19.5" customHeight="1">
      <c r="A35" s="282" t="str">
        <f t="shared" ref="A35:A66" si="15">IF(B35&lt;&gt;"","TP","")</f>
        <v>TP</v>
      </c>
      <c r="B35" s="295">
        <f t="shared" ref="B35:B66" si="16">IF(C35&lt;&gt;"",B34+1,"")</f>
        <v>1</v>
      </c>
      <c r="C35" s="40" t="s">
        <v>1444</v>
      </c>
      <c r="D35" s="294" t="s">
        <v>1458</v>
      </c>
      <c r="E35" s="25"/>
      <c r="F35" s="25"/>
      <c r="G35" s="25">
        <f t="array" ref="G35">SUM(IF("155"&amp;C35=KHN&amp;MH,SL))</f>
        <v>1070</v>
      </c>
      <c r="H35" s="25">
        <f t="array" ref="H35">SUM(IF("155"&amp;C35=KHN&amp;MH,TH))</f>
        <v>2888648</v>
      </c>
      <c r="I35" s="25">
        <f t="array" ref="I35">SUM(IF("155"&amp;C35=KHC&amp;MH,SL))</f>
        <v>1070</v>
      </c>
      <c r="J35" s="25">
        <f t="array" ref="J35">SUM(IF("155"&amp;C35=KHC&amp;MH,TH))</f>
        <v>2888648</v>
      </c>
      <c r="K35" s="25">
        <f t="shared" ref="K35:K98" si="17">E35+G35-I35</f>
        <v>0</v>
      </c>
      <c r="L35" s="25">
        <f t="shared" ref="L35:L98" si="18">F35+H35-J35</f>
        <v>0</v>
      </c>
      <c r="M35" s="282"/>
    </row>
    <row r="36" spans="1:13" ht="19.5" customHeight="1">
      <c r="A36" s="282" t="str">
        <f t="shared" si="15"/>
        <v>TP</v>
      </c>
      <c r="B36" s="295">
        <f t="shared" si="16"/>
        <v>2</v>
      </c>
      <c r="C36" s="190" t="s">
        <v>702</v>
      </c>
      <c r="D36" s="294" t="s">
        <v>1458</v>
      </c>
      <c r="E36" s="8"/>
      <c r="F36" s="8"/>
      <c r="G36" s="25">
        <f t="array" ref="G36">SUM(IF("155"&amp;C36=KHN&amp;MH,SL))</f>
        <v>125</v>
      </c>
      <c r="H36" s="25">
        <f t="array" ref="H36">SUM(IF("155"&amp;C36=KHN&amp;MH,TH))</f>
        <v>1209727</v>
      </c>
      <c r="I36" s="25">
        <f t="array" ref="I36">SUM(IF("155"&amp;C36=KHC&amp;MH,SL))</f>
        <v>125</v>
      </c>
      <c r="J36" s="25">
        <f t="array" ref="J36">SUM(IF("155"&amp;C36=KHC&amp;MH,TH))</f>
        <v>1209727</v>
      </c>
      <c r="K36" s="8">
        <f t="shared" si="17"/>
        <v>0</v>
      </c>
      <c r="L36" s="8">
        <f t="shared" si="18"/>
        <v>0</v>
      </c>
      <c r="M36" s="282"/>
    </row>
    <row r="37" spans="1:13" ht="18" customHeight="1">
      <c r="A37" s="282" t="str">
        <f t="shared" si="15"/>
        <v>TP</v>
      </c>
      <c r="B37" s="295">
        <f t="shared" si="16"/>
        <v>3</v>
      </c>
      <c r="C37" s="40" t="s">
        <v>1321</v>
      </c>
      <c r="D37" s="294" t="s">
        <v>1458</v>
      </c>
      <c r="E37" s="8"/>
      <c r="F37" s="8"/>
      <c r="G37" s="25">
        <f t="array" ref="G37">SUM(IF("155"&amp;C37=KHN&amp;MH,SL))</f>
        <v>500</v>
      </c>
      <c r="H37" s="25">
        <f t="array" ref="H37">SUM(IF("155"&amp;C37=KHN&amp;MH,TH))</f>
        <v>6327353</v>
      </c>
      <c r="I37" s="25">
        <f t="array" ref="I37">SUM(IF("155"&amp;C37=KHC&amp;MH,SL))</f>
        <v>500</v>
      </c>
      <c r="J37" s="25">
        <f t="array" ref="J37">SUM(IF("155"&amp;C37=KHC&amp;MH,TH))</f>
        <v>6327353</v>
      </c>
      <c r="K37" s="8">
        <f t="shared" si="17"/>
        <v>0</v>
      </c>
      <c r="L37" s="8">
        <f t="shared" si="18"/>
        <v>0</v>
      </c>
      <c r="M37" s="282"/>
    </row>
    <row r="38" spans="1:13" ht="18.75" customHeight="1">
      <c r="A38" s="282" t="str">
        <f t="shared" si="15"/>
        <v>TP</v>
      </c>
      <c r="B38" s="295">
        <f t="shared" si="16"/>
        <v>4</v>
      </c>
      <c r="C38" s="190" t="s">
        <v>707</v>
      </c>
      <c r="D38" s="294" t="s">
        <v>1458</v>
      </c>
      <c r="E38" s="8"/>
      <c r="F38" s="8"/>
      <c r="G38" s="25">
        <f t="array" ref="G38">SUM(IF("155"&amp;C38=KHN&amp;MH,SL))</f>
        <v>10</v>
      </c>
      <c r="H38" s="25">
        <f t="array" ref="H38">SUM(IF("155"&amp;C38=KHN&amp;MH,TH))</f>
        <v>130150</v>
      </c>
      <c r="I38" s="25">
        <f t="array" ref="I38">SUM(IF("155"&amp;C38=KHC&amp;MH,SL))</f>
        <v>10</v>
      </c>
      <c r="J38" s="25">
        <f t="array" ref="J38">SUM(IF("155"&amp;C38=KHC&amp;MH,TH))</f>
        <v>130150</v>
      </c>
      <c r="K38" s="8">
        <f t="shared" si="17"/>
        <v>0</v>
      </c>
      <c r="L38" s="8">
        <f t="shared" si="18"/>
        <v>0</v>
      </c>
      <c r="M38" s="282"/>
    </row>
    <row r="39" spans="1:13" ht="18.75" customHeight="1">
      <c r="A39" s="282" t="str">
        <f t="shared" si="15"/>
        <v>TP</v>
      </c>
      <c r="B39" s="295">
        <f t="shared" si="16"/>
        <v>5</v>
      </c>
      <c r="C39" s="190" t="s">
        <v>700</v>
      </c>
      <c r="D39" s="294" t="s">
        <v>1458</v>
      </c>
      <c r="E39" s="8"/>
      <c r="F39" s="8"/>
      <c r="G39" s="25">
        <f t="array" ref="G39">SUM(IF("155"&amp;C39=KHN&amp;MH,SL))</f>
        <v>190</v>
      </c>
      <c r="H39" s="25">
        <f t="array" ref="H39">SUM(IF("155"&amp;C39=KHN&amp;MH,TH))</f>
        <v>1363237</v>
      </c>
      <c r="I39" s="25">
        <f t="array" ref="I39">SUM(IF("155"&amp;C39=KHC&amp;MH,SL))</f>
        <v>190</v>
      </c>
      <c r="J39" s="25">
        <f t="array" ref="J39">SUM(IF("155"&amp;C39=KHC&amp;MH,TH))</f>
        <v>1363237</v>
      </c>
      <c r="K39" s="8">
        <f t="shared" si="17"/>
        <v>0</v>
      </c>
      <c r="L39" s="8">
        <f t="shared" si="18"/>
        <v>0</v>
      </c>
      <c r="M39" s="282"/>
    </row>
    <row r="40" spans="1:13" ht="18.75" customHeight="1">
      <c r="A40" s="282" t="str">
        <f t="shared" si="15"/>
        <v>TP</v>
      </c>
      <c r="B40" s="295">
        <f t="shared" si="16"/>
        <v>6</v>
      </c>
      <c r="C40" s="190" t="s">
        <v>1222</v>
      </c>
      <c r="D40" s="294" t="s">
        <v>1458</v>
      </c>
      <c r="E40" s="8"/>
      <c r="F40" s="8"/>
      <c r="G40" s="25">
        <f t="array" ref="G40">SUM(IF("155"&amp;C40=KHN&amp;MH,SL))</f>
        <v>50</v>
      </c>
      <c r="H40" s="25">
        <f t="array" ref="H40">SUM(IF("155"&amp;C40=KHN&amp;MH,TH))</f>
        <v>392118</v>
      </c>
      <c r="I40" s="25">
        <f t="array" ref="I40">SUM(IF("155"&amp;C40=KHC&amp;MH,SL))</f>
        <v>50</v>
      </c>
      <c r="J40" s="25">
        <f t="array" ref="J40">SUM(IF("155"&amp;C40=KHC&amp;MH,TH))</f>
        <v>392118</v>
      </c>
      <c r="K40" s="8">
        <f t="shared" si="17"/>
        <v>0</v>
      </c>
      <c r="L40" s="8">
        <f t="shared" si="18"/>
        <v>0</v>
      </c>
      <c r="M40" s="282"/>
    </row>
    <row r="41" spans="1:13" ht="18.75" customHeight="1">
      <c r="A41" s="282" t="str">
        <f t="shared" si="15"/>
        <v>TP</v>
      </c>
      <c r="B41" s="295">
        <f t="shared" si="16"/>
        <v>7</v>
      </c>
      <c r="C41" s="190" t="s">
        <v>712</v>
      </c>
      <c r="D41" s="294" t="s">
        <v>1458</v>
      </c>
      <c r="E41" s="8"/>
      <c r="F41" s="8"/>
      <c r="G41" s="25">
        <f t="array" ref="G41">SUM(IF("155"&amp;C41=KHN&amp;MH,SL))</f>
        <v>10</v>
      </c>
      <c r="H41" s="25">
        <f t="array" ref="H41">SUM(IF("155"&amp;C41=KHN&amp;MH,TH))</f>
        <v>81761</v>
      </c>
      <c r="I41" s="25">
        <f t="array" ref="I41">SUM(IF("155"&amp;C41=KHC&amp;MH,SL))</f>
        <v>10</v>
      </c>
      <c r="J41" s="25">
        <f t="array" ref="J41">SUM(IF("155"&amp;C41=KHC&amp;MH,TH))</f>
        <v>81761</v>
      </c>
      <c r="K41" s="8">
        <f t="shared" si="17"/>
        <v>0</v>
      </c>
      <c r="L41" s="8">
        <f t="shared" si="18"/>
        <v>0</v>
      </c>
      <c r="M41" s="282"/>
    </row>
    <row r="42" spans="1:13" ht="18.75" customHeight="1">
      <c r="A42" s="282" t="str">
        <f t="shared" si="15"/>
        <v>TP</v>
      </c>
      <c r="B42" s="295">
        <f t="shared" si="16"/>
        <v>8</v>
      </c>
      <c r="C42" s="190" t="s">
        <v>698</v>
      </c>
      <c r="D42" s="294" t="s">
        <v>1458</v>
      </c>
      <c r="E42" s="8"/>
      <c r="F42" s="8"/>
      <c r="G42" s="25">
        <f t="array" ref="G42">SUM(IF("155"&amp;C42=KHN&amp;MH,SL))</f>
        <v>190</v>
      </c>
      <c r="H42" s="25">
        <f t="array" ref="H42">SUM(IF("155"&amp;C42=KHN&amp;MH,TH))</f>
        <v>2092410</v>
      </c>
      <c r="I42" s="25">
        <f t="array" ref="I42">SUM(IF("155"&amp;C42=KHC&amp;MH,SL))</f>
        <v>190</v>
      </c>
      <c r="J42" s="25">
        <f t="array" ref="J42">SUM(IF("155"&amp;C42=KHC&amp;MH,TH))</f>
        <v>2092410</v>
      </c>
      <c r="K42" s="8">
        <f t="shared" si="17"/>
        <v>0</v>
      </c>
      <c r="L42" s="8">
        <f t="shared" si="18"/>
        <v>0</v>
      </c>
      <c r="M42" s="282"/>
    </row>
    <row r="43" spans="1:13" ht="18.75" customHeight="1">
      <c r="A43" s="282" t="str">
        <f t="shared" si="15"/>
        <v>TP</v>
      </c>
      <c r="B43" s="295">
        <f t="shared" si="16"/>
        <v>9</v>
      </c>
      <c r="C43" s="190" t="s">
        <v>518</v>
      </c>
      <c r="D43" s="294" t="s">
        <v>1458</v>
      </c>
      <c r="E43" s="8"/>
      <c r="F43" s="8"/>
      <c r="G43" s="25">
        <f t="array" ref="G43">SUM(IF("155"&amp;C43=KHN&amp;MH,SL))</f>
        <v>45</v>
      </c>
      <c r="H43" s="25">
        <f t="array" ref="H43">SUM(IF("155"&amp;C43=KHN&amp;MH,TH))</f>
        <v>551886</v>
      </c>
      <c r="I43" s="25">
        <f t="array" ref="I43">SUM(IF("155"&amp;C43=KHC&amp;MH,SL))</f>
        <v>45</v>
      </c>
      <c r="J43" s="25">
        <f t="array" ref="J43">SUM(IF("155"&amp;C43=KHC&amp;MH,TH))</f>
        <v>551886</v>
      </c>
      <c r="K43" s="8">
        <f t="shared" si="17"/>
        <v>0</v>
      </c>
      <c r="L43" s="8">
        <f t="shared" si="18"/>
        <v>0</v>
      </c>
      <c r="M43" s="282"/>
    </row>
    <row r="44" spans="1:13" ht="18.75" customHeight="1">
      <c r="A44" s="282" t="str">
        <f t="shared" si="15"/>
        <v>TP</v>
      </c>
      <c r="B44" s="295">
        <f t="shared" si="16"/>
        <v>10</v>
      </c>
      <c r="C44" s="190" t="s">
        <v>695</v>
      </c>
      <c r="D44" s="294" t="s">
        <v>1458</v>
      </c>
      <c r="E44" s="8"/>
      <c r="F44" s="8"/>
      <c r="G44" s="25">
        <f t="array" ref="G44">SUM(IF("155"&amp;C44=KHN&amp;MH,SL))</f>
        <v>30</v>
      </c>
      <c r="H44" s="25">
        <f t="array" ref="H44">SUM(IF("155"&amp;C44=KHN&amp;MH,TH))</f>
        <v>415479</v>
      </c>
      <c r="I44" s="25">
        <f t="array" ref="I44">SUM(IF("155"&amp;C44=KHC&amp;MH,SL))</f>
        <v>30</v>
      </c>
      <c r="J44" s="25">
        <f t="array" ref="J44">SUM(IF("155"&amp;C44=KHC&amp;MH,TH))</f>
        <v>415479</v>
      </c>
      <c r="K44" s="8">
        <f t="shared" si="17"/>
        <v>0</v>
      </c>
      <c r="L44" s="8">
        <f t="shared" si="18"/>
        <v>0</v>
      </c>
      <c r="M44" s="282"/>
    </row>
    <row r="45" spans="1:13" ht="18.75" customHeight="1">
      <c r="A45" s="282" t="str">
        <f t="shared" si="15"/>
        <v>TP</v>
      </c>
      <c r="B45" s="295">
        <f t="shared" si="16"/>
        <v>11</v>
      </c>
      <c r="C45" s="190" t="s">
        <v>517</v>
      </c>
      <c r="D45" s="294" t="s">
        <v>1458</v>
      </c>
      <c r="E45" s="8"/>
      <c r="F45" s="8"/>
      <c r="G45" s="25">
        <f t="array" ref="G45">SUM(IF("155"&amp;C45=KHN&amp;MH,SL))</f>
        <v>75</v>
      </c>
      <c r="H45" s="25">
        <f t="array" ref="H45">SUM(IF("155"&amp;C45=KHN&amp;MH,TH))</f>
        <v>1120040</v>
      </c>
      <c r="I45" s="25">
        <f t="array" ref="I45">SUM(IF("155"&amp;C45=KHC&amp;MH,SL))</f>
        <v>75</v>
      </c>
      <c r="J45" s="25">
        <f t="array" ref="J45">SUM(IF("155"&amp;C45=KHC&amp;MH,TH))</f>
        <v>1120040</v>
      </c>
      <c r="K45" s="8">
        <f t="shared" si="17"/>
        <v>0</v>
      </c>
      <c r="L45" s="8">
        <f t="shared" si="18"/>
        <v>0</v>
      </c>
      <c r="M45" s="282"/>
    </row>
    <row r="46" spans="1:13" ht="18.75" customHeight="1">
      <c r="A46" s="282" t="str">
        <f t="shared" si="15"/>
        <v>TP</v>
      </c>
      <c r="B46" s="295">
        <f t="shared" si="16"/>
        <v>12</v>
      </c>
      <c r="C46" s="190" t="s">
        <v>714</v>
      </c>
      <c r="D46" s="294" t="s">
        <v>1458</v>
      </c>
      <c r="E46" s="8"/>
      <c r="F46" s="8"/>
      <c r="G46" s="25">
        <f t="array" ref="G46">SUM(IF("155"&amp;C46=KHN&amp;MH,SL))</f>
        <v>550</v>
      </c>
      <c r="H46" s="25">
        <f t="array" ref="H46">SUM(IF("155"&amp;C46=KHN&amp;MH,TH))</f>
        <v>4496846</v>
      </c>
      <c r="I46" s="25">
        <f t="array" ref="I46">SUM(IF("155"&amp;C46=KHC&amp;MH,SL))</f>
        <v>550</v>
      </c>
      <c r="J46" s="25">
        <f t="array" ref="J46">SUM(IF("155"&amp;C46=KHC&amp;MH,TH))</f>
        <v>4496846</v>
      </c>
      <c r="K46" s="8">
        <f t="shared" si="17"/>
        <v>0</v>
      </c>
      <c r="L46" s="8">
        <f t="shared" si="18"/>
        <v>0</v>
      </c>
      <c r="M46" s="282"/>
    </row>
    <row r="47" spans="1:13" ht="18.75" customHeight="1">
      <c r="A47" s="282" t="str">
        <f t="shared" si="15"/>
        <v>TP</v>
      </c>
      <c r="B47" s="295">
        <f t="shared" si="16"/>
        <v>13</v>
      </c>
      <c r="C47" s="190" t="s">
        <v>704</v>
      </c>
      <c r="D47" s="294" t="s">
        <v>1458</v>
      </c>
      <c r="E47" s="8"/>
      <c r="F47" s="8"/>
      <c r="G47" s="25">
        <f t="array" ref="G47">SUM(IF("155"&amp;C47=KHN&amp;MH,SL))</f>
        <v>45</v>
      </c>
      <c r="H47" s="25">
        <f t="array" ref="H47">SUM(IF("155"&amp;C47=KHN&amp;MH,TH))</f>
        <v>593183</v>
      </c>
      <c r="I47" s="25">
        <f t="array" ref="I47">SUM(IF("155"&amp;C47=KHC&amp;MH,SL))</f>
        <v>45</v>
      </c>
      <c r="J47" s="25">
        <f t="array" ref="J47">SUM(IF("155"&amp;C47=KHC&amp;MH,TH))</f>
        <v>593183</v>
      </c>
      <c r="K47" s="8">
        <f t="shared" si="17"/>
        <v>0</v>
      </c>
      <c r="L47" s="8">
        <f t="shared" si="18"/>
        <v>0</v>
      </c>
      <c r="M47" s="282"/>
    </row>
    <row r="48" spans="1:13" ht="18.75" customHeight="1">
      <c r="A48" s="282" t="str">
        <f t="shared" si="15"/>
        <v>TP</v>
      </c>
      <c r="B48" s="295">
        <f t="shared" si="16"/>
        <v>14</v>
      </c>
      <c r="C48" s="190" t="s">
        <v>697</v>
      </c>
      <c r="D48" s="294" t="s">
        <v>1458</v>
      </c>
      <c r="E48" s="8"/>
      <c r="F48" s="8"/>
      <c r="G48" s="25">
        <f t="array" ref="G48">SUM(IF("155"&amp;C48=KHN&amp;MH,SL))</f>
        <v>15</v>
      </c>
      <c r="H48" s="25">
        <f t="array" ref="H48">SUM(IF("155"&amp;C48=KHN&amp;MH,TH))</f>
        <v>215248</v>
      </c>
      <c r="I48" s="25">
        <f t="array" ref="I48">SUM(IF("155"&amp;C48=KHC&amp;MH,SL))</f>
        <v>15</v>
      </c>
      <c r="J48" s="25">
        <f t="array" ref="J48">SUM(IF("155"&amp;C48=KHC&amp;MH,TH))</f>
        <v>215248</v>
      </c>
      <c r="K48" s="8">
        <f t="shared" si="17"/>
        <v>0</v>
      </c>
      <c r="L48" s="8">
        <f t="shared" si="18"/>
        <v>0</v>
      </c>
      <c r="M48" s="282"/>
    </row>
    <row r="49" spans="1:13" ht="18.75" customHeight="1">
      <c r="A49" s="282" t="str">
        <f t="shared" si="15"/>
        <v>TP</v>
      </c>
      <c r="B49" s="295">
        <f t="shared" si="16"/>
        <v>15</v>
      </c>
      <c r="C49" s="190" t="s">
        <v>1225</v>
      </c>
      <c r="D49" s="294" t="s">
        <v>1458</v>
      </c>
      <c r="E49" s="8"/>
      <c r="F49" s="8"/>
      <c r="G49" s="25">
        <f t="array" ref="G49">SUM(IF("155"&amp;C49=KHN&amp;MH,SL))</f>
        <v>100</v>
      </c>
      <c r="H49" s="25">
        <f t="array" ref="H49">SUM(IF("155"&amp;C49=KHN&amp;MH,TH))</f>
        <v>650750</v>
      </c>
      <c r="I49" s="25">
        <f t="array" ref="I49">SUM(IF("155"&amp;C49=KHC&amp;MH,SL))</f>
        <v>100</v>
      </c>
      <c r="J49" s="25">
        <f t="array" ref="J49">SUM(IF("155"&amp;C49=KHC&amp;MH,TH))</f>
        <v>650750</v>
      </c>
      <c r="K49" s="8">
        <f t="shared" si="17"/>
        <v>0</v>
      </c>
      <c r="L49" s="8">
        <f t="shared" si="18"/>
        <v>0</v>
      </c>
      <c r="M49" s="282"/>
    </row>
    <row r="50" spans="1:13" ht="18.75" customHeight="1">
      <c r="A50" s="282" t="str">
        <f t="shared" si="15"/>
        <v>TP</v>
      </c>
      <c r="B50" s="295">
        <f t="shared" si="16"/>
        <v>16</v>
      </c>
      <c r="C50" s="190" t="s">
        <v>711</v>
      </c>
      <c r="D50" s="294" t="s">
        <v>1458</v>
      </c>
      <c r="E50" s="8"/>
      <c r="F50" s="8"/>
      <c r="G50" s="25">
        <f t="array" ref="G50">SUM(IF("155"&amp;C50=KHN&amp;MH,SL))</f>
        <v>297</v>
      </c>
      <c r="H50" s="25">
        <f t="array" ref="H50">SUM(IF("155"&amp;C50=KHN&amp;MH,TH))</f>
        <v>2081397</v>
      </c>
      <c r="I50" s="25">
        <f t="array" ref="I50">SUM(IF("155"&amp;C50=KHC&amp;MH,SL))</f>
        <v>297</v>
      </c>
      <c r="J50" s="25">
        <f t="array" ref="J50">SUM(IF("155"&amp;C50=KHC&amp;MH,TH))</f>
        <v>2081397</v>
      </c>
      <c r="K50" s="8">
        <f t="shared" si="17"/>
        <v>0</v>
      </c>
      <c r="L50" s="8">
        <f t="shared" si="18"/>
        <v>0</v>
      </c>
      <c r="M50" s="282"/>
    </row>
    <row r="51" spans="1:13" ht="18.75" customHeight="1">
      <c r="A51" s="282" t="str">
        <f t="shared" si="15"/>
        <v>TP</v>
      </c>
      <c r="B51" s="295">
        <f t="shared" si="16"/>
        <v>17</v>
      </c>
      <c r="C51" s="187" t="s">
        <v>1208</v>
      </c>
      <c r="D51" s="294" t="s">
        <v>1458</v>
      </c>
      <c r="E51" s="8"/>
      <c r="F51" s="8"/>
      <c r="G51" s="25">
        <f t="array" ref="G51">SUM(IF("155"&amp;C51=KHN&amp;MH,SL))</f>
        <v>75</v>
      </c>
      <c r="H51" s="25">
        <f t="array" ref="H51">SUM(IF("155"&amp;C51=KHN&amp;MH,TH))</f>
        <v>619464</v>
      </c>
      <c r="I51" s="25">
        <f t="array" ref="I51">SUM(IF("155"&amp;C51=KHC&amp;MH,SL))</f>
        <v>75</v>
      </c>
      <c r="J51" s="25">
        <f t="array" ref="J51">SUM(IF("155"&amp;C51=KHC&amp;MH,TH))</f>
        <v>619464</v>
      </c>
      <c r="K51" s="8">
        <f t="shared" si="17"/>
        <v>0</v>
      </c>
      <c r="L51" s="8">
        <f t="shared" si="18"/>
        <v>0</v>
      </c>
      <c r="M51" s="282"/>
    </row>
    <row r="52" spans="1:13" ht="18.75" customHeight="1">
      <c r="A52" s="282" t="str">
        <f t="shared" si="15"/>
        <v>TP</v>
      </c>
      <c r="B52" s="295">
        <f t="shared" si="16"/>
        <v>18</v>
      </c>
      <c r="C52" s="190" t="s">
        <v>1221</v>
      </c>
      <c r="D52" s="294" t="s">
        <v>1458</v>
      </c>
      <c r="E52" s="8"/>
      <c r="F52" s="8"/>
      <c r="G52" s="25">
        <f t="array" ref="G52">SUM(IF("155"&amp;C52=KHN&amp;MH,SL))</f>
        <v>22</v>
      </c>
      <c r="H52" s="25">
        <f t="array" ref="H52">SUM(IF("155"&amp;C52=KHN&amp;MH,TH))</f>
        <v>240444</v>
      </c>
      <c r="I52" s="25">
        <f t="array" ref="I52">SUM(IF("155"&amp;C52=KHC&amp;MH,SL))</f>
        <v>22</v>
      </c>
      <c r="J52" s="25">
        <f t="array" ref="J52">SUM(IF("155"&amp;C52=KHC&amp;MH,TH))</f>
        <v>240444</v>
      </c>
      <c r="K52" s="8">
        <f t="shared" si="17"/>
        <v>0</v>
      </c>
      <c r="L52" s="8">
        <f t="shared" si="18"/>
        <v>0</v>
      </c>
      <c r="M52" s="282"/>
    </row>
    <row r="53" spans="1:13" ht="18.75" customHeight="1">
      <c r="A53" s="282" t="str">
        <f t="shared" si="15"/>
        <v>TP</v>
      </c>
      <c r="B53" s="295">
        <f t="shared" si="16"/>
        <v>19</v>
      </c>
      <c r="C53" s="190" t="s">
        <v>1231</v>
      </c>
      <c r="D53" s="294" t="s">
        <v>1458</v>
      </c>
      <c r="E53" s="8"/>
      <c r="F53" s="8"/>
      <c r="G53" s="25">
        <f t="array" ref="G53">SUM(IF("155"&amp;C53=KHN&amp;MH,SL))</f>
        <v>10</v>
      </c>
      <c r="H53" s="25">
        <f t="array" ref="H53">SUM(IF("155"&amp;C53=KHN&amp;MH,TH))</f>
        <v>186048</v>
      </c>
      <c r="I53" s="25">
        <f t="array" ref="I53">SUM(IF("155"&amp;C53=KHC&amp;MH,SL))</f>
        <v>10</v>
      </c>
      <c r="J53" s="25">
        <f t="array" ref="J53">SUM(IF("155"&amp;C53=KHC&amp;MH,TH))</f>
        <v>186048</v>
      </c>
      <c r="K53" s="8">
        <f t="shared" si="17"/>
        <v>0</v>
      </c>
      <c r="L53" s="8">
        <f t="shared" si="18"/>
        <v>0</v>
      </c>
      <c r="M53" s="282"/>
    </row>
    <row r="54" spans="1:13" ht="18.75" customHeight="1">
      <c r="A54" s="282" t="str">
        <f t="shared" si="15"/>
        <v>TP</v>
      </c>
      <c r="B54" s="295">
        <f t="shared" si="16"/>
        <v>20</v>
      </c>
      <c r="C54" s="190" t="s">
        <v>705</v>
      </c>
      <c r="D54" s="294" t="s">
        <v>1458</v>
      </c>
      <c r="E54" s="8"/>
      <c r="F54" s="8"/>
      <c r="G54" s="25">
        <f t="array" ref="G54">SUM(IF("155"&amp;C54=KHN&amp;MH,SL))</f>
        <v>10</v>
      </c>
      <c r="H54" s="25">
        <f t="array" ref="H54">SUM(IF("155"&amp;C54=KHN&amp;MH,TH))</f>
        <v>187716</v>
      </c>
      <c r="I54" s="25">
        <f t="array" ref="I54">SUM(IF("155"&amp;C54=KHC&amp;MH,SL))</f>
        <v>10</v>
      </c>
      <c r="J54" s="25">
        <f t="array" ref="J54">SUM(IF("155"&amp;C54=KHC&amp;MH,TH))</f>
        <v>187716</v>
      </c>
      <c r="K54" s="8">
        <f t="shared" si="17"/>
        <v>0</v>
      </c>
      <c r="L54" s="8">
        <f t="shared" si="18"/>
        <v>0</v>
      </c>
      <c r="M54" s="282"/>
    </row>
    <row r="55" spans="1:13" ht="18.75" customHeight="1">
      <c r="A55" s="282" t="str">
        <f t="shared" si="15"/>
        <v>TP</v>
      </c>
      <c r="B55" s="295">
        <f t="shared" si="16"/>
        <v>21</v>
      </c>
      <c r="C55" s="190" t="s">
        <v>1206</v>
      </c>
      <c r="D55" s="294" t="s">
        <v>1458</v>
      </c>
      <c r="E55" s="8"/>
      <c r="F55" s="8"/>
      <c r="G55" s="25">
        <f t="array" ref="G55">SUM(IF("155"&amp;C55=KHN&amp;MH,SL))</f>
        <v>280</v>
      </c>
      <c r="H55" s="25">
        <f t="array" ref="H55">SUM(IF("155"&amp;C55=KHN&amp;MH,TH))</f>
        <v>1985620</v>
      </c>
      <c r="I55" s="25">
        <f t="array" ref="I55">SUM(IF("155"&amp;C55=KHC&amp;MH,SL))</f>
        <v>280</v>
      </c>
      <c r="J55" s="25">
        <f t="array" ref="J55">SUM(IF("155"&amp;C55=KHC&amp;MH,TH))</f>
        <v>1985620</v>
      </c>
      <c r="K55" s="8">
        <f t="shared" si="17"/>
        <v>0</v>
      </c>
      <c r="L55" s="8">
        <f t="shared" si="18"/>
        <v>0</v>
      </c>
      <c r="M55" s="282"/>
    </row>
    <row r="56" spans="1:13" ht="18.75" customHeight="1">
      <c r="A56" s="282" t="str">
        <f t="shared" si="15"/>
        <v>TP</v>
      </c>
      <c r="B56" s="295">
        <f t="shared" si="16"/>
        <v>22</v>
      </c>
      <c r="C56" s="187" t="s">
        <v>1207</v>
      </c>
      <c r="D56" s="294" t="s">
        <v>1458</v>
      </c>
      <c r="E56" s="8"/>
      <c r="F56" s="8"/>
      <c r="G56" s="25">
        <f t="array" ref="G56">SUM(IF("155"&amp;C56=KHN&amp;MH,SL))</f>
        <v>281</v>
      </c>
      <c r="H56" s="25">
        <f t="array" ref="H56">SUM(IF("155"&amp;C56=KHN&amp;MH,TH))</f>
        <v>2203705</v>
      </c>
      <c r="I56" s="25">
        <f t="array" ref="I56">SUM(IF("155"&amp;C56=KHC&amp;MH,SL))</f>
        <v>281</v>
      </c>
      <c r="J56" s="25">
        <f t="array" ref="J56">SUM(IF("155"&amp;C56=KHC&amp;MH,TH))</f>
        <v>2203705</v>
      </c>
      <c r="K56" s="8">
        <f t="shared" si="17"/>
        <v>0</v>
      </c>
      <c r="L56" s="8">
        <f t="shared" si="18"/>
        <v>0</v>
      </c>
      <c r="M56" s="282"/>
    </row>
    <row r="57" spans="1:13" ht="18.75" customHeight="1">
      <c r="A57" s="282" t="str">
        <f t="shared" si="15"/>
        <v>TP</v>
      </c>
      <c r="B57" s="295">
        <f t="shared" si="16"/>
        <v>23</v>
      </c>
      <c r="C57" s="190" t="s">
        <v>713</v>
      </c>
      <c r="D57" s="294" t="s">
        <v>1458</v>
      </c>
      <c r="E57" s="8"/>
      <c r="F57" s="8"/>
      <c r="G57" s="25">
        <f t="array" ref="G57">SUM(IF("155"&amp;C57=KHN&amp;MH,SL))</f>
        <v>10</v>
      </c>
      <c r="H57" s="25">
        <f t="array" ref="H57">SUM(IF("155"&amp;C57=KHN&amp;MH,TH))</f>
        <v>166859</v>
      </c>
      <c r="I57" s="25">
        <f t="array" ref="I57">SUM(IF("155"&amp;C57=KHC&amp;MH,SL))</f>
        <v>10</v>
      </c>
      <c r="J57" s="25">
        <f t="array" ref="J57">SUM(IF("155"&amp;C57=KHC&amp;MH,TH))</f>
        <v>166859</v>
      </c>
      <c r="K57" s="8">
        <f t="shared" si="17"/>
        <v>0</v>
      </c>
      <c r="L57" s="8">
        <f t="shared" si="18"/>
        <v>0</v>
      </c>
      <c r="M57" s="282"/>
    </row>
    <row r="58" spans="1:13" ht="18.75" customHeight="1">
      <c r="A58" s="282" t="str">
        <f t="shared" si="15"/>
        <v>TP</v>
      </c>
      <c r="B58" s="295">
        <f t="shared" si="16"/>
        <v>24</v>
      </c>
      <c r="C58" s="40" t="s">
        <v>532</v>
      </c>
      <c r="D58" s="294" t="s">
        <v>1458</v>
      </c>
      <c r="E58" s="8"/>
      <c r="F58" s="8"/>
      <c r="G58" s="25">
        <f t="array" ref="G58">SUM(IF("155"&amp;C58=KHN&amp;MH,SL))</f>
        <v>500</v>
      </c>
      <c r="H58" s="25">
        <f t="array" ref="H58">SUM(IF("155"&amp;C58=KHN&amp;MH,TH))</f>
        <v>9744123</v>
      </c>
      <c r="I58" s="25">
        <f t="array" ref="I58">SUM(IF("155"&amp;C58=KHC&amp;MH,SL))</f>
        <v>500</v>
      </c>
      <c r="J58" s="25">
        <f t="array" ref="J58">SUM(IF("155"&amp;C58=KHC&amp;MH,TH))</f>
        <v>9744123</v>
      </c>
      <c r="K58" s="8">
        <f t="shared" si="17"/>
        <v>0</v>
      </c>
      <c r="L58" s="8">
        <f t="shared" si="18"/>
        <v>0</v>
      </c>
      <c r="M58" s="282"/>
    </row>
    <row r="59" spans="1:13" ht="18.75" customHeight="1">
      <c r="A59" s="282" t="str">
        <f t="shared" si="15"/>
        <v>TP</v>
      </c>
      <c r="B59" s="295">
        <f t="shared" si="16"/>
        <v>25</v>
      </c>
      <c r="C59" s="190" t="s">
        <v>1213</v>
      </c>
      <c r="D59" s="294" t="s">
        <v>1458</v>
      </c>
      <c r="E59" s="8"/>
      <c r="F59" s="8"/>
      <c r="G59" s="25">
        <f t="array" ref="G59">SUM(IF("155"&amp;C59=KHN&amp;MH,SL))</f>
        <v>500</v>
      </c>
      <c r="H59" s="25">
        <f t="array" ref="H59">SUM(IF("155"&amp;C59=KHN&amp;MH,TH))</f>
        <v>6882928</v>
      </c>
      <c r="I59" s="25">
        <f t="array" ref="I59">SUM(IF("155"&amp;C59=KHC&amp;MH,SL))</f>
        <v>500</v>
      </c>
      <c r="J59" s="25">
        <f t="array" ref="J59">SUM(IF("155"&amp;C59=KHC&amp;MH,TH))</f>
        <v>6882928</v>
      </c>
      <c r="K59" s="8">
        <f t="shared" si="17"/>
        <v>0</v>
      </c>
      <c r="L59" s="8">
        <f t="shared" si="18"/>
        <v>0</v>
      </c>
      <c r="M59" s="282"/>
    </row>
    <row r="60" spans="1:13" ht="18.75" customHeight="1">
      <c r="A60" s="282" t="str">
        <f t="shared" si="15"/>
        <v>TP</v>
      </c>
      <c r="B60" s="295">
        <f t="shared" si="16"/>
        <v>26</v>
      </c>
      <c r="C60" s="190" t="s">
        <v>1227</v>
      </c>
      <c r="D60" s="294" t="s">
        <v>1458</v>
      </c>
      <c r="E60" s="8"/>
      <c r="F60" s="8"/>
      <c r="G60" s="25">
        <f t="array" ref="G60">SUM(IF("155"&amp;C60=KHN&amp;MH,SL))</f>
        <v>390</v>
      </c>
      <c r="H60" s="25">
        <f t="array" ref="H60">SUM(IF("155"&amp;C60=KHN&amp;MH,TH))</f>
        <v>5791671</v>
      </c>
      <c r="I60" s="25">
        <f t="array" ref="I60">SUM(IF("155"&amp;C60=KHC&amp;MH,SL))</f>
        <v>390</v>
      </c>
      <c r="J60" s="25">
        <f t="array" ref="J60">SUM(IF("155"&amp;C60=KHC&amp;MH,TH))</f>
        <v>5791671</v>
      </c>
      <c r="K60" s="8">
        <f t="shared" si="17"/>
        <v>0</v>
      </c>
      <c r="L60" s="8">
        <f t="shared" si="18"/>
        <v>0</v>
      </c>
      <c r="M60" s="282"/>
    </row>
    <row r="61" spans="1:13" ht="18.75" customHeight="1">
      <c r="A61" s="282" t="str">
        <f t="shared" si="15"/>
        <v>TP</v>
      </c>
      <c r="B61" s="295">
        <f t="shared" si="16"/>
        <v>27</v>
      </c>
      <c r="C61" s="190" t="s">
        <v>1214</v>
      </c>
      <c r="D61" s="294" t="s">
        <v>1458</v>
      </c>
      <c r="E61" s="8"/>
      <c r="F61" s="8"/>
      <c r="G61" s="25">
        <f t="array" ref="G61">SUM(IF("155"&amp;C61=KHN&amp;MH,SL))</f>
        <v>86</v>
      </c>
      <c r="H61" s="25">
        <f t="array" ref="H61">SUM(IF("155"&amp;C61=KHN&amp;MH,TH))</f>
        <v>782067</v>
      </c>
      <c r="I61" s="25">
        <f t="array" ref="I61">SUM(IF("155"&amp;C61=KHC&amp;MH,SL))</f>
        <v>86</v>
      </c>
      <c r="J61" s="25">
        <f t="array" ref="J61">SUM(IF("155"&amp;C61=KHC&amp;MH,TH))</f>
        <v>782067</v>
      </c>
      <c r="K61" s="8">
        <f t="shared" si="17"/>
        <v>0</v>
      </c>
      <c r="L61" s="8">
        <f t="shared" si="18"/>
        <v>0</v>
      </c>
      <c r="M61" s="282"/>
    </row>
    <row r="62" spans="1:13" ht="18.75" customHeight="1">
      <c r="A62" s="282" t="str">
        <f t="shared" si="15"/>
        <v>TP</v>
      </c>
      <c r="B62" s="295">
        <f t="shared" si="16"/>
        <v>28</v>
      </c>
      <c r="C62" s="190" t="s">
        <v>1229</v>
      </c>
      <c r="D62" s="294" t="s">
        <v>1458</v>
      </c>
      <c r="E62" s="8"/>
      <c r="F62" s="8"/>
      <c r="G62" s="25">
        <f t="array" ref="G62">SUM(IF("155"&amp;C62=KHN&amp;MH,SL))</f>
        <v>40</v>
      </c>
      <c r="H62" s="25">
        <f t="array" ref="H62">SUM(IF("155"&amp;C62=KHN&amp;MH,TH))</f>
        <v>510588</v>
      </c>
      <c r="I62" s="25">
        <f t="array" ref="I62">SUM(IF("155"&amp;C62=KHC&amp;MH,SL))</f>
        <v>40</v>
      </c>
      <c r="J62" s="25">
        <f t="array" ref="J62">SUM(IF("155"&amp;C62=KHC&amp;MH,TH))</f>
        <v>510588</v>
      </c>
      <c r="K62" s="8">
        <f t="shared" si="17"/>
        <v>0</v>
      </c>
      <c r="L62" s="8">
        <f t="shared" si="18"/>
        <v>0</v>
      </c>
      <c r="M62" s="282"/>
    </row>
    <row r="63" spans="1:13" ht="18.75" customHeight="1">
      <c r="A63" s="282" t="str">
        <f t="shared" si="15"/>
        <v>TP</v>
      </c>
      <c r="B63" s="295">
        <f t="shared" si="16"/>
        <v>29</v>
      </c>
      <c r="C63" s="190" t="s">
        <v>1244</v>
      </c>
      <c r="D63" s="294" t="s">
        <v>1458</v>
      </c>
      <c r="E63" s="8"/>
      <c r="F63" s="8"/>
      <c r="G63" s="25">
        <f t="array" ref="G63">SUM(IF("155"&amp;C63=KHN&amp;MH,SL))</f>
        <v>200</v>
      </c>
      <c r="H63" s="25">
        <f t="array" ref="H63">SUM(IF("155"&amp;C63=KHN&amp;MH,TH))</f>
        <v>3000461</v>
      </c>
      <c r="I63" s="25">
        <f t="array" ref="I63">SUM(IF("155"&amp;C63=KHC&amp;MH,SL))</f>
        <v>200</v>
      </c>
      <c r="J63" s="25">
        <f t="array" ref="J63">SUM(IF("155"&amp;C63=KHC&amp;MH,TH))</f>
        <v>3000461</v>
      </c>
      <c r="K63" s="8">
        <f t="shared" si="17"/>
        <v>0</v>
      </c>
      <c r="L63" s="8">
        <f t="shared" si="18"/>
        <v>0</v>
      </c>
      <c r="M63" s="282"/>
    </row>
    <row r="64" spans="1:13" ht="18.75" customHeight="1">
      <c r="A64" s="282" t="str">
        <f t="shared" si="15"/>
        <v>TP</v>
      </c>
      <c r="B64" s="295">
        <f t="shared" si="16"/>
        <v>30</v>
      </c>
      <c r="C64" s="187" t="s">
        <v>1212</v>
      </c>
      <c r="D64" s="294" t="s">
        <v>1458</v>
      </c>
      <c r="E64" s="8"/>
      <c r="F64" s="8"/>
      <c r="G64" s="25">
        <f t="array" ref="G64">SUM(IF("155"&amp;C64=KHN&amp;MH,SL))</f>
        <v>96</v>
      </c>
      <c r="H64" s="25">
        <f t="array" ref="H64">SUM(IF("155"&amp;C64=KHN&amp;MH,TH))</f>
        <v>1417633</v>
      </c>
      <c r="I64" s="25">
        <f t="array" ref="I64">SUM(IF("155"&amp;C64=KHC&amp;MH,SL))</f>
        <v>96</v>
      </c>
      <c r="J64" s="25">
        <f t="array" ref="J64">SUM(IF("155"&amp;C64=KHC&amp;MH,TH))</f>
        <v>1417633</v>
      </c>
      <c r="K64" s="8">
        <f t="shared" si="17"/>
        <v>0</v>
      </c>
      <c r="L64" s="8">
        <f t="shared" si="18"/>
        <v>0</v>
      </c>
      <c r="M64" s="282"/>
    </row>
    <row r="65" spans="1:13" ht="18.75" customHeight="1">
      <c r="A65" s="282" t="str">
        <f t="shared" si="15"/>
        <v>TP</v>
      </c>
      <c r="B65" s="295">
        <f t="shared" si="16"/>
        <v>31</v>
      </c>
      <c r="C65" s="187" t="s">
        <v>1211</v>
      </c>
      <c r="D65" s="294" t="s">
        <v>1458</v>
      </c>
      <c r="E65" s="8"/>
      <c r="F65" s="8"/>
      <c r="G65" s="25">
        <f t="array" ref="G65">SUM(IF("155"&amp;C65=KHN&amp;MH,SL))</f>
        <v>110</v>
      </c>
      <c r="H65" s="25">
        <f t="array" ref="H65">SUM(IF("155"&amp;C65=KHN&amp;MH,TH))</f>
        <v>1633548</v>
      </c>
      <c r="I65" s="25">
        <f t="array" ref="I65">SUM(IF("155"&amp;C65=KHC&amp;MH,SL))</f>
        <v>110</v>
      </c>
      <c r="J65" s="25">
        <f t="array" ref="J65">SUM(IF("155"&amp;C65=KHC&amp;MH,TH))</f>
        <v>1633548</v>
      </c>
      <c r="K65" s="8">
        <f t="shared" si="17"/>
        <v>0</v>
      </c>
      <c r="L65" s="8">
        <f t="shared" si="18"/>
        <v>0</v>
      </c>
      <c r="M65" s="282"/>
    </row>
    <row r="66" spans="1:13" ht="18.75" customHeight="1">
      <c r="A66" s="282" t="str">
        <f t="shared" si="15"/>
        <v>TP</v>
      </c>
      <c r="B66" s="295">
        <f t="shared" si="16"/>
        <v>32</v>
      </c>
      <c r="C66" s="190" t="s">
        <v>1226</v>
      </c>
      <c r="D66" s="294" t="s">
        <v>1458</v>
      </c>
      <c r="E66" s="8"/>
      <c r="F66" s="8"/>
      <c r="G66" s="25">
        <f t="array" ref="G66">SUM(IF("155"&amp;C66=KHN&amp;MH,SL))</f>
        <v>1000</v>
      </c>
      <c r="H66" s="25">
        <f t="array" ref="H66">SUM(IF("155"&amp;C66=KHN&amp;MH,TH))</f>
        <v>1334871</v>
      </c>
      <c r="I66" s="25">
        <f t="array" ref="I66">SUM(IF("155"&amp;C66=KHC&amp;MH,SL))</f>
        <v>1000</v>
      </c>
      <c r="J66" s="25">
        <f t="array" ref="J66">SUM(IF("155"&amp;C66=KHC&amp;MH,TH))</f>
        <v>1334871</v>
      </c>
      <c r="K66" s="8">
        <f t="shared" si="17"/>
        <v>0</v>
      </c>
      <c r="L66" s="8">
        <f t="shared" si="18"/>
        <v>0</v>
      </c>
      <c r="M66" s="282"/>
    </row>
    <row r="67" spans="1:13" ht="18.75" customHeight="1">
      <c r="A67" s="282" t="str">
        <f t="shared" ref="A67:A98" si="19">IF(B67&lt;&gt;"","TP","")</f>
        <v>TP</v>
      </c>
      <c r="B67" s="295">
        <f t="shared" ref="B67:B98" si="20">IF(C67&lt;&gt;"",B66+1,"")</f>
        <v>33</v>
      </c>
      <c r="C67" s="190" t="s">
        <v>694</v>
      </c>
      <c r="D67" s="294" t="s">
        <v>1458</v>
      </c>
      <c r="E67" s="8"/>
      <c r="F67" s="8"/>
      <c r="G67" s="25">
        <f t="array" ref="G67">SUM(IF("155"&amp;C67=KHN&amp;MH,SL))</f>
        <v>1100</v>
      </c>
      <c r="H67" s="25">
        <f t="array" ref="H67">SUM(IF("155"&amp;C67=KHN&amp;MH,TH))</f>
        <v>1560130</v>
      </c>
      <c r="I67" s="25">
        <f t="array" ref="I67">SUM(IF("155"&amp;C67=KHC&amp;MH,SL))</f>
        <v>1100</v>
      </c>
      <c r="J67" s="25">
        <f t="array" ref="J67">SUM(IF("155"&amp;C67=KHC&amp;MH,TH))</f>
        <v>1560130</v>
      </c>
      <c r="K67" s="8">
        <f t="shared" si="17"/>
        <v>0</v>
      </c>
      <c r="L67" s="8">
        <f t="shared" si="18"/>
        <v>0</v>
      </c>
      <c r="M67" s="282"/>
    </row>
    <row r="68" spans="1:13" ht="18.75" customHeight="1">
      <c r="A68" s="282" t="str">
        <f t="shared" si="19"/>
        <v>TP</v>
      </c>
      <c r="B68" s="295">
        <f t="shared" si="20"/>
        <v>34</v>
      </c>
      <c r="C68" s="190" t="s">
        <v>1219</v>
      </c>
      <c r="D68" s="294" t="s">
        <v>1458</v>
      </c>
      <c r="E68" s="8"/>
      <c r="F68" s="8"/>
      <c r="G68" s="25">
        <f t="array" ref="G68">SUM(IF("155"&amp;C68=KHN&amp;MH,SL))</f>
        <v>12</v>
      </c>
      <c r="H68" s="25">
        <f t="array" ref="H68">SUM(IF("155"&amp;C68=KHN&amp;MH,TH))</f>
        <v>72083</v>
      </c>
      <c r="I68" s="25">
        <f t="array" ref="I68">SUM(IF("155"&amp;C68=KHC&amp;MH,SL))</f>
        <v>12</v>
      </c>
      <c r="J68" s="25">
        <f t="array" ref="J68">SUM(IF("155"&amp;C68=KHC&amp;MH,TH))</f>
        <v>72083</v>
      </c>
      <c r="K68" s="8">
        <f t="shared" si="17"/>
        <v>0</v>
      </c>
      <c r="L68" s="8">
        <f t="shared" si="18"/>
        <v>0</v>
      </c>
      <c r="M68" s="282"/>
    </row>
    <row r="69" spans="1:13" ht="18.75" customHeight="1">
      <c r="A69" s="282" t="str">
        <f t="shared" si="19"/>
        <v>TP</v>
      </c>
      <c r="B69" s="295">
        <f t="shared" si="20"/>
        <v>35</v>
      </c>
      <c r="C69" s="190" t="s">
        <v>1220</v>
      </c>
      <c r="D69" s="294" t="s">
        <v>1458</v>
      </c>
      <c r="E69" s="8"/>
      <c r="F69" s="8"/>
      <c r="G69" s="25">
        <f t="array" ref="G69">SUM(IF("155"&amp;C69=KHN&amp;MH,SL))</f>
        <v>13</v>
      </c>
      <c r="H69" s="25">
        <f t="array" ref="H69">SUM(IF("155"&amp;C69=KHN&amp;MH,TH))</f>
        <v>99782</v>
      </c>
      <c r="I69" s="25">
        <f t="array" ref="I69">SUM(IF("155"&amp;C69=KHC&amp;MH,SL))</f>
        <v>13</v>
      </c>
      <c r="J69" s="25">
        <f t="array" ref="J69">SUM(IF("155"&amp;C69=KHC&amp;MH,TH))</f>
        <v>99782</v>
      </c>
      <c r="K69" s="8">
        <f t="shared" si="17"/>
        <v>0</v>
      </c>
      <c r="L69" s="8">
        <f t="shared" si="18"/>
        <v>0</v>
      </c>
      <c r="M69" s="282"/>
    </row>
    <row r="70" spans="1:13" ht="18.75" customHeight="1">
      <c r="A70" s="282" t="str">
        <f t="shared" si="19"/>
        <v>TP</v>
      </c>
      <c r="B70" s="295">
        <f t="shared" si="20"/>
        <v>36</v>
      </c>
      <c r="C70" s="190" t="s">
        <v>533</v>
      </c>
      <c r="D70" s="294" t="s">
        <v>1458</v>
      </c>
      <c r="E70" s="8"/>
      <c r="F70" s="8"/>
      <c r="G70" s="25">
        <f t="array" ref="G70">SUM(IF("155"&amp;C70=KHN&amp;MH,SL))</f>
        <v>2000</v>
      </c>
      <c r="H70" s="25">
        <f t="array" ref="H70">SUM(IF("155"&amp;C70=KHN&amp;MH,TH))</f>
        <v>8843520</v>
      </c>
      <c r="I70" s="25">
        <f t="array" ref="I70">SUM(IF("155"&amp;C70=KHC&amp;MH,SL))</f>
        <v>2000</v>
      </c>
      <c r="J70" s="25">
        <f t="array" ref="J70">SUM(IF("155"&amp;C70=KHC&amp;MH,TH))</f>
        <v>8843520</v>
      </c>
      <c r="K70" s="8">
        <f t="shared" si="17"/>
        <v>0</v>
      </c>
      <c r="L70" s="8">
        <f t="shared" si="18"/>
        <v>0</v>
      </c>
      <c r="M70" s="282"/>
    </row>
    <row r="71" spans="1:13" ht="18.75" customHeight="1">
      <c r="A71" s="282" t="str">
        <f t="shared" si="19"/>
        <v>TP</v>
      </c>
      <c r="B71" s="295">
        <f t="shared" si="20"/>
        <v>37</v>
      </c>
      <c r="C71" s="190" t="s">
        <v>1218</v>
      </c>
      <c r="D71" s="294" t="s">
        <v>1458</v>
      </c>
      <c r="E71" s="8"/>
      <c r="F71" s="8"/>
      <c r="G71" s="25">
        <f t="array" ref="G71">SUM(IF("155"&amp;C71=KHN&amp;MH,SL))</f>
        <v>900</v>
      </c>
      <c r="H71" s="25">
        <f t="array" ref="H71">SUM(IF("155"&amp;C71=KHN&amp;MH,TH))</f>
        <v>7133216</v>
      </c>
      <c r="I71" s="25">
        <f t="array" ref="I71">SUM(IF("155"&amp;C71=KHC&amp;MH,SL))</f>
        <v>900</v>
      </c>
      <c r="J71" s="25">
        <f t="array" ref="J71">SUM(IF("155"&amp;C71=KHC&amp;MH,TH))</f>
        <v>7133216</v>
      </c>
      <c r="K71" s="8">
        <f t="shared" si="17"/>
        <v>0</v>
      </c>
      <c r="L71" s="8">
        <f t="shared" si="18"/>
        <v>0</v>
      </c>
      <c r="M71" s="282"/>
    </row>
    <row r="72" spans="1:13" ht="18.75" customHeight="1">
      <c r="A72" s="282" t="str">
        <f t="shared" si="19"/>
        <v>TP</v>
      </c>
      <c r="B72" s="295">
        <f t="shared" si="20"/>
        <v>38</v>
      </c>
      <c r="C72" s="190" t="s">
        <v>1223</v>
      </c>
      <c r="D72" s="294" t="s">
        <v>1458</v>
      </c>
      <c r="E72" s="8"/>
      <c r="F72" s="8"/>
      <c r="G72" s="25">
        <f t="array" ref="G72">SUM(IF("155"&amp;C72=KHN&amp;MH,SL))</f>
        <v>900</v>
      </c>
      <c r="H72" s="25">
        <f t="array" ref="H72">SUM(IF("155"&amp;C72=KHN&amp;MH,TH))</f>
        <v>7208303</v>
      </c>
      <c r="I72" s="25">
        <f t="array" ref="I72">SUM(IF("155"&amp;C72=KHC&amp;MH,SL))</f>
        <v>900</v>
      </c>
      <c r="J72" s="25">
        <f t="array" ref="J72">SUM(IF("155"&amp;C72=KHC&amp;MH,TH))</f>
        <v>7208303</v>
      </c>
      <c r="K72" s="8">
        <f t="shared" si="17"/>
        <v>0</v>
      </c>
      <c r="L72" s="8">
        <f t="shared" si="18"/>
        <v>0</v>
      </c>
      <c r="M72" s="282"/>
    </row>
    <row r="73" spans="1:13" ht="18.75" customHeight="1">
      <c r="A73" s="282" t="str">
        <f t="shared" si="19"/>
        <v>TP</v>
      </c>
      <c r="B73" s="295">
        <f t="shared" si="20"/>
        <v>39</v>
      </c>
      <c r="C73" s="190" t="s">
        <v>1215</v>
      </c>
      <c r="D73" s="294" t="s">
        <v>1458</v>
      </c>
      <c r="E73" s="8"/>
      <c r="F73" s="8"/>
      <c r="G73" s="25">
        <f t="array" ref="G73">SUM(IF("155"&amp;C73=KHN&amp;MH,SL))</f>
        <v>25</v>
      </c>
      <c r="H73" s="25">
        <f t="array" ref="H73">SUM(IF("155"&amp;C73=KHN&amp;MH,TH))</f>
        <v>179373</v>
      </c>
      <c r="I73" s="25">
        <f t="array" ref="I73">SUM(IF("155"&amp;C73=KHC&amp;MH,SL))</f>
        <v>25</v>
      </c>
      <c r="J73" s="25">
        <f t="array" ref="J73">SUM(IF("155"&amp;C73=KHC&amp;MH,TH))</f>
        <v>179373</v>
      </c>
      <c r="K73" s="8">
        <f t="shared" si="17"/>
        <v>0</v>
      </c>
      <c r="L73" s="8">
        <f t="shared" si="18"/>
        <v>0</v>
      </c>
      <c r="M73" s="282"/>
    </row>
    <row r="74" spans="1:13" ht="18.75" customHeight="1">
      <c r="A74" s="282" t="str">
        <f t="shared" si="19"/>
        <v>TP</v>
      </c>
      <c r="B74" s="295">
        <f t="shared" si="20"/>
        <v>40</v>
      </c>
      <c r="C74" s="190" t="s">
        <v>708</v>
      </c>
      <c r="D74" s="294" t="s">
        <v>1458</v>
      </c>
      <c r="E74" s="8"/>
      <c r="F74" s="8"/>
      <c r="G74" s="25">
        <f t="array" ref="G74">SUM(IF("155"&amp;C74=KHN&amp;MH,SL))</f>
        <v>70</v>
      </c>
      <c r="H74" s="25">
        <f t="array" ref="H74">SUM(IF("155"&amp;C74=KHN&amp;MH,TH))</f>
        <v>852649</v>
      </c>
      <c r="I74" s="25">
        <f t="array" ref="I74">SUM(IF("155"&amp;C74=KHC&amp;MH,SL))</f>
        <v>70</v>
      </c>
      <c r="J74" s="25">
        <f t="array" ref="J74">SUM(IF("155"&amp;C74=KHC&amp;MH,TH))</f>
        <v>852649</v>
      </c>
      <c r="K74" s="8">
        <f t="shared" si="17"/>
        <v>0</v>
      </c>
      <c r="L74" s="8">
        <f t="shared" si="18"/>
        <v>0</v>
      </c>
      <c r="M74" s="282"/>
    </row>
    <row r="75" spans="1:13" ht="18.75" customHeight="1">
      <c r="A75" s="282" t="str">
        <f t="shared" si="19"/>
        <v>TP</v>
      </c>
      <c r="B75" s="295">
        <f t="shared" si="20"/>
        <v>41</v>
      </c>
      <c r="C75" s="190" t="s">
        <v>1232</v>
      </c>
      <c r="D75" s="294" t="s">
        <v>1458</v>
      </c>
      <c r="E75" s="8"/>
      <c r="F75" s="8"/>
      <c r="G75" s="25">
        <f t="array" ref="G75">SUM(IF("155"&amp;C75=KHN&amp;MH,SL))</f>
        <v>20</v>
      </c>
      <c r="H75" s="25">
        <f t="array" ref="H75">SUM(IF("155"&amp;C75=KHN&amp;MH,TH))</f>
        <v>258631</v>
      </c>
      <c r="I75" s="25">
        <f t="array" ref="I75">SUM(IF("155"&amp;C75=KHC&amp;MH,SL))</f>
        <v>20</v>
      </c>
      <c r="J75" s="25">
        <f t="array" ref="J75">SUM(IF("155"&amp;C75=KHC&amp;MH,TH))</f>
        <v>258631</v>
      </c>
      <c r="K75" s="8">
        <f t="shared" si="17"/>
        <v>0</v>
      </c>
      <c r="L75" s="8">
        <f t="shared" si="18"/>
        <v>0</v>
      </c>
      <c r="M75" s="282"/>
    </row>
    <row r="76" spans="1:13" ht="18.75" customHeight="1">
      <c r="A76" s="282" t="str">
        <f t="shared" si="19"/>
        <v>TP</v>
      </c>
      <c r="B76" s="295">
        <f t="shared" si="20"/>
        <v>42</v>
      </c>
      <c r="C76" s="190" t="s">
        <v>696</v>
      </c>
      <c r="D76" s="294" t="s">
        <v>1458</v>
      </c>
      <c r="E76" s="8"/>
      <c r="F76" s="8"/>
      <c r="G76" s="25">
        <f t="array" ref="G76">SUM(IF("155"&amp;C76=KHN&amp;MH,SL))</f>
        <v>40</v>
      </c>
      <c r="H76" s="25">
        <f t="array" ref="H76">SUM(IF("155"&amp;C76=KHN&amp;MH,TH))</f>
        <v>303683</v>
      </c>
      <c r="I76" s="25">
        <f t="array" ref="I76">SUM(IF("155"&amp;C76=KHC&amp;MH,SL))</f>
        <v>40</v>
      </c>
      <c r="J76" s="25">
        <f t="array" ref="J76">SUM(IF("155"&amp;C76=KHC&amp;MH,TH))</f>
        <v>303683</v>
      </c>
      <c r="K76" s="8">
        <f t="shared" si="17"/>
        <v>0</v>
      </c>
      <c r="L76" s="8">
        <f t="shared" si="18"/>
        <v>0</v>
      </c>
      <c r="M76" s="282"/>
    </row>
    <row r="77" spans="1:13" ht="18.75" customHeight="1">
      <c r="A77" s="282" t="str">
        <f t="shared" si="19"/>
        <v>TP</v>
      </c>
      <c r="B77" s="295">
        <f t="shared" si="20"/>
        <v>43</v>
      </c>
      <c r="C77" s="190" t="s">
        <v>706</v>
      </c>
      <c r="D77" s="294" t="s">
        <v>1458</v>
      </c>
      <c r="E77" s="8"/>
      <c r="F77" s="8"/>
      <c r="G77" s="25">
        <f t="array" ref="G77">SUM(IF("155"&amp;C77=KHN&amp;MH,SL))</f>
        <v>40</v>
      </c>
      <c r="H77" s="25">
        <f t="array" ref="H77">SUM(IF("155"&amp;C77=KHN&amp;MH,TH))</f>
        <v>323706</v>
      </c>
      <c r="I77" s="25">
        <f t="array" ref="I77">SUM(IF("155"&amp;C77=KHC&amp;MH,SL))</f>
        <v>40</v>
      </c>
      <c r="J77" s="25">
        <f t="array" ref="J77">SUM(IF("155"&amp;C77=KHC&amp;MH,TH))</f>
        <v>323706</v>
      </c>
      <c r="K77" s="8">
        <f t="shared" si="17"/>
        <v>0</v>
      </c>
      <c r="L77" s="8">
        <f t="shared" si="18"/>
        <v>0</v>
      </c>
      <c r="M77" s="282"/>
    </row>
    <row r="78" spans="1:13" ht="18.75" customHeight="1">
      <c r="A78" s="282" t="str">
        <f t="shared" si="19"/>
        <v>TP</v>
      </c>
      <c r="B78" s="295">
        <f t="shared" si="20"/>
        <v>44</v>
      </c>
      <c r="C78" s="190" t="s">
        <v>530</v>
      </c>
      <c r="D78" s="294" t="s">
        <v>1458</v>
      </c>
      <c r="E78" s="8"/>
      <c r="F78" s="8"/>
      <c r="G78" s="25">
        <f t="array" ref="G78">SUM(IF("155"&amp;C78=KHN&amp;MH,SL))</f>
        <v>100</v>
      </c>
      <c r="H78" s="25">
        <f t="array" ref="H78">SUM(IF("155"&amp;C78=KHN&amp;MH,TH))</f>
        <v>825951</v>
      </c>
      <c r="I78" s="25">
        <f t="array" ref="I78">SUM(IF("155"&amp;C78=KHC&amp;MH,SL))</f>
        <v>100</v>
      </c>
      <c r="J78" s="25">
        <f t="array" ref="J78">SUM(IF("155"&amp;C78=KHC&amp;MH,TH))</f>
        <v>825951</v>
      </c>
      <c r="K78" s="8">
        <f t="shared" si="17"/>
        <v>0</v>
      </c>
      <c r="L78" s="8">
        <f t="shared" si="18"/>
        <v>0</v>
      </c>
      <c r="M78" s="282"/>
    </row>
    <row r="79" spans="1:13" ht="18" customHeight="1">
      <c r="A79" s="282" t="str">
        <f t="shared" si="19"/>
        <v>TP</v>
      </c>
      <c r="B79" s="295">
        <f t="shared" si="20"/>
        <v>45</v>
      </c>
      <c r="C79" s="190" t="s">
        <v>531</v>
      </c>
      <c r="D79" s="294" t="s">
        <v>1458</v>
      </c>
      <c r="E79" s="8"/>
      <c r="F79" s="8"/>
      <c r="G79" s="25">
        <f t="array" ref="G79">SUM(IF("155"&amp;C79=KHN&amp;MH,SL))</f>
        <v>300</v>
      </c>
      <c r="H79" s="25">
        <f t="array" ref="H79">SUM(IF("155"&amp;C79=KHN&amp;MH,TH))</f>
        <v>2653056</v>
      </c>
      <c r="I79" s="25">
        <f t="array" ref="I79">SUM(IF("155"&amp;C79=KHC&amp;MH,SL))</f>
        <v>300</v>
      </c>
      <c r="J79" s="25">
        <f t="array" ref="J79">SUM(IF("155"&amp;C79=KHC&amp;MH,TH))</f>
        <v>2653056</v>
      </c>
      <c r="K79" s="8">
        <f t="shared" si="17"/>
        <v>0</v>
      </c>
      <c r="L79" s="8">
        <f t="shared" si="18"/>
        <v>0</v>
      </c>
      <c r="M79" s="282"/>
    </row>
    <row r="80" spans="1:13" ht="18" customHeight="1">
      <c r="A80" s="282" t="str">
        <f t="shared" si="19"/>
        <v>TP</v>
      </c>
      <c r="B80" s="295">
        <f t="shared" si="20"/>
        <v>46</v>
      </c>
      <c r="C80" s="190" t="s">
        <v>699</v>
      </c>
      <c r="D80" s="294" t="s">
        <v>1458</v>
      </c>
      <c r="E80" s="8"/>
      <c r="F80" s="8"/>
      <c r="G80" s="25">
        <f t="array" ref="G80">SUM(IF("155"&amp;C80=KHN&amp;MH,SL))</f>
        <v>40</v>
      </c>
      <c r="H80" s="25">
        <f t="array" ref="H80">SUM(IF("155"&amp;C80=KHN&amp;MH,TH))</f>
        <v>370427</v>
      </c>
      <c r="I80" s="25">
        <f t="array" ref="I80">SUM(IF("155"&amp;C80=KHC&amp;MH,SL))</f>
        <v>40</v>
      </c>
      <c r="J80" s="25">
        <f t="array" ref="J80">SUM(IF("155"&amp;C80=KHC&amp;MH,TH))</f>
        <v>370427</v>
      </c>
      <c r="K80" s="8">
        <f t="shared" si="17"/>
        <v>0</v>
      </c>
      <c r="L80" s="8">
        <f t="shared" si="18"/>
        <v>0</v>
      </c>
      <c r="M80" s="282"/>
    </row>
    <row r="81" spans="1:13" ht="18.75" customHeight="1">
      <c r="A81" s="282" t="str">
        <f t="shared" si="19"/>
        <v>TP</v>
      </c>
      <c r="B81" s="295">
        <f t="shared" si="20"/>
        <v>47</v>
      </c>
      <c r="C81" s="190" t="s">
        <v>709</v>
      </c>
      <c r="D81" s="294" t="s">
        <v>1458</v>
      </c>
      <c r="E81" s="8"/>
      <c r="F81" s="8"/>
      <c r="G81" s="25">
        <f t="array" ref="G81">SUM(IF("155"&amp;C81=KHN&amp;MH,SL))</f>
        <v>300</v>
      </c>
      <c r="H81" s="25">
        <f t="array" ref="H81">SUM(IF("155"&amp;C81=KHN&amp;MH,TH))</f>
        <v>3954555</v>
      </c>
      <c r="I81" s="25">
        <f t="array" ref="I81">SUM(IF("155"&amp;C81=KHC&amp;MH,SL))</f>
        <v>300</v>
      </c>
      <c r="J81" s="25">
        <f t="array" ref="J81">SUM(IF("155"&amp;C81=KHC&amp;MH,TH))</f>
        <v>3954555</v>
      </c>
      <c r="K81" s="8">
        <f t="shared" si="17"/>
        <v>0</v>
      </c>
      <c r="L81" s="8">
        <f t="shared" si="18"/>
        <v>0</v>
      </c>
      <c r="M81" s="282"/>
    </row>
    <row r="82" spans="1:13" ht="18.75" customHeight="1">
      <c r="A82" s="282" t="str">
        <f t="shared" si="19"/>
        <v>TP</v>
      </c>
      <c r="B82" s="295">
        <f t="shared" si="20"/>
        <v>48</v>
      </c>
      <c r="C82" s="190" t="s">
        <v>710</v>
      </c>
      <c r="D82" s="294" t="s">
        <v>1458</v>
      </c>
      <c r="E82" s="8"/>
      <c r="F82" s="8"/>
      <c r="G82" s="25">
        <f t="array" ref="G82">SUM(IF("155"&amp;C82=KHN&amp;MH,SL))</f>
        <v>500</v>
      </c>
      <c r="H82" s="25">
        <f t="array" ref="H82">SUM(IF("155"&amp;C82=KHN&amp;MH,TH))</f>
        <v>7800652</v>
      </c>
      <c r="I82" s="25">
        <f t="array" ref="I82">SUM(IF("155"&amp;C82=KHC&amp;MH,SL))</f>
        <v>500</v>
      </c>
      <c r="J82" s="25">
        <f t="array" ref="J82">SUM(IF("155"&amp;C82=KHC&amp;MH,TH))</f>
        <v>7800652</v>
      </c>
      <c r="K82" s="8">
        <f t="shared" si="17"/>
        <v>0</v>
      </c>
      <c r="L82" s="8">
        <f t="shared" si="18"/>
        <v>0</v>
      </c>
      <c r="M82" s="282"/>
    </row>
    <row r="83" spans="1:13" ht="18.75" customHeight="1">
      <c r="A83" s="282" t="str">
        <f t="shared" si="19"/>
        <v>TP</v>
      </c>
      <c r="B83" s="295">
        <f t="shared" si="20"/>
        <v>49</v>
      </c>
      <c r="C83" s="190" t="s">
        <v>1228</v>
      </c>
      <c r="D83" s="294" t="s">
        <v>1458</v>
      </c>
      <c r="E83" s="8"/>
      <c r="F83" s="8"/>
      <c r="G83" s="25">
        <f t="array" ref="G83">SUM(IF("155"&amp;C83=KHN&amp;MH,SL))</f>
        <v>420</v>
      </c>
      <c r="H83" s="25">
        <f t="array" ref="H83">SUM(IF("155"&amp;C83=KHN&amp;MH,TH))</f>
        <v>3679238</v>
      </c>
      <c r="I83" s="25">
        <f t="array" ref="I83">SUM(IF("155"&amp;C83=KHC&amp;MH,SL))</f>
        <v>420</v>
      </c>
      <c r="J83" s="25">
        <f t="array" ref="J83">SUM(IF("155"&amp;C83=KHC&amp;MH,TH))</f>
        <v>3679238</v>
      </c>
      <c r="K83" s="8">
        <f t="shared" si="17"/>
        <v>0</v>
      </c>
      <c r="L83" s="8">
        <f t="shared" si="18"/>
        <v>0</v>
      </c>
      <c r="M83" s="282"/>
    </row>
    <row r="84" spans="1:13" ht="18.75" customHeight="1">
      <c r="A84" s="282" t="str">
        <f t="shared" si="19"/>
        <v>TP</v>
      </c>
      <c r="B84" s="295">
        <f t="shared" si="20"/>
        <v>50</v>
      </c>
      <c r="C84" s="190" t="s">
        <v>1216</v>
      </c>
      <c r="D84" s="294" t="s">
        <v>1458</v>
      </c>
      <c r="E84" s="8"/>
      <c r="F84" s="8"/>
      <c r="G84" s="25">
        <f t="array" ref="G84">SUM(IF("155"&amp;C84=KHN&amp;MH,SL))</f>
        <v>10</v>
      </c>
      <c r="H84" s="25">
        <f t="array" ref="H84">SUM(IF("155"&amp;C84=KHN&amp;MH,TH))</f>
        <v>93441</v>
      </c>
      <c r="I84" s="25">
        <f t="array" ref="I84">SUM(IF("155"&amp;C84=KHC&amp;MH,SL))</f>
        <v>10</v>
      </c>
      <c r="J84" s="25">
        <f t="array" ref="J84">SUM(IF("155"&amp;C84=KHC&amp;MH,TH))</f>
        <v>93441</v>
      </c>
      <c r="K84" s="8">
        <f t="shared" si="17"/>
        <v>0</v>
      </c>
      <c r="L84" s="8">
        <f t="shared" si="18"/>
        <v>0</v>
      </c>
      <c r="M84" s="282"/>
    </row>
    <row r="85" spans="1:13" ht="18.75" customHeight="1">
      <c r="A85" s="282" t="str">
        <f t="shared" si="19"/>
        <v>TP</v>
      </c>
      <c r="B85" s="295">
        <f t="shared" si="20"/>
        <v>51</v>
      </c>
      <c r="C85" s="190" t="s">
        <v>1209</v>
      </c>
      <c r="D85" s="294" t="s">
        <v>1458</v>
      </c>
      <c r="E85" s="8"/>
      <c r="F85" s="8"/>
      <c r="G85" s="25">
        <f t="array" ref="G85">SUM(IF("155"&amp;C85=KHN&amp;MH,SL))</f>
        <v>70</v>
      </c>
      <c r="H85" s="25">
        <f t="array" ref="H85">SUM(IF("155"&amp;C85=KHN&amp;MH,TH))</f>
        <v>408804</v>
      </c>
      <c r="I85" s="25">
        <f t="array" ref="I85">SUM(IF("155"&amp;C85=KHC&amp;MH,SL))</f>
        <v>70</v>
      </c>
      <c r="J85" s="25">
        <f t="array" ref="J85">SUM(IF("155"&amp;C85=KHC&amp;MH,TH))</f>
        <v>408804</v>
      </c>
      <c r="K85" s="8">
        <f t="shared" si="17"/>
        <v>0</v>
      </c>
      <c r="L85" s="8">
        <f t="shared" si="18"/>
        <v>0</v>
      </c>
      <c r="M85" s="282"/>
    </row>
    <row r="86" spans="1:13" ht="18.75" customHeight="1">
      <c r="A86" s="282" t="str">
        <f t="shared" si="19"/>
        <v>TP</v>
      </c>
      <c r="B86" s="295">
        <f t="shared" si="20"/>
        <v>52</v>
      </c>
      <c r="C86" s="190" t="s">
        <v>1217</v>
      </c>
      <c r="D86" s="294" t="s">
        <v>1458</v>
      </c>
      <c r="E86" s="8"/>
      <c r="F86" s="8"/>
      <c r="G86" s="25">
        <f t="array" ref="G86">SUM(IF("155"&amp;C86=KHN&amp;MH,SL))</f>
        <v>580</v>
      </c>
      <c r="H86" s="25">
        <f t="array" ref="H86">SUM(IF("155"&amp;C86=KHN&amp;MH,TH))</f>
        <v>5129241</v>
      </c>
      <c r="I86" s="25">
        <f t="array" ref="I86">SUM(IF("155"&amp;C86=KHC&amp;MH,SL))</f>
        <v>580</v>
      </c>
      <c r="J86" s="25">
        <f t="array" ref="J86">SUM(IF("155"&amp;C86=KHC&amp;MH,TH))</f>
        <v>5129241</v>
      </c>
      <c r="K86" s="8">
        <f t="shared" si="17"/>
        <v>0</v>
      </c>
      <c r="L86" s="8">
        <f t="shared" si="18"/>
        <v>0</v>
      </c>
      <c r="M86" s="282"/>
    </row>
    <row r="87" spans="1:13" ht="18.75" customHeight="1">
      <c r="A87" s="282" t="str">
        <f t="shared" si="19"/>
        <v>TP</v>
      </c>
      <c r="B87" s="295">
        <f t="shared" si="20"/>
        <v>53</v>
      </c>
      <c r="C87" s="190" t="s">
        <v>703</v>
      </c>
      <c r="D87" s="294" t="s">
        <v>1458</v>
      </c>
      <c r="E87" s="8"/>
      <c r="F87" s="8"/>
      <c r="G87" s="25">
        <f t="array" ref="G87">SUM(IF("155"&amp;C87=KHN&amp;MH,SL))</f>
        <v>125</v>
      </c>
      <c r="H87" s="25">
        <f t="array" ref="H87">SUM(IF("155"&amp;C87=KHN&amp;MH,TH))</f>
        <v>1115869</v>
      </c>
      <c r="I87" s="25">
        <f t="array" ref="I87">SUM(IF("155"&amp;C87=KHC&amp;MH,SL))</f>
        <v>125</v>
      </c>
      <c r="J87" s="25">
        <f t="array" ref="J87">SUM(IF("155"&amp;C87=KHC&amp;MH,TH))</f>
        <v>1115869</v>
      </c>
      <c r="K87" s="8">
        <f t="shared" si="17"/>
        <v>0</v>
      </c>
      <c r="L87" s="8">
        <f t="shared" si="18"/>
        <v>0</v>
      </c>
      <c r="M87" s="282"/>
    </row>
    <row r="88" spans="1:13" ht="18.75" customHeight="1">
      <c r="A88" s="282" t="str">
        <f t="shared" si="19"/>
        <v>TP</v>
      </c>
      <c r="B88" s="295">
        <f t="shared" si="20"/>
        <v>54</v>
      </c>
      <c r="C88" s="190" t="s">
        <v>1210</v>
      </c>
      <c r="D88" s="294" t="s">
        <v>1458</v>
      </c>
      <c r="E88" s="8"/>
      <c r="F88" s="8"/>
      <c r="G88" s="25">
        <f t="array" ref="G88">SUM(IF("155"&amp;C88=KHN&amp;MH,SL))</f>
        <v>130</v>
      </c>
      <c r="H88" s="25">
        <f t="array" ref="H88">SUM(IF("155"&amp;C88=KHN&amp;MH,TH))</f>
        <v>1171349</v>
      </c>
      <c r="I88" s="25">
        <f t="array" ref="I88">SUM(IF("155"&amp;C88=KHC&amp;MH,SL))</f>
        <v>130</v>
      </c>
      <c r="J88" s="25">
        <f t="array" ref="J88">SUM(IF("155"&amp;C88=KHC&amp;MH,TH))</f>
        <v>1171349</v>
      </c>
      <c r="K88" s="8">
        <f t="shared" si="17"/>
        <v>0</v>
      </c>
      <c r="L88" s="8">
        <f t="shared" si="18"/>
        <v>0</v>
      </c>
      <c r="M88" s="282"/>
    </row>
    <row r="89" spans="1:13" ht="18.75" customHeight="1">
      <c r="A89" s="282" t="str">
        <f t="shared" si="19"/>
        <v>TP</v>
      </c>
      <c r="B89" s="295">
        <f t="shared" si="20"/>
        <v>55</v>
      </c>
      <c r="C89" s="190" t="s">
        <v>516</v>
      </c>
      <c r="D89" s="294" t="s">
        <v>1458</v>
      </c>
      <c r="E89" s="8"/>
      <c r="F89" s="8"/>
      <c r="G89" s="25">
        <f t="array" ref="G89">SUM(IF("155"&amp;C89=KHN&amp;MH,SL))</f>
        <v>200</v>
      </c>
      <c r="H89" s="25">
        <f t="array" ref="H89">SUM(IF("155"&amp;C89=KHN&amp;MH,TH))</f>
        <v>2185851</v>
      </c>
      <c r="I89" s="25">
        <f t="array" ref="I89">SUM(IF("155"&amp;C89=KHC&amp;MH,SL))</f>
        <v>200</v>
      </c>
      <c r="J89" s="25">
        <f t="array" ref="J89">SUM(IF("155"&amp;C89=KHC&amp;MH,TH))</f>
        <v>2185851</v>
      </c>
      <c r="K89" s="8">
        <f t="shared" si="17"/>
        <v>0</v>
      </c>
      <c r="L89" s="8">
        <f t="shared" si="18"/>
        <v>0</v>
      </c>
      <c r="M89" s="282"/>
    </row>
    <row r="90" spans="1:13" ht="18.75" customHeight="1">
      <c r="A90" s="282" t="str">
        <f t="shared" si="19"/>
        <v>TP</v>
      </c>
      <c r="B90" s="295">
        <f t="shared" si="20"/>
        <v>56</v>
      </c>
      <c r="C90" s="190" t="s">
        <v>1230</v>
      </c>
      <c r="D90" s="294" t="s">
        <v>1458</v>
      </c>
      <c r="E90" s="8"/>
      <c r="F90" s="8"/>
      <c r="G90" s="25">
        <f t="array" ref="G90">SUM(IF("155"&amp;C90=KHN&amp;MH,SL))</f>
        <v>15</v>
      </c>
      <c r="H90" s="25">
        <f t="array" ref="H90">SUM(IF("155"&amp;C90=KHN&amp;MH,TH))</f>
        <v>187716</v>
      </c>
      <c r="I90" s="25">
        <f t="array" ref="I90">SUM(IF("155"&amp;C90=KHC&amp;MH,SL))</f>
        <v>15</v>
      </c>
      <c r="J90" s="25">
        <f t="array" ref="J90">SUM(IF("155"&amp;C90=KHC&amp;MH,TH))</f>
        <v>187716</v>
      </c>
      <c r="K90" s="8">
        <f t="shared" si="17"/>
        <v>0</v>
      </c>
      <c r="L90" s="8">
        <f t="shared" si="18"/>
        <v>0</v>
      </c>
      <c r="M90" s="282"/>
    </row>
    <row r="91" spans="1:13" ht="18.75" customHeight="1">
      <c r="A91" s="282" t="str">
        <f t="shared" si="19"/>
        <v>TP</v>
      </c>
      <c r="B91" s="295">
        <f t="shared" si="20"/>
        <v>57</v>
      </c>
      <c r="C91" s="190" t="s">
        <v>1205</v>
      </c>
      <c r="D91" s="294" t="s">
        <v>1458</v>
      </c>
      <c r="E91" s="8"/>
      <c r="F91" s="8"/>
      <c r="G91" s="25">
        <f t="array" ref="G91">SUM(IF("155"&amp;C91=KHN&amp;MH,SL))</f>
        <v>320</v>
      </c>
      <c r="H91" s="25">
        <f t="array" ref="H91">SUM(IF("155"&amp;C91=KHN&amp;MH,TH))</f>
        <v>4191495</v>
      </c>
      <c r="I91" s="25">
        <f t="array" ref="I91">SUM(IF("155"&amp;C91=KHC&amp;MH,SL))</f>
        <v>320</v>
      </c>
      <c r="J91" s="25">
        <f t="array" ref="J91">SUM(IF("155"&amp;C91=KHC&amp;MH,TH))</f>
        <v>4191495</v>
      </c>
      <c r="K91" s="8">
        <f t="shared" si="17"/>
        <v>0</v>
      </c>
      <c r="L91" s="8">
        <f t="shared" si="18"/>
        <v>0</v>
      </c>
      <c r="M91" s="282"/>
    </row>
    <row r="92" spans="1:13" ht="18.75" customHeight="1">
      <c r="A92" s="282" t="str">
        <f t="shared" si="19"/>
        <v>TP</v>
      </c>
      <c r="B92" s="295">
        <f t="shared" si="20"/>
        <v>58</v>
      </c>
      <c r="C92" s="190" t="s">
        <v>1224</v>
      </c>
      <c r="D92" s="294" t="s">
        <v>1458</v>
      </c>
      <c r="E92" s="8"/>
      <c r="F92" s="8"/>
      <c r="G92" s="25">
        <f t="array" ref="G92">SUM(IF("155"&amp;C92=KHN&amp;MH,SL))</f>
        <v>10</v>
      </c>
      <c r="H92" s="25">
        <f t="array" ref="H92">SUM(IF("155"&amp;C92=KHN&amp;MH,TH))</f>
        <v>146002</v>
      </c>
      <c r="I92" s="25">
        <f t="array" ref="I92">SUM(IF("155"&amp;C92=KHC&amp;MH,SL))</f>
        <v>10</v>
      </c>
      <c r="J92" s="25">
        <f t="array" ref="J92">SUM(IF("155"&amp;C92=KHC&amp;MH,TH))</f>
        <v>146002</v>
      </c>
      <c r="K92" s="8">
        <f t="shared" si="17"/>
        <v>0</v>
      </c>
      <c r="L92" s="8">
        <f t="shared" si="18"/>
        <v>0</v>
      </c>
      <c r="M92" s="282"/>
    </row>
    <row r="93" spans="1:13" ht="18.75" customHeight="1">
      <c r="A93" s="282" t="str">
        <f t="shared" si="19"/>
        <v>TP</v>
      </c>
      <c r="B93" s="295">
        <f t="shared" si="20"/>
        <v>59</v>
      </c>
      <c r="C93" s="190" t="s">
        <v>701</v>
      </c>
      <c r="D93" s="294" t="s">
        <v>1458</v>
      </c>
      <c r="E93" s="8"/>
      <c r="F93" s="8"/>
      <c r="G93" s="25">
        <f t="array" ref="G93">SUM(IF("155"&amp;C93=KHN&amp;MH,SL))</f>
        <v>195</v>
      </c>
      <c r="H93" s="25">
        <f t="array" ref="H93">SUM(IF("155"&amp;C93=KHN&amp;MH,TH))</f>
        <v>1285230</v>
      </c>
      <c r="I93" s="25">
        <f t="array" ref="I93">SUM(IF("155"&amp;C93=KHC&amp;MH,SL))</f>
        <v>195</v>
      </c>
      <c r="J93" s="25">
        <f t="array" ref="J93">SUM(IF("155"&amp;C93=KHC&amp;MH,TH))</f>
        <v>1285230</v>
      </c>
      <c r="K93" s="8">
        <f t="shared" si="17"/>
        <v>0</v>
      </c>
      <c r="L93" s="8">
        <f t="shared" si="18"/>
        <v>0</v>
      </c>
      <c r="M93" s="282"/>
    </row>
    <row r="94" spans="1:13" ht="18.75" customHeight="1">
      <c r="A94" s="282" t="str">
        <f t="shared" si="19"/>
        <v>TP</v>
      </c>
      <c r="B94" s="295">
        <f t="shared" si="20"/>
        <v>60</v>
      </c>
      <c r="C94" s="190" t="s">
        <v>1433</v>
      </c>
      <c r="D94" s="294" t="s">
        <v>1459</v>
      </c>
      <c r="E94" s="8"/>
      <c r="F94" s="8"/>
      <c r="G94" s="25">
        <f t="array" ref="G94">SUM(IF("155"&amp;C94=KHN&amp;MH,SL))</f>
        <v>300</v>
      </c>
      <c r="H94" s="25">
        <f t="array" ref="H94">SUM(IF("155"&amp;C94=KHN&amp;MH,TH))</f>
        <v>690447</v>
      </c>
      <c r="I94" s="25">
        <f t="array" ref="I94">SUM(IF("155"&amp;C94=KHC&amp;MH,SL))</f>
        <v>300</v>
      </c>
      <c r="J94" s="25">
        <f t="array" ref="J94">SUM(IF("155"&amp;C94=KHC&amp;MH,TH))</f>
        <v>690447</v>
      </c>
      <c r="K94" s="8">
        <f t="shared" si="17"/>
        <v>0</v>
      </c>
      <c r="L94" s="8">
        <f t="shared" si="18"/>
        <v>0</v>
      </c>
      <c r="M94" s="282"/>
    </row>
    <row r="95" spans="1:13" ht="19.5" customHeight="1">
      <c r="A95" s="282" t="str">
        <f t="shared" si="19"/>
        <v>TP</v>
      </c>
      <c r="B95" s="295">
        <f t="shared" si="20"/>
        <v>61</v>
      </c>
      <c r="C95" s="187" t="s">
        <v>1432</v>
      </c>
      <c r="D95" s="294" t="s">
        <v>1459</v>
      </c>
      <c r="E95" s="8"/>
      <c r="F95" s="8"/>
      <c r="G95" s="25">
        <f t="array" ref="G95">SUM(IF("155"&amp;C95=KHN&amp;MH,SL))</f>
        <v>750</v>
      </c>
      <c r="H95" s="25">
        <f t="array" ref="H95">SUM(IF("155"&amp;C95=KHN&amp;MH,TH))</f>
        <v>1406466</v>
      </c>
      <c r="I95" s="25">
        <f t="array" ref="I95">SUM(IF("155"&amp;C95=KHC&amp;MH,SL))</f>
        <v>750</v>
      </c>
      <c r="J95" s="25">
        <f t="array" ref="J95">SUM(IF("155"&amp;C95=KHC&amp;MH,TH))</f>
        <v>1406466</v>
      </c>
      <c r="K95" s="8">
        <f t="shared" si="17"/>
        <v>0</v>
      </c>
      <c r="L95" s="8">
        <f t="shared" si="18"/>
        <v>0</v>
      </c>
      <c r="M95" s="282"/>
    </row>
    <row r="96" spans="1:13" ht="19.5" customHeight="1">
      <c r="A96" s="282" t="str">
        <f t="shared" si="19"/>
        <v>TP</v>
      </c>
      <c r="B96" s="295">
        <f t="shared" si="20"/>
        <v>62</v>
      </c>
      <c r="C96" s="40" t="s">
        <v>1370</v>
      </c>
      <c r="D96" s="294" t="s">
        <v>1458</v>
      </c>
      <c r="E96" s="8"/>
      <c r="F96" s="8"/>
      <c r="G96" s="25">
        <f t="array" ref="G96">SUM(IF("155"&amp;C96=KHN&amp;MH,SL))</f>
        <v>123</v>
      </c>
      <c r="H96" s="25">
        <f t="array" ref="H96">SUM(IF("155"&amp;C96=KHN&amp;MH,TH))</f>
        <v>145276</v>
      </c>
      <c r="I96" s="25">
        <f t="array" ref="I96">SUM(IF("155"&amp;C96=KHC&amp;MH,SL))</f>
        <v>123</v>
      </c>
      <c r="J96" s="25">
        <f t="array" ref="J96">SUM(IF("155"&amp;C96=KHC&amp;MH,TH))</f>
        <v>145276</v>
      </c>
      <c r="K96" s="8">
        <f t="shared" si="17"/>
        <v>0</v>
      </c>
      <c r="L96" s="8">
        <f t="shared" si="18"/>
        <v>0</v>
      </c>
      <c r="M96" s="282"/>
    </row>
    <row r="97" spans="1:13" ht="19.5" customHeight="1">
      <c r="A97" s="282" t="str">
        <f t="shared" si="19"/>
        <v>TP</v>
      </c>
      <c r="B97" s="295">
        <f t="shared" si="20"/>
        <v>63</v>
      </c>
      <c r="C97" s="40" t="s">
        <v>1320</v>
      </c>
      <c r="D97" s="294" t="s">
        <v>1458</v>
      </c>
      <c r="E97" s="8"/>
      <c r="F97" s="8"/>
      <c r="G97" s="25">
        <f t="array" ref="G97">SUM(IF("155"&amp;C97=KHN&amp;MH,SL))</f>
        <v>5070</v>
      </c>
      <c r="H97" s="25">
        <f t="array" ref="H97">SUM(IF("155"&amp;C97=KHN&amp;MH,TH))</f>
        <v>9410039</v>
      </c>
      <c r="I97" s="25">
        <f t="array" ref="I97">SUM(IF("155"&amp;C97=KHC&amp;MH,SL))</f>
        <v>5070</v>
      </c>
      <c r="J97" s="25">
        <f t="array" ref="J97">SUM(IF("155"&amp;C97=KHC&amp;MH,TH))</f>
        <v>9410039</v>
      </c>
      <c r="K97" s="8">
        <f t="shared" si="17"/>
        <v>0</v>
      </c>
      <c r="L97" s="8">
        <f t="shared" si="18"/>
        <v>0</v>
      </c>
      <c r="M97" s="282"/>
    </row>
    <row r="98" spans="1:13" ht="19.5" customHeight="1">
      <c r="A98" s="282" t="str">
        <f t="shared" si="19"/>
        <v>TP</v>
      </c>
      <c r="B98" s="295">
        <f t="shared" si="20"/>
        <v>64</v>
      </c>
      <c r="C98" s="40" t="s">
        <v>1369</v>
      </c>
      <c r="D98" s="294" t="s">
        <v>1458</v>
      </c>
      <c r="E98" s="8"/>
      <c r="F98" s="8"/>
      <c r="G98" s="25">
        <f t="array" ref="G98">SUM(IF("155"&amp;C98=KHN&amp;MH,SL))</f>
        <v>164</v>
      </c>
      <c r="H98" s="25">
        <f t="array" ref="H98">SUM(IF("155"&amp;C98=KHN&amp;MH,TH))</f>
        <v>304388</v>
      </c>
      <c r="I98" s="25">
        <f t="array" ref="I98">SUM(IF("155"&amp;C98=KHC&amp;MH,SL))</f>
        <v>164</v>
      </c>
      <c r="J98" s="25">
        <f t="array" ref="J98">SUM(IF("155"&amp;C98=KHC&amp;MH,TH))</f>
        <v>304388</v>
      </c>
      <c r="K98" s="8">
        <f t="shared" si="17"/>
        <v>0</v>
      </c>
      <c r="L98" s="8">
        <f t="shared" si="18"/>
        <v>0</v>
      </c>
      <c r="M98" s="282"/>
    </row>
    <row r="99" spans="1:13" ht="19.5" customHeight="1">
      <c r="A99" s="282" t="str">
        <f t="shared" ref="A99:A130" si="21">IF(B99&lt;&gt;"","TP","")</f>
        <v>TP</v>
      </c>
      <c r="B99" s="295">
        <f t="shared" ref="B99:B130" si="22">IF(C99&lt;&gt;"",B98+1,"")</f>
        <v>65</v>
      </c>
      <c r="C99" s="190" t="s">
        <v>1203</v>
      </c>
      <c r="D99" s="294" t="s">
        <v>1458</v>
      </c>
      <c r="E99" s="8"/>
      <c r="F99" s="8"/>
      <c r="G99" s="25">
        <f t="array" ref="G99">SUM(IF("155"&amp;C99=KHN&amp;MH,SL))</f>
        <v>780</v>
      </c>
      <c r="H99" s="25">
        <f t="array" ref="H99">SUM(IF("155"&amp;C99=KHN&amp;MH,TH))</f>
        <v>199462</v>
      </c>
      <c r="I99" s="25">
        <f t="array" ref="I99">SUM(IF("155"&amp;C99=KHC&amp;MH,SL))</f>
        <v>780</v>
      </c>
      <c r="J99" s="25">
        <f t="array" ref="J99">SUM(IF("155"&amp;C99=KHC&amp;MH,TH))</f>
        <v>199462</v>
      </c>
      <c r="K99" s="8">
        <f t="shared" ref="K99:K162" si="23">E99+G99-I99</f>
        <v>0</v>
      </c>
      <c r="L99" s="8">
        <f t="shared" ref="L99:L162" si="24">F99+H99-J99</f>
        <v>0</v>
      </c>
      <c r="M99" s="282"/>
    </row>
    <row r="100" spans="1:13" ht="19.5" customHeight="1">
      <c r="A100" s="282" t="str">
        <f t="shared" si="21"/>
        <v>TP</v>
      </c>
      <c r="B100" s="295">
        <f t="shared" si="22"/>
        <v>66</v>
      </c>
      <c r="C100" s="190" t="s">
        <v>1201</v>
      </c>
      <c r="D100" s="294" t="s">
        <v>1458</v>
      </c>
      <c r="E100" s="8"/>
      <c r="F100" s="8"/>
      <c r="G100" s="25">
        <f t="array" ref="G100">SUM(IF("155"&amp;C100=KHN&amp;MH,SL))</f>
        <v>1240</v>
      </c>
      <c r="H100" s="25">
        <f t="array" ref="H100">SUM(IF("155"&amp;C100=KHN&amp;MH,TH))</f>
        <v>1137977</v>
      </c>
      <c r="I100" s="25">
        <f t="array" ref="I100">SUM(IF("155"&amp;C100=KHC&amp;MH,SL))</f>
        <v>1240</v>
      </c>
      <c r="J100" s="25">
        <f t="array" ref="J100">SUM(IF("155"&amp;C100=KHC&amp;MH,TH))</f>
        <v>1137977</v>
      </c>
      <c r="K100" s="8">
        <f t="shared" si="23"/>
        <v>0</v>
      </c>
      <c r="L100" s="8">
        <f t="shared" si="24"/>
        <v>0</v>
      </c>
      <c r="M100" s="282"/>
    </row>
    <row r="101" spans="1:13" ht="19.5" customHeight="1">
      <c r="A101" s="282" t="str">
        <f t="shared" si="21"/>
        <v>TP</v>
      </c>
      <c r="B101" s="295">
        <f t="shared" si="22"/>
        <v>67</v>
      </c>
      <c r="C101" s="187" t="s">
        <v>1202</v>
      </c>
      <c r="D101" s="294" t="s">
        <v>1458</v>
      </c>
      <c r="E101" s="8"/>
      <c r="F101" s="8"/>
      <c r="G101" s="25">
        <f t="array" ref="G101">SUM(IF("155"&amp;C101=KHN&amp;MH,SL))</f>
        <v>400</v>
      </c>
      <c r="H101" s="25">
        <f t="array" ref="H101">SUM(IF("155"&amp;C101=KHN&amp;MH,TH))</f>
        <v>136385</v>
      </c>
      <c r="I101" s="25">
        <f t="array" ref="I101">SUM(IF("155"&amp;C101=KHC&amp;MH,SL))</f>
        <v>400</v>
      </c>
      <c r="J101" s="25">
        <f t="array" ref="J101">SUM(IF("155"&amp;C101=KHC&amp;MH,TH))</f>
        <v>136385</v>
      </c>
      <c r="K101" s="8">
        <f t="shared" si="23"/>
        <v>0</v>
      </c>
      <c r="L101" s="8">
        <f t="shared" si="24"/>
        <v>0</v>
      </c>
      <c r="M101" s="282"/>
    </row>
    <row r="102" spans="1:13" ht="19.5" customHeight="1">
      <c r="A102" s="282" t="str">
        <f t="shared" si="21"/>
        <v>TP</v>
      </c>
      <c r="B102" s="295">
        <f t="shared" si="22"/>
        <v>68</v>
      </c>
      <c r="C102" s="190" t="s">
        <v>1237</v>
      </c>
      <c r="D102" s="294" t="s">
        <v>1458</v>
      </c>
      <c r="E102" s="8"/>
      <c r="F102" s="8"/>
      <c r="G102" s="25">
        <f t="array" ref="G102">SUM(IF("155"&amp;C102=KHN&amp;MH,SL))</f>
        <v>1404</v>
      </c>
      <c r="H102" s="25">
        <f t="array" ref="H102">SUM(IF("155"&amp;C102=KHN&amp;MH,TH))</f>
        <v>1054214</v>
      </c>
      <c r="I102" s="25">
        <f t="array" ref="I102">SUM(IF("155"&amp;C102=KHC&amp;MH,SL))</f>
        <v>1404</v>
      </c>
      <c r="J102" s="25">
        <f t="array" ref="J102">SUM(IF("155"&amp;C102=KHC&amp;MH,TH))</f>
        <v>1054214</v>
      </c>
      <c r="K102" s="8">
        <f t="shared" si="23"/>
        <v>0</v>
      </c>
      <c r="L102" s="8">
        <f t="shared" si="24"/>
        <v>0</v>
      </c>
      <c r="M102" s="282"/>
    </row>
    <row r="103" spans="1:13" ht="19.5" customHeight="1">
      <c r="A103" s="282" t="str">
        <f t="shared" si="21"/>
        <v>TP</v>
      </c>
      <c r="B103" s="295">
        <f t="shared" si="22"/>
        <v>69</v>
      </c>
      <c r="C103" s="190" t="s">
        <v>1240</v>
      </c>
      <c r="D103" s="294" t="s">
        <v>1458</v>
      </c>
      <c r="E103" s="8"/>
      <c r="F103" s="8"/>
      <c r="G103" s="25">
        <f t="array" ref="G103">SUM(IF("155"&amp;C103=KHN&amp;MH,SL))</f>
        <v>440</v>
      </c>
      <c r="H103" s="25">
        <f t="array" ref="H103">SUM(IF("155"&amp;C103=KHN&amp;MH,TH))</f>
        <v>403798</v>
      </c>
      <c r="I103" s="25">
        <f t="array" ref="I103">SUM(IF("155"&amp;C103=KHC&amp;MH,SL))</f>
        <v>440</v>
      </c>
      <c r="J103" s="25">
        <f t="array" ref="J103">SUM(IF("155"&amp;C103=KHC&amp;MH,TH))</f>
        <v>403798</v>
      </c>
      <c r="K103" s="8">
        <f t="shared" si="23"/>
        <v>0</v>
      </c>
      <c r="L103" s="8">
        <f t="shared" si="24"/>
        <v>0</v>
      </c>
      <c r="M103" s="282"/>
    </row>
    <row r="104" spans="1:13" ht="19.5" customHeight="1">
      <c r="A104" s="282" t="str">
        <f t="shared" si="21"/>
        <v>TP</v>
      </c>
      <c r="B104" s="295">
        <f t="shared" si="22"/>
        <v>70</v>
      </c>
      <c r="C104" s="190" t="s">
        <v>1241</v>
      </c>
      <c r="D104" s="294" t="s">
        <v>1458</v>
      </c>
      <c r="E104" s="8"/>
      <c r="F104" s="8"/>
      <c r="G104" s="25">
        <f t="array" ref="G104">SUM(IF("155"&amp;C104=KHN&amp;MH,SL))</f>
        <v>1004</v>
      </c>
      <c r="H104" s="25">
        <f t="array" ref="H104">SUM(IF("155"&amp;C104=KHN&amp;MH,TH))</f>
        <v>1088921</v>
      </c>
      <c r="I104" s="25">
        <f t="array" ref="I104">SUM(IF("155"&amp;C104=KHC&amp;MH,SL))</f>
        <v>1004</v>
      </c>
      <c r="J104" s="25">
        <f t="array" ref="J104">SUM(IF("155"&amp;C104=KHC&amp;MH,TH))</f>
        <v>1088921</v>
      </c>
      <c r="K104" s="8">
        <f t="shared" si="23"/>
        <v>0</v>
      </c>
      <c r="L104" s="8">
        <f t="shared" si="24"/>
        <v>0</v>
      </c>
      <c r="M104" s="282"/>
    </row>
    <row r="105" spans="1:13" ht="19.5" customHeight="1">
      <c r="A105" s="282" t="str">
        <f t="shared" si="21"/>
        <v>TP</v>
      </c>
      <c r="B105" s="295">
        <f t="shared" si="22"/>
        <v>71</v>
      </c>
      <c r="C105" s="190" t="s">
        <v>1234</v>
      </c>
      <c r="D105" s="294" t="s">
        <v>1458</v>
      </c>
      <c r="E105" s="8"/>
      <c r="F105" s="8"/>
      <c r="G105" s="25">
        <f t="array" ref="G105">SUM(IF("155"&amp;C105=KHN&amp;MH,SL))</f>
        <v>500</v>
      </c>
      <c r="H105" s="25">
        <f t="array" ref="H105">SUM(IF("155"&amp;C105=KHN&amp;MH,TH))</f>
        <v>667435</v>
      </c>
      <c r="I105" s="25">
        <f t="array" ref="I105">SUM(IF("155"&amp;C105=KHC&amp;MH,SL))</f>
        <v>500</v>
      </c>
      <c r="J105" s="25">
        <f t="array" ref="J105">SUM(IF("155"&amp;C105=KHC&amp;MH,TH))</f>
        <v>667435</v>
      </c>
      <c r="K105" s="8">
        <f t="shared" si="23"/>
        <v>0</v>
      </c>
      <c r="L105" s="8">
        <f t="shared" si="24"/>
        <v>0</v>
      </c>
      <c r="M105" s="282"/>
    </row>
    <row r="106" spans="1:13" ht="19.5" customHeight="1">
      <c r="A106" s="282" t="str">
        <f t="shared" si="21"/>
        <v>TP</v>
      </c>
      <c r="B106" s="295">
        <f t="shared" si="22"/>
        <v>72</v>
      </c>
      <c r="C106" s="187" t="s">
        <v>693</v>
      </c>
      <c r="D106" s="294" t="s">
        <v>1458</v>
      </c>
      <c r="E106" s="8"/>
      <c r="F106" s="8"/>
      <c r="G106" s="25">
        <f t="array" ref="G106">SUM(IF("155"&amp;C106=KHN&amp;MH,SL))</f>
        <v>10566</v>
      </c>
      <c r="H106" s="25">
        <f t="array" ref="H106">SUM(IF("155"&amp;C106=KHN&amp;MH,TH))</f>
        <v>8071621</v>
      </c>
      <c r="I106" s="25">
        <f t="array" ref="I106">SUM(IF("155"&amp;C106=KHC&amp;MH,SL))</f>
        <v>10566</v>
      </c>
      <c r="J106" s="25">
        <f t="array" ref="J106">SUM(IF("155"&amp;C106=KHC&amp;MH,TH))</f>
        <v>8071621</v>
      </c>
      <c r="K106" s="8">
        <f t="shared" si="23"/>
        <v>0</v>
      </c>
      <c r="L106" s="8">
        <f t="shared" si="24"/>
        <v>0</v>
      </c>
      <c r="M106" s="282"/>
    </row>
    <row r="107" spans="1:13" ht="19.5" customHeight="1">
      <c r="A107" s="282" t="str">
        <f t="shared" si="21"/>
        <v>TP</v>
      </c>
      <c r="B107" s="295">
        <f t="shared" si="22"/>
        <v>73</v>
      </c>
      <c r="C107" s="190" t="s">
        <v>1242</v>
      </c>
      <c r="D107" s="294" t="s">
        <v>1458</v>
      </c>
      <c r="E107" s="8"/>
      <c r="F107" s="8"/>
      <c r="G107" s="25">
        <f t="array" ref="G107">SUM(IF("155"&amp;C107=KHN&amp;MH,SL))</f>
        <v>500</v>
      </c>
      <c r="H107" s="25">
        <f t="array" ref="H107">SUM(IF("155"&amp;C107=KHN&amp;MH,TH))</f>
        <v>917724</v>
      </c>
      <c r="I107" s="25">
        <f t="array" ref="I107">SUM(IF("155"&amp;C107=KHC&amp;MH,SL))</f>
        <v>500</v>
      </c>
      <c r="J107" s="25">
        <f t="array" ref="J107">SUM(IF("155"&amp;C107=KHC&amp;MH,TH))</f>
        <v>917724</v>
      </c>
      <c r="K107" s="8">
        <f t="shared" si="23"/>
        <v>0</v>
      </c>
      <c r="L107" s="8">
        <f t="shared" si="24"/>
        <v>0</v>
      </c>
      <c r="M107" s="282"/>
    </row>
    <row r="108" spans="1:13" ht="19.5" customHeight="1">
      <c r="A108" s="282" t="str">
        <f t="shared" si="21"/>
        <v>TP</v>
      </c>
      <c r="B108" s="295">
        <f t="shared" si="22"/>
        <v>74</v>
      </c>
      <c r="C108" s="190" t="s">
        <v>1239</v>
      </c>
      <c r="D108" s="294" t="s">
        <v>1458</v>
      </c>
      <c r="E108" s="8"/>
      <c r="F108" s="8"/>
      <c r="G108" s="25">
        <f t="array" ref="G108">SUM(IF("155"&amp;C108=KHN&amp;MH,SL))</f>
        <v>55</v>
      </c>
      <c r="H108" s="25">
        <f t="array" ref="H108">SUM(IF("155"&amp;C108=KHN&amp;MH,TH))</f>
        <v>78007</v>
      </c>
      <c r="I108" s="25">
        <f t="array" ref="I108">SUM(IF("155"&amp;C108=KHC&amp;MH,SL))</f>
        <v>55</v>
      </c>
      <c r="J108" s="25">
        <f t="array" ref="J108">SUM(IF("155"&amp;C108=KHC&amp;MH,TH))</f>
        <v>78007</v>
      </c>
      <c r="K108" s="8">
        <f t="shared" si="23"/>
        <v>0</v>
      </c>
      <c r="L108" s="8">
        <f t="shared" si="24"/>
        <v>0</v>
      </c>
      <c r="M108" s="282"/>
    </row>
    <row r="109" spans="1:13" ht="19.5" customHeight="1">
      <c r="A109" s="282" t="str">
        <f t="shared" si="21"/>
        <v>TP</v>
      </c>
      <c r="B109" s="295">
        <f t="shared" si="22"/>
        <v>75</v>
      </c>
      <c r="C109" s="190" t="s">
        <v>1236</v>
      </c>
      <c r="D109" s="294" t="s">
        <v>1458</v>
      </c>
      <c r="E109" s="8"/>
      <c r="F109" s="8"/>
      <c r="G109" s="25">
        <f t="array" ref="G109">SUM(IF("155"&amp;C109=KHN&amp;MH,SL))</f>
        <v>50</v>
      </c>
      <c r="H109" s="25">
        <f t="array" ref="H109">SUM(IF("155"&amp;C109=KHN&amp;MH,TH))</f>
        <v>70915</v>
      </c>
      <c r="I109" s="25">
        <f t="array" ref="I109">SUM(IF("155"&amp;C109=KHC&amp;MH,SL))</f>
        <v>50</v>
      </c>
      <c r="J109" s="25">
        <f t="array" ref="J109">SUM(IF("155"&amp;C109=KHC&amp;MH,TH))</f>
        <v>70915</v>
      </c>
      <c r="K109" s="8">
        <f t="shared" si="23"/>
        <v>0</v>
      </c>
      <c r="L109" s="8">
        <f t="shared" si="24"/>
        <v>0</v>
      </c>
      <c r="M109" s="282"/>
    </row>
    <row r="110" spans="1:13" ht="19.5" customHeight="1">
      <c r="A110" s="282" t="str">
        <f t="shared" si="21"/>
        <v>TP</v>
      </c>
      <c r="B110" s="295">
        <f t="shared" si="22"/>
        <v>76</v>
      </c>
      <c r="C110" s="190" t="s">
        <v>1235</v>
      </c>
      <c r="D110" s="294" t="s">
        <v>1458</v>
      </c>
      <c r="E110" s="8"/>
      <c r="F110" s="8"/>
      <c r="G110" s="25">
        <f t="array" ref="G110">SUM(IF("155"&amp;C110=KHN&amp;MH,SL))</f>
        <v>100</v>
      </c>
      <c r="H110" s="25">
        <f t="array" ref="H110">SUM(IF("155"&amp;C110=KHN&amp;MH,TH))</f>
        <v>350404</v>
      </c>
      <c r="I110" s="25">
        <f t="array" ref="I110">SUM(IF("155"&amp;C110=KHC&amp;MH,SL))</f>
        <v>100</v>
      </c>
      <c r="J110" s="25">
        <f t="array" ref="J110">SUM(IF("155"&amp;C110=KHC&amp;MH,TH))</f>
        <v>350404</v>
      </c>
      <c r="K110" s="8">
        <f t="shared" si="23"/>
        <v>0</v>
      </c>
      <c r="L110" s="8">
        <f t="shared" si="24"/>
        <v>0</v>
      </c>
      <c r="M110" s="282"/>
    </row>
    <row r="111" spans="1:13" ht="19.5" customHeight="1">
      <c r="A111" s="282" t="str">
        <f t="shared" si="21"/>
        <v>TP</v>
      </c>
      <c r="B111" s="295">
        <f t="shared" si="22"/>
        <v>77</v>
      </c>
      <c r="C111" s="190" t="s">
        <v>1243</v>
      </c>
      <c r="D111" s="294" t="s">
        <v>1458</v>
      </c>
      <c r="E111" s="8"/>
      <c r="F111" s="8"/>
      <c r="G111" s="25">
        <f t="array" ref="G111">SUM(IF("155"&amp;C111=KHN&amp;MH,SL))</f>
        <v>1500</v>
      </c>
      <c r="H111" s="25">
        <f t="array" ref="H111">SUM(IF("155"&amp;C111=KHN&amp;MH,TH))</f>
        <v>4004613</v>
      </c>
      <c r="I111" s="25">
        <f t="array" ref="I111">SUM(IF("155"&amp;C111=KHC&amp;MH,SL))</f>
        <v>1500</v>
      </c>
      <c r="J111" s="25">
        <f t="array" ref="J111">SUM(IF("155"&amp;C111=KHC&amp;MH,TH))</f>
        <v>4004613</v>
      </c>
      <c r="K111" s="8">
        <f t="shared" si="23"/>
        <v>0</v>
      </c>
      <c r="L111" s="8">
        <f t="shared" si="24"/>
        <v>0</v>
      </c>
      <c r="M111" s="282"/>
    </row>
    <row r="112" spans="1:13" ht="19.5" customHeight="1">
      <c r="A112" s="282" t="str">
        <f t="shared" si="21"/>
        <v>TP</v>
      </c>
      <c r="B112" s="295">
        <f t="shared" si="22"/>
        <v>78</v>
      </c>
      <c r="C112" s="190" t="s">
        <v>1233</v>
      </c>
      <c r="D112" s="294" t="s">
        <v>1458</v>
      </c>
      <c r="E112" s="8"/>
      <c r="F112" s="8"/>
      <c r="G112" s="25">
        <f t="array" ref="G112">SUM(IF("155"&amp;C112=KHN&amp;MH,SL))</f>
        <v>196</v>
      </c>
      <c r="H112" s="25">
        <f t="array" ref="H112">SUM(IF("155"&amp;C112=KHN&amp;MH,TH))</f>
        <v>523269</v>
      </c>
      <c r="I112" s="25">
        <f t="array" ref="I112">SUM(IF("155"&amp;C112=KHC&amp;MH,SL))</f>
        <v>196</v>
      </c>
      <c r="J112" s="25">
        <f t="array" ref="J112">SUM(IF("155"&amp;C112=KHC&amp;MH,TH))</f>
        <v>523269</v>
      </c>
      <c r="K112" s="8">
        <f t="shared" si="23"/>
        <v>0</v>
      </c>
      <c r="L112" s="8">
        <f t="shared" si="24"/>
        <v>0</v>
      </c>
      <c r="M112" s="282"/>
    </row>
    <row r="113" spans="1:13" ht="19.5" customHeight="1">
      <c r="A113" s="282" t="str">
        <f t="shared" si="21"/>
        <v>TP</v>
      </c>
      <c r="B113" s="295">
        <f t="shared" si="22"/>
        <v>79</v>
      </c>
      <c r="C113" s="190" t="s">
        <v>1238</v>
      </c>
      <c r="D113" s="294" t="s">
        <v>1458</v>
      </c>
      <c r="E113" s="8"/>
      <c r="F113" s="8"/>
      <c r="G113" s="25">
        <f t="array" ref="G113">SUM(IF("155"&amp;C113=KHN&amp;MH,SL))</f>
        <v>110</v>
      </c>
      <c r="H113" s="25">
        <f t="array" ref="H113">SUM(IF("155"&amp;C113=KHN&amp;MH,TH))</f>
        <v>412976</v>
      </c>
      <c r="I113" s="25">
        <f t="array" ref="I113">SUM(IF("155"&amp;C113=KHC&amp;MH,SL))</f>
        <v>110</v>
      </c>
      <c r="J113" s="25">
        <f t="array" ref="J113">SUM(IF("155"&amp;C113=KHC&amp;MH,TH))</f>
        <v>412976</v>
      </c>
      <c r="K113" s="8">
        <f t="shared" si="23"/>
        <v>0</v>
      </c>
      <c r="L113" s="8">
        <f t="shared" si="24"/>
        <v>0</v>
      </c>
      <c r="M113" s="282"/>
    </row>
    <row r="114" spans="1:13" ht="19.5" customHeight="1">
      <c r="A114" s="282" t="str">
        <f t="shared" si="21"/>
        <v>TP</v>
      </c>
      <c r="B114" s="295">
        <f t="shared" si="22"/>
        <v>80</v>
      </c>
      <c r="C114" s="190" t="s">
        <v>418</v>
      </c>
      <c r="D114" s="294" t="s">
        <v>1459</v>
      </c>
      <c r="E114" s="8"/>
      <c r="F114" s="8"/>
      <c r="G114" s="25">
        <f t="array" ref="G114">SUM(IF("155"&amp;C114=KHN&amp;MH,SL))</f>
        <v>2442</v>
      </c>
      <c r="H114" s="25">
        <f t="array" ref="H114">SUM(IF("155"&amp;C114=KHN&amp;MH,TH))</f>
        <v>151871027</v>
      </c>
      <c r="I114" s="25">
        <f t="array" ref="I114">SUM(IF("155"&amp;C114=KHC&amp;MH,SL))</f>
        <v>2442</v>
      </c>
      <c r="J114" s="25">
        <f t="array" ref="J114">SUM(IF("155"&amp;C114=KHC&amp;MH,TH))</f>
        <v>151871027</v>
      </c>
      <c r="K114" s="8">
        <f t="shared" si="23"/>
        <v>0</v>
      </c>
      <c r="L114" s="8">
        <f t="shared" si="24"/>
        <v>0</v>
      </c>
      <c r="M114" s="282"/>
    </row>
    <row r="115" spans="1:13" ht="19.5" customHeight="1">
      <c r="A115" s="282" t="str">
        <f t="shared" si="21"/>
        <v>TP</v>
      </c>
      <c r="B115" s="295">
        <f t="shared" si="22"/>
        <v>81</v>
      </c>
      <c r="C115" s="190" t="s">
        <v>912</v>
      </c>
      <c r="D115" s="294" t="s">
        <v>1459</v>
      </c>
      <c r="E115" s="8"/>
      <c r="F115" s="8"/>
      <c r="G115" s="25">
        <f t="array" ref="G115">SUM(IF("155"&amp;C115=KHN&amp;MH,SL))</f>
        <v>230</v>
      </c>
      <c r="H115" s="25">
        <f t="array" ref="H115">SUM(IF("155"&amp;C115=KHN&amp;MH,TH))</f>
        <v>14670997</v>
      </c>
      <c r="I115" s="25">
        <f t="array" ref="I115">SUM(IF("155"&amp;C115=KHC&amp;MH,SL))</f>
        <v>230</v>
      </c>
      <c r="J115" s="25">
        <f t="array" ref="J115">SUM(IF("155"&amp;C115=KHC&amp;MH,TH))</f>
        <v>14670997</v>
      </c>
      <c r="K115" s="8">
        <f t="shared" si="23"/>
        <v>0</v>
      </c>
      <c r="L115" s="8">
        <f t="shared" si="24"/>
        <v>0</v>
      </c>
      <c r="M115" s="282"/>
    </row>
    <row r="116" spans="1:13" ht="19.5" customHeight="1">
      <c r="A116" s="282" t="str">
        <f t="shared" si="21"/>
        <v>TP</v>
      </c>
      <c r="B116" s="295">
        <f t="shared" si="22"/>
        <v>82</v>
      </c>
      <c r="C116" s="187" t="s">
        <v>607</v>
      </c>
      <c r="D116" s="294" t="s">
        <v>1459</v>
      </c>
      <c r="E116" s="8"/>
      <c r="F116" s="8"/>
      <c r="G116" s="25">
        <f t="array" ref="G116">SUM(IF("155"&amp;C116=KHN&amp;MH,SL))</f>
        <v>105</v>
      </c>
      <c r="H116" s="25">
        <f t="array" ref="H116">SUM(IF("155"&amp;C116=KHN&amp;MH,TH))</f>
        <v>2183858</v>
      </c>
      <c r="I116" s="25">
        <f t="array" ref="I116">SUM(IF("155"&amp;C116=KHC&amp;MH,SL))</f>
        <v>105</v>
      </c>
      <c r="J116" s="25">
        <f t="array" ref="J116">SUM(IF("155"&amp;C116=KHC&amp;MH,TH))</f>
        <v>2183858</v>
      </c>
      <c r="K116" s="8">
        <f t="shared" si="23"/>
        <v>0</v>
      </c>
      <c r="L116" s="8">
        <f t="shared" si="24"/>
        <v>0</v>
      </c>
      <c r="M116" s="282"/>
    </row>
    <row r="117" spans="1:13" ht="19.5" customHeight="1">
      <c r="A117" s="282" t="str">
        <f t="shared" si="21"/>
        <v>TP</v>
      </c>
      <c r="B117" s="295">
        <f t="shared" si="22"/>
        <v>83</v>
      </c>
      <c r="C117" s="190" t="s">
        <v>1023</v>
      </c>
      <c r="D117" s="294" t="s">
        <v>1459</v>
      </c>
      <c r="E117" s="8"/>
      <c r="F117" s="8"/>
      <c r="G117" s="25">
        <f t="array" ref="G117">SUM(IF("155"&amp;C117=KHN&amp;MH,SL))</f>
        <v>49</v>
      </c>
      <c r="H117" s="25">
        <f t="array" ref="H117">SUM(IF("155"&amp;C117=KHN&amp;MH,TH))</f>
        <v>2877800</v>
      </c>
      <c r="I117" s="25">
        <f t="array" ref="I117">SUM(IF("155"&amp;C117=KHC&amp;MH,SL))</f>
        <v>49</v>
      </c>
      <c r="J117" s="25">
        <f t="array" ref="J117">SUM(IF("155"&amp;C117=KHC&amp;MH,TH))</f>
        <v>2877800</v>
      </c>
      <c r="K117" s="8">
        <f t="shared" si="23"/>
        <v>0</v>
      </c>
      <c r="L117" s="8">
        <f t="shared" si="24"/>
        <v>0</v>
      </c>
      <c r="M117" s="282"/>
    </row>
    <row r="118" spans="1:13" ht="19.5" customHeight="1">
      <c r="A118" s="282" t="str">
        <f t="shared" si="21"/>
        <v>TP</v>
      </c>
      <c r="B118" s="295">
        <f t="shared" si="22"/>
        <v>84</v>
      </c>
      <c r="C118" s="187" t="s">
        <v>1010</v>
      </c>
      <c r="D118" s="294" t="s">
        <v>1459</v>
      </c>
      <c r="E118" s="8"/>
      <c r="F118" s="8"/>
      <c r="G118" s="25">
        <f t="array" ref="G118">SUM(IF("155"&amp;C118=KHN&amp;MH,SL))</f>
        <v>52</v>
      </c>
      <c r="H118" s="25">
        <f t="array" ref="H118">SUM(IF("155"&amp;C118=KHN&amp;MH,TH))</f>
        <v>3683407</v>
      </c>
      <c r="I118" s="25">
        <f t="array" ref="I118">SUM(IF("155"&amp;C118=KHC&amp;MH,SL))</f>
        <v>52</v>
      </c>
      <c r="J118" s="25">
        <f t="array" ref="J118">SUM(IF("155"&amp;C118=KHC&amp;MH,TH))</f>
        <v>3683407</v>
      </c>
      <c r="K118" s="8">
        <f t="shared" si="23"/>
        <v>0</v>
      </c>
      <c r="L118" s="8">
        <f t="shared" si="24"/>
        <v>0</v>
      </c>
      <c r="M118" s="282"/>
    </row>
    <row r="119" spans="1:13" ht="19.5" customHeight="1">
      <c r="A119" s="282" t="str">
        <f t="shared" si="21"/>
        <v>TP</v>
      </c>
      <c r="B119" s="295">
        <f t="shared" si="22"/>
        <v>85</v>
      </c>
      <c r="C119" s="187" t="s">
        <v>1022</v>
      </c>
      <c r="D119" s="294" t="s">
        <v>1459</v>
      </c>
      <c r="E119" s="8"/>
      <c r="F119" s="8"/>
      <c r="G119" s="25">
        <f t="array" ref="G119">SUM(IF("155"&amp;C119=KHN&amp;MH,SL))</f>
        <v>50</v>
      </c>
      <c r="H119" s="25">
        <f t="array" ref="H119">SUM(IF("155"&amp;C119=KHN&amp;MH,TH))</f>
        <v>3972201</v>
      </c>
      <c r="I119" s="25">
        <f t="array" ref="I119">SUM(IF("155"&amp;C119=KHC&amp;MH,SL))</f>
        <v>50</v>
      </c>
      <c r="J119" s="25">
        <f t="array" ref="J119">SUM(IF("155"&amp;C119=KHC&amp;MH,TH))</f>
        <v>3972201</v>
      </c>
      <c r="K119" s="8">
        <f t="shared" si="23"/>
        <v>0</v>
      </c>
      <c r="L119" s="8">
        <f t="shared" si="24"/>
        <v>0</v>
      </c>
      <c r="M119" s="282"/>
    </row>
    <row r="120" spans="1:13" ht="19.5" customHeight="1">
      <c r="A120" s="282" t="str">
        <f t="shared" si="21"/>
        <v>TP</v>
      </c>
      <c r="B120" s="295">
        <f t="shared" si="22"/>
        <v>86</v>
      </c>
      <c r="C120" s="190" t="s">
        <v>993</v>
      </c>
      <c r="D120" s="294" t="s">
        <v>1459</v>
      </c>
      <c r="E120" s="8"/>
      <c r="F120" s="8"/>
      <c r="G120" s="25">
        <f t="array" ref="G120">SUM(IF("155"&amp;C120=KHN&amp;MH,SL))</f>
        <v>51</v>
      </c>
      <c r="H120" s="25">
        <f t="array" ref="H120">SUM(IF("155"&amp;C120=KHN&amp;MH,TH))</f>
        <v>2451854</v>
      </c>
      <c r="I120" s="25">
        <f t="array" ref="I120">SUM(IF("155"&amp;C120=KHC&amp;MH,SL))</f>
        <v>51</v>
      </c>
      <c r="J120" s="25">
        <f t="array" ref="J120">SUM(IF("155"&amp;C120=KHC&amp;MH,TH))</f>
        <v>2451854</v>
      </c>
      <c r="K120" s="8">
        <f t="shared" si="23"/>
        <v>0</v>
      </c>
      <c r="L120" s="8">
        <f t="shared" si="24"/>
        <v>0</v>
      </c>
      <c r="M120" s="282"/>
    </row>
    <row r="121" spans="1:13" ht="19.5" customHeight="1">
      <c r="A121" s="282" t="str">
        <f t="shared" si="21"/>
        <v>TP</v>
      </c>
      <c r="B121" s="295">
        <f t="shared" si="22"/>
        <v>87</v>
      </c>
      <c r="C121" s="190" t="s">
        <v>982</v>
      </c>
      <c r="D121" s="294" t="s">
        <v>1459</v>
      </c>
      <c r="E121" s="8"/>
      <c r="F121" s="8"/>
      <c r="G121" s="25">
        <f t="array" ref="G121">SUM(IF("155"&amp;C121=KHN&amp;MH,SL))</f>
        <v>60</v>
      </c>
      <c r="H121" s="25">
        <f t="array" ref="H121">SUM(IF("155"&amp;C121=KHN&amp;MH,TH))</f>
        <v>1386008</v>
      </c>
      <c r="I121" s="25">
        <f t="array" ref="I121">SUM(IF("155"&amp;C121=KHC&amp;MH,SL))</f>
        <v>60</v>
      </c>
      <c r="J121" s="25">
        <f t="array" ref="J121">SUM(IF("155"&amp;C121=KHC&amp;MH,TH))</f>
        <v>1386008</v>
      </c>
      <c r="K121" s="8">
        <f t="shared" si="23"/>
        <v>0</v>
      </c>
      <c r="L121" s="8">
        <f t="shared" si="24"/>
        <v>0</v>
      </c>
      <c r="M121" s="282"/>
    </row>
    <row r="122" spans="1:13" ht="19.5" customHeight="1">
      <c r="A122" s="282" t="str">
        <f t="shared" si="21"/>
        <v>TP</v>
      </c>
      <c r="B122" s="295">
        <f t="shared" si="22"/>
        <v>88</v>
      </c>
      <c r="C122" s="190" t="s">
        <v>983</v>
      </c>
      <c r="D122" s="294" t="s">
        <v>1459</v>
      </c>
      <c r="E122" s="8"/>
      <c r="F122" s="8"/>
      <c r="G122" s="25">
        <f t="array" ref="G122">SUM(IF("155"&amp;C122=KHN&amp;MH,SL))</f>
        <v>60</v>
      </c>
      <c r="H122" s="25">
        <f t="array" ref="H122">SUM(IF("155"&amp;C122=KHN&amp;MH,TH))</f>
        <v>1565013</v>
      </c>
      <c r="I122" s="25">
        <f t="array" ref="I122">SUM(IF("155"&amp;C122=KHC&amp;MH,SL))</f>
        <v>60</v>
      </c>
      <c r="J122" s="25">
        <f t="array" ref="J122">SUM(IF("155"&amp;C122=KHC&amp;MH,TH))</f>
        <v>1565013</v>
      </c>
      <c r="K122" s="8">
        <f t="shared" si="23"/>
        <v>0</v>
      </c>
      <c r="L122" s="8">
        <f t="shared" si="24"/>
        <v>0</v>
      </c>
      <c r="M122" s="282"/>
    </row>
    <row r="123" spans="1:13" ht="19.5" customHeight="1">
      <c r="A123" s="282" t="str">
        <f t="shared" si="21"/>
        <v>TP</v>
      </c>
      <c r="B123" s="295">
        <f t="shared" si="22"/>
        <v>89</v>
      </c>
      <c r="C123" s="187" t="s">
        <v>978</v>
      </c>
      <c r="D123" s="294" t="s">
        <v>1459</v>
      </c>
      <c r="E123" s="8"/>
      <c r="F123" s="8"/>
      <c r="G123" s="25">
        <f t="array" ref="G123">SUM(IF("155"&amp;C123=KHN&amp;MH,SL))</f>
        <v>41</v>
      </c>
      <c r="H123" s="25">
        <f t="array" ref="H123">SUM(IF("155"&amp;C123=KHN&amp;MH,TH))</f>
        <v>2830833</v>
      </c>
      <c r="I123" s="25">
        <f t="array" ref="I123">SUM(IF("155"&amp;C123=KHC&amp;MH,SL))</f>
        <v>41</v>
      </c>
      <c r="J123" s="25">
        <f t="array" ref="J123">SUM(IF("155"&amp;C123=KHC&amp;MH,TH))</f>
        <v>2830833</v>
      </c>
      <c r="K123" s="8">
        <f t="shared" si="23"/>
        <v>0</v>
      </c>
      <c r="L123" s="8">
        <f t="shared" si="24"/>
        <v>0</v>
      </c>
      <c r="M123" s="282"/>
    </row>
    <row r="124" spans="1:13" ht="19.5" customHeight="1">
      <c r="A124" s="282" t="str">
        <f t="shared" si="21"/>
        <v>TP</v>
      </c>
      <c r="B124" s="295">
        <f t="shared" si="22"/>
        <v>90</v>
      </c>
      <c r="C124" s="187" t="s">
        <v>976</v>
      </c>
      <c r="D124" s="294" t="s">
        <v>1459</v>
      </c>
      <c r="E124" s="8"/>
      <c r="F124" s="8"/>
      <c r="G124" s="25">
        <f t="array" ref="G124">SUM(IF("155"&amp;C124=KHN&amp;MH,SL))</f>
        <v>20</v>
      </c>
      <c r="H124" s="25">
        <f t="array" ref="H124">SUM(IF("155"&amp;C124=KHN&amp;MH,TH))</f>
        <v>1418400</v>
      </c>
      <c r="I124" s="25">
        <f t="array" ref="I124">SUM(IF("155"&amp;C124=KHC&amp;MH,SL))</f>
        <v>20</v>
      </c>
      <c r="J124" s="25">
        <f t="array" ref="J124">SUM(IF("155"&amp;C124=KHC&amp;MH,TH))</f>
        <v>1418400</v>
      </c>
      <c r="K124" s="8">
        <f t="shared" si="23"/>
        <v>0</v>
      </c>
      <c r="L124" s="8">
        <f t="shared" si="24"/>
        <v>0</v>
      </c>
      <c r="M124" s="282"/>
    </row>
    <row r="125" spans="1:13" ht="19.5" customHeight="1">
      <c r="A125" s="282" t="str">
        <f t="shared" si="21"/>
        <v>TP</v>
      </c>
      <c r="B125" s="295">
        <f t="shared" si="22"/>
        <v>91</v>
      </c>
      <c r="C125" s="40" t="s">
        <v>1068</v>
      </c>
      <c r="D125" s="294" t="s">
        <v>1459</v>
      </c>
      <c r="E125" s="8"/>
      <c r="F125" s="8"/>
      <c r="G125" s="25">
        <f t="array" ref="G125">SUM(IF("155"&amp;C125=KHN&amp;MH,SL))</f>
        <v>132</v>
      </c>
      <c r="H125" s="25">
        <f t="array" ref="H125">SUM(IF("155"&amp;C125=KHN&amp;MH,TH))</f>
        <v>10079528</v>
      </c>
      <c r="I125" s="25">
        <f t="array" ref="I125">SUM(IF("155"&amp;C125=KHC&amp;MH,SL))</f>
        <v>132</v>
      </c>
      <c r="J125" s="25">
        <f t="array" ref="J125">SUM(IF("155"&amp;C125=KHC&amp;MH,TH))</f>
        <v>10079528</v>
      </c>
      <c r="K125" s="8">
        <f t="shared" si="23"/>
        <v>0</v>
      </c>
      <c r="L125" s="8">
        <f t="shared" si="24"/>
        <v>0</v>
      </c>
      <c r="M125" s="282"/>
    </row>
    <row r="126" spans="1:13" ht="19.5" customHeight="1">
      <c r="A126" s="282" t="str">
        <f t="shared" si="21"/>
        <v>TP</v>
      </c>
      <c r="B126" s="295">
        <f t="shared" si="22"/>
        <v>92</v>
      </c>
      <c r="C126" s="40" t="s">
        <v>1262</v>
      </c>
      <c r="D126" s="294" t="s">
        <v>1459</v>
      </c>
      <c r="E126" s="8"/>
      <c r="F126" s="8"/>
      <c r="G126" s="25">
        <f t="array" ref="G126">SUM(IF("155"&amp;C126=KHN&amp;MH,SL))</f>
        <v>1714</v>
      </c>
      <c r="H126" s="25">
        <f t="array" ref="H126">SUM(IF("155"&amp;C126=KHN&amp;MH,TH))</f>
        <v>4212316</v>
      </c>
      <c r="I126" s="25">
        <f t="array" ref="I126">SUM(IF("155"&amp;C126=KHC&amp;MH,SL))</f>
        <v>1714</v>
      </c>
      <c r="J126" s="25">
        <f t="array" ref="J126">SUM(IF("155"&amp;C126=KHC&amp;MH,TH))</f>
        <v>4212316</v>
      </c>
      <c r="K126" s="8">
        <f t="shared" si="23"/>
        <v>0</v>
      </c>
      <c r="L126" s="8">
        <f t="shared" si="24"/>
        <v>0</v>
      </c>
      <c r="M126" s="282"/>
    </row>
    <row r="127" spans="1:13" ht="19.5" customHeight="1">
      <c r="A127" s="282" t="str">
        <f t="shared" si="21"/>
        <v>TP</v>
      </c>
      <c r="B127" s="295">
        <f t="shared" si="22"/>
        <v>93</v>
      </c>
      <c r="C127" s="190" t="s">
        <v>495</v>
      </c>
      <c r="D127" s="294" t="s">
        <v>1459</v>
      </c>
      <c r="E127" s="8"/>
      <c r="F127" s="8"/>
      <c r="G127" s="25">
        <f t="array" ref="G127">SUM(IF("155"&amp;C127=KHN&amp;MH,SL))</f>
        <v>51</v>
      </c>
      <c r="H127" s="25">
        <f t="array" ref="H127">SUM(IF("155"&amp;C127=KHN&amp;MH,TH))</f>
        <v>2504021</v>
      </c>
      <c r="I127" s="25">
        <f t="array" ref="I127">SUM(IF("155"&amp;C127=KHC&amp;MH,SL))</f>
        <v>51</v>
      </c>
      <c r="J127" s="25">
        <f t="array" ref="J127">SUM(IF("155"&amp;C127=KHC&amp;MH,TH))</f>
        <v>2504021</v>
      </c>
      <c r="K127" s="8">
        <f t="shared" si="23"/>
        <v>0</v>
      </c>
      <c r="L127" s="8">
        <f t="shared" si="24"/>
        <v>0</v>
      </c>
      <c r="M127" s="282"/>
    </row>
    <row r="128" spans="1:13" ht="19.5" customHeight="1">
      <c r="A128" s="282" t="str">
        <f t="shared" si="21"/>
        <v>TP</v>
      </c>
      <c r="B128" s="295">
        <f t="shared" si="22"/>
        <v>94</v>
      </c>
      <c r="C128" s="190" t="s">
        <v>663</v>
      </c>
      <c r="D128" s="294" t="s">
        <v>1459</v>
      </c>
      <c r="E128" s="8"/>
      <c r="F128" s="8"/>
      <c r="G128" s="25">
        <f t="array" ref="G128">SUM(IF("155"&amp;C128=KHN&amp;MH,SL))</f>
        <v>100</v>
      </c>
      <c r="H128" s="25">
        <f t="array" ref="H128">SUM(IF("155"&amp;C128=KHN&amp;MH,TH))</f>
        <v>3629180</v>
      </c>
      <c r="I128" s="25">
        <f t="array" ref="I128">SUM(IF("155"&amp;C128=KHC&amp;MH,SL))</f>
        <v>100</v>
      </c>
      <c r="J128" s="25">
        <f t="array" ref="J128">SUM(IF("155"&amp;C128=KHC&amp;MH,TH))</f>
        <v>3629180</v>
      </c>
      <c r="K128" s="8">
        <f t="shared" si="23"/>
        <v>0</v>
      </c>
      <c r="L128" s="8">
        <f t="shared" si="24"/>
        <v>0</v>
      </c>
      <c r="M128" s="282"/>
    </row>
    <row r="129" spans="1:13" ht="19.5" customHeight="1">
      <c r="A129" s="282" t="str">
        <f t="shared" si="21"/>
        <v>TP</v>
      </c>
      <c r="B129" s="295">
        <f t="shared" si="22"/>
        <v>95</v>
      </c>
      <c r="C129" s="190" t="s">
        <v>485</v>
      </c>
      <c r="D129" s="294" t="s">
        <v>1459</v>
      </c>
      <c r="E129" s="8"/>
      <c r="F129" s="8"/>
      <c r="G129" s="25">
        <f t="array" ref="G129">SUM(IF("155"&amp;C129=KHN&amp;MH,SL))</f>
        <v>309</v>
      </c>
      <c r="H129" s="25">
        <f t="array" ref="H129">SUM(IF("155"&amp;C129=KHN&amp;MH,TH))</f>
        <v>1907697</v>
      </c>
      <c r="I129" s="25">
        <f t="array" ref="I129">SUM(IF("155"&amp;C129=KHC&amp;MH,SL))</f>
        <v>309</v>
      </c>
      <c r="J129" s="25">
        <f t="array" ref="J129">SUM(IF("155"&amp;C129=KHC&amp;MH,TH))</f>
        <v>1907697</v>
      </c>
      <c r="K129" s="8">
        <f t="shared" si="23"/>
        <v>0</v>
      </c>
      <c r="L129" s="8">
        <f t="shared" si="24"/>
        <v>0</v>
      </c>
      <c r="M129" s="282"/>
    </row>
    <row r="130" spans="1:13" ht="19.5" customHeight="1">
      <c r="A130" s="282" t="str">
        <f t="shared" si="21"/>
        <v>TP</v>
      </c>
      <c r="B130" s="295">
        <f t="shared" si="22"/>
        <v>96</v>
      </c>
      <c r="C130" s="187" t="s">
        <v>411</v>
      </c>
      <c r="D130" s="294" t="s">
        <v>1459</v>
      </c>
      <c r="E130" s="8"/>
      <c r="F130" s="8"/>
      <c r="G130" s="25">
        <f t="array" ref="G130">SUM(IF("155"&amp;C130=KHN&amp;MH,SL))</f>
        <v>991</v>
      </c>
      <c r="H130" s="25">
        <f t="array" ref="H130">SUM(IF("155"&amp;C130=KHN&amp;MH,TH))</f>
        <v>4308133</v>
      </c>
      <c r="I130" s="25">
        <f t="array" ref="I130">SUM(IF("155"&amp;C130=KHC&amp;MH,SL))</f>
        <v>991</v>
      </c>
      <c r="J130" s="25">
        <f t="array" ref="J130">SUM(IF("155"&amp;C130=KHC&amp;MH,TH))</f>
        <v>4308133</v>
      </c>
      <c r="K130" s="8">
        <f t="shared" si="23"/>
        <v>0</v>
      </c>
      <c r="L130" s="8">
        <f t="shared" si="24"/>
        <v>0</v>
      </c>
      <c r="M130" s="282"/>
    </row>
    <row r="131" spans="1:13" ht="19.5" customHeight="1">
      <c r="A131" s="282" t="str">
        <f t="shared" ref="A131:A162" si="25">IF(B131&lt;&gt;"","TP","")</f>
        <v>TP</v>
      </c>
      <c r="B131" s="295">
        <f t="shared" ref="B131:B162" si="26">IF(C131&lt;&gt;"",B130+1,"")</f>
        <v>97</v>
      </c>
      <c r="C131" s="190" t="s">
        <v>1029</v>
      </c>
      <c r="D131" s="294" t="s">
        <v>1459</v>
      </c>
      <c r="E131" s="8"/>
      <c r="F131" s="8"/>
      <c r="G131" s="25">
        <f t="array" ref="G131">SUM(IF("155"&amp;C131=KHN&amp;MH,SL))</f>
        <v>1985</v>
      </c>
      <c r="H131" s="25">
        <f t="array" ref="H131">SUM(IF("155"&amp;C131=KHN&amp;MH,TH))</f>
        <v>9475319</v>
      </c>
      <c r="I131" s="25">
        <f t="array" ref="I131">SUM(IF("155"&amp;C131=KHC&amp;MH,SL))</f>
        <v>1985</v>
      </c>
      <c r="J131" s="25">
        <f t="array" ref="J131">SUM(IF("155"&amp;C131=KHC&amp;MH,TH))</f>
        <v>9475319</v>
      </c>
      <c r="K131" s="8">
        <f t="shared" si="23"/>
        <v>0</v>
      </c>
      <c r="L131" s="8">
        <f t="shared" si="24"/>
        <v>0</v>
      </c>
      <c r="M131" s="282"/>
    </row>
    <row r="132" spans="1:13" ht="19.5" customHeight="1">
      <c r="A132" s="282" t="str">
        <f t="shared" si="25"/>
        <v>TP</v>
      </c>
      <c r="B132" s="295">
        <f t="shared" si="26"/>
        <v>98</v>
      </c>
      <c r="C132" s="40" t="s">
        <v>1315</v>
      </c>
      <c r="D132" s="294" t="s">
        <v>1459</v>
      </c>
      <c r="E132" s="8"/>
      <c r="F132" s="8"/>
      <c r="G132" s="25">
        <f t="array" ref="G132">SUM(IF("155"&amp;C132=KHN&amp;MH,SL))</f>
        <v>3470</v>
      </c>
      <c r="H132" s="25">
        <f t="array" ref="H132">SUM(IF("155"&amp;C132=KHN&amp;MH,TH))</f>
        <v>16393749</v>
      </c>
      <c r="I132" s="25">
        <f t="array" ref="I132">SUM(IF("155"&amp;C132=KHC&amp;MH,SL))</f>
        <v>3470</v>
      </c>
      <c r="J132" s="25">
        <f t="array" ref="J132">SUM(IF("155"&amp;C132=KHC&amp;MH,TH))</f>
        <v>16393749</v>
      </c>
      <c r="K132" s="8">
        <f t="shared" si="23"/>
        <v>0</v>
      </c>
      <c r="L132" s="8">
        <f t="shared" si="24"/>
        <v>0</v>
      </c>
      <c r="M132" s="282"/>
    </row>
    <row r="133" spans="1:13" ht="19.5" customHeight="1">
      <c r="A133" s="282" t="str">
        <f t="shared" si="25"/>
        <v>TP</v>
      </c>
      <c r="B133" s="295">
        <f t="shared" si="26"/>
        <v>99</v>
      </c>
      <c r="C133" s="40" t="s">
        <v>1329</v>
      </c>
      <c r="D133" s="294" t="s">
        <v>1459</v>
      </c>
      <c r="E133" s="8"/>
      <c r="F133" s="8"/>
      <c r="G133" s="25">
        <f t="array" ref="G133">SUM(IF("155"&amp;C133=KHN&amp;MH,SL))</f>
        <v>203</v>
      </c>
      <c r="H133" s="25">
        <f t="array" ref="H133">SUM(IF("155"&amp;C133=KHN&amp;MH,TH))</f>
        <v>1284453</v>
      </c>
      <c r="I133" s="25">
        <f t="array" ref="I133">SUM(IF("155"&amp;C133=KHC&amp;MH,SL))</f>
        <v>203</v>
      </c>
      <c r="J133" s="25">
        <f t="array" ref="J133">SUM(IF("155"&amp;C133=KHC&amp;MH,TH))</f>
        <v>1284453</v>
      </c>
      <c r="K133" s="8">
        <f t="shared" si="23"/>
        <v>0</v>
      </c>
      <c r="L133" s="8">
        <f t="shared" si="24"/>
        <v>0</v>
      </c>
      <c r="M133" s="282"/>
    </row>
    <row r="134" spans="1:13" ht="19.5" customHeight="1">
      <c r="A134" s="282" t="str">
        <f t="shared" si="25"/>
        <v>TP</v>
      </c>
      <c r="B134" s="295">
        <f t="shared" si="26"/>
        <v>100</v>
      </c>
      <c r="C134" s="190" t="s">
        <v>481</v>
      </c>
      <c r="D134" s="294" t="s">
        <v>1459</v>
      </c>
      <c r="E134" s="8"/>
      <c r="F134" s="8"/>
      <c r="G134" s="25">
        <f t="array" ref="G134">SUM(IF("155"&amp;C134=KHN&amp;MH,SL))</f>
        <v>310</v>
      </c>
      <c r="H134" s="25">
        <f t="array" ref="H134">SUM(IF("155"&amp;C134=KHN&amp;MH,TH))</f>
        <v>2162165</v>
      </c>
      <c r="I134" s="25">
        <f t="array" ref="I134">SUM(IF("155"&amp;C134=KHC&amp;MH,SL))</f>
        <v>310</v>
      </c>
      <c r="J134" s="25">
        <f t="array" ref="J134">SUM(IF("155"&amp;C134=KHC&amp;MH,TH))</f>
        <v>2162165</v>
      </c>
      <c r="K134" s="8">
        <f t="shared" si="23"/>
        <v>0</v>
      </c>
      <c r="L134" s="8">
        <f t="shared" si="24"/>
        <v>0</v>
      </c>
      <c r="M134" s="282"/>
    </row>
    <row r="135" spans="1:13" ht="19.5" customHeight="1">
      <c r="A135" s="282" t="str">
        <f t="shared" si="25"/>
        <v>TP</v>
      </c>
      <c r="B135" s="295">
        <f t="shared" si="26"/>
        <v>101</v>
      </c>
      <c r="C135" s="40" t="s">
        <v>1257</v>
      </c>
      <c r="D135" s="294" t="s">
        <v>1459</v>
      </c>
      <c r="E135" s="8"/>
      <c r="F135" s="8"/>
      <c r="G135" s="25">
        <f t="array" ref="G135">SUM(IF("155"&amp;C135=KHN&amp;MH,SL))</f>
        <v>230</v>
      </c>
      <c r="H135" s="25">
        <f t="array" ref="H135">SUM(IF("155"&amp;C135=KHN&amp;MH,TH))</f>
        <v>2091412</v>
      </c>
      <c r="I135" s="25">
        <f t="array" ref="I135">SUM(IF("155"&amp;C135=KHC&amp;MH,SL))</f>
        <v>230</v>
      </c>
      <c r="J135" s="25">
        <f t="array" ref="J135">SUM(IF("155"&amp;C135=KHC&amp;MH,TH))</f>
        <v>2091412</v>
      </c>
      <c r="K135" s="8">
        <f t="shared" si="23"/>
        <v>0</v>
      </c>
      <c r="L135" s="8">
        <f t="shared" si="24"/>
        <v>0</v>
      </c>
      <c r="M135" s="282"/>
    </row>
    <row r="136" spans="1:13" ht="19.5" customHeight="1">
      <c r="A136" s="282" t="str">
        <f t="shared" si="25"/>
        <v>TP</v>
      </c>
      <c r="B136" s="295">
        <f t="shared" si="26"/>
        <v>102</v>
      </c>
      <c r="C136" s="286" t="s">
        <v>965</v>
      </c>
      <c r="D136" s="294" t="s">
        <v>1459</v>
      </c>
      <c r="E136" s="8"/>
      <c r="F136" s="8"/>
      <c r="G136" s="25">
        <f t="array" ref="G136">SUM(IF("155"&amp;C136=KHN&amp;MH,SL))</f>
        <v>529</v>
      </c>
      <c r="H136" s="25">
        <f t="array" ref="H136">SUM(IF("155"&amp;C136=KHN&amp;MH,TH))</f>
        <v>3562280</v>
      </c>
      <c r="I136" s="25">
        <f t="array" ref="I136">SUM(IF("155"&amp;C136=KHC&amp;MH,SL))</f>
        <v>529</v>
      </c>
      <c r="J136" s="25">
        <f t="array" ref="J136">SUM(IF("155"&amp;C136=KHC&amp;MH,TH))</f>
        <v>3562280</v>
      </c>
      <c r="K136" s="8">
        <f t="shared" si="23"/>
        <v>0</v>
      </c>
      <c r="L136" s="8">
        <f t="shared" si="24"/>
        <v>0</v>
      </c>
      <c r="M136" s="282"/>
    </row>
    <row r="137" spans="1:13" ht="19.5" customHeight="1">
      <c r="A137" s="282" t="str">
        <f t="shared" si="25"/>
        <v>TP</v>
      </c>
      <c r="B137" s="295">
        <f t="shared" si="26"/>
        <v>103</v>
      </c>
      <c r="C137" s="190" t="s">
        <v>921</v>
      </c>
      <c r="D137" s="294" t="s">
        <v>1459</v>
      </c>
      <c r="E137" s="8"/>
      <c r="F137" s="8"/>
      <c r="G137" s="25">
        <f t="array" ref="G137">SUM(IF("155"&amp;C137=KHN&amp;MH,SL))</f>
        <v>10</v>
      </c>
      <c r="H137" s="25">
        <f t="array" ref="H137">SUM(IF("155"&amp;C137=KHN&amp;MH,TH))</f>
        <v>69246</v>
      </c>
      <c r="I137" s="25">
        <f t="array" ref="I137">SUM(IF("155"&amp;C137=KHC&amp;MH,SL))</f>
        <v>10</v>
      </c>
      <c r="J137" s="25">
        <f t="array" ref="J137">SUM(IF("155"&amp;C137=KHC&amp;MH,TH))</f>
        <v>69246</v>
      </c>
      <c r="K137" s="8">
        <f t="shared" si="23"/>
        <v>0</v>
      </c>
      <c r="L137" s="8">
        <f t="shared" si="24"/>
        <v>0</v>
      </c>
      <c r="M137" s="282"/>
    </row>
    <row r="138" spans="1:13" ht="19.5" customHeight="1">
      <c r="A138" s="282" t="str">
        <f t="shared" si="25"/>
        <v>TP</v>
      </c>
      <c r="B138" s="295">
        <f t="shared" si="26"/>
        <v>104</v>
      </c>
      <c r="C138" s="40" t="s">
        <v>1406</v>
      </c>
      <c r="D138" s="294" t="s">
        <v>1459</v>
      </c>
      <c r="E138" s="8"/>
      <c r="F138" s="8"/>
      <c r="G138" s="25">
        <f t="array" ref="G138">SUM(IF("155"&amp;C138=KHN&amp;MH,SL))</f>
        <v>361</v>
      </c>
      <c r="H138" s="25">
        <f t="array" ref="H138">SUM(IF("155"&amp;C138=KHN&amp;MH,TH))</f>
        <v>2832376</v>
      </c>
      <c r="I138" s="25">
        <f t="array" ref="I138">SUM(IF("155"&amp;C138=KHC&amp;MH,SL))</f>
        <v>361</v>
      </c>
      <c r="J138" s="25">
        <f t="array" ref="J138">SUM(IF("155"&amp;C138=KHC&amp;MH,TH))</f>
        <v>2832376</v>
      </c>
      <c r="K138" s="8">
        <f t="shared" si="23"/>
        <v>0</v>
      </c>
      <c r="L138" s="8">
        <f t="shared" si="24"/>
        <v>0</v>
      </c>
      <c r="M138" s="282"/>
    </row>
    <row r="139" spans="1:13" ht="19.5" customHeight="1">
      <c r="A139" s="282" t="str">
        <f t="shared" si="25"/>
        <v>TP</v>
      </c>
      <c r="B139" s="295">
        <f t="shared" si="26"/>
        <v>105</v>
      </c>
      <c r="C139" s="190" t="s">
        <v>896</v>
      </c>
      <c r="D139" s="294" t="s">
        <v>1459</v>
      </c>
      <c r="E139" s="8"/>
      <c r="F139" s="8"/>
      <c r="G139" s="25">
        <f t="array" ref="G139">SUM(IF("155"&amp;C139=KHN&amp;MH,SL))</f>
        <v>450</v>
      </c>
      <c r="H139" s="25">
        <f t="array" ref="H139">SUM(IF("155"&amp;C139=KHN&amp;MH,TH))</f>
        <v>2402768</v>
      </c>
      <c r="I139" s="25">
        <f t="array" ref="I139">SUM(IF("155"&amp;C139=KHC&amp;MH,SL))</f>
        <v>450</v>
      </c>
      <c r="J139" s="25">
        <f t="array" ref="J139">SUM(IF("155"&amp;C139=KHC&amp;MH,TH))</f>
        <v>2402768</v>
      </c>
      <c r="K139" s="8">
        <f t="shared" si="23"/>
        <v>0</v>
      </c>
      <c r="L139" s="8">
        <f t="shared" si="24"/>
        <v>0</v>
      </c>
      <c r="M139" s="282"/>
    </row>
    <row r="140" spans="1:13" ht="19.5" customHeight="1">
      <c r="A140" s="282" t="str">
        <f t="shared" si="25"/>
        <v>TP</v>
      </c>
      <c r="B140" s="295">
        <f t="shared" si="26"/>
        <v>106</v>
      </c>
      <c r="C140" s="40" t="s">
        <v>1484</v>
      </c>
      <c r="D140" s="294" t="s">
        <v>1459</v>
      </c>
      <c r="E140" s="8"/>
      <c r="F140" s="8"/>
      <c r="G140" s="25">
        <f t="array" ref="G140">SUM(IF("155"&amp;C140=KHN&amp;MH,SL))</f>
        <v>879</v>
      </c>
      <c r="H140" s="25">
        <f t="array" ref="H140">SUM(IF("155"&amp;C140=KHN&amp;MH,TH))</f>
        <v>2595480</v>
      </c>
      <c r="I140" s="25">
        <f t="array" ref="I140">SUM(IF("155"&amp;C140=KHC&amp;MH,SL))</f>
        <v>879</v>
      </c>
      <c r="J140" s="25">
        <f t="array" ref="J140">SUM(IF("155"&amp;C140=KHC&amp;MH,TH))</f>
        <v>2595480</v>
      </c>
      <c r="K140" s="8">
        <f t="shared" si="23"/>
        <v>0</v>
      </c>
      <c r="L140" s="8">
        <f t="shared" si="24"/>
        <v>0</v>
      </c>
      <c r="M140" s="282"/>
    </row>
    <row r="141" spans="1:13" ht="19.5" customHeight="1">
      <c r="A141" s="282" t="str">
        <f t="shared" si="25"/>
        <v>TP</v>
      </c>
      <c r="B141" s="295">
        <f t="shared" si="26"/>
        <v>107</v>
      </c>
      <c r="C141" s="40" t="s">
        <v>1263</v>
      </c>
      <c r="D141" s="294" t="s">
        <v>1459</v>
      </c>
      <c r="E141" s="8"/>
      <c r="F141" s="8"/>
      <c r="G141" s="25">
        <f t="array" ref="G141">SUM(IF("155"&amp;C141=KHN&amp;MH,SL))</f>
        <v>218</v>
      </c>
      <c r="H141" s="25">
        <f t="array" ref="H141">SUM(IF("155"&amp;C141=KHN&amp;MH,TH))</f>
        <v>1714417</v>
      </c>
      <c r="I141" s="25">
        <f t="array" ref="I141">SUM(IF("155"&amp;C141=KHC&amp;MH,SL))</f>
        <v>218</v>
      </c>
      <c r="J141" s="25">
        <f t="array" ref="J141">SUM(IF("155"&amp;C141=KHC&amp;MH,TH))</f>
        <v>1714417</v>
      </c>
      <c r="K141" s="8">
        <f t="shared" si="23"/>
        <v>0</v>
      </c>
      <c r="L141" s="8">
        <f t="shared" si="24"/>
        <v>0</v>
      </c>
      <c r="M141" s="282"/>
    </row>
    <row r="142" spans="1:13" ht="19.5" customHeight="1">
      <c r="A142" s="282" t="str">
        <f t="shared" si="25"/>
        <v>TP</v>
      </c>
      <c r="B142" s="295">
        <f t="shared" si="26"/>
        <v>108</v>
      </c>
      <c r="C142" s="40" t="s">
        <v>1327</v>
      </c>
      <c r="D142" s="294" t="s">
        <v>1459</v>
      </c>
      <c r="E142" s="8"/>
      <c r="F142" s="8"/>
      <c r="G142" s="25">
        <f t="array" ref="G142">SUM(IF("155"&amp;C142=KHN&amp;MH,SL))</f>
        <v>1334</v>
      </c>
      <c r="H142" s="25">
        <f t="array" ref="H142">SUM(IF("155"&amp;C142=KHN&amp;MH,TH))</f>
        <v>7765434</v>
      </c>
      <c r="I142" s="25">
        <f t="array" ref="I142">SUM(IF("155"&amp;C142=KHC&amp;MH,SL))</f>
        <v>1334</v>
      </c>
      <c r="J142" s="25">
        <f t="array" ref="J142">SUM(IF("155"&amp;C142=KHC&amp;MH,TH))</f>
        <v>7765434</v>
      </c>
      <c r="K142" s="8">
        <f t="shared" si="23"/>
        <v>0</v>
      </c>
      <c r="L142" s="8">
        <f t="shared" si="24"/>
        <v>0</v>
      </c>
      <c r="M142" s="282"/>
    </row>
    <row r="143" spans="1:13" ht="19.5" customHeight="1">
      <c r="A143" s="282" t="str">
        <f t="shared" si="25"/>
        <v>TP</v>
      </c>
      <c r="B143" s="295">
        <f t="shared" si="26"/>
        <v>109</v>
      </c>
      <c r="C143" s="190" t="s">
        <v>1041</v>
      </c>
      <c r="D143" s="294" t="s">
        <v>1459</v>
      </c>
      <c r="E143" s="8"/>
      <c r="F143" s="8"/>
      <c r="G143" s="25">
        <f t="array" ref="G143">SUM(IF("155"&amp;C143=KHN&amp;MH,SL))</f>
        <v>403</v>
      </c>
      <c r="H143" s="25">
        <f t="array" ref="H143">SUM(IF("155"&amp;C143=KHN&amp;MH,TH))</f>
        <v>2473335</v>
      </c>
      <c r="I143" s="25">
        <f t="array" ref="I143">SUM(IF("155"&amp;C143=KHC&amp;MH,SL))</f>
        <v>403</v>
      </c>
      <c r="J143" s="25">
        <f t="array" ref="J143">SUM(IF("155"&amp;C143=KHC&amp;MH,TH))</f>
        <v>2473335</v>
      </c>
      <c r="K143" s="8">
        <f t="shared" si="23"/>
        <v>0</v>
      </c>
      <c r="L143" s="8">
        <f t="shared" si="24"/>
        <v>0</v>
      </c>
      <c r="M143" s="282"/>
    </row>
    <row r="144" spans="1:13" ht="19.5" customHeight="1">
      <c r="A144" s="282" t="str">
        <f t="shared" si="25"/>
        <v>TP</v>
      </c>
      <c r="B144" s="295">
        <f t="shared" si="26"/>
        <v>110</v>
      </c>
      <c r="C144" s="190" t="s">
        <v>1058</v>
      </c>
      <c r="D144" s="294" t="s">
        <v>1459</v>
      </c>
      <c r="E144" s="8"/>
      <c r="F144" s="8"/>
      <c r="G144" s="25">
        <f t="array" ref="G144">SUM(IF("155"&amp;C144=KHN&amp;MH,SL))</f>
        <v>304</v>
      </c>
      <c r="H144" s="25">
        <f t="array" ref="H144">SUM(IF("155"&amp;C144=KHN&amp;MH,TH))</f>
        <v>1632524</v>
      </c>
      <c r="I144" s="25">
        <f t="array" ref="I144">SUM(IF("155"&amp;C144=KHC&amp;MH,SL))</f>
        <v>304</v>
      </c>
      <c r="J144" s="25">
        <f t="array" ref="J144">SUM(IF("155"&amp;C144=KHC&amp;MH,TH))</f>
        <v>1632524</v>
      </c>
      <c r="K144" s="8">
        <f t="shared" si="23"/>
        <v>0</v>
      </c>
      <c r="L144" s="8">
        <f t="shared" si="24"/>
        <v>0</v>
      </c>
      <c r="M144" s="282"/>
    </row>
    <row r="145" spans="1:13" ht="19.5" customHeight="1">
      <c r="A145" s="282" t="str">
        <f t="shared" si="25"/>
        <v>TP</v>
      </c>
      <c r="B145" s="295">
        <f t="shared" si="26"/>
        <v>111</v>
      </c>
      <c r="C145" s="190" t="s">
        <v>951</v>
      </c>
      <c r="D145" s="294" t="s">
        <v>1459</v>
      </c>
      <c r="E145" s="8"/>
      <c r="F145" s="8"/>
      <c r="G145" s="25">
        <f t="array" ref="G145">SUM(IF("155"&amp;C145=KHN&amp;MH,SL))</f>
        <v>201</v>
      </c>
      <c r="H145" s="25">
        <f t="array" ref="H145">SUM(IF("155"&amp;C145=KHN&amp;MH,TH))</f>
        <v>989390</v>
      </c>
      <c r="I145" s="25">
        <f t="array" ref="I145">SUM(IF("155"&amp;C145=KHC&amp;MH,SL))</f>
        <v>201</v>
      </c>
      <c r="J145" s="25">
        <f t="array" ref="J145">SUM(IF("155"&amp;C145=KHC&amp;MH,TH))</f>
        <v>989390</v>
      </c>
      <c r="K145" s="8">
        <f t="shared" si="23"/>
        <v>0</v>
      </c>
      <c r="L145" s="8">
        <f t="shared" si="24"/>
        <v>0</v>
      </c>
      <c r="M145" s="282"/>
    </row>
    <row r="146" spans="1:13" ht="19.5" customHeight="1">
      <c r="A146" s="282" t="str">
        <f t="shared" si="25"/>
        <v>TP</v>
      </c>
      <c r="B146" s="295">
        <f t="shared" si="26"/>
        <v>112</v>
      </c>
      <c r="C146" s="187" t="s">
        <v>438</v>
      </c>
      <c r="D146" s="294" t="s">
        <v>1459</v>
      </c>
      <c r="E146" s="8"/>
      <c r="F146" s="8"/>
      <c r="G146" s="25">
        <f t="array" ref="G146">SUM(IF("155"&amp;C146=KHN&amp;MH,SL))</f>
        <v>220</v>
      </c>
      <c r="H146" s="25">
        <f t="array" ref="H146">SUM(IF("155"&amp;C146=KHN&amp;MH,TH))</f>
        <v>1312702</v>
      </c>
      <c r="I146" s="25">
        <f t="array" ref="I146">SUM(IF("155"&amp;C146=KHC&amp;MH,SL))</f>
        <v>220</v>
      </c>
      <c r="J146" s="25">
        <f t="array" ref="J146">SUM(IF("155"&amp;C146=KHC&amp;MH,TH))</f>
        <v>1312702</v>
      </c>
      <c r="K146" s="8">
        <f t="shared" si="23"/>
        <v>0</v>
      </c>
      <c r="L146" s="8">
        <f t="shared" si="24"/>
        <v>0</v>
      </c>
      <c r="M146" s="282"/>
    </row>
    <row r="147" spans="1:13" ht="19.5" customHeight="1">
      <c r="A147" s="282" t="str">
        <f t="shared" si="25"/>
        <v>TP</v>
      </c>
      <c r="B147" s="295">
        <f t="shared" si="26"/>
        <v>113</v>
      </c>
      <c r="C147" s="190" t="s">
        <v>990</v>
      </c>
      <c r="D147" s="294" t="s">
        <v>1459</v>
      </c>
      <c r="E147" s="8"/>
      <c r="F147" s="8"/>
      <c r="G147" s="25">
        <f t="array" ref="G147">SUM(IF("155"&amp;C147=KHN&amp;MH,SL))</f>
        <v>46</v>
      </c>
      <c r="H147" s="25">
        <f t="array" ref="H147">SUM(IF("155"&amp;C147=KHN&amp;MH,TH))</f>
        <v>219579</v>
      </c>
      <c r="I147" s="25">
        <f t="array" ref="I147">SUM(IF("155"&amp;C147=KHC&amp;MH,SL))</f>
        <v>46</v>
      </c>
      <c r="J147" s="25">
        <f t="array" ref="J147">SUM(IF("155"&amp;C147=KHC&amp;MH,TH))</f>
        <v>219579</v>
      </c>
      <c r="K147" s="8">
        <f t="shared" si="23"/>
        <v>0</v>
      </c>
      <c r="L147" s="8">
        <f t="shared" si="24"/>
        <v>0</v>
      </c>
      <c r="M147" s="282"/>
    </row>
    <row r="148" spans="1:13" ht="19.5" customHeight="1">
      <c r="A148" s="282" t="str">
        <f t="shared" si="25"/>
        <v>TP</v>
      </c>
      <c r="B148" s="295">
        <f t="shared" si="26"/>
        <v>114</v>
      </c>
      <c r="C148" s="190" t="s">
        <v>895</v>
      </c>
      <c r="D148" s="294" t="s">
        <v>1459</v>
      </c>
      <c r="E148" s="8"/>
      <c r="F148" s="8"/>
      <c r="G148" s="25">
        <f t="array" ref="G148">SUM(IF("155"&amp;C148=KHN&amp;MH,SL))</f>
        <v>450</v>
      </c>
      <c r="H148" s="25">
        <f t="array" ref="H148">SUM(IF("155"&amp;C148=KHN&amp;MH,TH))</f>
        <v>2477854</v>
      </c>
      <c r="I148" s="25">
        <f t="array" ref="I148">SUM(IF("155"&amp;C148=KHC&amp;MH,SL))</f>
        <v>450</v>
      </c>
      <c r="J148" s="25">
        <f t="array" ref="J148">SUM(IF("155"&amp;C148=KHC&amp;MH,TH))</f>
        <v>2477854</v>
      </c>
      <c r="K148" s="8">
        <f t="shared" si="23"/>
        <v>0</v>
      </c>
      <c r="L148" s="8">
        <f t="shared" si="24"/>
        <v>0</v>
      </c>
      <c r="M148" s="282"/>
    </row>
    <row r="149" spans="1:13" ht="19.5" customHeight="1">
      <c r="A149" s="282" t="str">
        <f t="shared" si="25"/>
        <v>TP</v>
      </c>
      <c r="B149" s="295">
        <f t="shared" si="26"/>
        <v>115</v>
      </c>
      <c r="C149" s="190" t="s">
        <v>646</v>
      </c>
      <c r="D149" s="294" t="s">
        <v>1459</v>
      </c>
      <c r="E149" s="8"/>
      <c r="F149" s="8"/>
      <c r="G149" s="25">
        <f t="array" ref="G149">SUM(IF("155"&amp;C149=KHN&amp;MH,SL))</f>
        <v>4500</v>
      </c>
      <c r="H149" s="25">
        <f t="array" ref="H149">SUM(IF("155"&amp;C149=KHN&amp;MH,TH))</f>
        <v>29945290</v>
      </c>
      <c r="I149" s="25">
        <f t="array" ref="I149">SUM(IF("155"&amp;C149=KHC&amp;MH,SL))</f>
        <v>4500</v>
      </c>
      <c r="J149" s="25">
        <f t="array" ref="J149">SUM(IF("155"&amp;C149=KHC&amp;MH,TH))</f>
        <v>29945290</v>
      </c>
      <c r="K149" s="8">
        <f t="shared" si="23"/>
        <v>0</v>
      </c>
      <c r="L149" s="8">
        <f t="shared" si="24"/>
        <v>0</v>
      </c>
      <c r="M149" s="282"/>
    </row>
    <row r="150" spans="1:13" ht="19.5" customHeight="1">
      <c r="A150" s="282" t="str">
        <f t="shared" si="25"/>
        <v>TP</v>
      </c>
      <c r="B150" s="295">
        <f t="shared" si="26"/>
        <v>116</v>
      </c>
      <c r="C150" s="187" t="s">
        <v>974</v>
      </c>
      <c r="D150" s="294" t="s">
        <v>1459</v>
      </c>
      <c r="E150" s="8"/>
      <c r="F150" s="8"/>
      <c r="G150" s="25">
        <f t="array" ref="G150">SUM(IF("155"&amp;C150=KHN&amp;MH,SL))</f>
        <v>505</v>
      </c>
      <c r="H150" s="25">
        <f t="array" ref="H150">SUM(IF("155"&amp;C150=KHN&amp;MH,TH))</f>
        <v>2539737</v>
      </c>
      <c r="I150" s="25">
        <f t="array" ref="I150">SUM(IF("155"&amp;C150=KHC&amp;MH,SL))</f>
        <v>505</v>
      </c>
      <c r="J150" s="25">
        <f t="array" ref="J150">SUM(IF("155"&amp;C150=KHC&amp;MH,TH))</f>
        <v>2539737</v>
      </c>
      <c r="K150" s="8">
        <f t="shared" si="23"/>
        <v>0</v>
      </c>
      <c r="L150" s="8">
        <f t="shared" si="24"/>
        <v>0</v>
      </c>
      <c r="M150" s="282"/>
    </row>
    <row r="151" spans="1:13" ht="19.5" customHeight="1">
      <c r="A151" s="282" t="str">
        <f t="shared" si="25"/>
        <v>TP</v>
      </c>
      <c r="B151" s="295">
        <f t="shared" si="26"/>
        <v>117</v>
      </c>
      <c r="C151" s="190" t="s">
        <v>512</v>
      </c>
      <c r="D151" s="294" t="s">
        <v>1459</v>
      </c>
      <c r="E151" s="8"/>
      <c r="F151" s="8"/>
      <c r="G151" s="25">
        <f t="array" ref="G151">SUM(IF("155"&amp;C151=KHN&amp;MH,SL))</f>
        <v>675</v>
      </c>
      <c r="H151" s="25">
        <f t="array" ref="H151">SUM(IF("155"&amp;C151=KHN&amp;MH,TH))</f>
        <v>3015113</v>
      </c>
      <c r="I151" s="25">
        <f t="array" ref="I151">SUM(IF("155"&amp;C151=KHC&amp;MH,SL))</f>
        <v>675</v>
      </c>
      <c r="J151" s="25">
        <f t="array" ref="J151">SUM(IF("155"&amp;C151=KHC&amp;MH,TH))</f>
        <v>3015113</v>
      </c>
      <c r="K151" s="8">
        <f t="shared" si="23"/>
        <v>0</v>
      </c>
      <c r="L151" s="8">
        <f t="shared" si="24"/>
        <v>0</v>
      </c>
      <c r="M151" s="282"/>
    </row>
    <row r="152" spans="1:13" ht="19.5" customHeight="1">
      <c r="A152" s="282" t="str">
        <f t="shared" si="25"/>
        <v>TP</v>
      </c>
      <c r="B152" s="295">
        <f t="shared" si="26"/>
        <v>118</v>
      </c>
      <c r="C152" s="40" t="s">
        <v>1342</v>
      </c>
      <c r="D152" s="294" t="s">
        <v>1459</v>
      </c>
      <c r="E152" s="8"/>
      <c r="F152" s="8"/>
      <c r="G152" s="25">
        <f t="array" ref="G152">SUM(IF("155"&amp;C152=KHN&amp;MH,SL))</f>
        <v>313</v>
      </c>
      <c r="H152" s="25">
        <f t="array" ref="H152">SUM(IF("155"&amp;C152=KHN&amp;MH,TH))</f>
        <v>1399526</v>
      </c>
      <c r="I152" s="25">
        <f t="array" ref="I152">SUM(IF("155"&amp;C152=KHC&amp;MH,SL))</f>
        <v>313</v>
      </c>
      <c r="J152" s="25">
        <f t="array" ref="J152">SUM(IF("155"&amp;C152=KHC&amp;MH,TH))</f>
        <v>1399526</v>
      </c>
      <c r="K152" s="8">
        <f t="shared" si="23"/>
        <v>0</v>
      </c>
      <c r="L152" s="8">
        <f t="shared" si="24"/>
        <v>0</v>
      </c>
      <c r="M152" s="282"/>
    </row>
    <row r="153" spans="1:13" ht="19.5" customHeight="1">
      <c r="A153" s="282" t="str">
        <f t="shared" si="25"/>
        <v>TP</v>
      </c>
      <c r="B153" s="295">
        <f t="shared" si="26"/>
        <v>119</v>
      </c>
      <c r="C153" s="190" t="s">
        <v>908</v>
      </c>
      <c r="D153" s="294" t="s">
        <v>1459</v>
      </c>
      <c r="E153" s="8"/>
      <c r="F153" s="8"/>
      <c r="G153" s="25">
        <f t="array" ref="G153">SUM(IF("155"&amp;C153=KHN&amp;MH,SL))</f>
        <v>348</v>
      </c>
      <c r="H153" s="25">
        <f t="array" ref="H153">SUM(IF("155"&amp;C153=KHN&amp;MH,TH))</f>
        <v>1335538</v>
      </c>
      <c r="I153" s="25">
        <f t="array" ref="I153">SUM(IF("155"&amp;C153=KHC&amp;MH,SL))</f>
        <v>348</v>
      </c>
      <c r="J153" s="25">
        <f t="array" ref="J153">SUM(IF("155"&amp;C153=KHC&amp;MH,TH))</f>
        <v>1335538</v>
      </c>
      <c r="K153" s="8">
        <f t="shared" si="23"/>
        <v>0</v>
      </c>
      <c r="L153" s="8">
        <f t="shared" si="24"/>
        <v>0</v>
      </c>
      <c r="M153" s="282"/>
    </row>
    <row r="154" spans="1:13" ht="19.5" customHeight="1">
      <c r="A154" s="282" t="str">
        <f t="shared" si="25"/>
        <v>TP</v>
      </c>
      <c r="B154" s="295">
        <f t="shared" si="26"/>
        <v>120</v>
      </c>
      <c r="C154" s="187" t="s">
        <v>661</v>
      </c>
      <c r="D154" s="294" t="s">
        <v>1459</v>
      </c>
      <c r="E154" s="8"/>
      <c r="F154" s="8"/>
      <c r="G154" s="25">
        <f t="array" ref="G154">SUM(IF("155"&amp;C154=KHN&amp;MH,SL))</f>
        <v>511</v>
      </c>
      <c r="H154" s="25">
        <f t="array" ref="H154">SUM(IF("155"&amp;C154=KHN&amp;MH,TH))</f>
        <v>2700585</v>
      </c>
      <c r="I154" s="25">
        <f t="array" ref="I154">SUM(IF("155"&amp;C154=KHC&amp;MH,SL))</f>
        <v>511</v>
      </c>
      <c r="J154" s="25">
        <f t="array" ref="J154">SUM(IF("155"&amp;C154=KHC&amp;MH,TH))</f>
        <v>2700585</v>
      </c>
      <c r="K154" s="8">
        <f t="shared" si="23"/>
        <v>0</v>
      </c>
      <c r="L154" s="8">
        <f t="shared" si="24"/>
        <v>0</v>
      </c>
      <c r="M154" s="282"/>
    </row>
    <row r="155" spans="1:13" ht="19.5" customHeight="1">
      <c r="A155" s="282" t="str">
        <f t="shared" si="25"/>
        <v>TP</v>
      </c>
      <c r="B155" s="295">
        <f t="shared" si="26"/>
        <v>121</v>
      </c>
      <c r="C155" s="40" t="s">
        <v>1338</v>
      </c>
      <c r="D155" s="294" t="s">
        <v>1459</v>
      </c>
      <c r="E155" s="8"/>
      <c r="F155" s="8"/>
      <c r="G155" s="25">
        <f t="array" ref="G155">SUM(IF("155"&amp;C155=KHN&amp;MH,SL))</f>
        <v>526</v>
      </c>
      <c r="H155" s="25">
        <f t="array" ref="H155">SUM(IF("155"&amp;C155=KHN&amp;MH,TH))</f>
        <v>2751302</v>
      </c>
      <c r="I155" s="25">
        <f t="array" ref="I155">SUM(IF("155"&amp;C155=KHC&amp;MH,SL))</f>
        <v>526</v>
      </c>
      <c r="J155" s="25">
        <f t="array" ref="J155">SUM(IF("155"&amp;C155=KHC&amp;MH,TH))</f>
        <v>2751302</v>
      </c>
      <c r="K155" s="8">
        <f t="shared" si="23"/>
        <v>0</v>
      </c>
      <c r="L155" s="8">
        <f t="shared" si="24"/>
        <v>0</v>
      </c>
      <c r="M155" s="282"/>
    </row>
    <row r="156" spans="1:13" ht="19.5" customHeight="1">
      <c r="A156" s="282" t="str">
        <f t="shared" si="25"/>
        <v>TP</v>
      </c>
      <c r="B156" s="295">
        <f t="shared" si="26"/>
        <v>122</v>
      </c>
      <c r="C156" s="190" t="s">
        <v>660</v>
      </c>
      <c r="D156" s="294" t="s">
        <v>1459</v>
      </c>
      <c r="E156" s="8"/>
      <c r="F156" s="8"/>
      <c r="G156" s="25">
        <f t="array" ref="G156">SUM(IF("155"&amp;C156=KHN&amp;MH,SL))</f>
        <v>312</v>
      </c>
      <c r="H156" s="25">
        <f t="array" ref="H156">SUM(IF("155"&amp;C156=KHN&amp;MH,TH))</f>
        <v>1483709</v>
      </c>
      <c r="I156" s="25">
        <f t="array" ref="I156">SUM(IF("155"&amp;C156=KHC&amp;MH,SL))</f>
        <v>312</v>
      </c>
      <c r="J156" s="25">
        <f t="array" ref="J156">SUM(IF("155"&amp;C156=KHC&amp;MH,TH))</f>
        <v>1483709</v>
      </c>
      <c r="K156" s="8">
        <f t="shared" si="23"/>
        <v>0</v>
      </c>
      <c r="L156" s="8">
        <f t="shared" si="24"/>
        <v>0</v>
      </c>
      <c r="M156" s="282"/>
    </row>
    <row r="157" spans="1:13" ht="19.5" customHeight="1">
      <c r="A157" s="282" t="str">
        <f t="shared" si="25"/>
        <v>TP</v>
      </c>
      <c r="B157" s="295">
        <f t="shared" si="26"/>
        <v>123</v>
      </c>
      <c r="C157" s="40" t="s">
        <v>1304</v>
      </c>
      <c r="D157" s="294" t="s">
        <v>1459</v>
      </c>
      <c r="E157" s="8"/>
      <c r="F157" s="8"/>
      <c r="G157" s="25">
        <f t="array" ref="G157">SUM(IF("155"&amp;C157=KHN&amp;MH,SL))</f>
        <v>1020</v>
      </c>
      <c r="H157" s="25">
        <f t="array" ref="H157">SUM(IF("155"&amp;C157=KHN&amp;MH,TH))</f>
        <v>4904964</v>
      </c>
      <c r="I157" s="25">
        <f t="array" ref="I157">SUM(IF("155"&amp;C157=KHC&amp;MH,SL))</f>
        <v>1020</v>
      </c>
      <c r="J157" s="25">
        <f t="array" ref="J157">SUM(IF("155"&amp;C157=KHC&amp;MH,TH))</f>
        <v>4904964</v>
      </c>
      <c r="K157" s="8">
        <f t="shared" si="23"/>
        <v>0</v>
      </c>
      <c r="L157" s="8">
        <f t="shared" si="24"/>
        <v>0</v>
      </c>
      <c r="M157" s="282"/>
    </row>
    <row r="158" spans="1:13" ht="19.5" customHeight="1">
      <c r="A158" s="282" t="str">
        <f t="shared" si="25"/>
        <v>TP</v>
      </c>
      <c r="B158" s="295">
        <f t="shared" si="26"/>
        <v>124</v>
      </c>
      <c r="C158" s="190" t="s">
        <v>1040</v>
      </c>
      <c r="D158" s="294" t="s">
        <v>1459</v>
      </c>
      <c r="E158" s="8"/>
      <c r="F158" s="8"/>
      <c r="G158" s="25">
        <f t="array" ref="G158">SUM(IF("155"&amp;C158=KHN&amp;MH,SL))</f>
        <v>306</v>
      </c>
      <c r="H158" s="25">
        <f t="array" ref="H158">SUM(IF("155"&amp;C158=KHN&amp;MH,TH))</f>
        <v>2191018</v>
      </c>
      <c r="I158" s="25">
        <f t="array" ref="I158">SUM(IF("155"&amp;C158=KHC&amp;MH,SL))</f>
        <v>306</v>
      </c>
      <c r="J158" s="25">
        <f t="array" ref="J158">SUM(IF("155"&amp;C158=KHC&amp;MH,TH))</f>
        <v>2191018</v>
      </c>
      <c r="K158" s="8">
        <f t="shared" si="23"/>
        <v>0</v>
      </c>
      <c r="L158" s="8">
        <f t="shared" si="24"/>
        <v>0</v>
      </c>
      <c r="M158" s="282"/>
    </row>
    <row r="159" spans="1:13" ht="19.5" customHeight="1">
      <c r="A159" s="282" t="str">
        <f t="shared" si="25"/>
        <v>TP</v>
      </c>
      <c r="B159" s="295">
        <f t="shared" si="26"/>
        <v>125</v>
      </c>
      <c r="C159" s="190" t="s">
        <v>988</v>
      </c>
      <c r="D159" s="294" t="s">
        <v>1459</v>
      </c>
      <c r="E159" s="8"/>
      <c r="F159" s="8"/>
      <c r="G159" s="25">
        <f t="array" ref="G159">SUM(IF("155"&amp;C159=KHN&amp;MH,SL))</f>
        <v>1062</v>
      </c>
      <c r="H159" s="25">
        <f t="array" ref="H159">SUM(IF("155"&amp;C159=KHN&amp;MH,TH))</f>
        <v>9559039</v>
      </c>
      <c r="I159" s="25">
        <f t="array" ref="I159">SUM(IF("155"&amp;C159=KHC&amp;MH,SL))</f>
        <v>1062</v>
      </c>
      <c r="J159" s="25">
        <f t="array" ref="J159">SUM(IF("155"&amp;C159=KHC&amp;MH,TH))</f>
        <v>9559039</v>
      </c>
      <c r="K159" s="8">
        <f t="shared" si="23"/>
        <v>0</v>
      </c>
      <c r="L159" s="8">
        <f t="shared" si="24"/>
        <v>0</v>
      </c>
      <c r="M159" s="282"/>
    </row>
    <row r="160" spans="1:13" ht="19.5" customHeight="1">
      <c r="A160" s="282" t="str">
        <f t="shared" si="25"/>
        <v>TP</v>
      </c>
      <c r="B160" s="295">
        <f t="shared" si="26"/>
        <v>126</v>
      </c>
      <c r="C160" s="190" t="s">
        <v>966</v>
      </c>
      <c r="D160" s="294" t="s">
        <v>1459</v>
      </c>
      <c r="E160" s="8"/>
      <c r="F160" s="8"/>
      <c r="G160" s="25">
        <f t="array" ref="G160">SUM(IF("155"&amp;C160=KHN&amp;MH,SL))</f>
        <v>497</v>
      </c>
      <c r="H160" s="25">
        <f t="array" ref="H160">SUM(IF("155"&amp;C160=KHN&amp;MH,TH))</f>
        <v>4151717</v>
      </c>
      <c r="I160" s="25">
        <f t="array" ref="I160">SUM(IF("155"&amp;C160=KHC&amp;MH,SL))</f>
        <v>497</v>
      </c>
      <c r="J160" s="25">
        <f t="array" ref="J160">SUM(IF("155"&amp;C160=KHC&amp;MH,TH))</f>
        <v>4151717</v>
      </c>
      <c r="K160" s="8">
        <f t="shared" si="23"/>
        <v>0</v>
      </c>
      <c r="L160" s="8">
        <f t="shared" si="24"/>
        <v>0</v>
      </c>
      <c r="M160" s="282"/>
    </row>
    <row r="161" spans="1:13" ht="19.5" customHeight="1">
      <c r="A161" s="282" t="str">
        <f t="shared" si="25"/>
        <v>TP</v>
      </c>
      <c r="B161" s="295">
        <f t="shared" si="26"/>
        <v>127</v>
      </c>
      <c r="C161" s="187" t="s">
        <v>1015</v>
      </c>
      <c r="D161" s="294" t="s">
        <v>1459</v>
      </c>
      <c r="E161" s="8"/>
      <c r="F161" s="8"/>
      <c r="G161" s="25">
        <f t="array" ref="G161">SUM(IF("155"&amp;C161=KHN&amp;MH,SL))</f>
        <v>390</v>
      </c>
      <c r="H161" s="25">
        <f t="array" ref="H161">SUM(IF("155"&amp;C161=KHN&amp;MH,TH))</f>
        <v>2526525</v>
      </c>
      <c r="I161" s="25">
        <f t="array" ref="I161">SUM(IF("155"&amp;C161=KHC&amp;MH,SL))</f>
        <v>390</v>
      </c>
      <c r="J161" s="25">
        <f t="array" ref="J161">SUM(IF("155"&amp;C161=KHC&amp;MH,TH))</f>
        <v>2526525</v>
      </c>
      <c r="K161" s="8">
        <f t="shared" si="23"/>
        <v>0</v>
      </c>
      <c r="L161" s="8">
        <f t="shared" si="24"/>
        <v>0</v>
      </c>
      <c r="M161" s="282"/>
    </row>
    <row r="162" spans="1:13" ht="19.5" customHeight="1">
      <c r="A162" s="282" t="str">
        <f t="shared" si="25"/>
        <v>TP</v>
      </c>
      <c r="B162" s="295">
        <f t="shared" si="26"/>
        <v>128</v>
      </c>
      <c r="C162" s="187" t="s">
        <v>1000</v>
      </c>
      <c r="D162" s="294" t="s">
        <v>1459</v>
      </c>
      <c r="E162" s="8"/>
      <c r="F162" s="8"/>
      <c r="G162" s="25">
        <f t="array" ref="G162">SUM(IF("155"&amp;C162=KHN&amp;MH,SL))</f>
        <v>36</v>
      </c>
      <c r="H162" s="25">
        <f t="array" ref="H162">SUM(IF("155"&amp;C162=KHN&amp;MH,TH))</f>
        <v>230149</v>
      </c>
      <c r="I162" s="25">
        <f t="array" ref="I162">SUM(IF("155"&amp;C162=KHC&amp;MH,SL))</f>
        <v>36</v>
      </c>
      <c r="J162" s="25">
        <f t="array" ref="J162">SUM(IF("155"&amp;C162=KHC&amp;MH,TH))</f>
        <v>230149</v>
      </c>
      <c r="K162" s="8">
        <f t="shared" si="23"/>
        <v>0</v>
      </c>
      <c r="L162" s="8">
        <f t="shared" si="24"/>
        <v>0</v>
      </c>
      <c r="M162" s="282"/>
    </row>
    <row r="163" spans="1:13" ht="19.5" customHeight="1">
      <c r="A163" s="282" t="str">
        <f t="shared" ref="A163:A173" si="27">IF(B163&lt;&gt;"","TP","")</f>
        <v>TP</v>
      </c>
      <c r="B163" s="295">
        <f t="shared" ref="B163:B173" si="28">IF(C163&lt;&gt;"",B162+1,"")</f>
        <v>129</v>
      </c>
      <c r="C163" s="187" t="s">
        <v>956</v>
      </c>
      <c r="D163" s="294" t="s">
        <v>1459</v>
      </c>
      <c r="E163" s="8"/>
      <c r="F163" s="8"/>
      <c r="G163" s="25">
        <f t="array" ref="G163">SUM(IF("155"&amp;C163=KHN&amp;MH,SL))</f>
        <v>1060</v>
      </c>
      <c r="H163" s="25">
        <f t="array" ref="H163">SUM(IF("155"&amp;C163=KHN&amp;MH,TH))</f>
        <v>8132637</v>
      </c>
      <c r="I163" s="25">
        <f t="array" ref="I163">SUM(IF("155"&amp;C163=KHC&amp;MH,SL))</f>
        <v>1060</v>
      </c>
      <c r="J163" s="25">
        <f t="array" ref="J163">SUM(IF("155"&amp;C163=KHC&amp;MH,TH))</f>
        <v>8132637</v>
      </c>
      <c r="K163" s="8">
        <f t="shared" ref="K163:K226" si="29">E163+G163-I163</f>
        <v>0</v>
      </c>
      <c r="L163" s="8">
        <f t="shared" ref="L163:L226" si="30">F163+H163-J163</f>
        <v>0</v>
      </c>
      <c r="M163" s="282"/>
    </row>
    <row r="164" spans="1:13" ht="19.5" customHeight="1">
      <c r="A164" s="282" t="str">
        <f t="shared" si="27"/>
        <v>TP</v>
      </c>
      <c r="B164" s="295">
        <f t="shared" si="28"/>
        <v>130</v>
      </c>
      <c r="C164" s="40" t="s">
        <v>1313</v>
      </c>
      <c r="D164" s="294" t="s">
        <v>1459</v>
      </c>
      <c r="E164" s="8"/>
      <c r="F164" s="8"/>
      <c r="G164" s="25">
        <f t="array" ref="G164">SUM(IF("155"&amp;C164=KHN&amp;MH,SL))</f>
        <v>50</v>
      </c>
      <c r="H164" s="25">
        <f t="array" ref="H164">SUM(IF("155"&amp;C164=KHN&amp;MH,TH))</f>
        <v>232003</v>
      </c>
      <c r="I164" s="25">
        <f t="array" ref="I164">SUM(IF("155"&amp;C164=KHC&amp;MH,SL))</f>
        <v>50</v>
      </c>
      <c r="J164" s="25">
        <f t="array" ref="J164">SUM(IF("155"&amp;C164=KHC&amp;MH,TH))</f>
        <v>232003</v>
      </c>
      <c r="K164" s="8">
        <f t="shared" si="29"/>
        <v>0</v>
      </c>
      <c r="L164" s="8">
        <f t="shared" si="30"/>
        <v>0</v>
      </c>
      <c r="M164" s="282"/>
    </row>
    <row r="165" spans="1:13" ht="19.5" customHeight="1">
      <c r="A165" s="282" t="str">
        <f t="shared" si="27"/>
        <v>TP</v>
      </c>
      <c r="B165" s="295">
        <f t="shared" si="28"/>
        <v>131</v>
      </c>
      <c r="C165" s="190" t="s">
        <v>949</v>
      </c>
      <c r="D165" s="294" t="s">
        <v>1459</v>
      </c>
      <c r="E165" s="8"/>
      <c r="F165" s="8"/>
      <c r="G165" s="25">
        <f t="array" ref="G165">SUM(IF("155"&amp;C165=KHN&amp;MH,SL))</f>
        <v>744</v>
      </c>
      <c r="H165" s="25">
        <f t="array" ref="H165">SUM(IF("155"&amp;C165=KHN&amp;MH,TH))</f>
        <v>2607003</v>
      </c>
      <c r="I165" s="25">
        <f t="array" ref="I165">SUM(IF("155"&amp;C165=KHC&amp;MH,SL))</f>
        <v>744</v>
      </c>
      <c r="J165" s="25">
        <f t="array" ref="J165">SUM(IF("155"&amp;C165=KHC&amp;MH,TH))</f>
        <v>2607003</v>
      </c>
      <c r="K165" s="8">
        <f t="shared" si="29"/>
        <v>0</v>
      </c>
      <c r="L165" s="8">
        <f t="shared" si="30"/>
        <v>0</v>
      </c>
      <c r="M165" s="282"/>
    </row>
    <row r="166" spans="1:13" ht="19.5" customHeight="1">
      <c r="A166" s="282" t="str">
        <f t="shared" si="27"/>
        <v>TP</v>
      </c>
      <c r="B166" s="295">
        <f t="shared" si="28"/>
        <v>132</v>
      </c>
      <c r="C166" s="190" t="s">
        <v>920</v>
      </c>
      <c r="D166" s="294" t="s">
        <v>1459</v>
      </c>
      <c r="E166" s="8"/>
      <c r="F166" s="8"/>
      <c r="G166" s="25">
        <f t="array" ref="G166">SUM(IF("155"&amp;C166=KHN&amp;MH,SL))</f>
        <v>209</v>
      </c>
      <c r="H166" s="25">
        <f t="array" ref="H166">SUM(IF("155"&amp;C166=KHN&amp;MH,TH))</f>
        <v>1482124</v>
      </c>
      <c r="I166" s="25">
        <f t="array" ref="I166">SUM(IF("155"&amp;C166=KHC&amp;MH,SL))</f>
        <v>209</v>
      </c>
      <c r="J166" s="25">
        <f t="array" ref="J166">SUM(IF("155"&amp;C166=KHC&amp;MH,TH))</f>
        <v>1482124</v>
      </c>
      <c r="K166" s="8">
        <f t="shared" si="29"/>
        <v>0</v>
      </c>
      <c r="L166" s="8">
        <f t="shared" si="30"/>
        <v>0</v>
      </c>
      <c r="M166" s="282"/>
    </row>
    <row r="167" spans="1:13" ht="19.5" customHeight="1">
      <c r="A167" s="282" t="str">
        <f t="shared" si="27"/>
        <v>TP</v>
      </c>
      <c r="B167" s="295">
        <f t="shared" si="28"/>
        <v>133</v>
      </c>
      <c r="C167" s="190" t="s">
        <v>910</v>
      </c>
      <c r="D167" s="294" t="s">
        <v>1459</v>
      </c>
      <c r="E167" s="8"/>
      <c r="F167" s="8"/>
      <c r="G167" s="25">
        <f t="array" ref="G167">SUM(IF("155"&amp;C167=KHN&amp;MH,SL))</f>
        <v>502</v>
      </c>
      <c r="H167" s="25">
        <f t="array" ref="H167">SUM(IF("155"&amp;C167=KHN&amp;MH,TH))</f>
        <v>3266763</v>
      </c>
      <c r="I167" s="25">
        <f t="array" ref="I167">SUM(IF("155"&amp;C167=KHC&amp;MH,SL))</f>
        <v>502</v>
      </c>
      <c r="J167" s="25">
        <f t="array" ref="J167">SUM(IF("155"&amp;C167=KHC&amp;MH,TH))</f>
        <v>3266763</v>
      </c>
      <c r="K167" s="8">
        <f t="shared" si="29"/>
        <v>0</v>
      </c>
      <c r="L167" s="8">
        <f t="shared" si="30"/>
        <v>0</v>
      </c>
      <c r="M167" s="282"/>
    </row>
    <row r="168" spans="1:13" ht="19.5" customHeight="1">
      <c r="A168" s="282" t="str">
        <f t="shared" si="27"/>
        <v>TP</v>
      </c>
      <c r="B168" s="295">
        <f t="shared" si="28"/>
        <v>134</v>
      </c>
      <c r="C168" s="187" t="s">
        <v>973</v>
      </c>
      <c r="D168" s="294" t="s">
        <v>1459</v>
      </c>
      <c r="E168" s="8"/>
      <c r="F168" s="8"/>
      <c r="G168" s="25">
        <f t="array" ref="G168">SUM(IF("155"&amp;C168=KHN&amp;MH,SL))</f>
        <v>173</v>
      </c>
      <c r="H168" s="25">
        <f t="array" ref="H168">SUM(IF("155"&amp;C168=KHN&amp;MH,TH))</f>
        <v>1371432</v>
      </c>
      <c r="I168" s="25">
        <f t="array" ref="I168">SUM(IF("155"&amp;C168=KHC&amp;MH,SL))</f>
        <v>173</v>
      </c>
      <c r="J168" s="25">
        <f t="array" ref="J168">SUM(IF("155"&amp;C168=KHC&amp;MH,TH))</f>
        <v>1371432</v>
      </c>
      <c r="K168" s="8">
        <f t="shared" si="29"/>
        <v>0</v>
      </c>
      <c r="L168" s="8">
        <f t="shared" si="30"/>
        <v>0</v>
      </c>
      <c r="M168" s="282"/>
    </row>
    <row r="169" spans="1:13" ht="19.5" customHeight="1">
      <c r="A169" s="282" t="str">
        <f t="shared" si="27"/>
        <v>TP</v>
      </c>
      <c r="B169" s="295">
        <f t="shared" si="28"/>
        <v>135</v>
      </c>
      <c r="C169" s="190" t="s">
        <v>597</v>
      </c>
      <c r="D169" s="294" t="s">
        <v>1459</v>
      </c>
      <c r="E169" s="8"/>
      <c r="F169" s="8"/>
      <c r="G169" s="25">
        <f t="array" ref="G169">SUM(IF("155"&amp;C169=KHN&amp;MH,SL))</f>
        <v>205</v>
      </c>
      <c r="H169" s="25">
        <f t="array" ref="H169">SUM(IF("155"&amp;C169=KHN&amp;MH,TH))</f>
        <v>1658994</v>
      </c>
      <c r="I169" s="25">
        <f t="array" ref="I169">SUM(IF("155"&amp;C169=KHC&amp;MH,SL))</f>
        <v>205</v>
      </c>
      <c r="J169" s="25">
        <f t="array" ref="J169">SUM(IF("155"&amp;C169=KHC&amp;MH,TH))</f>
        <v>1658994</v>
      </c>
      <c r="K169" s="8">
        <f t="shared" si="29"/>
        <v>0</v>
      </c>
      <c r="L169" s="8">
        <f t="shared" si="30"/>
        <v>0</v>
      </c>
      <c r="M169" s="282"/>
    </row>
    <row r="170" spans="1:13" ht="19.5" customHeight="1">
      <c r="A170" s="282" t="str">
        <f t="shared" si="27"/>
        <v>TP</v>
      </c>
      <c r="B170" s="295">
        <f t="shared" si="28"/>
        <v>136</v>
      </c>
      <c r="C170" s="190" t="s">
        <v>893</v>
      </c>
      <c r="D170" s="294" t="s">
        <v>1459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1051211</v>
      </c>
      <c r="I170" s="25">
        <f t="array" ref="I170">SUM(IF("155"&amp;C170=KHC&amp;MH,SL))</f>
        <v>200</v>
      </c>
      <c r="J170" s="25">
        <f t="array" ref="J170">SUM(IF("155"&amp;C170=KHC&amp;MH,TH))</f>
        <v>1051211</v>
      </c>
      <c r="K170" s="8">
        <f t="shared" si="29"/>
        <v>0</v>
      </c>
      <c r="L170" s="8">
        <f t="shared" si="30"/>
        <v>0</v>
      </c>
      <c r="M170" s="282"/>
    </row>
    <row r="171" spans="1:13" ht="19.5" customHeight="1">
      <c r="A171" s="282" t="str">
        <f t="shared" si="27"/>
        <v>TP</v>
      </c>
      <c r="B171" s="295">
        <f t="shared" si="28"/>
        <v>137</v>
      </c>
      <c r="C171" s="187" t="s">
        <v>967</v>
      </c>
      <c r="D171" s="294" t="s">
        <v>1459</v>
      </c>
      <c r="E171" s="8"/>
      <c r="F171" s="8"/>
      <c r="G171" s="25">
        <f t="array" ref="G171">SUM(IF("155"&amp;C171=KHN&amp;MH,SL))</f>
        <v>1070</v>
      </c>
      <c r="H171" s="25">
        <f t="array" ref="H171">SUM(IF("155"&amp;C171=KHN&amp;MH,TH))</f>
        <v>6658125</v>
      </c>
      <c r="I171" s="25">
        <f t="array" ref="I171">SUM(IF("155"&amp;C171=KHC&amp;MH,SL))</f>
        <v>1070</v>
      </c>
      <c r="J171" s="25">
        <f t="array" ref="J171">SUM(IF("155"&amp;C171=KHC&amp;MH,TH))</f>
        <v>6658125</v>
      </c>
      <c r="K171" s="8">
        <f t="shared" si="29"/>
        <v>0</v>
      </c>
      <c r="L171" s="8">
        <f t="shared" si="30"/>
        <v>0</v>
      </c>
      <c r="M171" s="282"/>
    </row>
    <row r="172" spans="1:13" ht="19.5" customHeight="1">
      <c r="A172" s="282" t="str">
        <f t="shared" si="27"/>
        <v>TP</v>
      </c>
      <c r="B172" s="295">
        <f t="shared" si="28"/>
        <v>138</v>
      </c>
      <c r="C172" s="190" t="s">
        <v>396</v>
      </c>
      <c r="D172" s="294" t="s">
        <v>1459</v>
      </c>
      <c r="E172" s="8"/>
      <c r="F172" s="8"/>
      <c r="G172" s="25">
        <f t="array" ref="G172">SUM(IF("155"&amp;C172=KHN&amp;MH,SL))</f>
        <v>2259</v>
      </c>
      <c r="H172" s="25">
        <f t="array" ref="H172">SUM(IF("155"&amp;C172=KHN&amp;MH,TH))</f>
        <v>13946564</v>
      </c>
      <c r="I172" s="25">
        <f t="array" ref="I172">SUM(IF("155"&amp;C172=KHC&amp;MH,SL))</f>
        <v>2259</v>
      </c>
      <c r="J172" s="25">
        <f t="array" ref="J172">SUM(IF("155"&amp;C172=KHC&amp;MH,TH))</f>
        <v>13946564</v>
      </c>
      <c r="K172" s="8">
        <f t="shared" si="29"/>
        <v>0</v>
      </c>
      <c r="L172" s="8">
        <f t="shared" si="30"/>
        <v>0</v>
      </c>
      <c r="M172" s="282"/>
    </row>
    <row r="173" spans="1:13" ht="19.5" customHeight="1">
      <c r="A173" s="282" t="str">
        <f t="shared" si="27"/>
        <v>TP</v>
      </c>
      <c r="B173" s="295">
        <f t="shared" si="28"/>
        <v>139</v>
      </c>
      <c r="C173" s="40" t="s">
        <v>1317</v>
      </c>
      <c r="D173" s="294" t="s">
        <v>1459</v>
      </c>
      <c r="E173" s="8"/>
      <c r="F173" s="8"/>
      <c r="G173" s="25">
        <f t="array" ref="G173">SUM(IF("155"&amp;C173=KHN&amp;MH,SL))</f>
        <v>510</v>
      </c>
      <c r="H173" s="25">
        <f t="array" ref="H173">SUM(IF("155"&amp;C173=KHN&amp;MH,TH))</f>
        <v>3140898</v>
      </c>
      <c r="I173" s="25">
        <f t="array" ref="I173">SUM(IF("155"&amp;C173=KHC&amp;MH,SL))</f>
        <v>510</v>
      </c>
      <c r="J173" s="25">
        <f t="array" ref="J173">SUM(IF("155"&amp;C173=KHC&amp;MH,TH))</f>
        <v>3140898</v>
      </c>
      <c r="K173" s="8">
        <f t="shared" si="29"/>
        <v>0</v>
      </c>
      <c r="L173" s="8">
        <f t="shared" si="30"/>
        <v>0</v>
      </c>
      <c r="M173" s="282"/>
    </row>
    <row r="174" spans="1:13" ht="19.5" customHeight="1">
      <c r="A174" s="282" t="str">
        <f t="shared" ref="A174:A181" si="31">IF(B174&lt;&gt;"","TP","")</f>
        <v>TP</v>
      </c>
      <c r="B174" s="295">
        <f t="shared" ref="B174:B181" si="32">IF(C174&lt;&gt;"",B173+1,"")</f>
        <v>140</v>
      </c>
      <c r="C174" s="40" t="s">
        <v>1325</v>
      </c>
      <c r="D174" s="294" t="s">
        <v>1459</v>
      </c>
      <c r="E174" s="8"/>
      <c r="F174" s="8"/>
      <c r="G174" s="25">
        <f t="array" ref="G174">SUM(IF("155"&amp;C174=KHN&amp;MH,SL))</f>
        <v>400</v>
      </c>
      <c r="H174" s="25">
        <f t="array" ref="H174">SUM(IF("155"&amp;C174=KHN&amp;MH,TH))</f>
        <v>2598433</v>
      </c>
      <c r="I174" s="25">
        <f t="array" ref="I174">SUM(IF("155"&amp;C174=KHC&amp;MH,SL))</f>
        <v>400</v>
      </c>
      <c r="J174" s="25">
        <f t="array" ref="J174">SUM(IF("155"&amp;C174=KHC&amp;MH,TH))</f>
        <v>2598433</v>
      </c>
      <c r="K174" s="8">
        <f t="shared" si="29"/>
        <v>0</v>
      </c>
      <c r="L174" s="8">
        <f t="shared" si="30"/>
        <v>0</v>
      </c>
      <c r="M174" s="282"/>
    </row>
    <row r="175" spans="1:13" ht="19.5" customHeight="1">
      <c r="A175" s="282" t="str">
        <f t="shared" si="31"/>
        <v>TP</v>
      </c>
      <c r="B175" s="295">
        <f t="shared" si="32"/>
        <v>141</v>
      </c>
      <c r="C175" s="190" t="s">
        <v>936</v>
      </c>
      <c r="D175" s="294" t="s">
        <v>1459</v>
      </c>
      <c r="E175" s="8"/>
      <c r="F175" s="8"/>
      <c r="G175" s="25">
        <f t="array" ref="G175">SUM(IF("155"&amp;C175=KHN&amp;MH,SL))</f>
        <v>310</v>
      </c>
      <c r="H175" s="25">
        <f t="array" ref="H175">SUM(IF("155"&amp;C175=KHN&amp;MH,TH))</f>
        <v>2069050</v>
      </c>
      <c r="I175" s="25">
        <f t="array" ref="I175">SUM(IF("155"&amp;C175=KHC&amp;MH,SL))</f>
        <v>310</v>
      </c>
      <c r="J175" s="25">
        <f t="array" ref="J175">SUM(IF("155"&amp;C175=KHC&amp;MH,TH))</f>
        <v>2069050</v>
      </c>
      <c r="K175" s="8">
        <f t="shared" si="29"/>
        <v>0</v>
      </c>
      <c r="L175" s="8">
        <f t="shared" si="30"/>
        <v>0</v>
      </c>
      <c r="M175" s="282"/>
    </row>
    <row r="176" spans="1:13" ht="19.5" customHeight="1">
      <c r="A176" s="282" t="str">
        <f t="shared" si="31"/>
        <v>TP</v>
      </c>
      <c r="B176" s="295">
        <f t="shared" si="32"/>
        <v>142</v>
      </c>
      <c r="C176" s="190" t="s">
        <v>436</v>
      </c>
      <c r="D176" s="294" t="s">
        <v>1459</v>
      </c>
      <c r="E176" s="8"/>
      <c r="F176" s="8"/>
      <c r="G176" s="25">
        <f t="array" ref="G176">SUM(IF("155"&amp;C176=KHN&amp;MH,SL))</f>
        <v>14375</v>
      </c>
      <c r="H176" s="25">
        <f t="array" ref="H176">SUM(IF("155"&amp;C176=KHN&amp;MH,TH))</f>
        <v>82829392</v>
      </c>
      <c r="I176" s="25">
        <f t="array" ref="I176">SUM(IF("155"&amp;C176=KHC&amp;MH,SL))</f>
        <v>14375</v>
      </c>
      <c r="J176" s="25">
        <f t="array" ref="J176">SUM(IF("155"&amp;C176=KHC&amp;MH,TH))</f>
        <v>82829392</v>
      </c>
      <c r="K176" s="8">
        <f t="shared" si="29"/>
        <v>0</v>
      </c>
      <c r="L176" s="8">
        <f t="shared" si="30"/>
        <v>0</v>
      </c>
      <c r="M176" s="282"/>
    </row>
    <row r="177" spans="1:13" ht="19.5" customHeight="1">
      <c r="A177" s="282" t="str">
        <f t="shared" si="31"/>
        <v>TP</v>
      </c>
      <c r="B177" s="295">
        <f t="shared" si="32"/>
        <v>143</v>
      </c>
      <c r="C177" s="190" t="s">
        <v>863</v>
      </c>
      <c r="D177" s="294" t="s">
        <v>1459</v>
      </c>
      <c r="E177" s="8"/>
      <c r="F177" s="8"/>
      <c r="G177" s="25">
        <f t="array" ref="G177">SUM(IF("155"&amp;C177=KHN&amp;MH,SL))</f>
        <v>1000</v>
      </c>
      <c r="H177" s="25">
        <f t="array" ref="H177">SUM(IF("155"&amp;C177=KHN&amp;MH,TH))</f>
        <v>7425221</v>
      </c>
      <c r="I177" s="25">
        <f t="array" ref="I177">SUM(IF("155"&amp;C177=KHC&amp;MH,SL))</f>
        <v>1000</v>
      </c>
      <c r="J177" s="25">
        <f t="array" ref="J177">SUM(IF("155"&amp;C177=KHC&amp;MH,TH))</f>
        <v>7425221</v>
      </c>
      <c r="K177" s="8">
        <f t="shared" si="29"/>
        <v>0</v>
      </c>
      <c r="L177" s="8">
        <f t="shared" si="30"/>
        <v>0</v>
      </c>
      <c r="M177" s="282"/>
    </row>
    <row r="178" spans="1:13" ht="19.5" customHeight="1">
      <c r="A178" s="282" t="str">
        <f t="shared" si="31"/>
        <v>TP</v>
      </c>
      <c r="B178" s="295">
        <f t="shared" si="32"/>
        <v>144</v>
      </c>
      <c r="C178" s="40" t="s">
        <v>1341</v>
      </c>
      <c r="D178" s="294" t="s">
        <v>1459</v>
      </c>
      <c r="E178" s="8"/>
      <c r="F178" s="8"/>
      <c r="G178" s="25">
        <f t="array" ref="G178">SUM(IF("155"&amp;C178=KHN&amp;MH,SL))</f>
        <v>720</v>
      </c>
      <c r="H178" s="25">
        <f t="array" ref="H178">SUM(IF("155"&amp;C178=KHN&amp;MH,TH))</f>
        <v>3887526</v>
      </c>
      <c r="I178" s="25">
        <f t="array" ref="I178">SUM(IF("155"&amp;C178=KHC&amp;MH,SL))</f>
        <v>720</v>
      </c>
      <c r="J178" s="25">
        <f t="array" ref="J178">SUM(IF("155"&amp;C178=KHC&amp;MH,TH))</f>
        <v>3887526</v>
      </c>
      <c r="K178" s="8">
        <f t="shared" si="29"/>
        <v>0</v>
      </c>
      <c r="L178" s="8">
        <f t="shared" si="30"/>
        <v>0</v>
      </c>
      <c r="M178" s="282"/>
    </row>
    <row r="179" spans="1:13" ht="19.5" customHeight="1">
      <c r="A179" s="282" t="str">
        <f t="shared" si="31"/>
        <v>TP</v>
      </c>
      <c r="B179" s="295">
        <f t="shared" si="32"/>
        <v>145</v>
      </c>
      <c r="C179" s="40" t="s">
        <v>1258</v>
      </c>
      <c r="D179" s="294" t="s">
        <v>1459</v>
      </c>
      <c r="E179" s="8"/>
      <c r="F179" s="8"/>
      <c r="G179" s="25">
        <f t="array" ref="G179">SUM(IF("155"&amp;C179=KHN&amp;MH,SL))</f>
        <v>2104</v>
      </c>
      <c r="H179" s="25">
        <f t="array" ref="H179">SUM(IF("155"&amp;C179=KHN&amp;MH,TH))</f>
        <v>17580643</v>
      </c>
      <c r="I179" s="25">
        <f t="array" ref="I179">SUM(IF("155"&amp;C179=KHC&amp;MH,SL))</f>
        <v>2104</v>
      </c>
      <c r="J179" s="25">
        <f t="array" ref="J179">SUM(IF("155"&amp;C179=KHC&amp;MH,TH))</f>
        <v>17580643</v>
      </c>
      <c r="K179" s="8">
        <f t="shared" si="29"/>
        <v>0</v>
      </c>
      <c r="L179" s="8">
        <f t="shared" si="30"/>
        <v>0</v>
      </c>
      <c r="M179" s="282"/>
    </row>
    <row r="180" spans="1:13" ht="19.5" customHeight="1">
      <c r="A180" s="282" t="str">
        <f t="shared" si="31"/>
        <v>TP</v>
      </c>
      <c r="B180" s="295">
        <f t="shared" si="32"/>
        <v>146</v>
      </c>
      <c r="C180" s="190" t="s">
        <v>1055</v>
      </c>
      <c r="D180" s="294" t="s">
        <v>1459</v>
      </c>
      <c r="E180" s="8"/>
      <c r="F180" s="8"/>
      <c r="G180" s="25">
        <f t="array" ref="G180">SUM(IF("155"&amp;C180=KHN&amp;MH,SL))</f>
        <v>2250</v>
      </c>
      <c r="H180" s="25">
        <f t="array" ref="H180">SUM(IF("155"&amp;C180=KHN&amp;MH,TH))</f>
        <v>8438796</v>
      </c>
      <c r="I180" s="25">
        <f t="array" ref="I180">SUM(IF("155"&amp;C180=KHC&amp;MH,SL))</f>
        <v>2250</v>
      </c>
      <c r="J180" s="25">
        <f t="array" ref="J180">SUM(IF("155"&amp;C180=KHC&amp;MH,TH))</f>
        <v>8438796</v>
      </c>
      <c r="K180" s="8">
        <f t="shared" si="29"/>
        <v>0</v>
      </c>
      <c r="L180" s="8">
        <f t="shared" si="30"/>
        <v>0</v>
      </c>
      <c r="M180" s="282"/>
    </row>
    <row r="181" spans="1:13" ht="19.5" customHeight="1">
      <c r="A181" s="282" t="str">
        <f t="shared" si="31"/>
        <v>TP</v>
      </c>
      <c r="B181" s="295">
        <f t="shared" si="32"/>
        <v>147</v>
      </c>
      <c r="C181" s="190" t="s">
        <v>914</v>
      </c>
      <c r="D181" s="294" t="s">
        <v>1459</v>
      </c>
      <c r="E181" s="8"/>
      <c r="F181" s="8"/>
      <c r="G181" s="25">
        <f t="array" ref="G181">SUM(IF("155"&amp;C181=KHN&amp;MH,SL))</f>
        <v>51</v>
      </c>
      <c r="H181" s="25">
        <f t="array" ref="H181">SUM(IF("155"&amp;C181=KHN&amp;MH,TH))</f>
        <v>357412</v>
      </c>
      <c r="I181" s="25">
        <f t="array" ref="I181">SUM(IF("155"&amp;C181=KHC&amp;MH,SL))</f>
        <v>51</v>
      </c>
      <c r="J181" s="25">
        <f t="array" ref="J181">SUM(IF("155"&amp;C181=KHC&amp;MH,TH))</f>
        <v>357412</v>
      </c>
      <c r="K181" s="8">
        <f t="shared" si="29"/>
        <v>0</v>
      </c>
      <c r="L181" s="8">
        <f t="shared" si="30"/>
        <v>0</v>
      </c>
      <c r="M181" s="282"/>
    </row>
    <row r="182" spans="1:13" ht="19.5" customHeight="1">
      <c r="A182" s="282" t="str">
        <f t="shared" ref="A182:A245" si="33">IF(B182&lt;&gt;"","TP","")</f>
        <v>TP</v>
      </c>
      <c r="B182" s="295">
        <f t="shared" ref="B182:B245" si="34">IF(C182&lt;&gt;"",B181+1,"")</f>
        <v>148</v>
      </c>
      <c r="C182" s="190" t="s">
        <v>473</v>
      </c>
      <c r="D182" s="294" t="s">
        <v>1459</v>
      </c>
      <c r="E182" s="8"/>
      <c r="F182" s="8"/>
      <c r="G182" s="25">
        <f t="array" ref="G182">SUM(IF("155"&amp;C182=KHN&amp;MH,SL))</f>
        <v>194</v>
      </c>
      <c r="H182" s="25">
        <f t="array" ref="H182">SUM(IF("155"&amp;C182=KHN&amp;MH,TH))</f>
        <v>1627266</v>
      </c>
      <c r="I182" s="25">
        <f t="array" ref="I182">SUM(IF("155"&amp;C182=KHC&amp;MH,SL))</f>
        <v>194</v>
      </c>
      <c r="J182" s="25">
        <f t="array" ref="J182">SUM(IF("155"&amp;C182=KHC&amp;MH,TH))</f>
        <v>1627266</v>
      </c>
      <c r="K182" s="8">
        <f t="shared" si="29"/>
        <v>0</v>
      </c>
      <c r="L182" s="8">
        <f t="shared" si="30"/>
        <v>0</v>
      </c>
      <c r="M182" s="282"/>
    </row>
    <row r="183" spans="1:13" ht="19.5" customHeight="1">
      <c r="A183" s="282" t="str">
        <f t="shared" si="33"/>
        <v>TP</v>
      </c>
      <c r="B183" s="295">
        <f t="shared" si="34"/>
        <v>149</v>
      </c>
      <c r="C183" s="190" t="s">
        <v>407</v>
      </c>
      <c r="D183" s="294" t="s">
        <v>1459</v>
      </c>
      <c r="E183" s="8"/>
      <c r="F183" s="8"/>
      <c r="G183" s="25">
        <f t="array" ref="G183">SUM(IF("155"&amp;C183=KHN&amp;MH,SL))</f>
        <v>35</v>
      </c>
      <c r="H183" s="25">
        <f t="array" ref="H183">SUM(IF("155"&amp;C183=KHN&amp;MH,TH))</f>
        <v>316242</v>
      </c>
      <c r="I183" s="25">
        <f t="array" ref="I183">SUM(IF("155"&amp;C183=KHC&amp;MH,SL))</f>
        <v>35</v>
      </c>
      <c r="J183" s="25">
        <f t="array" ref="J183">SUM(IF("155"&amp;C183=KHC&amp;MH,TH))</f>
        <v>316242</v>
      </c>
      <c r="K183" s="8">
        <f t="shared" si="29"/>
        <v>0</v>
      </c>
      <c r="L183" s="8">
        <f t="shared" si="30"/>
        <v>0</v>
      </c>
      <c r="M183" s="282"/>
    </row>
    <row r="184" spans="1:13" ht="19.5" customHeight="1">
      <c r="A184" s="282" t="str">
        <f t="shared" si="33"/>
        <v>TP</v>
      </c>
      <c r="B184" s="295">
        <f t="shared" si="34"/>
        <v>150</v>
      </c>
      <c r="C184" s="40" t="s">
        <v>1072</v>
      </c>
      <c r="D184" s="294" t="s">
        <v>1459</v>
      </c>
      <c r="E184" s="8"/>
      <c r="F184" s="8"/>
      <c r="G184" s="25">
        <f t="array" ref="G184">SUM(IF("155"&amp;C184=KHN&amp;MH,SL))</f>
        <v>55</v>
      </c>
      <c r="H184" s="25">
        <f t="array" ref="H184">SUM(IF("155"&amp;C184=KHN&amp;MH,TH))</f>
        <v>797489</v>
      </c>
      <c r="I184" s="25">
        <f t="array" ref="I184">SUM(IF("155"&amp;C184=KHC&amp;MH,SL))</f>
        <v>55</v>
      </c>
      <c r="J184" s="25">
        <f t="array" ref="J184">SUM(IF("155"&amp;C184=KHC&amp;MH,TH))</f>
        <v>797489</v>
      </c>
      <c r="K184" s="8">
        <f t="shared" si="29"/>
        <v>0</v>
      </c>
      <c r="L184" s="8">
        <f t="shared" si="30"/>
        <v>0</v>
      </c>
      <c r="M184" s="282"/>
    </row>
    <row r="185" spans="1:13" ht="19.5" customHeight="1">
      <c r="A185" s="282" t="str">
        <f t="shared" si="33"/>
        <v>TP</v>
      </c>
      <c r="B185" s="295">
        <f t="shared" si="34"/>
        <v>151</v>
      </c>
      <c r="C185" s="190" t="s">
        <v>995</v>
      </c>
      <c r="D185" s="294" t="s">
        <v>1459</v>
      </c>
      <c r="E185" s="8"/>
      <c r="F185" s="8"/>
      <c r="G185" s="25">
        <f t="array" ref="G185">SUM(IF("155"&amp;C185=KHN&amp;MH,SL))</f>
        <v>37</v>
      </c>
      <c r="H185" s="25">
        <f t="array" ref="H185">SUM(IF("155"&amp;C185=KHN&amp;MH,TH))</f>
        <v>309082</v>
      </c>
      <c r="I185" s="25">
        <f t="array" ref="I185">SUM(IF("155"&amp;C185=KHC&amp;MH,SL))</f>
        <v>37</v>
      </c>
      <c r="J185" s="25">
        <f t="array" ref="J185">SUM(IF("155"&amp;C185=KHC&amp;MH,TH))</f>
        <v>309082</v>
      </c>
      <c r="K185" s="8">
        <f t="shared" si="29"/>
        <v>0</v>
      </c>
      <c r="L185" s="8">
        <f t="shared" si="30"/>
        <v>0</v>
      </c>
      <c r="M185" s="282"/>
    </row>
    <row r="186" spans="1:13" ht="19.5" customHeight="1">
      <c r="A186" s="282" t="str">
        <f t="shared" si="33"/>
        <v>TP</v>
      </c>
      <c r="B186" s="295">
        <f t="shared" si="34"/>
        <v>152</v>
      </c>
      <c r="C186" s="40" t="s">
        <v>1485</v>
      </c>
      <c r="D186" s="294" t="s">
        <v>1459</v>
      </c>
      <c r="E186" s="8"/>
      <c r="F186" s="8"/>
      <c r="G186" s="25">
        <f t="array" ref="G186">SUM(IF("155"&amp;C186=KHN&amp;MH,SL))</f>
        <v>523</v>
      </c>
      <c r="H186" s="25">
        <f t="array" ref="H186">SUM(IF("155"&amp;C186=KHN&amp;MH,TH))</f>
        <v>2162014</v>
      </c>
      <c r="I186" s="25">
        <f t="array" ref="I186">SUM(IF("155"&amp;C186=KHC&amp;MH,SL))</f>
        <v>523</v>
      </c>
      <c r="J186" s="25">
        <f t="array" ref="J186">SUM(IF("155"&amp;C186=KHC&amp;MH,TH))</f>
        <v>2162014</v>
      </c>
      <c r="K186" s="8">
        <f t="shared" si="29"/>
        <v>0</v>
      </c>
      <c r="L186" s="8">
        <f t="shared" si="30"/>
        <v>0</v>
      </c>
      <c r="M186" s="282"/>
    </row>
    <row r="187" spans="1:13" ht="19.5" customHeight="1">
      <c r="A187" s="282" t="str">
        <f t="shared" si="33"/>
        <v>TP</v>
      </c>
      <c r="B187" s="295">
        <f t="shared" si="34"/>
        <v>153</v>
      </c>
      <c r="C187" s="190" t="s">
        <v>935</v>
      </c>
      <c r="D187" s="294" t="s">
        <v>1459</v>
      </c>
      <c r="E187" s="8"/>
      <c r="F187" s="8"/>
      <c r="G187" s="25">
        <f t="array" ref="G187">SUM(IF("155"&amp;C187=KHN&amp;MH,SL))</f>
        <v>204</v>
      </c>
      <c r="H187" s="25">
        <f t="array" ref="H187">SUM(IF("155"&amp;C187=KHN&amp;MH,TH))</f>
        <v>1446666</v>
      </c>
      <c r="I187" s="25">
        <f t="array" ref="I187">SUM(IF("155"&amp;C187=KHC&amp;MH,SL))</f>
        <v>204</v>
      </c>
      <c r="J187" s="25">
        <f t="array" ref="J187">SUM(IF("155"&amp;C187=KHC&amp;MH,TH))</f>
        <v>1446666</v>
      </c>
      <c r="K187" s="8">
        <f t="shared" si="29"/>
        <v>0</v>
      </c>
      <c r="L187" s="8">
        <f t="shared" si="30"/>
        <v>0</v>
      </c>
      <c r="M187" s="282"/>
    </row>
    <row r="188" spans="1:13" ht="19.5" customHeight="1">
      <c r="A188" s="282" t="str">
        <f t="shared" si="33"/>
        <v>TP</v>
      </c>
      <c r="B188" s="295">
        <f t="shared" si="34"/>
        <v>154</v>
      </c>
      <c r="C188" s="40" t="s">
        <v>1326</v>
      </c>
      <c r="D188" s="294" t="s">
        <v>1459</v>
      </c>
      <c r="E188" s="8"/>
      <c r="F188" s="8"/>
      <c r="G188" s="25">
        <f t="array" ref="G188">SUM(IF("155"&amp;C188=KHN&amp;MH,SL))</f>
        <v>338</v>
      </c>
      <c r="H188" s="25">
        <f t="array" ref="H188">SUM(IF("155"&amp;C188=KHN&amp;MH,TH))</f>
        <v>2851527</v>
      </c>
      <c r="I188" s="25">
        <f t="array" ref="I188">SUM(IF("155"&amp;C188=KHC&amp;MH,SL))</f>
        <v>338</v>
      </c>
      <c r="J188" s="25">
        <f t="array" ref="J188">SUM(IF("155"&amp;C188=KHC&amp;MH,TH))</f>
        <v>2851527</v>
      </c>
      <c r="K188" s="8">
        <f t="shared" si="29"/>
        <v>0</v>
      </c>
      <c r="L188" s="8">
        <f t="shared" si="30"/>
        <v>0</v>
      </c>
      <c r="M188" s="282"/>
    </row>
    <row r="189" spans="1:13" ht="19.5" customHeight="1">
      <c r="A189" s="282" t="str">
        <f t="shared" si="33"/>
        <v>TP</v>
      </c>
      <c r="B189" s="295">
        <f t="shared" si="34"/>
        <v>155</v>
      </c>
      <c r="C189" s="190" t="s">
        <v>902</v>
      </c>
      <c r="D189" s="294" t="s">
        <v>1459</v>
      </c>
      <c r="E189" s="8"/>
      <c r="F189" s="8"/>
      <c r="G189" s="25">
        <f t="array" ref="G189">SUM(IF("155"&amp;C189=KHN&amp;MH,SL))</f>
        <v>79</v>
      </c>
      <c r="H189" s="25">
        <f t="array" ref="H189">SUM(IF("155"&amp;C189=KHN&amp;MH,TH))</f>
        <v>705229</v>
      </c>
      <c r="I189" s="25">
        <f t="array" ref="I189">SUM(IF("155"&amp;C189=KHC&amp;MH,SL))</f>
        <v>79</v>
      </c>
      <c r="J189" s="25">
        <f t="array" ref="J189">SUM(IF("155"&amp;C189=KHC&amp;MH,TH))</f>
        <v>705229</v>
      </c>
      <c r="K189" s="8">
        <f t="shared" si="29"/>
        <v>0</v>
      </c>
      <c r="L189" s="8">
        <f t="shared" si="30"/>
        <v>0</v>
      </c>
      <c r="M189" s="282"/>
    </row>
    <row r="190" spans="1:13" ht="19.5" customHeight="1">
      <c r="A190" s="282" t="str">
        <f t="shared" si="33"/>
        <v>TP</v>
      </c>
      <c r="B190" s="295">
        <f t="shared" si="34"/>
        <v>156</v>
      </c>
      <c r="C190" s="190" t="s">
        <v>456</v>
      </c>
      <c r="D190" s="294" t="s">
        <v>1459</v>
      </c>
      <c r="E190" s="8"/>
      <c r="F190" s="8"/>
      <c r="G190" s="25">
        <f t="array" ref="G190">SUM(IF("155"&amp;C190=KHN&amp;MH,SL))</f>
        <v>407</v>
      </c>
      <c r="H190" s="25">
        <f t="array" ref="H190">SUM(IF("155"&amp;C190=KHN&amp;MH,TH))</f>
        <v>3191843</v>
      </c>
      <c r="I190" s="25">
        <f t="array" ref="I190">SUM(IF("155"&amp;C190=KHC&amp;MH,SL))</f>
        <v>407</v>
      </c>
      <c r="J190" s="25">
        <f t="array" ref="J190">SUM(IF("155"&amp;C190=KHC&amp;MH,TH))</f>
        <v>3191843</v>
      </c>
      <c r="K190" s="8">
        <f t="shared" si="29"/>
        <v>0</v>
      </c>
      <c r="L190" s="8">
        <f t="shared" si="30"/>
        <v>0</v>
      </c>
      <c r="M190" s="282"/>
    </row>
    <row r="191" spans="1:13" ht="19.5" customHeight="1">
      <c r="A191" s="282" t="str">
        <f t="shared" si="33"/>
        <v>TP</v>
      </c>
      <c r="B191" s="295">
        <f t="shared" si="34"/>
        <v>157</v>
      </c>
      <c r="C191" s="40" t="s">
        <v>1416</v>
      </c>
      <c r="D191" s="294" t="s">
        <v>1459</v>
      </c>
      <c r="E191" s="8"/>
      <c r="F191" s="8"/>
      <c r="G191" s="25">
        <f t="array" ref="G191">SUM(IF("155"&amp;C191=KHN&amp;MH,SL))</f>
        <v>308</v>
      </c>
      <c r="H191" s="25">
        <f t="array" ref="H191">SUM(IF("155"&amp;C191=KHN&amp;MH,TH))</f>
        <v>2442527</v>
      </c>
      <c r="I191" s="25">
        <f t="array" ref="I191">SUM(IF("155"&amp;C191=KHC&amp;MH,SL))</f>
        <v>308</v>
      </c>
      <c r="J191" s="25">
        <f t="array" ref="J191">SUM(IF("155"&amp;C191=KHC&amp;MH,TH))</f>
        <v>2442527</v>
      </c>
      <c r="K191" s="8">
        <f t="shared" si="29"/>
        <v>0</v>
      </c>
      <c r="L191" s="8">
        <f t="shared" si="30"/>
        <v>0</v>
      </c>
      <c r="M191" s="282"/>
    </row>
    <row r="192" spans="1:13" ht="19.5" customHeight="1">
      <c r="A192" s="282" t="str">
        <f t="shared" si="33"/>
        <v>TP</v>
      </c>
      <c r="B192" s="295">
        <f t="shared" si="34"/>
        <v>158</v>
      </c>
      <c r="C192" s="190" t="s">
        <v>1046</v>
      </c>
      <c r="D192" s="294" t="s">
        <v>1459</v>
      </c>
      <c r="E192" s="8"/>
      <c r="F192" s="8"/>
      <c r="G192" s="25">
        <f t="array" ref="G192">SUM(IF("155"&amp;C192=KHN&amp;MH,SL))</f>
        <v>24</v>
      </c>
      <c r="H192" s="25">
        <f t="array" ref="H192">SUM(IF("155"&amp;C192=KHN&amp;MH,TH))</f>
        <v>167753</v>
      </c>
      <c r="I192" s="25">
        <f t="array" ref="I192">SUM(IF("155"&amp;C192=KHC&amp;MH,SL))</f>
        <v>24</v>
      </c>
      <c r="J192" s="25">
        <f t="array" ref="J192">SUM(IF("155"&amp;C192=KHC&amp;MH,TH))</f>
        <v>167753</v>
      </c>
      <c r="K192" s="8">
        <f t="shared" si="29"/>
        <v>0</v>
      </c>
      <c r="L192" s="8">
        <f t="shared" si="30"/>
        <v>0</v>
      </c>
      <c r="M192" s="282"/>
    </row>
    <row r="193" spans="1:13" ht="19.5" customHeight="1">
      <c r="A193" s="282" t="str">
        <f t="shared" si="33"/>
        <v>TP</v>
      </c>
      <c r="B193" s="295">
        <f t="shared" si="34"/>
        <v>159</v>
      </c>
      <c r="C193" s="190" t="s">
        <v>930</v>
      </c>
      <c r="D193" s="294" t="s">
        <v>1459</v>
      </c>
      <c r="E193" s="8"/>
      <c r="F193" s="8"/>
      <c r="G193" s="25">
        <f t="array" ref="G193">SUM(IF("155"&amp;C193=KHN&amp;MH,SL))</f>
        <v>110</v>
      </c>
      <c r="H193" s="25">
        <f t="array" ref="H193">SUM(IF("155"&amp;C193=KHN&amp;MH,TH))</f>
        <v>761711</v>
      </c>
      <c r="I193" s="25">
        <f t="array" ref="I193">SUM(IF("155"&amp;C193=KHC&amp;MH,SL))</f>
        <v>110</v>
      </c>
      <c r="J193" s="25">
        <f t="array" ref="J193">SUM(IF("155"&amp;C193=KHC&amp;MH,TH))</f>
        <v>761711</v>
      </c>
      <c r="K193" s="8">
        <f t="shared" si="29"/>
        <v>0</v>
      </c>
      <c r="L193" s="8">
        <f t="shared" si="30"/>
        <v>0</v>
      </c>
      <c r="M193" s="282"/>
    </row>
    <row r="194" spans="1:13" ht="19.5" customHeight="1">
      <c r="A194" s="282" t="str">
        <f t="shared" si="33"/>
        <v>TP</v>
      </c>
      <c r="B194" s="295">
        <f t="shared" si="34"/>
        <v>160</v>
      </c>
      <c r="C194" s="187" t="s">
        <v>958</v>
      </c>
      <c r="D194" s="294" t="s">
        <v>1459</v>
      </c>
      <c r="E194" s="8"/>
      <c r="F194" s="8"/>
      <c r="G194" s="25">
        <f t="array" ref="G194">SUM(IF("155"&amp;C194=KHN&amp;MH,SL))</f>
        <v>31</v>
      </c>
      <c r="H194" s="25">
        <f t="array" ref="H194">SUM(IF("155"&amp;C194=KHN&amp;MH,TH))</f>
        <v>225009</v>
      </c>
      <c r="I194" s="25">
        <f t="array" ref="I194">SUM(IF("155"&amp;C194=KHC&amp;MH,SL))</f>
        <v>31</v>
      </c>
      <c r="J194" s="25">
        <f t="array" ref="J194">SUM(IF("155"&amp;C194=KHC&amp;MH,TH))</f>
        <v>225009</v>
      </c>
      <c r="K194" s="8">
        <f t="shared" si="29"/>
        <v>0</v>
      </c>
      <c r="L194" s="8">
        <f t="shared" si="30"/>
        <v>0</v>
      </c>
      <c r="M194" s="282"/>
    </row>
    <row r="195" spans="1:13" ht="19.5" customHeight="1">
      <c r="A195" s="282" t="str">
        <f t="shared" si="33"/>
        <v>TP</v>
      </c>
      <c r="B195" s="295">
        <f t="shared" si="34"/>
        <v>161</v>
      </c>
      <c r="C195" s="187" t="s">
        <v>954</v>
      </c>
      <c r="D195" s="294" t="s">
        <v>1459</v>
      </c>
      <c r="E195" s="8"/>
      <c r="F195" s="8"/>
      <c r="G195" s="25">
        <f t="array" ref="G195">SUM(IF("155"&amp;C195=KHN&amp;MH,SL))</f>
        <v>821</v>
      </c>
      <c r="H195" s="25">
        <f t="array" ref="H195">SUM(IF("155"&amp;C195=KHN&amp;MH,TH))</f>
        <v>4834757</v>
      </c>
      <c r="I195" s="25">
        <f t="array" ref="I195">SUM(IF("155"&amp;C195=KHC&amp;MH,SL))</f>
        <v>821</v>
      </c>
      <c r="J195" s="25">
        <f t="array" ref="J195">SUM(IF("155"&amp;C195=KHC&amp;MH,TH))</f>
        <v>4834757</v>
      </c>
      <c r="K195" s="8">
        <f t="shared" si="29"/>
        <v>0</v>
      </c>
      <c r="L195" s="8">
        <f t="shared" si="30"/>
        <v>0</v>
      </c>
      <c r="M195" s="282"/>
    </row>
    <row r="196" spans="1:13" ht="19.5" customHeight="1">
      <c r="A196" s="282" t="str">
        <f t="shared" si="33"/>
        <v>TP</v>
      </c>
      <c r="B196" s="295">
        <f t="shared" si="34"/>
        <v>162</v>
      </c>
      <c r="C196" s="190" t="s">
        <v>1062</v>
      </c>
      <c r="D196" s="294" t="s">
        <v>1459</v>
      </c>
      <c r="E196" s="8"/>
      <c r="F196" s="8"/>
      <c r="G196" s="25">
        <f t="array" ref="G196">SUM(IF("155"&amp;C196=KHN&amp;MH,SL))</f>
        <v>71</v>
      </c>
      <c r="H196" s="25">
        <f t="array" ref="H196">SUM(IF("155"&amp;C196=KHN&amp;MH,TH))</f>
        <v>423645</v>
      </c>
      <c r="I196" s="25">
        <f t="array" ref="I196">SUM(IF("155"&amp;C196=KHC&amp;MH,SL))</f>
        <v>71</v>
      </c>
      <c r="J196" s="25">
        <f t="array" ref="J196">SUM(IF("155"&amp;C196=KHC&amp;MH,TH))</f>
        <v>423645</v>
      </c>
      <c r="K196" s="8">
        <f t="shared" si="29"/>
        <v>0</v>
      </c>
      <c r="L196" s="8">
        <f t="shared" si="30"/>
        <v>0</v>
      </c>
      <c r="M196" s="282"/>
    </row>
    <row r="197" spans="1:13" ht="19.5" customHeight="1">
      <c r="A197" s="282" t="str">
        <f t="shared" si="33"/>
        <v>TP</v>
      </c>
      <c r="B197" s="295">
        <f t="shared" si="34"/>
        <v>163</v>
      </c>
      <c r="C197" s="40" t="s">
        <v>871</v>
      </c>
      <c r="D197" s="294" t="s">
        <v>1459</v>
      </c>
      <c r="E197" s="8"/>
      <c r="F197" s="8"/>
      <c r="G197" s="25">
        <f t="array" ref="G197">SUM(IF("155"&amp;C197=KHN&amp;MH,SL))</f>
        <v>23</v>
      </c>
      <c r="H197" s="25">
        <f t="array" ref="H197">SUM(IF("155"&amp;C197=KHN&amp;MH,TH))</f>
        <v>312777</v>
      </c>
      <c r="I197" s="25">
        <f t="array" ref="I197">SUM(IF("155"&amp;C197=KHC&amp;MH,SL))</f>
        <v>23</v>
      </c>
      <c r="J197" s="25">
        <f t="array" ref="J197">SUM(IF("155"&amp;C197=KHC&amp;MH,TH))</f>
        <v>312777</v>
      </c>
      <c r="K197" s="8">
        <f t="shared" si="29"/>
        <v>0</v>
      </c>
      <c r="L197" s="8">
        <f t="shared" si="30"/>
        <v>0</v>
      </c>
      <c r="M197" s="282"/>
    </row>
    <row r="198" spans="1:13" ht="19.5" customHeight="1">
      <c r="A198" s="282" t="str">
        <f t="shared" si="33"/>
        <v>TP</v>
      </c>
      <c r="B198" s="295">
        <f t="shared" si="34"/>
        <v>164</v>
      </c>
      <c r="C198" s="40" t="s">
        <v>1392</v>
      </c>
      <c r="D198" s="294" t="s">
        <v>1459</v>
      </c>
      <c r="E198" s="8"/>
      <c r="F198" s="8"/>
      <c r="G198" s="25">
        <f t="array" ref="G198">SUM(IF("155"&amp;C198=KHN&amp;MH,SL))</f>
        <v>509</v>
      </c>
      <c r="H198" s="25">
        <f t="array" ref="H198">SUM(IF("155"&amp;C198=KHN&amp;MH,TH))</f>
        <v>3821805</v>
      </c>
      <c r="I198" s="25">
        <f t="array" ref="I198">SUM(IF("155"&amp;C198=KHC&amp;MH,SL))</f>
        <v>509</v>
      </c>
      <c r="J198" s="25">
        <f t="array" ref="J198">SUM(IF("155"&amp;C198=KHC&amp;MH,TH))</f>
        <v>3821805</v>
      </c>
      <c r="K198" s="8">
        <f t="shared" si="29"/>
        <v>0</v>
      </c>
      <c r="L198" s="8">
        <f t="shared" si="30"/>
        <v>0</v>
      </c>
      <c r="M198" s="282"/>
    </row>
    <row r="199" spans="1:13" ht="19.5" customHeight="1">
      <c r="A199" s="282" t="str">
        <f t="shared" si="33"/>
        <v>TP</v>
      </c>
      <c r="B199" s="295">
        <f t="shared" si="34"/>
        <v>165</v>
      </c>
      <c r="C199" s="190" t="s">
        <v>627</v>
      </c>
      <c r="D199" s="294" t="s">
        <v>1459</v>
      </c>
      <c r="E199" s="8"/>
      <c r="F199" s="8"/>
      <c r="G199" s="25">
        <f t="array" ref="G199">SUM(IF("155"&amp;C199=KHN&amp;MH,SL))</f>
        <v>2049</v>
      </c>
      <c r="H199" s="25">
        <f t="array" ref="H199">SUM(IF("155"&amp;C199=KHN&amp;MH,TH))</f>
        <v>12988892</v>
      </c>
      <c r="I199" s="25">
        <f t="array" ref="I199">SUM(IF("155"&amp;C199=KHC&amp;MH,SL))</f>
        <v>2049</v>
      </c>
      <c r="J199" s="25">
        <f t="array" ref="J199">SUM(IF("155"&amp;C199=KHC&amp;MH,TH))</f>
        <v>12988892</v>
      </c>
      <c r="K199" s="8">
        <f t="shared" si="29"/>
        <v>0</v>
      </c>
      <c r="L199" s="8">
        <f t="shared" si="30"/>
        <v>0</v>
      </c>
      <c r="M199" s="282"/>
    </row>
    <row r="200" spans="1:13" ht="19.5" customHeight="1">
      <c r="A200" s="282" t="str">
        <f t="shared" si="33"/>
        <v>TP</v>
      </c>
      <c r="B200" s="295">
        <f t="shared" si="34"/>
        <v>166</v>
      </c>
      <c r="C200" s="40" t="s">
        <v>1355</v>
      </c>
      <c r="D200" s="294" t="s">
        <v>1459</v>
      </c>
      <c r="E200" s="8"/>
      <c r="F200" s="8"/>
      <c r="G200" s="25">
        <f t="array" ref="G200">SUM(IF("155"&amp;C200=KHN&amp;MH,SL))</f>
        <v>1065</v>
      </c>
      <c r="H200" s="25">
        <f t="array" ref="H200">SUM(IF("155"&amp;C200=KHN&amp;MH,TH))</f>
        <v>6738631</v>
      </c>
      <c r="I200" s="25">
        <f t="array" ref="I200">SUM(IF("155"&amp;C200=KHC&amp;MH,SL))</f>
        <v>1065</v>
      </c>
      <c r="J200" s="25">
        <f t="array" ref="J200">SUM(IF("155"&amp;C200=KHC&amp;MH,TH))</f>
        <v>6738631</v>
      </c>
      <c r="K200" s="8">
        <f t="shared" si="29"/>
        <v>0</v>
      </c>
      <c r="L200" s="8">
        <f t="shared" si="30"/>
        <v>0</v>
      </c>
      <c r="M200" s="282"/>
    </row>
    <row r="201" spans="1:13" ht="19.5" customHeight="1">
      <c r="A201" s="282" t="str">
        <f t="shared" si="33"/>
        <v>TP</v>
      </c>
      <c r="B201" s="295">
        <f t="shared" si="34"/>
        <v>167</v>
      </c>
      <c r="C201" s="187" t="s">
        <v>957</v>
      </c>
      <c r="D201" s="294" t="s">
        <v>1459</v>
      </c>
      <c r="E201" s="8"/>
      <c r="F201" s="8"/>
      <c r="G201" s="25">
        <f t="array" ref="G201">SUM(IF("155"&amp;C201=KHN&amp;MH,SL))</f>
        <v>200</v>
      </c>
      <c r="H201" s="25">
        <f t="array" ref="H201">SUM(IF("155"&amp;C201=KHN&amp;MH,TH))</f>
        <v>1284813</v>
      </c>
      <c r="I201" s="25">
        <f t="array" ref="I201">SUM(IF("155"&amp;C201=KHC&amp;MH,SL))</f>
        <v>200</v>
      </c>
      <c r="J201" s="25">
        <f t="array" ref="J201">SUM(IF("155"&amp;C201=KHC&amp;MH,TH))</f>
        <v>1284813</v>
      </c>
      <c r="K201" s="8">
        <f t="shared" si="29"/>
        <v>0</v>
      </c>
      <c r="L201" s="8">
        <f t="shared" si="30"/>
        <v>0</v>
      </c>
      <c r="M201" s="282"/>
    </row>
    <row r="202" spans="1:13" ht="19.5" customHeight="1">
      <c r="A202" s="282" t="str">
        <f t="shared" si="33"/>
        <v>TP</v>
      </c>
      <c r="B202" s="295">
        <f t="shared" si="34"/>
        <v>168</v>
      </c>
      <c r="C202" s="190" t="s">
        <v>1042</v>
      </c>
      <c r="D202" s="294" t="s">
        <v>1459</v>
      </c>
      <c r="E202" s="8"/>
      <c r="F202" s="8"/>
      <c r="G202" s="25">
        <f t="array" ref="G202">SUM(IF("155"&amp;C202=KHN&amp;MH,SL))</f>
        <v>307</v>
      </c>
      <c r="H202" s="25">
        <f t="array" ref="H202">SUM(IF("155"&amp;C202=KHN&amp;MH,TH))</f>
        <v>3585125</v>
      </c>
      <c r="I202" s="25">
        <f t="array" ref="I202">SUM(IF("155"&amp;C202=KHC&amp;MH,SL))</f>
        <v>307</v>
      </c>
      <c r="J202" s="25">
        <f t="array" ref="J202">SUM(IF("155"&amp;C202=KHC&amp;MH,TH))</f>
        <v>3585125</v>
      </c>
      <c r="K202" s="8">
        <f t="shared" si="29"/>
        <v>0</v>
      </c>
      <c r="L202" s="8">
        <f t="shared" si="30"/>
        <v>0</v>
      </c>
      <c r="M202" s="282"/>
    </row>
    <row r="203" spans="1:13" ht="19.5" customHeight="1">
      <c r="A203" s="282" t="str">
        <f t="shared" si="33"/>
        <v>TP</v>
      </c>
      <c r="B203" s="295">
        <f t="shared" si="34"/>
        <v>169</v>
      </c>
      <c r="C203" s="187" t="s">
        <v>1024</v>
      </c>
      <c r="D203" s="294" t="s">
        <v>1459</v>
      </c>
      <c r="E203" s="8"/>
      <c r="F203" s="8"/>
      <c r="G203" s="25">
        <f t="array" ref="G203">SUM(IF("155"&amp;C203=KHN&amp;MH,SL))</f>
        <v>592</v>
      </c>
      <c r="H203" s="25">
        <f t="array" ref="H203">SUM(IF("155"&amp;C203=KHN&amp;MH,TH))</f>
        <v>4642531</v>
      </c>
      <c r="I203" s="25">
        <f t="array" ref="I203">SUM(IF("155"&amp;C203=KHC&amp;MH,SL))</f>
        <v>592</v>
      </c>
      <c r="J203" s="25">
        <f t="array" ref="J203">SUM(IF("155"&amp;C203=KHC&amp;MH,TH))</f>
        <v>4642531</v>
      </c>
      <c r="K203" s="8">
        <f t="shared" si="29"/>
        <v>0</v>
      </c>
      <c r="L203" s="8">
        <f t="shared" si="30"/>
        <v>0</v>
      </c>
      <c r="M203" s="282"/>
    </row>
    <row r="204" spans="1:13" ht="19.5" customHeight="1">
      <c r="A204" s="282" t="str">
        <f t="shared" si="33"/>
        <v>TP</v>
      </c>
      <c r="B204" s="295">
        <f t="shared" si="34"/>
        <v>170</v>
      </c>
      <c r="C204" s="190" t="s">
        <v>918</v>
      </c>
      <c r="D204" s="294" t="s">
        <v>1459</v>
      </c>
      <c r="E204" s="8"/>
      <c r="F204" s="8"/>
      <c r="G204" s="25">
        <f t="array" ref="G204">SUM(IF("155"&amp;C204=KHN&amp;MH,SL))</f>
        <v>23</v>
      </c>
      <c r="H204" s="25">
        <f t="array" ref="H204">SUM(IF("155"&amp;C204=KHN&amp;MH,TH))</f>
        <v>230265</v>
      </c>
      <c r="I204" s="25">
        <f t="array" ref="I204">SUM(IF("155"&amp;C204=KHC&amp;MH,SL))</f>
        <v>23</v>
      </c>
      <c r="J204" s="25">
        <f t="array" ref="J204">SUM(IF("155"&amp;C204=KHC&amp;MH,TH))</f>
        <v>230265</v>
      </c>
      <c r="K204" s="8">
        <f t="shared" si="29"/>
        <v>0</v>
      </c>
      <c r="L204" s="8">
        <f t="shared" si="30"/>
        <v>0</v>
      </c>
      <c r="M204" s="282"/>
    </row>
    <row r="205" spans="1:13" ht="19.5" customHeight="1">
      <c r="A205" s="282" t="str">
        <f t="shared" si="33"/>
        <v>TP</v>
      </c>
      <c r="B205" s="295">
        <f t="shared" si="34"/>
        <v>171</v>
      </c>
      <c r="C205" s="187" t="s">
        <v>979</v>
      </c>
      <c r="D205" s="294" t="s">
        <v>1459</v>
      </c>
      <c r="E205" s="8"/>
      <c r="F205" s="8"/>
      <c r="G205" s="25">
        <f t="array" ref="G205">SUM(IF("155"&amp;C205=KHN&amp;MH,SL))</f>
        <v>209</v>
      </c>
      <c r="H205" s="25">
        <f t="array" ref="H205">SUM(IF("155"&amp;C205=KHN&amp;MH,TH))</f>
        <v>890762</v>
      </c>
      <c r="I205" s="25">
        <f t="array" ref="I205">SUM(IF("155"&amp;C205=KHC&amp;MH,SL))</f>
        <v>209</v>
      </c>
      <c r="J205" s="25">
        <f t="array" ref="J205">SUM(IF("155"&amp;C205=KHC&amp;MH,TH))</f>
        <v>890762</v>
      </c>
      <c r="K205" s="8">
        <f t="shared" si="29"/>
        <v>0</v>
      </c>
      <c r="L205" s="8">
        <f t="shared" si="30"/>
        <v>0</v>
      </c>
      <c r="M205" s="282"/>
    </row>
    <row r="206" spans="1:13" ht="19.5" customHeight="1">
      <c r="A206" s="282" t="str">
        <f t="shared" si="33"/>
        <v>TP</v>
      </c>
      <c r="B206" s="295">
        <f t="shared" si="34"/>
        <v>172</v>
      </c>
      <c r="C206" s="40" t="s">
        <v>1366</v>
      </c>
      <c r="D206" s="294" t="s">
        <v>1459</v>
      </c>
      <c r="E206" s="8"/>
      <c r="F206" s="8"/>
      <c r="G206" s="25">
        <f t="array" ref="G206">SUM(IF("155"&amp;C206=KHN&amp;MH,SL))</f>
        <v>233</v>
      </c>
      <c r="H206" s="25">
        <f t="array" ref="H206">SUM(IF("155"&amp;C206=KHN&amp;MH,TH))</f>
        <v>1317017</v>
      </c>
      <c r="I206" s="25">
        <f t="array" ref="I206">SUM(IF("155"&amp;C206=KHC&amp;MH,SL))</f>
        <v>233</v>
      </c>
      <c r="J206" s="25">
        <f t="array" ref="J206">SUM(IF("155"&amp;C206=KHC&amp;MH,TH))</f>
        <v>1317017</v>
      </c>
      <c r="K206" s="8">
        <f t="shared" si="29"/>
        <v>0</v>
      </c>
      <c r="L206" s="8">
        <f t="shared" si="30"/>
        <v>0</v>
      </c>
      <c r="M206" s="282"/>
    </row>
    <row r="207" spans="1:13" ht="19.5" customHeight="1">
      <c r="A207" s="282" t="str">
        <f t="shared" si="33"/>
        <v>TP</v>
      </c>
      <c r="B207" s="295">
        <f t="shared" si="34"/>
        <v>173</v>
      </c>
      <c r="C207" s="190" t="s">
        <v>1063</v>
      </c>
      <c r="D207" s="294" t="s">
        <v>1459</v>
      </c>
      <c r="E207" s="8"/>
      <c r="F207" s="8"/>
      <c r="G207" s="25">
        <f t="array" ref="G207">SUM(IF("155"&amp;C207=KHN&amp;MH,SL))</f>
        <v>333</v>
      </c>
      <c r="H207" s="25">
        <f t="array" ref="H207">SUM(IF("155"&amp;C207=KHN&amp;MH,TH))</f>
        <v>1334097</v>
      </c>
      <c r="I207" s="25">
        <f t="array" ref="I207">SUM(IF("155"&amp;C207=KHC&amp;MH,SL))</f>
        <v>333</v>
      </c>
      <c r="J207" s="25">
        <f t="array" ref="J207">SUM(IF("155"&amp;C207=KHC&amp;MH,TH))</f>
        <v>1334097</v>
      </c>
      <c r="K207" s="8">
        <f t="shared" si="29"/>
        <v>0</v>
      </c>
      <c r="L207" s="8">
        <f t="shared" si="30"/>
        <v>0</v>
      </c>
      <c r="M207" s="282"/>
    </row>
    <row r="208" spans="1:13" ht="19.5" customHeight="1">
      <c r="A208" s="282" t="str">
        <f t="shared" si="33"/>
        <v>TP</v>
      </c>
      <c r="B208" s="295">
        <f t="shared" si="34"/>
        <v>174</v>
      </c>
      <c r="C208" s="40" t="s">
        <v>1367</v>
      </c>
      <c r="D208" s="294" t="s">
        <v>1459</v>
      </c>
      <c r="E208" s="8"/>
      <c r="F208" s="8"/>
      <c r="G208" s="25">
        <f t="array" ref="G208">SUM(IF("155"&amp;C208=KHN&amp;MH,SL))</f>
        <v>13</v>
      </c>
      <c r="H208" s="25">
        <f t="array" ref="H208">SUM(IF("155"&amp;C208=KHN&amp;MH,TH))</f>
        <v>84449</v>
      </c>
      <c r="I208" s="25">
        <f t="array" ref="I208">SUM(IF("155"&amp;C208=KHC&amp;MH,SL))</f>
        <v>13</v>
      </c>
      <c r="J208" s="25">
        <f t="array" ref="J208">SUM(IF("155"&amp;C208=KHC&amp;MH,TH))</f>
        <v>84449</v>
      </c>
      <c r="K208" s="8">
        <f t="shared" si="29"/>
        <v>0</v>
      </c>
      <c r="L208" s="8">
        <f t="shared" si="30"/>
        <v>0</v>
      </c>
      <c r="M208" s="282"/>
    </row>
    <row r="209" spans="1:13" ht="19.5" customHeight="1">
      <c r="A209" s="282" t="str">
        <f t="shared" si="33"/>
        <v>TP</v>
      </c>
      <c r="B209" s="295">
        <f t="shared" si="34"/>
        <v>175</v>
      </c>
      <c r="C209" s="190" t="s">
        <v>1056</v>
      </c>
      <c r="D209" s="294" t="s">
        <v>1459</v>
      </c>
      <c r="E209" s="8"/>
      <c r="F209" s="8"/>
      <c r="G209" s="25">
        <f t="array" ref="G209">SUM(IF("155"&amp;C209=KHN&amp;MH,SL))</f>
        <v>30</v>
      </c>
      <c r="H209" s="25">
        <f t="array" ref="H209">SUM(IF("155"&amp;C209=KHN&amp;MH,TH))</f>
        <v>271064</v>
      </c>
      <c r="I209" s="25">
        <f t="array" ref="I209">SUM(IF("155"&amp;C209=KHC&amp;MH,SL))</f>
        <v>30</v>
      </c>
      <c r="J209" s="25">
        <f t="array" ref="J209">SUM(IF("155"&amp;C209=KHC&amp;MH,TH))</f>
        <v>271064</v>
      </c>
      <c r="K209" s="8">
        <f t="shared" si="29"/>
        <v>0</v>
      </c>
      <c r="L209" s="8">
        <f t="shared" si="30"/>
        <v>0</v>
      </c>
      <c r="M209" s="282"/>
    </row>
    <row r="210" spans="1:13" ht="19.5" customHeight="1">
      <c r="A210" s="282" t="str">
        <f t="shared" si="33"/>
        <v>TP</v>
      </c>
      <c r="B210" s="295">
        <f t="shared" si="34"/>
        <v>176</v>
      </c>
      <c r="C210" s="40" t="s">
        <v>1380</v>
      </c>
      <c r="D210" s="294" t="s">
        <v>1459</v>
      </c>
      <c r="E210" s="8"/>
      <c r="F210" s="8"/>
      <c r="G210" s="25">
        <f t="array" ref="G210">SUM(IF("155"&amp;C210=KHN&amp;MH,SL))</f>
        <v>200</v>
      </c>
      <c r="H210" s="25">
        <f t="array" ref="H210">SUM(IF("155"&amp;C210=KHN&amp;MH,TH))</f>
        <v>1636675</v>
      </c>
      <c r="I210" s="25">
        <f t="array" ref="I210">SUM(IF("155"&amp;C210=KHC&amp;MH,SL))</f>
        <v>200</v>
      </c>
      <c r="J210" s="25">
        <f t="array" ref="J210">SUM(IF("155"&amp;C210=KHC&amp;MH,TH))</f>
        <v>1636675</v>
      </c>
      <c r="K210" s="8">
        <f t="shared" si="29"/>
        <v>0</v>
      </c>
      <c r="L210" s="8">
        <f t="shared" si="30"/>
        <v>0</v>
      </c>
      <c r="M210" s="282"/>
    </row>
    <row r="211" spans="1:13" ht="19.5" customHeight="1">
      <c r="A211" s="282" t="str">
        <f t="shared" si="33"/>
        <v>TP</v>
      </c>
      <c r="B211" s="295">
        <f t="shared" si="34"/>
        <v>177</v>
      </c>
      <c r="C211" s="190" t="s">
        <v>1044</v>
      </c>
      <c r="D211" s="294" t="s">
        <v>1459</v>
      </c>
      <c r="E211" s="8"/>
      <c r="F211" s="8"/>
      <c r="G211" s="25">
        <f t="array" ref="G211">SUM(IF("155"&amp;C211=KHN&amp;MH,SL))</f>
        <v>24</v>
      </c>
      <c r="H211" s="25">
        <f t="array" ref="H211">SUM(IF("155"&amp;C211=KHN&amp;MH,TH))</f>
        <v>251630</v>
      </c>
      <c r="I211" s="25">
        <f t="array" ref="I211">SUM(IF("155"&amp;C211=KHC&amp;MH,SL))</f>
        <v>24</v>
      </c>
      <c r="J211" s="25">
        <f t="array" ref="J211">SUM(IF("155"&amp;C211=KHC&amp;MH,TH))</f>
        <v>251630</v>
      </c>
      <c r="K211" s="8">
        <f t="shared" si="29"/>
        <v>0</v>
      </c>
      <c r="L211" s="8">
        <f t="shared" si="30"/>
        <v>0</v>
      </c>
      <c r="M211" s="282"/>
    </row>
    <row r="212" spans="1:13" ht="19.5" customHeight="1">
      <c r="A212" s="282" t="str">
        <f t="shared" si="33"/>
        <v>TP</v>
      </c>
      <c r="B212" s="295">
        <f t="shared" si="34"/>
        <v>178</v>
      </c>
      <c r="C212" s="187" t="s">
        <v>999</v>
      </c>
      <c r="D212" s="294" t="s">
        <v>1459</v>
      </c>
      <c r="E212" s="8"/>
      <c r="F212" s="8"/>
      <c r="G212" s="25">
        <f t="array" ref="G212">SUM(IF("155"&amp;C212=KHN&amp;MH,SL))</f>
        <v>60</v>
      </c>
      <c r="H212" s="25">
        <f t="array" ref="H212">SUM(IF("155"&amp;C212=KHN&amp;MH,TH))</f>
        <v>644417</v>
      </c>
      <c r="I212" s="25">
        <f t="array" ref="I212">SUM(IF("155"&amp;C212=KHC&amp;MH,SL))</f>
        <v>60</v>
      </c>
      <c r="J212" s="25">
        <f t="array" ref="J212">SUM(IF("155"&amp;C212=KHC&amp;MH,TH))</f>
        <v>644417</v>
      </c>
      <c r="K212" s="8">
        <f t="shared" si="29"/>
        <v>0</v>
      </c>
      <c r="L212" s="8">
        <f t="shared" si="30"/>
        <v>0</v>
      </c>
      <c r="M212" s="282"/>
    </row>
    <row r="213" spans="1:13" ht="19.5" customHeight="1">
      <c r="A213" s="282" t="str">
        <f t="shared" si="33"/>
        <v>TP</v>
      </c>
      <c r="B213" s="295">
        <f t="shared" si="34"/>
        <v>179</v>
      </c>
      <c r="C213" s="190" t="s">
        <v>998</v>
      </c>
      <c r="D213" s="294" t="s">
        <v>1459</v>
      </c>
      <c r="E213" s="8"/>
      <c r="F213" s="8"/>
      <c r="G213" s="25">
        <f t="array" ref="G213">SUM(IF("155"&amp;C213=KHN&amp;MH,SL))</f>
        <v>60</v>
      </c>
      <c r="H213" s="25">
        <f t="array" ref="H213">SUM(IF("155"&amp;C213=KHN&amp;MH,TH))</f>
        <v>276179</v>
      </c>
      <c r="I213" s="25">
        <f t="array" ref="I213">SUM(IF("155"&amp;C213=KHC&amp;MH,SL))</f>
        <v>60</v>
      </c>
      <c r="J213" s="25">
        <f t="array" ref="J213">SUM(IF("155"&amp;C213=KHC&amp;MH,TH))</f>
        <v>276179</v>
      </c>
      <c r="K213" s="8">
        <f t="shared" si="29"/>
        <v>0</v>
      </c>
      <c r="L213" s="8">
        <f t="shared" si="30"/>
        <v>0</v>
      </c>
      <c r="M213" s="282"/>
    </row>
    <row r="214" spans="1:13" ht="18" customHeight="1">
      <c r="A214" s="282" t="str">
        <f t="shared" si="33"/>
        <v>TP</v>
      </c>
      <c r="B214" s="295">
        <f t="shared" si="34"/>
        <v>180</v>
      </c>
      <c r="C214" s="187" t="s">
        <v>872</v>
      </c>
      <c r="D214" s="294" t="s">
        <v>1459</v>
      </c>
      <c r="E214" s="8"/>
      <c r="F214" s="8"/>
      <c r="G214" s="25">
        <f t="array" ref="G214">SUM(IF("155"&amp;C214=KHN&amp;MH,SL))</f>
        <v>22</v>
      </c>
      <c r="H214" s="25">
        <f t="array" ref="H214">SUM(IF("155"&amp;C214=KHN&amp;MH,TH))</f>
        <v>346900</v>
      </c>
      <c r="I214" s="25">
        <f t="array" ref="I214">SUM(IF("155"&amp;C214=KHC&amp;MH,SL))</f>
        <v>22</v>
      </c>
      <c r="J214" s="25">
        <f t="array" ref="J214">SUM(IF("155"&amp;C214=KHC&amp;MH,TH))</f>
        <v>346900</v>
      </c>
      <c r="K214" s="8">
        <f t="shared" si="29"/>
        <v>0</v>
      </c>
      <c r="L214" s="8">
        <f t="shared" si="30"/>
        <v>0</v>
      </c>
      <c r="M214" s="282"/>
    </row>
    <row r="215" spans="1:13" ht="18" customHeight="1">
      <c r="A215" s="282" t="str">
        <f t="shared" si="33"/>
        <v>TP</v>
      </c>
      <c r="B215" s="295">
        <f t="shared" si="34"/>
        <v>181</v>
      </c>
      <c r="C215" s="40" t="s">
        <v>1375</v>
      </c>
      <c r="D215" s="294" t="s">
        <v>1459</v>
      </c>
      <c r="E215" s="8"/>
      <c r="F215" s="8"/>
      <c r="G215" s="25">
        <f t="array" ref="G215">SUM(IF("155"&amp;C215=KHN&amp;MH,SL))</f>
        <v>192</v>
      </c>
      <c r="H215" s="25">
        <f t="array" ref="H215">SUM(IF("155"&amp;C215=KHN&amp;MH,TH))</f>
        <v>1587406</v>
      </c>
      <c r="I215" s="25">
        <f t="array" ref="I215">SUM(IF("155"&amp;C215=KHC&amp;MH,SL))</f>
        <v>192</v>
      </c>
      <c r="J215" s="25">
        <f t="array" ref="J215">SUM(IF("155"&amp;C215=KHC&amp;MH,TH))</f>
        <v>1587406</v>
      </c>
      <c r="K215" s="8">
        <f t="shared" si="29"/>
        <v>0</v>
      </c>
      <c r="L215" s="8">
        <f t="shared" si="30"/>
        <v>0</v>
      </c>
      <c r="M215" s="282"/>
    </row>
    <row r="216" spans="1:13" ht="18.75" customHeight="1">
      <c r="A216" s="282" t="str">
        <f t="shared" si="33"/>
        <v>TP</v>
      </c>
      <c r="B216" s="295">
        <f t="shared" si="34"/>
        <v>182</v>
      </c>
      <c r="C216" s="40" t="s">
        <v>1374</v>
      </c>
      <c r="D216" s="294" t="s">
        <v>1459</v>
      </c>
      <c r="E216" s="8"/>
      <c r="F216" s="8"/>
      <c r="G216" s="25">
        <f t="array" ref="G216">SUM(IF("155"&amp;C216=KHN&amp;MH,SL))</f>
        <v>52</v>
      </c>
      <c r="H216" s="25">
        <f t="array" ref="H216">SUM(IF("155"&amp;C216=KHN&amp;MH,TH))</f>
        <v>460631</v>
      </c>
      <c r="I216" s="25">
        <f t="array" ref="I216">SUM(IF("155"&amp;C216=KHC&amp;MH,SL))</f>
        <v>52</v>
      </c>
      <c r="J216" s="25">
        <f t="array" ref="J216">SUM(IF("155"&amp;C216=KHC&amp;MH,TH))</f>
        <v>460631</v>
      </c>
      <c r="K216" s="8">
        <f t="shared" si="29"/>
        <v>0</v>
      </c>
      <c r="L216" s="8">
        <f t="shared" si="30"/>
        <v>0</v>
      </c>
      <c r="M216" s="282"/>
    </row>
    <row r="217" spans="1:13" ht="18.75" customHeight="1">
      <c r="A217" s="282" t="str">
        <f t="shared" si="33"/>
        <v>TP</v>
      </c>
      <c r="B217" s="295">
        <f t="shared" si="34"/>
        <v>183</v>
      </c>
      <c r="C217" s="40" t="s">
        <v>1373</v>
      </c>
      <c r="D217" s="294" t="s">
        <v>1459</v>
      </c>
      <c r="E217" s="8"/>
      <c r="F217" s="8"/>
      <c r="G217" s="25">
        <f t="array" ref="G217">SUM(IF("155"&amp;C217=KHN&amp;MH,SL))</f>
        <v>92</v>
      </c>
      <c r="H217" s="25">
        <f t="array" ref="H217">SUM(IF("155"&amp;C217=KHN&amp;MH,TH))</f>
        <v>846009</v>
      </c>
      <c r="I217" s="25">
        <f t="array" ref="I217">SUM(IF("155"&amp;C217=KHC&amp;MH,SL))</f>
        <v>92</v>
      </c>
      <c r="J217" s="25">
        <f t="array" ref="J217">SUM(IF("155"&amp;C217=KHC&amp;MH,TH))</f>
        <v>846009</v>
      </c>
      <c r="K217" s="8">
        <f t="shared" si="29"/>
        <v>0</v>
      </c>
      <c r="L217" s="8">
        <f t="shared" si="30"/>
        <v>0</v>
      </c>
      <c r="M217" s="282"/>
    </row>
    <row r="218" spans="1:13" ht="18.75" customHeight="1">
      <c r="A218" s="282" t="str">
        <f t="shared" si="33"/>
        <v>TP</v>
      </c>
      <c r="B218" s="295">
        <f t="shared" si="34"/>
        <v>184</v>
      </c>
      <c r="C218" s="190" t="s">
        <v>477</v>
      </c>
      <c r="D218" s="294" t="s">
        <v>1459</v>
      </c>
      <c r="E218" s="8"/>
      <c r="F218" s="8"/>
      <c r="G218" s="25">
        <f t="array" ref="G218">SUM(IF("155"&amp;C218=KHN&amp;MH,SL))</f>
        <v>855</v>
      </c>
      <c r="H218" s="25">
        <f t="array" ref="H218">SUM(IF("155"&amp;C218=KHN&amp;MH,TH))</f>
        <v>6722816</v>
      </c>
      <c r="I218" s="25">
        <f t="array" ref="I218">SUM(IF("155"&amp;C218=KHC&amp;MH,SL))</f>
        <v>855</v>
      </c>
      <c r="J218" s="25">
        <f t="array" ref="J218">SUM(IF("155"&amp;C218=KHC&amp;MH,TH))</f>
        <v>6722816</v>
      </c>
      <c r="K218" s="8">
        <f t="shared" si="29"/>
        <v>0</v>
      </c>
      <c r="L218" s="8">
        <f t="shared" si="30"/>
        <v>0</v>
      </c>
      <c r="M218" s="282"/>
    </row>
    <row r="219" spans="1:13" ht="18.75" customHeight="1">
      <c r="A219" s="282" t="str">
        <f t="shared" si="33"/>
        <v>TP</v>
      </c>
      <c r="B219" s="295">
        <f t="shared" si="34"/>
        <v>185</v>
      </c>
      <c r="C219" s="40" t="s">
        <v>1335</v>
      </c>
      <c r="D219" s="294" t="s">
        <v>1459</v>
      </c>
      <c r="E219" s="8"/>
      <c r="F219" s="8"/>
      <c r="G219" s="25">
        <f t="array" ref="G219">SUM(IF("155"&amp;C219=KHN&amp;MH,SL))</f>
        <v>359</v>
      </c>
      <c r="H219" s="25">
        <f t="array" ref="H219">SUM(IF("155"&amp;C219=KHN&amp;MH,TH))</f>
        <v>2816685</v>
      </c>
      <c r="I219" s="25">
        <f t="array" ref="I219">SUM(IF("155"&amp;C219=KHC&amp;MH,SL))</f>
        <v>359</v>
      </c>
      <c r="J219" s="25">
        <f t="array" ref="J219">SUM(IF("155"&amp;C219=KHC&amp;MH,TH))</f>
        <v>2816685</v>
      </c>
      <c r="K219" s="8">
        <f t="shared" si="29"/>
        <v>0</v>
      </c>
      <c r="L219" s="8">
        <f t="shared" si="30"/>
        <v>0</v>
      </c>
      <c r="M219" s="282"/>
    </row>
    <row r="220" spans="1:13" ht="18.75" customHeight="1">
      <c r="A220" s="282" t="str">
        <f t="shared" si="33"/>
        <v>TP</v>
      </c>
      <c r="B220" s="295">
        <f t="shared" si="34"/>
        <v>186</v>
      </c>
      <c r="C220" s="190" t="s">
        <v>658</v>
      </c>
      <c r="D220" s="294" t="s">
        <v>1459</v>
      </c>
      <c r="E220" s="8"/>
      <c r="F220" s="8"/>
      <c r="G220" s="25">
        <f t="array" ref="G220">SUM(IF("155"&amp;C220=KHN&amp;MH,SL))</f>
        <v>1969</v>
      </c>
      <c r="H220" s="25">
        <f t="array" ref="H220">SUM(IF("155"&amp;C220=KHN&amp;MH,TH))</f>
        <v>12648986</v>
      </c>
      <c r="I220" s="25">
        <f t="array" ref="I220">SUM(IF("155"&amp;C220=KHC&amp;MH,SL))</f>
        <v>1969</v>
      </c>
      <c r="J220" s="25">
        <f t="array" ref="J220">SUM(IF("155"&amp;C220=KHC&amp;MH,TH))</f>
        <v>12648986</v>
      </c>
      <c r="K220" s="8">
        <f t="shared" si="29"/>
        <v>0</v>
      </c>
      <c r="L220" s="8">
        <f t="shared" si="30"/>
        <v>0</v>
      </c>
      <c r="M220" s="282"/>
    </row>
    <row r="221" spans="1:13" ht="18.75" customHeight="1">
      <c r="A221" s="282" t="str">
        <f t="shared" si="33"/>
        <v>TP</v>
      </c>
      <c r="B221" s="295">
        <f t="shared" si="34"/>
        <v>187</v>
      </c>
      <c r="C221" s="190" t="s">
        <v>939</v>
      </c>
      <c r="D221" s="294" t="s">
        <v>1459</v>
      </c>
      <c r="E221" s="8"/>
      <c r="F221" s="8"/>
      <c r="G221" s="25">
        <f t="array" ref="G221">SUM(IF("155"&amp;C221=KHN&amp;MH,SL))</f>
        <v>55</v>
      </c>
      <c r="H221" s="25">
        <f t="array" ref="H221">SUM(IF("155"&amp;C221=KHN&amp;MH,TH))</f>
        <v>435919</v>
      </c>
      <c r="I221" s="25">
        <f t="array" ref="I221">SUM(IF("155"&amp;C221=KHC&amp;MH,SL))</f>
        <v>55</v>
      </c>
      <c r="J221" s="25">
        <f t="array" ref="J221">SUM(IF("155"&amp;C221=KHC&amp;MH,TH))</f>
        <v>435919</v>
      </c>
      <c r="K221" s="8">
        <f t="shared" si="29"/>
        <v>0</v>
      </c>
      <c r="L221" s="8">
        <f t="shared" si="30"/>
        <v>0</v>
      </c>
      <c r="M221" s="282"/>
    </row>
    <row r="222" spans="1:13" ht="18.75" customHeight="1">
      <c r="A222" s="282" t="str">
        <f t="shared" si="33"/>
        <v>TP</v>
      </c>
      <c r="B222" s="295">
        <f t="shared" si="34"/>
        <v>188</v>
      </c>
      <c r="C222" s="286" t="s">
        <v>1050</v>
      </c>
      <c r="D222" s="294" t="s">
        <v>1459</v>
      </c>
      <c r="E222" s="8"/>
      <c r="F222" s="8"/>
      <c r="G222" s="25">
        <f t="array" ref="G222">SUM(IF("155"&amp;C222=KHN&amp;MH,SL))</f>
        <v>210</v>
      </c>
      <c r="H222" s="25">
        <f t="array" ref="H222">SUM(IF("155"&amp;C222=KHN&amp;MH,TH))</f>
        <v>1969053</v>
      </c>
      <c r="I222" s="25">
        <f t="array" ref="I222">SUM(IF("155"&amp;C222=KHC&amp;MH,SL))</f>
        <v>210</v>
      </c>
      <c r="J222" s="25">
        <f t="array" ref="J222">SUM(IF("155"&amp;C222=KHC&amp;MH,TH))</f>
        <v>1969053</v>
      </c>
      <c r="K222" s="8">
        <f t="shared" si="29"/>
        <v>0</v>
      </c>
      <c r="L222" s="8">
        <f t="shared" si="30"/>
        <v>0</v>
      </c>
      <c r="M222" s="282"/>
    </row>
    <row r="223" spans="1:13" ht="18.75" customHeight="1">
      <c r="A223" s="282" t="str">
        <f t="shared" si="33"/>
        <v>TP</v>
      </c>
      <c r="B223" s="295">
        <f t="shared" si="34"/>
        <v>189</v>
      </c>
      <c r="C223" s="40" t="s">
        <v>1071</v>
      </c>
      <c r="D223" s="294" t="s">
        <v>1459</v>
      </c>
      <c r="E223" s="8"/>
      <c r="F223" s="8"/>
      <c r="G223" s="25">
        <f t="array" ref="G223">SUM(IF("155"&amp;C223=KHN&amp;MH,SL))</f>
        <v>45</v>
      </c>
      <c r="H223" s="25">
        <f t="array" ref="H223">SUM(IF("155"&amp;C223=KHN&amp;MH,TH))</f>
        <v>475544</v>
      </c>
      <c r="I223" s="25">
        <f t="array" ref="I223">SUM(IF("155"&amp;C223=KHC&amp;MH,SL))</f>
        <v>45</v>
      </c>
      <c r="J223" s="25">
        <f t="array" ref="J223">SUM(IF("155"&amp;C223=KHC&amp;MH,TH))</f>
        <v>475544</v>
      </c>
      <c r="K223" s="8">
        <f t="shared" si="29"/>
        <v>0</v>
      </c>
      <c r="L223" s="8">
        <f t="shared" si="30"/>
        <v>0</v>
      </c>
      <c r="M223" s="282"/>
    </row>
    <row r="224" spans="1:13" ht="18.75" customHeight="1">
      <c r="A224" s="282" t="str">
        <f t="shared" si="33"/>
        <v>TP</v>
      </c>
      <c r="B224" s="295">
        <f t="shared" si="34"/>
        <v>190</v>
      </c>
      <c r="C224" s="190" t="s">
        <v>1048</v>
      </c>
      <c r="D224" s="294" t="s">
        <v>1459</v>
      </c>
      <c r="E224" s="8"/>
      <c r="F224" s="8"/>
      <c r="G224" s="25">
        <f t="array" ref="G224">SUM(IF("155"&amp;C224=KHN&amp;MH,SL))</f>
        <v>212</v>
      </c>
      <c r="H224" s="25">
        <f t="array" ref="H224">SUM(IF("155"&amp;C224=KHN&amp;MH,TH))</f>
        <v>2114302</v>
      </c>
      <c r="I224" s="25">
        <f t="array" ref="I224">SUM(IF("155"&amp;C224=KHC&amp;MH,SL))</f>
        <v>212</v>
      </c>
      <c r="J224" s="25">
        <f t="array" ref="J224">SUM(IF("155"&amp;C224=KHC&amp;MH,TH))</f>
        <v>2114302</v>
      </c>
      <c r="K224" s="8">
        <f t="shared" si="29"/>
        <v>0</v>
      </c>
      <c r="L224" s="8">
        <f t="shared" si="30"/>
        <v>0</v>
      </c>
      <c r="M224" s="282"/>
    </row>
    <row r="225" spans="1:13" ht="18.75" customHeight="1">
      <c r="A225" s="282" t="str">
        <f t="shared" si="33"/>
        <v>TP</v>
      </c>
      <c r="B225" s="295">
        <f t="shared" si="34"/>
        <v>191</v>
      </c>
      <c r="C225" s="187" t="s">
        <v>1014</v>
      </c>
      <c r="D225" s="294" t="s">
        <v>1459</v>
      </c>
      <c r="E225" s="8"/>
      <c r="F225" s="8"/>
      <c r="G225" s="25">
        <f t="array" ref="G225">SUM(IF("155"&amp;C225=KHN&amp;MH,SL))</f>
        <v>105</v>
      </c>
      <c r="H225" s="25">
        <f t="array" ref="H225">SUM(IF("155"&amp;C225=KHN&amp;MH,TH))</f>
        <v>1029277</v>
      </c>
      <c r="I225" s="25">
        <f t="array" ref="I225">SUM(IF("155"&amp;C225=KHC&amp;MH,SL))</f>
        <v>105</v>
      </c>
      <c r="J225" s="25">
        <f t="array" ref="J225">SUM(IF("155"&amp;C225=KHC&amp;MH,TH))</f>
        <v>1029277</v>
      </c>
      <c r="K225" s="8">
        <f t="shared" si="29"/>
        <v>0</v>
      </c>
      <c r="L225" s="8">
        <f t="shared" si="30"/>
        <v>0</v>
      </c>
      <c r="M225" s="282"/>
    </row>
    <row r="226" spans="1:13" ht="18.75" customHeight="1">
      <c r="A226" s="282" t="str">
        <f t="shared" si="33"/>
        <v>TP</v>
      </c>
      <c r="B226" s="295">
        <f t="shared" si="34"/>
        <v>192</v>
      </c>
      <c r="C226" s="190" t="s">
        <v>987</v>
      </c>
      <c r="D226" s="294" t="s">
        <v>1459</v>
      </c>
      <c r="E226" s="8"/>
      <c r="F226" s="8"/>
      <c r="G226" s="25">
        <f t="array" ref="G226">SUM(IF("155"&amp;C226=KHN&amp;MH,SL))</f>
        <v>157</v>
      </c>
      <c r="H226" s="25">
        <f t="array" ref="H226">SUM(IF("155"&amp;C226=KHN&amp;MH,TH))</f>
        <v>1605929</v>
      </c>
      <c r="I226" s="25">
        <f t="array" ref="I226">SUM(IF("155"&amp;C226=KHC&amp;MH,SL))</f>
        <v>157</v>
      </c>
      <c r="J226" s="25">
        <f t="array" ref="J226">SUM(IF("155"&amp;C226=KHC&amp;MH,TH))</f>
        <v>1605929</v>
      </c>
      <c r="K226" s="8">
        <f t="shared" si="29"/>
        <v>0</v>
      </c>
      <c r="L226" s="8">
        <f t="shared" si="30"/>
        <v>0</v>
      </c>
      <c r="M226" s="282"/>
    </row>
    <row r="227" spans="1:13" ht="18.75" customHeight="1">
      <c r="A227" s="282" t="str">
        <f t="shared" si="33"/>
        <v>TP</v>
      </c>
      <c r="B227" s="295">
        <f t="shared" si="34"/>
        <v>193</v>
      </c>
      <c r="C227" s="190" t="s">
        <v>953</v>
      </c>
      <c r="D227" s="294" t="s">
        <v>1459</v>
      </c>
      <c r="E227" s="8"/>
      <c r="F227" s="8"/>
      <c r="G227" s="25">
        <f t="array" ref="G227">SUM(IF("155"&amp;C227=KHN&amp;MH,SL))</f>
        <v>400</v>
      </c>
      <c r="H227" s="25">
        <f t="array" ref="H227">SUM(IF("155"&amp;C227=KHN&amp;MH,TH))</f>
        <v>4571933</v>
      </c>
      <c r="I227" s="25">
        <f t="array" ref="I227">SUM(IF("155"&amp;C227=KHC&amp;MH,SL))</f>
        <v>400</v>
      </c>
      <c r="J227" s="25">
        <f t="array" ref="J227">SUM(IF("155"&amp;C227=KHC&amp;MH,TH))</f>
        <v>4571933</v>
      </c>
      <c r="K227" s="8">
        <f t="shared" ref="K227:K290" si="35">E227+G227-I227</f>
        <v>0</v>
      </c>
      <c r="L227" s="8">
        <f t="shared" ref="L227:L290" si="36">F227+H227-J227</f>
        <v>0</v>
      </c>
      <c r="M227" s="282"/>
    </row>
    <row r="228" spans="1:13" ht="18.75" customHeight="1">
      <c r="A228" s="282" t="str">
        <f t="shared" si="33"/>
        <v>TP</v>
      </c>
      <c r="B228" s="295">
        <f t="shared" si="34"/>
        <v>194</v>
      </c>
      <c r="C228" s="40" t="s">
        <v>1401</v>
      </c>
      <c r="D228" s="294" t="s">
        <v>1459</v>
      </c>
      <c r="E228" s="8"/>
      <c r="F228" s="8"/>
      <c r="G228" s="25">
        <f t="array" ref="G228">SUM(IF("155"&amp;C228=KHN&amp;MH,SL))</f>
        <v>10170</v>
      </c>
      <c r="H228" s="25">
        <f t="array" ref="H228">SUM(IF("155"&amp;C228=KHN&amp;MH,TH))</f>
        <v>66923145</v>
      </c>
      <c r="I228" s="25">
        <f t="array" ref="I228">SUM(IF("155"&amp;C228=KHC&amp;MH,SL))</f>
        <v>10170</v>
      </c>
      <c r="J228" s="25">
        <f t="array" ref="J228">SUM(IF("155"&amp;C228=KHC&amp;MH,TH))</f>
        <v>66923145</v>
      </c>
      <c r="K228" s="8">
        <f t="shared" si="35"/>
        <v>0</v>
      </c>
      <c r="L228" s="8">
        <f t="shared" si="36"/>
        <v>0</v>
      </c>
      <c r="M228" s="282"/>
    </row>
    <row r="229" spans="1:13" ht="18.75" customHeight="1">
      <c r="A229" s="282" t="str">
        <f t="shared" si="33"/>
        <v>TP</v>
      </c>
      <c r="B229" s="295">
        <f t="shared" si="34"/>
        <v>195</v>
      </c>
      <c r="C229" s="187" t="s">
        <v>1016</v>
      </c>
      <c r="D229" s="294" t="s">
        <v>1459</v>
      </c>
      <c r="E229" s="8"/>
      <c r="F229" s="8"/>
      <c r="G229" s="25">
        <f t="array" ref="G229">SUM(IF("155"&amp;C229=KHN&amp;MH,SL))</f>
        <v>198</v>
      </c>
      <c r="H229" s="25">
        <f t="array" ref="H229">SUM(IF("155"&amp;C229=KHN&amp;MH,TH))</f>
        <v>2143454</v>
      </c>
      <c r="I229" s="25">
        <f t="array" ref="I229">SUM(IF("155"&amp;C229=KHC&amp;MH,SL))</f>
        <v>198</v>
      </c>
      <c r="J229" s="25">
        <f t="array" ref="J229">SUM(IF("155"&amp;C229=KHC&amp;MH,TH))</f>
        <v>2143454</v>
      </c>
      <c r="K229" s="8">
        <f t="shared" si="35"/>
        <v>0</v>
      </c>
      <c r="L229" s="8">
        <f t="shared" si="36"/>
        <v>0</v>
      </c>
      <c r="M229" s="282"/>
    </row>
    <row r="230" spans="1:13" ht="18.75" customHeight="1">
      <c r="A230" s="282" t="str">
        <f t="shared" si="33"/>
        <v>TP</v>
      </c>
      <c r="B230" s="295">
        <f t="shared" si="34"/>
        <v>196</v>
      </c>
      <c r="C230" s="40" t="s">
        <v>1393</v>
      </c>
      <c r="D230" s="294" t="s">
        <v>1459</v>
      </c>
      <c r="E230" s="8"/>
      <c r="F230" s="8"/>
      <c r="G230" s="25">
        <f t="array" ref="G230">SUM(IF("155"&amp;C230=KHN&amp;MH,SL))</f>
        <v>208</v>
      </c>
      <c r="H230" s="25">
        <f t="array" ref="H230">SUM(IF("155"&amp;C230=KHN&amp;MH,TH))</f>
        <v>1702142</v>
      </c>
      <c r="I230" s="25">
        <f t="array" ref="I230">SUM(IF("155"&amp;C230=KHC&amp;MH,SL))</f>
        <v>208</v>
      </c>
      <c r="J230" s="25">
        <f t="array" ref="J230">SUM(IF("155"&amp;C230=KHC&amp;MH,TH))</f>
        <v>1702142</v>
      </c>
      <c r="K230" s="8">
        <f t="shared" si="35"/>
        <v>0</v>
      </c>
      <c r="L230" s="8">
        <f t="shared" si="36"/>
        <v>0</v>
      </c>
      <c r="M230" s="282"/>
    </row>
    <row r="231" spans="1:13" ht="18.75" customHeight="1">
      <c r="A231" s="282" t="str">
        <f t="shared" si="33"/>
        <v>TP</v>
      </c>
      <c r="B231" s="295">
        <f t="shared" si="34"/>
        <v>197</v>
      </c>
      <c r="C231" s="187" t="s">
        <v>1037</v>
      </c>
      <c r="D231" s="294" t="s">
        <v>1459</v>
      </c>
      <c r="E231" s="8"/>
      <c r="F231" s="8"/>
      <c r="G231" s="25">
        <f t="array" ref="G231">SUM(IF("155"&amp;C231=KHN&amp;MH,SL))</f>
        <v>24</v>
      </c>
      <c r="H231" s="25">
        <f t="array" ref="H231">SUM(IF("155"&amp;C231=KHN&amp;MH,TH))</f>
        <v>296636</v>
      </c>
      <c r="I231" s="25">
        <f t="array" ref="I231">SUM(IF("155"&amp;C231=KHC&amp;MH,SL))</f>
        <v>24</v>
      </c>
      <c r="J231" s="25">
        <f t="array" ref="J231">SUM(IF("155"&amp;C231=KHC&amp;MH,TH))</f>
        <v>296636</v>
      </c>
      <c r="K231" s="8">
        <f t="shared" si="35"/>
        <v>0</v>
      </c>
      <c r="L231" s="8">
        <f t="shared" si="36"/>
        <v>0</v>
      </c>
      <c r="M231" s="282"/>
    </row>
    <row r="232" spans="1:13" ht="18.75" customHeight="1">
      <c r="A232" s="282" t="str">
        <f t="shared" si="33"/>
        <v>TP</v>
      </c>
      <c r="B232" s="295">
        <f t="shared" si="34"/>
        <v>198</v>
      </c>
      <c r="C232" s="190" t="s">
        <v>997</v>
      </c>
      <c r="D232" s="294" t="s">
        <v>1459</v>
      </c>
      <c r="E232" s="8"/>
      <c r="F232" s="8"/>
      <c r="G232" s="25">
        <f t="array" ref="G232">SUM(IF("155"&amp;C232=KHN&amp;MH,SL))</f>
        <v>30</v>
      </c>
      <c r="H232" s="25">
        <f t="array" ref="H232">SUM(IF("155"&amp;C232=KHN&amp;MH,TH))</f>
        <v>306865</v>
      </c>
      <c r="I232" s="25">
        <f t="array" ref="I232">SUM(IF("155"&amp;C232=KHC&amp;MH,SL))</f>
        <v>30</v>
      </c>
      <c r="J232" s="25">
        <f t="array" ref="J232">SUM(IF("155"&amp;C232=KHC&amp;MH,TH))</f>
        <v>306865</v>
      </c>
      <c r="K232" s="8">
        <f t="shared" si="35"/>
        <v>0</v>
      </c>
      <c r="L232" s="8">
        <f t="shared" si="36"/>
        <v>0</v>
      </c>
      <c r="M232" s="282"/>
    </row>
    <row r="233" spans="1:13" ht="18.75" customHeight="1">
      <c r="A233" s="282" t="str">
        <f t="shared" si="33"/>
        <v>TP</v>
      </c>
      <c r="B233" s="295">
        <f t="shared" si="34"/>
        <v>199</v>
      </c>
      <c r="C233" s="190" t="s">
        <v>448</v>
      </c>
      <c r="D233" s="294" t="s">
        <v>1459</v>
      </c>
      <c r="E233" s="8"/>
      <c r="F233" s="8"/>
      <c r="G233" s="25">
        <f t="array" ref="G233">SUM(IF("155"&amp;C233=KHN&amp;MH,SL))</f>
        <v>1004</v>
      </c>
      <c r="H233" s="25">
        <f t="array" ref="H233">SUM(IF("155"&amp;C233=KHN&amp;MH,TH))</f>
        <v>8711367</v>
      </c>
      <c r="I233" s="25">
        <f t="array" ref="I233">SUM(IF("155"&amp;C233=KHC&amp;MH,SL))</f>
        <v>1004</v>
      </c>
      <c r="J233" s="25">
        <f t="array" ref="J233">SUM(IF("155"&amp;C233=KHC&amp;MH,TH))</f>
        <v>8711367</v>
      </c>
      <c r="K233" s="8">
        <f t="shared" si="35"/>
        <v>0</v>
      </c>
      <c r="L233" s="8">
        <f t="shared" si="36"/>
        <v>0</v>
      </c>
      <c r="M233" s="282"/>
    </row>
    <row r="234" spans="1:13" ht="18.75" customHeight="1">
      <c r="A234" s="282" t="str">
        <f t="shared" si="33"/>
        <v>TP</v>
      </c>
      <c r="B234" s="295">
        <f t="shared" si="34"/>
        <v>200</v>
      </c>
      <c r="C234" s="40" t="s">
        <v>1394</v>
      </c>
      <c r="D234" s="294" t="s">
        <v>1459</v>
      </c>
      <c r="E234" s="8"/>
      <c r="F234" s="8"/>
      <c r="G234" s="25">
        <f t="array" ref="G234">SUM(IF("155"&amp;C234=KHN&amp;MH,SL))</f>
        <v>205</v>
      </c>
      <c r="H234" s="25">
        <f t="array" ref="H234">SUM(IF("155"&amp;C234=KHN&amp;MH,TH))</f>
        <v>1833245</v>
      </c>
      <c r="I234" s="25">
        <f t="array" ref="I234">SUM(IF("155"&amp;C234=KHC&amp;MH,SL))</f>
        <v>205</v>
      </c>
      <c r="J234" s="25">
        <f t="array" ref="J234">SUM(IF("155"&amp;C234=KHC&amp;MH,TH))</f>
        <v>1833245</v>
      </c>
      <c r="K234" s="8">
        <f t="shared" si="35"/>
        <v>0</v>
      </c>
      <c r="L234" s="8">
        <f t="shared" si="36"/>
        <v>0</v>
      </c>
      <c r="M234" s="282"/>
    </row>
    <row r="235" spans="1:13" ht="18.75" customHeight="1">
      <c r="A235" s="282" t="str">
        <f t="shared" si="33"/>
        <v>TP</v>
      </c>
      <c r="B235" s="295">
        <f t="shared" si="34"/>
        <v>201</v>
      </c>
      <c r="C235" s="187" t="s">
        <v>645</v>
      </c>
      <c r="D235" s="294" t="s">
        <v>1459</v>
      </c>
      <c r="E235" s="8"/>
      <c r="F235" s="8"/>
      <c r="G235" s="25">
        <f t="array" ref="G235">SUM(IF("155"&amp;C235=KHN&amp;MH,SL))</f>
        <v>4483</v>
      </c>
      <c r="H235" s="25">
        <f t="array" ref="H235">SUM(IF("155"&amp;C235=KHN&amp;MH,TH))</f>
        <v>43418798</v>
      </c>
      <c r="I235" s="25">
        <f t="array" ref="I235">SUM(IF("155"&amp;C235=KHC&amp;MH,SL))</f>
        <v>4483</v>
      </c>
      <c r="J235" s="25">
        <f t="array" ref="J235">SUM(IF("155"&amp;C235=KHC&amp;MH,TH))</f>
        <v>43418798</v>
      </c>
      <c r="K235" s="8">
        <f t="shared" si="35"/>
        <v>0</v>
      </c>
      <c r="L235" s="8">
        <f t="shared" si="36"/>
        <v>0</v>
      </c>
      <c r="M235" s="282"/>
    </row>
    <row r="236" spans="1:13" ht="18.75" customHeight="1">
      <c r="A236" s="282" t="str">
        <f t="shared" si="33"/>
        <v>TP</v>
      </c>
      <c r="B236" s="295">
        <f t="shared" si="34"/>
        <v>202</v>
      </c>
      <c r="C236" s="190" t="s">
        <v>1052</v>
      </c>
      <c r="D236" s="294" t="s">
        <v>1459</v>
      </c>
      <c r="E236" s="8"/>
      <c r="F236" s="8"/>
      <c r="G236" s="25">
        <f t="array" ref="G236">SUM(IF("155"&amp;C236=KHN&amp;MH,SL))</f>
        <v>1010</v>
      </c>
      <c r="H236" s="25">
        <f t="array" ref="H236">SUM(IF("155"&amp;C236=KHN&amp;MH,TH))</f>
        <v>11278153</v>
      </c>
      <c r="I236" s="25">
        <f t="array" ref="I236">SUM(IF("155"&amp;C236=KHC&amp;MH,SL))</f>
        <v>1010</v>
      </c>
      <c r="J236" s="25">
        <f t="array" ref="J236">SUM(IF("155"&amp;C236=KHC&amp;MH,TH))</f>
        <v>11278153</v>
      </c>
      <c r="K236" s="8">
        <f t="shared" si="35"/>
        <v>0</v>
      </c>
      <c r="L236" s="8">
        <f t="shared" si="36"/>
        <v>0</v>
      </c>
      <c r="M236" s="282"/>
    </row>
    <row r="237" spans="1:13" ht="18.75" customHeight="1">
      <c r="A237" s="282" t="str">
        <f t="shared" si="33"/>
        <v>TP</v>
      </c>
      <c r="B237" s="295">
        <f t="shared" si="34"/>
        <v>203</v>
      </c>
      <c r="C237" s="40" t="s">
        <v>870</v>
      </c>
      <c r="D237" s="294" t="s">
        <v>1459</v>
      </c>
      <c r="E237" s="8"/>
      <c r="F237" s="8"/>
      <c r="G237" s="25">
        <f t="array" ref="G237">SUM(IF("155"&amp;C237=KHN&amp;MH,SL))</f>
        <v>2559</v>
      </c>
      <c r="H237" s="25">
        <f t="array" ref="H237">SUM(IF("155"&amp;C237=KHN&amp;MH,TH))</f>
        <v>30956907</v>
      </c>
      <c r="I237" s="25">
        <f t="array" ref="I237">SUM(IF("155"&amp;C237=KHC&amp;MH,SL))</f>
        <v>2559</v>
      </c>
      <c r="J237" s="25">
        <f t="array" ref="J237">SUM(IF("155"&amp;C237=KHC&amp;MH,TH))</f>
        <v>30956907</v>
      </c>
      <c r="K237" s="8">
        <f t="shared" si="35"/>
        <v>0</v>
      </c>
      <c r="L237" s="8">
        <f t="shared" si="36"/>
        <v>0</v>
      </c>
      <c r="M237" s="282"/>
    </row>
    <row r="238" spans="1:13" ht="18.75" customHeight="1">
      <c r="A238" s="282" t="str">
        <f t="shared" si="33"/>
        <v>TP</v>
      </c>
      <c r="B238" s="295">
        <f t="shared" si="34"/>
        <v>204</v>
      </c>
      <c r="C238" s="190" t="s">
        <v>1065</v>
      </c>
      <c r="D238" s="294" t="s">
        <v>1459</v>
      </c>
      <c r="E238" s="8"/>
      <c r="F238" s="8"/>
      <c r="G238" s="25">
        <f t="array" ref="G238">SUM(IF("155"&amp;C238=KHN&amp;MH,SL))</f>
        <v>1320</v>
      </c>
      <c r="H238" s="25">
        <f t="array" ref="H238">SUM(IF("155"&amp;C238=KHN&amp;MH,TH))</f>
        <v>13052005</v>
      </c>
      <c r="I238" s="25">
        <f t="array" ref="I238">SUM(IF("155"&amp;C238=KHC&amp;MH,SL))</f>
        <v>1320</v>
      </c>
      <c r="J238" s="25">
        <f t="array" ref="J238">SUM(IF("155"&amp;C238=KHC&amp;MH,TH))</f>
        <v>13052005</v>
      </c>
      <c r="K238" s="8">
        <f t="shared" si="35"/>
        <v>0</v>
      </c>
      <c r="L238" s="8">
        <f t="shared" si="36"/>
        <v>0</v>
      </c>
      <c r="M238" s="282"/>
    </row>
    <row r="239" spans="1:13" ht="18.75" customHeight="1">
      <c r="A239" s="282" t="str">
        <f t="shared" si="33"/>
        <v>TP</v>
      </c>
      <c r="B239" s="295">
        <f t="shared" si="34"/>
        <v>205</v>
      </c>
      <c r="C239" s="187" t="s">
        <v>1008</v>
      </c>
      <c r="D239" s="294" t="s">
        <v>1459</v>
      </c>
      <c r="E239" s="8"/>
      <c r="F239" s="8"/>
      <c r="G239" s="25">
        <f t="array" ref="G239">SUM(IF("155"&amp;C239=KHN&amp;MH,SL))</f>
        <v>26</v>
      </c>
      <c r="H239" s="25">
        <f t="array" ref="H239">SUM(IF("155"&amp;C239=KHN&amp;MH,TH))</f>
        <v>376762</v>
      </c>
      <c r="I239" s="25">
        <f t="array" ref="I239">SUM(IF("155"&amp;C239=KHC&amp;MH,SL))</f>
        <v>26</v>
      </c>
      <c r="J239" s="25">
        <f t="array" ref="J239">SUM(IF("155"&amp;C239=KHC&amp;MH,TH))</f>
        <v>376762</v>
      </c>
      <c r="K239" s="8">
        <f t="shared" si="35"/>
        <v>0</v>
      </c>
      <c r="L239" s="8">
        <f t="shared" si="36"/>
        <v>0</v>
      </c>
      <c r="M239" s="282"/>
    </row>
    <row r="240" spans="1:13" ht="18.75" customHeight="1">
      <c r="A240" s="282" t="str">
        <f t="shared" si="33"/>
        <v>TP</v>
      </c>
      <c r="B240" s="295">
        <f t="shared" si="34"/>
        <v>206</v>
      </c>
      <c r="C240" s="187" t="s">
        <v>1045</v>
      </c>
      <c r="D240" s="294" t="s">
        <v>1459</v>
      </c>
      <c r="E240" s="8"/>
      <c r="F240" s="8"/>
      <c r="G240" s="25">
        <f t="array" ref="G240">SUM(IF("155"&amp;C240=KHN&amp;MH,SL))</f>
        <v>90</v>
      </c>
      <c r="H240" s="25">
        <f t="array" ref="H240">SUM(IF("155"&amp;C240=KHN&amp;MH,TH))</f>
        <v>951283</v>
      </c>
      <c r="I240" s="25">
        <f t="array" ref="I240">SUM(IF("155"&amp;C240=KHC&amp;MH,SL))</f>
        <v>90</v>
      </c>
      <c r="J240" s="25">
        <f t="array" ref="J240">SUM(IF("155"&amp;C240=KHC&amp;MH,TH))</f>
        <v>951283</v>
      </c>
      <c r="K240" s="8">
        <f t="shared" si="35"/>
        <v>0</v>
      </c>
      <c r="L240" s="8">
        <f t="shared" si="36"/>
        <v>0</v>
      </c>
      <c r="M240" s="282"/>
    </row>
    <row r="241" spans="1:13" ht="18.75" customHeight="1">
      <c r="A241" s="282" t="str">
        <f t="shared" si="33"/>
        <v>TP</v>
      </c>
      <c r="B241" s="295">
        <f t="shared" si="34"/>
        <v>207</v>
      </c>
      <c r="C241" s="190" t="s">
        <v>404</v>
      </c>
      <c r="D241" s="294" t="s">
        <v>1459</v>
      </c>
      <c r="E241" s="8"/>
      <c r="F241" s="8"/>
      <c r="G241" s="25">
        <f t="array" ref="G241">SUM(IF("155"&amp;C241=KHN&amp;MH,SL))</f>
        <v>5740</v>
      </c>
      <c r="H241" s="25">
        <f t="array" ref="H241">SUM(IF("155"&amp;C241=KHN&amp;MH,TH))</f>
        <v>50282918</v>
      </c>
      <c r="I241" s="25">
        <f t="array" ref="I241">SUM(IF("155"&amp;C241=KHC&amp;MH,SL))</f>
        <v>5740</v>
      </c>
      <c r="J241" s="25">
        <f t="array" ref="J241">SUM(IF("155"&amp;C241=KHC&amp;MH,TH))</f>
        <v>50282918</v>
      </c>
      <c r="K241" s="8">
        <f t="shared" si="35"/>
        <v>0</v>
      </c>
      <c r="L241" s="8">
        <f t="shared" si="36"/>
        <v>0</v>
      </c>
      <c r="M241" s="282"/>
    </row>
    <row r="242" spans="1:13" ht="18.75" customHeight="1">
      <c r="A242" s="282" t="str">
        <f t="shared" si="33"/>
        <v>TP</v>
      </c>
      <c r="B242" s="295">
        <f t="shared" si="34"/>
        <v>208</v>
      </c>
      <c r="C242" s="187" t="s">
        <v>482</v>
      </c>
      <c r="D242" s="294" t="s">
        <v>1459</v>
      </c>
      <c r="E242" s="8"/>
      <c r="F242" s="8"/>
      <c r="G242" s="25">
        <f t="array" ref="G242">SUM(IF("155"&amp;C242=KHN&amp;MH,SL))</f>
        <v>695</v>
      </c>
      <c r="H242" s="25">
        <f t="array" ref="H242">SUM(IF("155"&amp;C242=KHN&amp;MH,TH))</f>
        <v>7305915</v>
      </c>
      <c r="I242" s="25">
        <f t="array" ref="I242">SUM(IF("155"&amp;C242=KHC&amp;MH,SL))</f>
        <v>695</v>
      </c>
      <c r="J242" s="25">
        <f t="array" ref="J242">SUM(IF("155"&amp;C242=KHC&amp;MH,TH))</f>
        <v>7305915</v>
      </c>
      <c r="K242" s="8">
        <f t="shared" si="35"/>
        <v>0</v>
      </c>
      <c r="L242" s="8">
        <f t="shared" si="36"/>
        <v>0</v>
      </c>
      <c r="M242" s="282"/>
    </row>
    <row r="243" spans="1:13" ht="18.75" customHeight="1">
      <c r="A243" s="282" t="str">
        <f t="shared" si="33"/>
        <v>TP</v>
      </c>
      <c r="B243" s="295">
        <f t="shared" si="34"/>
        <v>209</v>
      </c>
      <c r="C243" s="187" t="s">
        <v>959</v>
      </c>
      <c r="D243" s="294" t="s">
        <v>1459</v>
      </c>
      <c r="E243" s="8"/>
      <c r="F243" s="8"/>
      <c r="G243" s="25">
        <f t="array" ref="G243">SUM(IF("155"&amp;C243=KHN&amp;MH,SL))</f>
        <v>351</v>
      </c>
      <c r="H243" s="25">
        <f t="array" ref="H243">SUM(IF("155"&amp;C243=KHN&amp;MH,TH))</f>
        <v>3834836</v>
      </c>
      <c r="I243" s="25">
        <f t="array" ref="I243">SUM(IF("155"&amp;C243=KHC&amp;MH,SL))</f>
        <v>351</v>
      </c>
      <c r="J243" s="25">
        <f t="array" ref="J243">SUM(IF("155"&amp;C243=KHC&amp;MH,TH))</f>
        <v>3834836</v>
      </c>
      <c r="K243" s="8">
        <f t="shared" si="35"/>
        <v>0</v>
      </c>
      <c r="L243" s="8">
        <f t="shared" si="36"/>
        <v>0</v>
      </c>
      <c r="M243" s="282"/>
    </row>
    <row r="244" spans="1:13" ht="18.75" customHeight="1">
      <c r="A244" s="282" t="str">
        <f t="shared" si="33"/>
        <v>TP</v>
      </c>
      <c r="B244" s="295">
        <f t="shared" si="34"/>
        <v>210</v>
      </c>
      <c r="C244" s="187" t="s">
        <v>873</v>
      </c>
      <c r="D244" s="294" t="s">
        <v>1459</v>
      </c>
      <c r="E244" s="8"/>
      <c r="F244" s="8"/>
      <c r="G244" s="25">
        <f t="array" ref="G244">SUM(IF("155"&amp;C244=KHN&amp;MH,SL))</f>
        <v>22</v>
      </c>
      <c r="H244" s="25">
        <f t="array" ref="H244">SUM(IF("155"&amp;C244=KHN&amp;MH,TH))</f>
        <v>412976</v>
      </c>
      <c r="I244" s="25">
        <f t="array" ref="I244">SUM(IF("155"&amp;C244=KHC&amp;MH,SL))</f>
        <v>22</v>
      </c>
      <c r="J244" s="25">
        <f t="array" ref="J244">SUM(IF("155"&amp;C244=KHC&amp;MH,TH))</f>
        <v>412976</v>
      </c>
      <c r="K244" s="8">
        <f t="shared" si="35"/>
        <v>0</v>
      </c>
      <c r="L244" s="8">
        <f t="shared" si="36"/>
        <v>0</v>
      </c>
      <c r="M244" s="282"/>
    </row>
    <row r="245" spans="1:13" ht="18.75" customHeight="1">
      <c r="A245" s="282" t="str">
        <f t="shared" si="33"/>
        <v>TP</v>
      </c>
      <c r="B245" s="295">
        <f t="shared" si="34"/>
        <v>211</v>
      </c>
      <c r="C245" s="286" t="s">
        <v>945</v>
      </c>
      <c r="D245" s="294" t="s">
        <v>1459</v>
      </c>
      <c r="E245" s="8"/>
      <c r="F245" s="8"/>
      <c r="G245" s="25">
        <f t="array" ref="G245">SUM(IF("155"&amp;C245=KHN&amp;MH,SL))</f>
        <v>473</v>
      </c>
      <c r="H245" s="25">
        <f t="array" ref="H245">SUM(IF("155"&amp;C245=KHN&amp;MH,TH))</f>
        <v>1933644</v>
      </c>
      <c r="I245" s="25">
        <f t="array" ref="I245">SUM(IF("155"&amp;C245=KHC&amp;MH,SL))</f>
        <v>473</v>
      </c>
      <c r="J245" s="25">
        <f t="array" ref="J245">SUM(IF("155"&amp;C245=KHC&amp;MH,TH))</f>
        <v>1933644</v>
      </c>
      <c r="K245" s="8">
        <f t="shared" si="35"/>
        <v>0</v>
      </c>
      <c r="L245" s="8">
        <f t="shared" si="36"/>
        <v>0</v>
      </c>
      <c r="M245" s="282"/>
    </row>
    <row r="246" spans="1:13" ht="18.75" customHeight="1">
      <c r="A246" s="282" t="str">
        <f t="shared" ref="A246:A309" si="37">IF(B246&lt;&gt;"","TP","")</f>
        <v>TP</v>
      </c>
      <c r="B246" s="295">
        <f t="shared" ref="B246:B309" si="38">IF(C246&lt;&gt;"",B245+1,"")</f>
        <v>212</v>
      </c>
      <c r="C246" s="40" t="s">
        <v>1378</v>
      </c>
      <c r="D246" s="294" t="s">
        <v>1459</v>
      </c>
      <c r="E246" s="8"/>
      <c r="F246" s="8"/>
      <c r="G246" s="25">
        <f t="array" ref="G246">SUM(IF("155"&amp;C246=KHN&amp;MH,SL))</f>
        <v>495</v>
      </c>
      <c r="H246" s="25">
        <f t="array" ref="H246">SUM(IF("155"&amp;C246=KHN&amp;MH,TH))</f>
        <v>4677179</v>
      </c>
      <c r="I246" s="25">
        <f t="array" ref="I246">SUM(IF("155"&amp;C246=KHC&amp;MH,SL))</f>
        <v>495</v>
      </c>
      <c r="J246" s="25">
        <f t="array" ref="J246">SUM(IF("155"&amp;C246=KHC&amp;MH,TH))</f>
        <v>4677179</v>
      </c>
      <c r="K246" s="8">
        <f t="shared" si="35"/>
        <v>0</v>
      </c>
      <c r="L246" s="8">
        <f t="shared" si="36"/>
        <v>0</v>
      </c>
      <c r="M246" s="282"/>
    </row>
    <row r="247" spans="1:13" ht="18.75" customHeight="1">
      <c r="A247" s="282" t="str">
        <f t="shared" si="37"/>
        <v>TP</v>
      </c>
      <c r="B247" s="295">
        <f t="shared" si="38"/>
        <v>213</v>
      </c>
      <c r="C247" s="40" t="s">
        <v>1408</v>
      </c>
      <c r="D247" s="294" t="s">
        <v>1459</v>
      </c>
      <c r="E247" s="8"/>
      <c r="F247" s="8"/>
      <c r="G247" s="25">
        <f t="array" ref="G247">SUM(IF("155"&amp;C247=KHN&amp;MH,SL))</f>
        <v>23</v>
      </c>
      <c r="H247" s="25">
        <f t="array" ref="H247">SUM(IF("155"&amp;C247=KHN&amp;MH,TH))</f>
        <v>234787</v>
      </c>
      <c r="I247" s="25">
        <f t="array" ref="I247">SUM(IF("155"&amp;C247=KHC&amp;MH,SL))</f>
        <v>23</v>
      </c>
      <c r="J247" s="25">
        <f t="array" ref="J247">SUM(IF("155"&amp;C247=KHC&amp;MH,TH))</f>
        <v>234787</v>
      </c>
      <c r="K247" s="8">
        <f t="shared" si="35"/>
        <v>0</v>
      </c>
      <c r="L247" s="8">
        <f t="shared" si="36"/>
        <v>0</v>
      </c>
      <c r="M247" s="282"/>
    </row>
    <row r="248" spans="1:13" ht="18.75" customHeight="1">
      <c r="A248" s="282" t="str">
        <f t="shared" si="37"/>
        <v>TP</v>
      </c>
      <c r="B248" s="295">
        <f t="shared" si="38"/>
        <v>214</v>
      </c>
      <c r="C248" s="286" t="s">
        <v>1057</v>
      </c>
      <c r="D248" s="294" t="s">
        <v>1459</v>
      </c>
      <c r="E248" s="8"/>
      <c r="F248" s="8"/>
      <c r="G248" s="25">
        <f t="array" ref="G248">SUM(IF("155"&amp;C248=KHN&amp;MH,SL))</f>
        <v>720</v>
      </c>
      <c r="H248" s="25">
        <f t="array" ref="H248">SUM(IF("155"&amp;C248=KHN&amp;MH,TH))</f>
        <v>8530856</v>
      </c>
      <c r="I248" s="25">
        <f t="array" ref="I248">SUM(IF("155"&amp;C248=KHC&amp;MH,SL))</f>
        <v>720</v>
      </c>
      <c r="J248" s="25">
        <f t="array" ref="J248">SUM(IF("155"&amp;C248=KHC&amp;MH,TH))</f>
        <v>8530856</v>
      </c>
      <c r="K248" s="8">
        <f t="shared" si="35"/>
        <v>0</v>
      </c>
      <c r="L248" s="8">
        <f t="shared" si="36"/>
        <v>0</v>
      </c>
      <c r="M248" s="282"/>
    </row>
    <row r="249" spans="1:13" ht="18.75" customHeight="1">
      <c r="A249" s="282" t="str">
        <f t="shared" si="37"/>
        <v>TP</v>
      </c>
      <c r="B249" s="295">
        <f t="shared" si="38"/>
        <v>215</v>
      </c>
      <c r="C249" s="40" t="s">
        <v>1351</v>
      </c>
      <c r="D249" s="294" t="s">
        <v>1459</v>
      </c>
      <c r="E249" s="8"/>
      <c r="F249" s="8"/>
      <c r="G249" s="25">
        <f t="array" ref="G249">SUM(IF("155"&amp;C249=KHN&amp;MH,SL))</f>
        <v>25</v>
      </c>
      <c r="H249" s="25">
        <f t="array" ref="H249">SUM(IF("155"&amp;C249=KHN&amp;MH,TH))</f>
        <v>202475</v>
      </c>
      <c r="I249" s="25">
        <f t="array" ref="I249">SUM(IF("155"&amp;C249=KHC&amp;MH,SL))</f>
        <v>25</v>
      </c>
      <c r="J249" s="25">
        <f t="array" ref="J249">SUM(IF("155"&amp;C249=KHC&amp;MH,TH))</f>
        <v>202475</v>
      </c>
      <c r="K249" s="8">
        <f t="shared" si="35"/>
        <v>0</v>
      </c>
      <c r="L249" s="8">
        <f t="shared" si="36"/>
        <v>0</v>
      </c>
      <c r="M249" s="282"/>
    </row>
    <row r="250" spans="1:13" ht="18.75" customHeight="1">
      <c r="A250" s="282" t="str">
        <f t="shared" si="37"/>
        <v>TP</v>
      </c>
      <c r="B250" s="295">
        <f t="shared" si="38"/>
        <v>216</v>
      </c>
      <c r="C250" s="190" t="s">
        <v>940</v>
      </c>
      <c r="D250" s="294" t="s">
        <v>1459</v>
      </c>
      <c r="E250" s="8"/>
      <c r="F250" s="8"/>
      <c r="G250" s="25">
        <f t="array" ref="G250">SUM(IF("155"&amp;C250=KHN&amp;MH,SL))</f>
        <v>5596</v>
      </c>
      <c r="H250" s="25">
        <f t="array" ref="H250">SUM(IF("155"&amp;C250=KHN&amp;MH,TH))</f>
        <v>49530566</v>
      </c>
      <c r="I250" s="25">
        <f t="array" ref="I250">SUM(IF("155"&amp;C250=KHC&amp;MH,SL))</f>
        <v>5596</v>
      </c>
      <c r="J250" s="25">
        <f t="array" ref="J250">SUM(IF("155"&amp;C250=KHC&amp;MH,TH))</f>
        <v>49530566</v>
      </c>
      <c r="K250" s="8">
        <f t="shared" si="35"/>
        <v>0</v>
      </c>
      <c r="L250" s="8">
        <f t="shared" si="36"/>
        <v>0</v>
      </c>
      <c r="M250" s="282"/>
    </row>
    <row r="251" spans="1:13" ht="18.75" customHeight="1">
      <c r="A251" s="282" t="str">
        <f t="shared" si="37"/>
        <v>TP</v>
      </c>
      <c r="B251" s="295">
        <f t="shared" si="38"/>
        <v>217</v>
      </c>
      <c r="C251" s="190" t="s">
        <v>480</v>
      </c>
      <c r="D251" s="294" t="s">
        <v>1459</v>
      </c>
      <c r="E251" s="8"/>
      <c r="F251" s="8"/>
      <c r="G251" s="25">
        <f t="array" ref="G251">SUM(IF("155"&amp;C251=KHN&amp;MH,SL))</f>
        <v>9743</v>
      </c>
      <c r="H251" s="25">
        <f t="array" ref="H251">SUM(IF("155"&amp;C251=KHN&amp;MH,TH))</f>
        <v>104340642</v>
      </c>
      <c r="I251" s="25">
        <f t="array" ref="I251">SUM(IF("155"&amp;C251=KHC&amp;MH,SL))</f>
        <v>9743</v>
      </c>
      <c r="J251" s="25">
        <f t="array" ref="J251">SUM(IF("155"&amp;C251=KHC&amp;MH,TH))</f>
        <v>104340642</v>
      </c>
      <c r="K251" s="8">
        <f t="shared" si="35"/>
        <v>0</v>
      </c>
      <c r="L251" s="8">
        <f t="shared" si="36"/>
        <v>0</v>
      </c>
      <c r="M251" s="282"/>
    </row>
    <row r="252" spans="1:13" ht="18.75" customHeight="1">
      <c r="A252" s="282" t="str">
        <f t="shared" si="37"/>
        <v>TP</v>
      </c>
      <c r="B252" s="295">
        <f t="shared" si="38"/>
        <v>218</v>
      </c>
      <c r="C252" s="40" t="s">
        <v>474</v>
      </c>
      <c r="D252" s="294" t="s">
        <v>1459</v>
      </c>
      <c r="E252" s="8"/>
      <c r="F252" s="8"/>
      <c r="G252" s="25">
        <f t="array" ref="G252">SUM(IF("155"&amp;C252=KHN&amp;MH,SL))</f>
        <v>2016</v>
      </c>
      <c r="H252" s="25">
        <f t="array" ref="H252">SUM(IF("155"&amp;C252=KHN&amp;MH,TH))</f>
        <v>24800086</v>
      </c>
      <c r="I252" s="25">
        <f t="array" ref="I252">SUM(IF("155"&amp;C252=KHC&amp;MH,SL))</f>
        <v>2016</v>
      </c>
      <c r="J252" s="25">
        <f t="array" ref="J252">SUM(IF("155"&amp;C252=KHC&amp;MH,TH))</f>
        <v>24800086</v>
      </c>
      <c r="K252" s="8">
        <f t="shared" si="35"/>
        <v>0</v>
      </c>
      <c r="L252" s="8">
        <f t="shared" si="36"/>
        <v>0</v>
      </c>
      <c r="M252" s="282"/>
    </row>
    <row r="253" spans="1:13" ht="18.75" customHeight="1">
      <c r="A253" s="282" t="str">
        <f t="shared" si="37"/>
        <v>TP</v>
      </c>
      <c r="B253" s="295">
        <f t="shared" si="38"/>
        <v>219</v>
      </c>
      <c r="C253" s="190" t="s">
        <v>408</v>
      </c>
      <c r="D253" s="294" t="s">
        <v>1459</v>
      </c>
      <c r="E253" s="8"/>
      <c r="F253" s="8"/>
      <c r="G253" s="25">
        <f t="array" ref="G253">SUM(IF("155"&amp;C253=KHN&amp;MH,SL))</f>
        <v>294</v>
      </c>
      <c r="H253" s="25">
        <f t="array" ref="H253">SUM(IF("155"&amp;C253=KHN&amp;MH,TH))</f>
        <v>3242063</v>
      </c>
      <c r="I253" s="25">
        <f t="array" ref="I253">SUM(IF("155"&amp;C253=KHC&amp;MH,SL))</f>
        <v>294</v>
      </c>
      <c r="J253" s="25">
        <f t="array" ref="J253">SUM(IF("155"&amp;C253=KHC&amp;MH,TH))</f>
        <v>3242063</v>
      </c>
      <c r="K253" s="8">
        <f t="shared" si="35"/>
        <v>0</v>
      </c>
      <c r="L253" s="8">
        <f t="shared" si="36"/>
        <v>0</v>
      </c>
      <c r="M253" s="282"/>
    </row>
    <row r="254" spans="1:13" ht="18.75" customHeight="1">
      <c r="A254" s="282" t="str">
        <f t="shared" si="37"/>
        <v>TP</v>
      </c>
      <c r="B254" s="295">
        <f t="shared" si="38"/>
        <v>220</v>
      </c>
      <c r="C254" s="190" t="s">
        <v>1047</v>
      </c>
      <c r="D254" s="294" t="s">
        <v>1459</v>
      </c>
      <c r="E254" s="8"/>
      <c r="F254" s="8"/>
      <c r="G254" s="25">
        <f t="array" ref="G254">SUM(IF("155"&amp;C254=KHN&amp;MH,SL))</f>
        <v>90</v>
      </c>
      <c r="H254" s="25">
        <f t="array" ref="H254">SUM(IF("155"&amp;C254=KHN&amp;MH,TH))</f>
        <v>1066357</v>
      </c>
      <c r="I254" s="25">
        <f t="array" ref="I254">SUM(IF("155"&amp;C254=KHC&amp;MH,SL))</f>
        <v>90</v>
      </c>
      <c r="J254" s="25">
        <f t="array" ref="J254">SUM(IF("155"&amp;C254=KHC&amp;MH,TH))</f>
        <v>1066357</v>
      </c>
      <c r="K254" s="8">
        <f t="shared" si="35"/>
        <v>0</v>
      </c>
      <c r="L254" s="8">
        <f t="shared" si="36"/>
        <v>0</v>
      </c>
      <c r="M254" s="282"/>
    </row>
    <row r="255" spans="1:13" ht="18.75" customHeight="1">
      <c r="A255" s="282" t="str">
        <f t="shared" si="37"/>
        <v>TP</v>
      </c>
      <c r="B255" s="295">
        <f t="shared" si="38"/>
        <v>221</v>
      </c>
      <c r="C255" s="187" t="s">
        <v>1006</v>
      </c>
      <c r="D255" s="294" t="s">
        <v>1459</v>
      </c>
      <c r="E255" s="8"/>
      <c r="F255" s="8"/>
      <c r="G255" s="25">
        <f t="array" ref="G255">SUM(IF("155"&amp;C255=KHN&amp;MH,SL))</f>
        <v>20</v>
      </c>
      <c r="H255" s="25">
        <f t="array" ref="H255">SUM(IF("155"&amp;C255=KHN&amp;MH,TH))</f>
        <v>276179</v>
      </c>
      <c r="I255" s="25">
        <f t="array" ref="I255">SUM(IF("155"&amp;C255=KHC&amp;MH,SL))</f>
        <v>20</v>
      </c>
      <c r="J255" s="25">
        <f t="array" ref="J255">SUM(IF("155"&amp;C255=KHC&amp;MH,TH))</f>
        <v>276179</v>
      </c>
      <c r="K255" s="8">
        <f t="shared" si="35"/>
        <v>0</v>
      </c>
      <c r="L255" s="8">
        <f t="shared" si="36"/>
        <v>0</v>
      </c>
      <c r="M255" s="282"/>
    </row>
    <row r="256" spans="1:13" ht="18.75" customHeight="1">
      <c r="A256" s="282" t="str">
        <f t="shared" si="37"/>
        <v>TP</v>
      </c>
      <c r="B256" s="295">
        <f t="shared" si="38"/>
        <v>222</v>
      </c>
      <c r="C256" s="187" t="s">
        <v>630</v>
      </c>
      <c r="D256" s="294" t="s">
        <v>1459</v>
      </c>
      <c r="E256" s="8"/>
      <c r="F256" s="8"/>
      <c r="G256" s="25">
        <f t="array" ref="G256">SUM(IF("155"&amp;C256=KHN&amp;MH,SL))</f>
        <v>735</v>
      </c>
      <c r="H256" s="25">
        <f t="array" ref="H256">SUM(IF("155"&amp;C256=KHN&amp;MH,TH))</f>
        <v>4448269</v>
      </c>
      <c r="I256" s="25">
        <f t="array" ref="I256">SUM(IF("155"&amp;C256=KHC&amp;MH,SL))</f>
        <v>735</v>
      </c>
      <c r="J256" s="25">
        <f t="array" ref="J256">SUM(IF("155"&amp;C256=KHC&amp;MH,TH))</f>
        <v>4448269</v>
      </c>
      <c r="K256" s="8">
        <f t="shared" si="35"/>
        <v>0</v>
      </c>
      <c r="L256" s="8">
        <f t="shared" si="36"/>
        <v>0</v>
      </c>
      <c r="M256" s="282"/>
    </row>
    <row r="257" spans="1:13" ht="18.75" customHeight="1">
      <c r="A257" s="282" t="str">
        <f t="shared" si="37"/>
        <v>TP</v>
      </c>
      <c r="B257" s="295">
        <f t="shared" si="38"/>
        <v>223</v>
      </c>
      <c r="C257" s="190" t="s">
        <v>963</v>
      </c>
      <c r="D257" s="294" t="s">
        <v>1459</v>
      </c>
      <c r="E257" s="8"/>
      <c r="F257" s="8"/>
      <c r="G257" s="25">
        <f t="array" ref="G257">SUM(IF("155"&amp;C257=KHN&amp;MH,SL))</f>
        <v>3750</v>
      </c>
      <c r="H257" s="25">
        <f t="array" ref="H257">SUM(IF("155"&amp;C257=KHN&amp;MH,TH))</f>
        <v>25341689</v>
      </c>
      <c r="I257" s="25">
        <f t="array" ref="I257">SUM(IF("155"&amp;C257=KHC&amp;MH,SL))</f>
        <v>3750</v>
      </c>
      <c r="J257" s="25">
        <f t="array" ref="J257">SUM(IF("155"&amp;C257=KHC&amp;MH,TH))</f>
        <v>25341689</v>
      </c>
      <c r="K257" s="8">
        <f t="shared" si="35"/>
        <v>0</v>
      </c>
      <c r="L257" s="8">
        <f t="shared" si="36"/>
        <v>0</v>
      </c>
      <c r="M257" s="282"/>
    </row>
    <row r="258" spans="1:13" ht="18.75" customHeight="1">
      <c r="A258" s="282" t="str">
        <f t="shared" si="37"/>
        <v>TP</v>
      </c>
      <c r="B258" s="295">
        <f t="shared" si="38"/>
        <v>224</v>
      </c>
      <c r="C258" s="190" t="s">
        <v>919</v>
      </c>
      <c r="D258" s="294" t="s">
        <v>1459</v>
      </c>
      <c r="E258" s="8"/>
      <c r="F258" s="8"/>
      <c r="G258" s="25">
        <f t="array" ref="G258">SUM(IF("155"&amp;C258=KHN&amp;MH,SL))</f>
        <v>55</v>
      </c>
      <c r="H258" s="25">
        <f t="array" ref="H258">SUM(IF("155"&amp;C258=KHN&amp;MH,TH))</f>
        <v>578166</v>
      </c>
      <c r="I258" s="25">
        <f t="array" ref="I258">SUM(IF("155"&amp;C258=KHC&amp;MH,SL))</f>
        <v>55</v>
      </c>
      <c r="J258" s="25">
        <f t="array" ref="J258">SUM(IF("155"&amp;C258=KHC&amp;MH,TH))</f>
        <v>578166</v>
      </c>
      <c r="K258" s="8">
        <f t="shared" si="35"/>
        <v>0</v>
      </c>
      <c r="L258" s="8">
        <f t="shared" si="36"/>
        <v>0</v>
      </c>
      <c r="M258" s="282"/>
    </row>
    <row r="259" spans="1:13" ht="18.75" customHeight="1">
      <c r="A259" s="282" t="str">
        <f t="shared" si="37"/>
        <v>TP</v>
      </c>
      <c r="B259" s="295">
        <f t="shared" si="38"/>
        <v>225</v>
      </c>
      <c r="C259" s="40" t="s">
        <v>1383</v>
      </c>
      <c r="D259" s="294" t="s">
        <v>1459</v>
      </c>
      <c r="E259" s="8"/>
      <c r="F259" s="8"/>
      <c r="G259" s="25">
        <f t="array" ref="G259">SUM(IF("155"&amp;C259=KHN&amp;MH,SL))</f>
        <v>35</v>
      </c>
      <c r="H259" s="25">
        <f t="array" ref="H259">SUM(IF("155"&amp;C259=KHN&amp;MH,TH))</f>
        <v>369096</v>
      </c>
      <c r="I259" s="25">
        <f t="array" ref="I259">SUM(IF("155"&amp;C259=KHC&amp;MH,SL))</f>
        <v>35</v>
      </c>
      <c r="J259" s="25">
        <f t="array" ref="J259">SUM(IF("155"&amp;C259=KHC&amp;MH,TH))</f>
        <v>369096</v>
      </c>
      <c r="K259" s="8">
        <f t="shared" si="35"/>
        <v>0</v>
      </c>
      <c r="L259" s="8">
        <f t="shared" si="36"/>
        <v>0</v>
      </c>
      <c r="M259" s="282"/>
    </row>
    <row r="260" spans="1:13" ht="18.75" customHeight="1">
      <c r="A260" s="282" t="str">
        <f t="shared" si="37"/>
        <v>TP</v>
      </c>
      <c r="B260" s="295">
        <f t="shared" si="38"/>
        <v>226</v>
      </c>
      <c r="C260" s="40" t="s">
        <v>625</v>
      </c>
      <c r="D260" s="294" t="s">
        <v>1459</v>
      </c>
      <c r="E260" s="8"/>
      <c r="F260" s="8"/>
      <c r="G260" s="25">
        <f t="array" ref="G260">SUM(IF("155"&amp;C260=KHN&amp;MH,SL))</f>
        <v>215</v>
      </c>
      <c r="H260" s="25">
        <f t="array" ref="H260">SUM(IF("155"&amp;C260=KHN&amp;MH,TH))</f>
        <v>2357993</v>
      </c>
      <c r="I260" s="25">
        <f t="array" ref="I260">SUM(IF("155"&amp;C260=KHC&amp;MH,SL))</f>
        <v>215</v>
      </c>
      <c r="J260" s="25">
        <f t="array" ref="J260">SUM(IF("155"&amp;C260=KHC&amp;MH,TH))</f>
        <v>2357993</v>
      </c>
      <c r="K260" s="8">
        <f t="shared" si="35"/>
        <v>0</v>
      </c>
      <c r="L260" s="8">
        <f t="shared" si="36"/>
        <v>0</v>
      </c>
      <c r="M260" s="282"/>
    </row>
    <row r="261" spans="1:13" ht="18.75" customHeight="1">
      <c r="A261" s="282" t="str">
        <f t="shared" si="37"/>
        <v>TP</v>
      </c>
      <c r="B261" s="295">
        <f t="shared" si="38"/>
        <v>227</v>
      </c>
      <c r="C261" s="190" t="s">
        <v>916</v>
      </c>
      <c r="D261" s="294" t="s">
        <v>1459</v>
      </c>
      <c r="E261" s="8"/>
      <c r="F261" s="8"/>
      <c r="G261" s="25">
        <f t="array" ref="G261">SUM(IF("155"&amp;C261=KHN&amp;MH,SL))</f>
        <v>326</v>
      </c>
      <c r="H261" s="25">
        <f t="array" ref="H261">SUM(IF("155"&amp;C261=KHN&amp;MH,TH))</f>
        <v>3448403</v>
      </c>
      <c r="I261" s="25">
        <f t="array" ref="I261">SUM(IF("155"&amp;C261=KHC&amp;MH,SL))</f>
        <v>326</v>
      </c>
      <c r="J261" s="25">
        <f t="array" ref="J261">SUM(IF("155"&amp;C261=KHC&amp;MH,TH))</f>
        <v>3448403</v>
      </c>
      <c r="K261" s="8">
        <f t="shared" si="35"/>
        <v>0</v>
      </c>
      <c r="L261" s="8">
        <f t="shared" si="36"/>
        <v>0</v>
      </c>
      <c r="M261" s="282"/>
    </row>
    <row r="262" spans="1:13" ht="18.75" customHeight="1">
      <c r="A262" s="282" t="str">
        <f t="shared" si="37"/>
        <v>TP</v>
      </c>
      <c r="B262" s="295">
        <f t="shared" si="38"/>
        <v>228</v>
      </c>
      <c r="C262" s="190" t="s">
        <v>900</v>
      </c>
      <c r="D262" s="294" t="s">
        <v>1459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571492</v>
      </c>
      <c r="I262" s="25">
        <f t="array" ref="I262">SUM(IF("155"&amp;C262=KHC&amp;MH,SL))</f>
        <v>50</v>
      </c>
      <c r="J262" s="25">
        <f t="array" ref="J262">SUM(IF("155"&amp;C262=KHC&amp;MH,TH))</f>
        <v>571492</v>
      </c>
      <c r="K262" s="8">
        <f t="shared" si="35"/>
        <v>0</v>
      </c>
      <c r="L262" s="8">
        <f t="shared" si="36"/>
        <v>0</v>
      </c>
      <c r="M262" s="282"/>
    </row>
    <row r="263" spans="1:13" ht="18.75" customHeight="1">
      <c r="A263" s="282" t="str">
        <f t="shared" si="37"/>
        <v>TP</v>
      </c>
      <c r="B263" s="295">
        <f t="shared" si="38"/>
        <v>229</v>
      </c>
      <c r="C263" s="190" t="s">
        <v>933</v>
      </c>
      <c r="D263" s="294" t="s">
        <v>1459</v>
      </c>
      <c r="E263" s="8"/>
      <c r="F263" s="8"/>
      <c r="G263" s="25">
        <f t="array" ref="G263">SUM(IF("155"&amp;C263=KHN&amp;MH,SL))</f>
        <v>743</v>
      </c>
      <c r="H263" s="25">
        <f t="array" ref="H263">SUM(IF("155"&amp;C263=KHN&amp;MH,TH))</f>
        <v>8868756</v>
      </c>
      <c r="I263" s="25">
        <f t="array" ref="I263">SUM(IF("155"&amp;C263=KHC&amp;MH,SL))</f>
        <v>743</v>
      </c>
      <c r="J263" s="25">
        <f t="array" ref="J263">SUM(IF("155"&amp;C263=KHC&amp;MH,TH))</f>
        <v>8868756</v>
      </c>
      <c r="K263" s="8">
        <f t="shared" si="35"/>
        <v>0</v>
      </c>
      <c r="L263" s="8">
        <f t="shared" si="36"/>
        <v>0</v>
      </c>
      <c r="M263" s="282"/>
    </row>
    <row r="264" spans="1:13" ht="18.75" customHeight="1">
      <c r="A264" s="282" t="str">
        <f t="shared" si="37"/>
        <v>TP</v>
      </c>
      <c r="B264" s="295">
        <f t="shared" si="38"/>
        <v>230</v>
      </c>
      <c r="C264" s="190" t="s">
        <v>415</v>
      </c>
      <c r="D264" s="294" t="s">
        <v>1459</v>
      </c>
      <c r="E264" s="8"/>
      <c r="F264" s="8"/>
      <c r="G264" s="25">
        <f t="array" ref="G264">SUM(IF("155"&amp;C264=KHN&amp;MH,SL))</f>
        <v>1015</v>
      </c>
      <c r="H264" s="25">
        <f t="array" ref="H264">SUM(IF("155"&amp;C264=KHN&amp;MH,TH))</f>
        <v>11374692</v>
      </c>
      <c r="I264" s="25">
        <f t="array" ref="I264">SUM(IF("155"&amp;C264=KHC&amp;MH,SL))</f>
        <v>1015</v>
      </c>
      <c r="J264" s="25">
        <f t="array" ref="J264">SUM(IF("155"&amp;C264=KHC&amp;MH,TH))</f>
        <v>11374692</v>
      </c>
      <c r="K264" s="8">
        <f t="shared" si="35"/>
        <v>0</v>
      </c>
      <c r="L264" s="8">
        <f t="shared" si="36"/>
        <v>0</v>
      </c>
      <c r="M264" s="282"/>
    </row>
    <row r="265" spans="1:13" ht="18.75" customHeight="1">
      <c r="A265" s="282" t="str">
        <f t="shared" si="37"/>
        <v>TP</v>
      </c>
      <c r="B265" s="295">
        <f t="shared" si="38"/>
        <v>231</v>
      </c>
      <c r="C265" s="40" t="s">
        <v>1379</v>
      </c>
      <c r="D265" s="294" t="s">
        <v>1459</v>
      </c>
      <c r="E265" s="8"/>
      <c r="F265" s="8"/>
      <c r="G265" s="25">
        <f t="array" ref="G265">SUM(IF("155"&amp;C265=KHN&amp;MH,SL))</f>
        <v>20</v>
      </c>
      <c r="H265" s="25">
        <f t="array" ref="H265">SUM(IF("155"&amp;C265=KHN&amp;MH,TH))</f>
        <v>163668</v>
      </c>
      <c r="I265" s="25">
        <f t="array" ref="I265">SUM(IF("155"&amp;C265=KHC&amp;MH,SL))</f>
        <v>20</v>
      </c>
      <c r="J265" s="25">
        <f t="array" ref="J265">SUM(IF("155"&amp;C265=KHC&amp;MH,TH))</f>
        <v>163668</v>
      </c>
      <c r="K265" s="8">
        <f t="shared" si="35"/>
        <v>0</v>
      </c>
      <c r="L265" s="8">
        <f t="shared" si="36"/>
        <v>0</v>
      </c>
      <c r="M265" s="282"/>
    </row>
    <row r="266" spans="1:13" ht="18.75" customHeight="1">
      <c r="A266" s="282" t="str">
        <f t="shared" si="37"/>
        <v>TP</v>
      </c>
      <c r="B266" s="295">
        <f t="shared" si="38"/>
        <v>232</v>
      </c>
      <c r="C266" s="40" t="s">
        <v>1334</v>
      </c>
      <c r="D266" s="294" t="s">
        <v>1459</v>
      </c>
      <c r="E266" s="8"/>
      <c r="F266" s="8"/>
      <c r="G266" s="25">
        <f t="array" ref="G266">SUM(IF("155"&amp;C266=KHN&amp;MH,SL))</f>
        <v>296</v>
      </c>
      <c r="H266" s="25">
        <f t="array" ref="H266">SUM(IF("155"&amp;C266=KHN&amp;MH,TH))</f>
        <v>3346242</v>
      </c>
      <c r="I266" s="25">
        <f t="array" ref="I266">SUM(IF("155"&amp;C266=KHC&amp;MH,SL))</f>
        <v>296</v>
      </c>
      <c r="J266" s="25">
        <f t="array" ref="J266">SUM(IF("155"&amp;C266=KHC&amp;MH,TH))</f>
        <v>3346242</v>
      </c>
      <c r="K266" s="8">
        <f t="shared" si="35"/>
        <v>0</v>
      </c>
      <c r="L266" s="8">
        <f t="shared" si="36"/>
        <v>0</v>
      </c>
      <c r="M266" s="282"/>
    </row>
    <row r="267" spans="1:13" ht="18.75" customHeight="1">
      <c r="A267" s="282" t="str">
        <f t="shared" si="37"/>
        <v>TP</v>
      </c>
      <c r="B267" s="295">
        <f t="shared" si="38"/>
        <v>233</v>
      </c>
      <c r="C267" s="190" t="s">
        <v>400</v>
      </c>
      <c r="D267" s="294" t="s">
        <v>1459</v>
      </c>
      <c r="E267" s="8"/>
      <c r="F267" s="8"/>
      <c r="G267" s="25">
        <f t="array" ref="G267">SUM(IF("155"&amp;C267=KHN&amp;MH,SL))</f>
        <v>1637</v>
      </c>
      <c r="H267" s="25">
        <f t="array" ref="H267">SUM(IF("155"&amp;C267=KHN&amp;MH,TH))</f>
        <v>13162236</v>
      </c>
      <c r="I267" s="25">
        <f t="array" ref="I267">SUM(IF("155"&amp;C267=KHC&amp;MH,SL))</f>
        <v>1637</v>
      </c>
      <c r="J267" s="25">
        <f t="array" ref="J267">SUM(IF("155"&amp;C267=KHC&amp;MH,TH))</f>
        <v>13162236</v>
      </c>
      <c r="K267" s="8">
        <f t="shared" si="35"/>
        <v>0</v>
      </c>
      <c r="L267" s="8">
        <f t="shared" si="36"/>
        <v>0</v>
      </c>
      <c r="M267" s="282"/>
    </row>
    <row r="268" spans="1:13" ht="18.75" customHeight="1">
      <c r="A268" s="282" t="str">
        <f t="shared" si="37"/>
        <v>TP</v>
      </c>
      <c r="B268" s="295">
        <f t="shared" si="38"/>
        <v>234</v>
      </c>
      <c r="C268" s="40" t="s">
        <v>1388</v>
      </c>
      <c r="D268" s="294" t="s">
        <v>1459</v>
      </c>
      <c r="E268" s="8"/>
      <c r="F268" s="8"/>
      <c r="G268" s="25">
        <f t="array" ref="G268">SUM(IF("155"&amp;C268=KHN&amp;MH,SL))</f>
        <v>828</v>
      </c>
      <c r="H268" s="25">
        <f t="array" ref="H268">SUM(IF("155"&amp;C268=KHN&amp;MH,TH))</f>
        <v>6705982</v>
      </c>
      <c r="I268" s="25">
        <f t="array" ref="I268">SUM(IF("155"&amp;C268=KHC&amp;MH,SL))</f>
        <v>828</v>
      </c>
      <c r="J268" s="25">
        <f t="array" ref="J268">SUM(IF("155"&amp;C268=KHC&amp;MH,TH))</f>
        <v>6705982</v>
      </c>
      <c r="K268" s="8">
        <f t="shared" si="35"/>
        <v>0</v>
      </c>
      <c r="L268" s="8">
        <f t="shared" si="36"/>
        <v>0</v>
      </c>
      <c r="M268" s="282"/>
    </row>
    <row r="269" spans="1:13" ht="18.75" customHeight="1">
      <c r="A269" s="282" t="str">
        <f t="shared" si="37"/>
        <v>TP</v>
      </c>
      <c r="B269" s="295">
        <f t="shared" si="38"/>
        <v>235</v>
      </c>
      <c r="C269" s="40" t="s">
        <v>1499</v>
      </c>
      <c r="D269" s="294" t="s">
        <v>1459</v>
      </c>
      <c r="E269" s="8"/>
      <c r="F269" s="8"/>
      <c r="G269" s="25">
        <f t="array" ref="G269">SUM(IF("155"&amp;C269=KHN&amp;MH,SL))</f>
        <v>397</v>
      </c>
      <c r="H269" s="25">
        <f t="array" ref="H269">SUM(IF("155"&amp;C269=KHN&amp;MH,TH))</f>
        <v>3248800</v>
      </c>
      <c r="I269" s="25">
        <f t="array" ref="I269">SUM(IF("155"&amp;C269=KHC&amp;MH,SL))</f>
        <v>397</v>
      </c>
      <c r="J269" s="25">
        <f t="array" ref="J269">SUM(IF("155"&amp;C269=KHC&amp;MH,TH))</f>
        <v>3248800</v>
      </c>
      <c r="K269" s="8">
        <f t="shared" si="35"/>
        <v>0</v>
      </c>
      <c r="L269" s="8">
        <f t="shared" si="36"/>
        <v>0</v>
      </c>
      <c r="M269" s="282"/>
    </row>
    <row r="270" spans="1:13" ht="18.75" customHeight="1">
      <c r="A270" s="282" t="str">
        <f t="shared" si="37"/>
        <v>TP</v>
      </c>
      <c r="B270" s="295">
        <f t="shared" si="38"/>
        <v>236</v>
      </c>
      <c r="C270" s="187" t="s">
        <v>1036</v>
      </c>
      <c r="D270" s="294" t="s">
        <v>1459</v>
      </c>
      <c r="E270" s="8"/>
      <c r="F270" s="8"/>
      <c r="G270" s="25">
        <f t="array" ref="G270">SUM(IF("155"&amp;C270=KHN&amp;MH,SL))</f>
        <v>24</v>
      </c>
      <c r="H270" s="25">
        <f t="array" ref="H270">SUM(IF("155"&amp;C270=KHN&amp;MH,TH))</f>
        <v>317094</v>
      </c>
      <c r="I270" s="25">
        <f t="array" ref="I270">SUM(IF("155"&amp;C270=KHC&amp;MH,SL))</f>
        <v>24</v>
      </c>
      <c r="J270" s="25">
        <f t="array" ref="J270">SUM(IF("155"&amp;C270=KHC&amp;MH,TH))</f>
        <v>317094</v>
      </c>
      <c r="K270" s="8">
        <f t="shared" si="35"/>
        <v>0</v>
      </c>
      <c r="L270" s="8">
        <f t="shared" si="36"/>
        <v>0</v>
      </c>
      <c r="M270" s="282"/>
    </row>
    <row r="271" spans="1:13" ht="18.75" customHeight="1">
      <c r="A271" s="282" t="str">
        <f t="shared" si="37"/>
        <v>TP</v>
      </c>
      <c r="B271" s="295">
        <f t="shared" si="38"/>
        <v>237</v>
      </c>
      <c r="C271" s="187" t="s">
        <v>1038</v>
      </c>
      <c r="D271" s="294" t="s">
        <v>1459</v>
      </c>
      <c r="E271" s="8"/>
      <c r="F271" s="8"/>
      <c r="G271" s="25">
        <f t="array" ref="G271">SUM(IF("155"&amp;C271=KHN&amp;MH,SL))</f>
        <v>26</v>
      </c>
      <c r="H271" s="25">
        <f t="array" ref="H271">SUM(IF("155"&amp;C271=KHN&amp;MH,TH))</f>
        <v>387844</v>
      </c>
      <c r="I271" s="25">
        <f t="array" ref="I271">SUM(IF("155"&amp;C271=KHC&amp;MH,SL))</f>
        <v>26</v>
      </c>
      <c r="J271" s="25">
        <f t="array" ref="J271">SUM(IF("155"&amp;C271=KHC&amp;MH,TH))</f>
        <v>387844</v>
      </c>
      <c r="K271" s="8">
        <f t="shared" si="35"/>
        <v>0</v>
      </c>
      <c r="L271" s="8">
        <f t="shared" si="36"/>
        <v>0</v>
      </c>
      <c r="M271" s="282"/>
    </row>
    <row r="272" spans="1:13" ht="18.75" customHeight="1">
      <c r="A272" s="282" t="str">
        <f t="shared" si="37"/>
        <v>TP</v>
      </c>
      <c r="B272" s="295">
        <f t="shared" si="38"/>
        <v>238</v>
      </c>
      <c r="C272" s="190" t="s">
        <v>941</v>
      </c>
      <c r="D272" s="294" t="s">
        <v>1459</v>
      </c>
      <c r="E272" s="8"/>
      <c r="F272" s="8"/>
      <c r="G272" s="25">
        <f t="array" ref="G272">SUM(IF("155"&amp;C272=KHN&amp;MH,SL))</f>
        <v>78</v>
      </c>
      <c r="H272" s="25">
        <f t="array" ref="H272">SUM(IF("155"&amp;C272=KHN&amp;MH,TH))</f>
        <v>585675</v>
      </c>
      <c r="I272" s="25">
        <f t="array" ref="I272">SUM(IF("155"&amp;C272=KHC&amp;MH,SL))</f>
        <v>78</v>
      </c>
      <c r="J272" s="25">
        <f t="array" ref="J272">SUM(IF("155"&amp;C272=KHC&amp;MH,TH))</f>
        <v>585675</v>
      </c>
      <c r="K272" s="8">
        <f t="shared" si="35"/>
        <v>0</v>
      </c>
      <c r="L272" s="8">
        <f t="shared" si="36"/>
        <v>0</v>
      </c>
      <c r="M272" s="282"/>
    </row>
    <row r="273" spans="1:13" ht="18.75" customHeight="1">
      <c r="A273" s="282" t="str">
        <f t="shared" si="37"/>
        <v>TP</v>
      </c>
      <c r="B273" s="295">
        <f t="shared" si="38"/>
        <v>239</v>
      </c>
      <c r="C273" s="187" t="s">
        <v>971</v>
      </c>
      <c r="D273" s="294" t="s">
        <v>1459</v>
      </c>
      <c r="E273" s="8"/>
      <c r="F273" s="8"/>
      <c r="G273" s="25">
        <f t="array" ref="G273">SUM(IF("155"&amp;C273=KHN&amp;MH,SL))</f>
        <v>100</v>
      </c>
      <c r="H273" s="25">
        <f t="array" ref="H273">SUM(IF("155"&amp;C273=KHN&amp;MH,TH))</f>
        <v>1048457</v>
      </c>
      <c r="I273" s="25">
        <f t="array" ref="I273">SUM(IF("155"&amp;C273=KHC&amp;MH,SL))</f>
        <v>100</v>
      </c>
      <c r="J273" s="25">
        <f t="array" ref="J273">SUM(IF("155"&amp;C273=KHC&amp;MH,TH))</f>
        <v>1048457</v>
      </c>
      <c r="K273" s="8">
        <f t="shared" si="35"/>
        <v>0</v>
      </c>
      <c r="L273" s="8">
        <f t="shared" si="36"/>
        <v>0</v>
      </c>
      <c r="M273" s="282"/>
    </row>
    <row r="274" spans="1:13" ht="18.75" customHeight="1">
      <c r="A274" s="282" t="str">
        <f t="shared" si="37"/>
        <v>TP</v>
      </c>
      <c r="B274" s="295">
        <f t="shared" si="38"/>
        <v>240</v>
      </c>
      <c r="C274" s="190" t="s">
        <v>594</v>
      </c>
      <c r="D274" s="294" t="s">
        <v>1459</v>
      </c>
      <c r="E274" s="8"/>
      <c r="F274" s="8"/>
      <c r="G274" s="25">
        <f t="array" ref="G274">SUM(IF("155"&amp;C274=KHN&amp;MH,SL))</f>
        <v>932</v>
      </c>
      <c r="H274" s="25">
        <f t="array" ref="H274">SUM(IF("155"&amp;C274=KHN&amp;MH,TH))</f>
        <v>8134228</v>
      </c>
      <c r="I274" s="25">
        <f t="array" ref="I274">SUM(IF("155"&amp;C274=KHC&amp;MH,SL))</f>
        <v>932</v>
      </c>
      <c r="J274" s="25">
        <f t="array" ref="J274">SUM(IF("155"&amp;C274=KHC&amp;MH,TH))</f>
        <v>8134228</v>
      </c>
      <c r="K274" s="8">
        <f t="shared" si="35"/>
        <v>0</v>
      </c>
      <c r="L274" s="8">
        <f t="shared" si="36"/>
        <v>0</v>
      </c>
      <c r="M274" s="282"/>
    </row>
    <row r="275" spans="1:13" ht="18.75" customHeight="1">
      <c r="A275" s="282" t="str">
        <f t="shared" si="37"/>
        <v>TP</v>
      </c>
      <c r="B275" s="295">
        <f t="shared" si="38"/>
        <v>241</v>
      </c>
      <c r="C275" s="40" t="s">
        <v>1473</v>
      </c>
      <c r="D275" s="294" t="s">
        <v>1459</v>
      </c>
      <c r="E275" s="8"/>
      <c r="F275" s="8"/>
      <c r="G275" s="25">
        <f t="array" ref="G275">SUM(IF("155"&amp;C275=KHN&amp;MH,SL))</f>
        <v>46549</v>
      </c>
      <c r="H275" s="25">
        <f t="array" ref="H275">SUM(IF("155"&amp;C275=KHN&amp;MH,TH))</f>
        <v>329875777</v>
      </c>
      <c r="I275" s="25">
        <f t="array" ref="I275">SUM(IF("155"&amp;C275=KHC&amp;MH,SL))</f>
        <v>46549</v>
      </c>
      <c r="J275" s="25">
        <f t="array" ref="J275">SUM(IF("155"&amp;C275=KHC&amp;MH,TH))</f>
        <v>329875777</v>
      </c>
      <c r="K275" s="8">
        <f t="shared" si="35"/>
        <v>0</v>
      </c>
      <c r="L275" s="8">
        <f t="shared" si="36"/>
        <v>0</v>
      </c>
      <c r="M275" s="282"/>
    </row>
    <row r="276" spans="1:13" ht="18.75" customHeight="1">
      <c r="A276" s="282" t="str">
        <f t="shared" si="37"/>
        <v>TP</v>
      </c>
      <c r="B276" s="295">
        <f t="shared" si="38"/>
        <v>242</v>
      </c>
      <c r="C276" s="187" t="s">
        <v>970</v>
      </c>
      <c r="D276" s="294" t="s">
        <v>1459</v>
      </c>
      <c r="E276" s="8"/>
      <c r="F276" s="8"/>
      <c r="G276" s="25">
        <f t="array" ref="G276">SUM(IF("155"&amp;C276=KHN&amp;MH,SL))</f>
        <v>100</v>
      </c>
      <c r="H276" s="25">
        <f t="array" ref="H276">SUM(IF("155"&amp;C276=KHN&amp;MH,TH))</f>
        <v>1116649</v>
      </c>
      <c r="I276" s="25">
        <f t="array" ref="I276">SUM(IF("155"&amp;C276=KHC&amp;MH,SL))</f>
        <v>100</v>
      </c>
      <c r="J276" s="25">
        <f t="array" ref="J276">SUM(IF("155"&amp;C276=KHC&amp;MH,TH))</f>
        <v>1116649</v>
      </c>
      <c r="K276" s="8">
        <f t="shared" si="35"/>
        <v>0</v>
      </c>
      <c r="L276" s="8">
        <f t="shared" si="36"/>
        <v>0</v>
      </c>
      <c r="M276" s="282"/>
    </row>
    <row r="277" spans="1:13" ht="18.75" customHeight="1">
      <c r="A277" s="282" t="str">
        <f t="shared" si="37"/>
        <v>TP</v>
      </c>
      <c r="B277" s="295">
        <f t="shared" si="38"/>
        <v>243</v>
      </c>
      <c r="C277" s="190" t="s">
        <v>636</v>
      </c>
      <c r="D277" s="294" t="s">
        <v>1459</v>
      </c>
      <c r="E277" s="8"/>
      <c r="F277" s="8"/>
      <c r="G277" s="25">
        <f t="array" ref="G277">SUM(IF("155"&amp;C277=KHN&amp;MH,SL))</f>
        <v>250</v>
      </c>
      <c r="H277" s="25">
        <f t="array" ref="H277">SUM(IF("155"&amp;C277=KHN&amp;MH,TH))</f>
        <v>2294309</v>
      </c>
      <c r="I277" s="25">
        <f t="array" ref="I277">SUM(IF("155"&amp;C277=KHC&amp;MH,SL))</f>
        <v>250</v>
      </c>
      <c r="J277" s="25">
        <f t="array" ref="J277">SUM(IF("155"&amp;C277=KHC&amp;MH,TH))</f>
        <v>2294309</v>
      </c>
      <c r="K277" s="8">
        <f t="shared" si="35"/>
        <v>0</v>
      </c>
      <c r="L277" s="8">
        <f t="shared" si="36"/>
        <v>0</v>
      </c>
      <c r="M277" s="282"/>
    </row>
    <row r="278" spans="1:13" ht="18.75" customHeight="1">
      <c r="A278" s="282" t="str">
        <f t="shared" si="37"/>
        <v>TP</v>
      </c>
      <c r="B278" s="295">
        <f t="shared" si="38"/>
        <v>244</v>
      </c>
      <c r="C278" s="190" t="s">
        <v>923</v>
      </c>
      <c r="D278" s="294" t="s">
        <v>1459</v>
      </c>
      <c r="E278" s="8"/>
      <c r="F278" s="8"/>
      <c r="G278" s="25">
        <f t="array" ref="G278">SUM(IF("155"&amp;C278=KHN&amp;MH,SL))</f>
        <v>238</v>
      </c>
      <c r="H278" s="25">
        <f t="array" ref="H278">SUM(IF("155"&amp;C278=KHN&amp;MH,TH))</f>
        <v>2677650</v>
      </c>
      <c r="I278" s="25">
        <f t="array" ref="I278">SUM(IF("155"&amp;C278=KHC&amp;MH,SL))</f>
        <v>238</v>
      </c>
      <c r="J278" s="25">
        <f t="array" ref="J278">SUM(IF("155"&amp;C278=KHC&amp;MH,TH))</f>
        <v>2677650</v>
      </c>
      <c r="K278" s="8">
        <f t="shared" si="35"/>
        <v>0</v>
      </c>
      <c r="L278" s="8">
        <f t="shared" si="36"/>
        <v>0</v>
      </c>
      <c r="M278" s="282"/>
    </row>
    <row r="279" spans="1:13" ht="18.75" customHeight="1">
      <c r="A279" s="282" t="str">
        <f t="shared" si="37"/>
        <v>TP</v>
      </c>
      <c r="B279" s="295">
        <f t="shared" si="38"/>
        <v>245</v>
      </c>
      <c r="C279" s="190" t="s">
        <v>948</v>
      </c>
      <c r="D279" s="294" t="s">
        <v>1459</v>
      </c>
      <c r="E279" s="8"/>
      <c r="F279" s="8"/>
      <c r="G279" s="25">
        <f t="array" ref="G279">SUM(IF("155"&amp;C279=KHN&amp;MH,SL))</f>
        <v>214</v>
      </c>
      <c r="H279" s="25">
        <f t="array" ref="H279">SUM(IF("155"&amp;C279=KHN&amp;MH,TH))</f>
        <v>1249773</v>
      </c>
      <c r="I279" s="25">
        <f t="array" ref="I279">SUM(IF("155"&amp;C279=KHC&amp;MH,SL))</f>
        <v>214</v>
      </c>
      <c r="J279" s="25">
        <f t="array" ref="J279">SUM(IF("155"&amp;C279=KHC&amp;MH,TH))</f>
        <v>1249773</v>
      </c>
      <c r="K279" s="8">
        <f t="shared" si="35"/>
        <v>0</v>
      </c>
      <c r="L279" s="8">
        <f t="shared" si="36"/>
        <v>0</v>
      </c>
      <c r="M279" s="282"/>
    </row>
    <row r="280" spans="1:13" ht="18.75" customHeight="1">
      <c r="A280" s="282" t="str">
        <f t="shared" si="37"/>
        <v>TP</v>
      </c>
      <c r="B280" s="295">
        <f t="shared" si="38"/>
        <v>246</v>
      </c>
      <c r="C280" s="190" t="s">
        <v>410</v>
      </c>
      <c r="D280" s="294" t="s">
        <v>1459</v>
      </c>
      <c r="E280" s="8"/>
      <c r="F280" s="8"/>
      <c r="G280" s="25">
        <f t="array" ref="G280">SUM(IF("155"&amp;C280=KHN&amp;MH,SL))</f>
        <v>390</v>
      </c>
      <c r="H280" s="25">
        <f t="array" ref="H280">SUM(IF("155"&amp;C280=KHN&amp;MH,TH))</f>
        <v>2082399</v>
      </c>
      <c r="I280" s="25">
        <f t="array" ref="I280">SUM(IF("155"&amp;C280=KHC&amp;MH,SL))</f>
        <v>390</v>
      </c>
      <c r="J280" s="25">
        <f t="array" ref="J280">SUM(IF("155"&amp;C280=KHC&amp;MH,TH))</f>
        <v>2082399</v>
      </c>
      <c r="K280" s="8">
        <f t="shared" si="35"/>
        <v>0</v>
      </c>
      <c r="L280" s="8">
        <f t="shared" si="36"/>
        <v>0</v>
      </c>
      <c r="M280" s="282"/>
    </row>
    <row r="281" spans="1:13" ht="18.75" customHeight="1">
      <c r="A281" s="282" t="str">
        <f t="shared" si="37"/>
        <v>TP</v>
      </c>
      <c r="B281" s="295">
        <f t="shared" si="38"/>
        <v>247</v>
      </c>
      <c r="C281" s="190" t="s">
        <v>429</v>
      </c>
      <c r="D281" s="294" t="s">
        <v>1459</v>
      </c>
      <c r="E281" s="8"/>
      <c r="F281" s="8"/>
      <c r="G281" s="25">
        <f t="array" ref="G281">SUM(IF("155"&amp;C281=KHN&amp;MH,SL))</f>
        <v>1745</v>
      </c>
      <c r="H281" s="25">
        <f t="array" ref="H281">SUM(IF("155"&amp;C281=KHN&amp;MH,TH))</f>
        <v>20225158</v>
      </c>
      <c r="I281" s="25">
        <f t="array" ref="I281">SUM(IF("155"&amp;C281=KHC&amp;MH,SL))</f>
        <v>1745</v>
      </c>
      <c r="J281" s="25">
        <f t="array" ref="J281">SUM(IF("155"&amp;C281=KHC&amp;MH,TH))</f>
        <v>20225158</v>
      </c>
      <c r="K281" s="8">
        <f t="shared" si="35"/>
        <v>0</v>
      </c>
      <c r="L281" s="8">
        <f t="shared" si="36"/>
        <v>0</v>
      </c>
      <c r="M281" s="282"/>
    </row>
    <row r="282" spans="1:13" ht="18.75" customHeight="1">
      <c r="A282" s="282" t="str">
        <f t="shared" si="37"/>
        <v>TP</v>
      </c>
      <c r="B282" s="295">
        <f t="shared" si="38"/>
        <v>248</v>
      </c>
      <c r="C282" s="40" t="s">
        <v>1385</v>
      </c>
      <c r="D282" s="294" t="s">
        <v>1459</v>
      </c>
      <c r="E282" s="8"/>
      <c r="F282" s="8"/>
      <c r="G282" s="25">
        <f t="array" ref="G282">SUM(IF("155"&amp;C282=KHN&amp;MH,SL))</f>
        <v>85</v>
      </c>
      <c r="H282" s="25">
        <f t="array" ref="H282">SUM(IF("155"&amp;C282=KHN&amp;MH,TH))</f>
        <v>860520</v>
      </c>
      <c r="I282" s="25">
        <f t="array" ref="I282">SUM(IF("155"&amp;C282=KHC&amp;MH,SL))</f>
        <v>85</v>
      </c>
      <c r="J282" s="25">
        <f t="array" ref="J282">SUM(IF("155"&amp;C282=KHC&amp;MH,TH))</f>
        <v>860520</v>
      </c>
      <c r="K282" s="8">
        <f t="shared" si="35"/>
        <v>0</v>
      </c>
      <c r="L282" s="8">
        <f t="shared" si="36"/>
        <v>0</v>
      </c>
      <c r="M282" s="282"/>
    </row>
    <row r="283" spans="1:13" ht="18.75" customHeight="1">
      <c r="A283" s="282" t="str">
        <f t="shared" si="37"/>
        <v>TP</v>
      </c>
      <c r="B283" s="295">
        <f t="shared" si="38"/>
        <v>249</v>
      </c>
      <c r="C283" s="190" t="s">
        <v>917</v>
      </c>
      <c r="D283" s="294" t="s">
        <v>1459</v>
      </c>
      <c r="E283" s="8"/>
      <c r="F283" s="8"/>
      <c r="G283" s="25">
        <f t="array" ref="G283">SUM(IF("155"&amp;C283=KHN&amp;MH,SL))</f>
        <v>320</v>
      </c>
      <c r="H283" s="25">
        <f t="array" ref="H283">SUM(IF("155"&amp;C283=KHN&amp;MH,TH))</f>
        <v>4899037</v>
      </c>
      <c r="I283" s="25">
        <f t="array" ref="I283">SUM(IF("155"&amp;C283=KHC&amp;MH,SL))</f>
        <v>320</v>
      </c>
      <c r="J283" s="25">
        <f t="array" ref="J283">SUM(IF("155"&amp;C283=KHC&amp;MH,TH))</f>
        <v>4899037</v>
      </c>
      <c r="K283" s="8">
        <f t="shared" si="35"/>
        <v>0</v>
      </c>
      <c r="L283" s="8">
        <f t="shared" si="36"/>
        <v>0</v>
      </c>
      <c r="M283" s="282"/>
    </row>
    <row r="284" spans="1:13" ht="18.75" customHeight="1">
      <c r="A284" s="282" t="str">
        <f t="shared" si="37"/>
        <v>TP</v>
      </c>
      <c r="B284" s="295">
        <f t="shared" si="38"/>
        <v>250</v>
      </c>
      <c r="C284" s="190" t="s">
        <v>874</v>
      </c>
      <c r="D284" s="294" t="s">
        <v>1459</v>
      </c>
      <c r="E284" s="8"/>
      <c r="F284" s="8"/>
      <c r="G284" s="25">
        <f t="array" ref="G284">SUM(IF("155"&amp;C284=KHN&amp;MH,SL))</f>
        <v>21</v>
      </c>
      <c r="H284" s="25">
        <f t="array" ref="H284">SUM(IF("155"&amp;C284=KHN&amp;MH,TH))</f>
        <v>485309</v>
      </c>
      <c r="I284" s="25">
        <f t="array" ref="I284">SUM(IF("155"&amp;C284=KHC&amp;MH,SL))</f>
        <v>21</v>
      </c>
      <c r="J284" s="25">
        <f t="array" ref="J284">SUM(IF("155"&amp;C284=KHC&amp;MH,TH))</f>
        <v>485309</v>
      </c>
      <c r="K284" s="8">
        <f t="shared" si="35"/>
        <v>0</v>
      </c>
      <c r="L284" s="8">
        <f t="shared" si="36"/>
        <v>0</v>
      </c>
      <c r="M284" s="282"/>
    </row>
    <row r="285" spans="1:13" ht="18.75" customHeight="1">
      <c r="A285" s="282" t="str">
        <f t="shared" si="37"/>
        <v>TP</v>
      </c>
      <c r="B285" s="295">
        <f t="shared" si="38"/>
        <v>251</v>
      </c>
      <c r="C285" s="40" t="s">
        <v>875</v>
      </c>
      <c r="D285" s="294" t="s">
        <v>1459</v>
      </c>
      <c r="E285" s="8"/>
      <c r="F285" s="8"/>
      <c r="G285" s="25">
        <f t="array" ref="G285">SUM(IF("155"&amp;C285=KHN&amp;MH,SL))</f>
        <v>22</v>
      </c>
      <c r="H285" s="25">
        <f t="array" ref="H285">SUM(IF("155"&amp;C285=KHN&amp;MH,TH))</f>
        <v>570824</v>
      </c>
      <c r="I285" s="25">
        <f t="array" ref="I285">SUM(IF("155"&amp;C285=KHC&amp;MH,SL))</f>
        <v>22</v>
      </c>
      <c r="J285" s="25">
        <f t="array" ref="J285">SUM(IF("155"&amp;C285=KHC&amp;MH,TH))</f>
        <v>570824</v>
      </c>
      <c r="K285" s="8">
        <f t="shared" si="35"/>
        <v>0</v>
      </c>
      <c r="L285" s="8">
        <f t="shared" si="36"/>
        <v>0</v>
      </c>
      <c r="M285" s="282"/>
    </row>
    <row r="286" spans="1:13" ht="18.75" customHeight="1">
      <c r="A286" s="282" t="str">
        <f t="shared" si="37"/>
        <v>TP</v>
      </c>
      <c r="B286" s="295">
        <f t="shared" si="38"/>
        <v>252</v>
      </c>
      <c r="C286" s="713" t="s">
        <v>876</v>
      </c>
      <c r="D286" s="294" t="s">
        <v>1459</v>
      </c>
      <c r="E286" s="8"/>
      <c r="F286" s="8"/>
      <c r="G286" s="25">
        <f t="array" ref="G286">SUM(IF("155"&amp;C286=KHN&amp;MH,SL))</f>
        <v>21</v>
      </c>
      <c r="H286" s="25">
        <f t="array" ref="H286">SUM(IF("155"&amp;C286=KHN&amp;MH,TH))</f>
        <v>571158</v>
      </c>
      <c r="I286" s="25">
        <f t="array" ref="I286">SUM(IF("155"&amp;C286=KHC&amp;MH,SL))</f>
        <v>21</v>
      </c>
      <c r="J286" s="25">
        <f t="array" ref="J286">SUM(IF("155"&amp;C286=KHC&amp;MH,TH))</f>
        <v>571158</v>
      </c>
      <c r="K286" s="8">
        <f t="shared" si="35"/>
        <v>0</v>
      </c>
      <c r="L286" s="8">
        <f t="shared" si="36"/>
        <v>0</v>
      </c>
      <c r="M286" s="282"/>
    </row>
    <row r="287" spans="1:13" ht="18.75" customHeight="1">
      <c r="A287" s="282" t="str">
        <f t="shared" si="37"/>
        <v>TP</v>
      </c>
      <c r="B287" s="295">
        <f t="shared" si="38"/>
        <v>253</v>
      </c>
      <c r="C287" s="187" t="s">
        <v>1054</v>
      </c>
      <c r="D287" s="294" t="s">
        <v>1459</v>
      </c>
      <c r="E287" s="8"/>
      <c r="F287" s="8"/>
      <c r="G287" s="25">
        <f t="array" ref="G287">SUM(IF("155"&amp;C287=KHN&amp;MH,SL))</f>
        <v>510</v>
      </c>
      <c r="H287" s="25">
        <f t="array" ref="H287">SUM(IF("155"&amp;C287=KHN&amp;MH,TH))</f>
        <v>2999609</v>
      </c>
      <c r="I287" s="25">
        <f t="array" ref="I287">SUM(IF("155"&amp;C287=KHC&amp;MH,SL))</f>
        <v>510</v>
      </c>
      <c r="J287" s="25">
        <f t="array" ref="J287">SUM(IF("155"&amp;C287=KHC&amp;MH,TH))</f>
        <v>2999609</v>
      </c>
      <c r="K287" s="8">
        <f t="shared" si="35"/>
        <v>0</v>
      </c>
      <c r="L287" s="8">
        <f t="shared" si="36"/>
        <v>0</v>
      </c>
      <c r="M287" s="282"/>
    </row>
    <row r="288" spans="1:13" ht="18.75" customHeight="1">
      <c r="A288" s="282" t="str">
        <f t="shared" si="37"/>
        <v>TP</v>
      </c>
      <c r="B288" s="295">
        <f t="shared" si="38"/>
        <v>254</v>
      </c>
      <c r="C288" s="187" t="s">
        <v>975</v>
      </c>
      <c r="D288" s="294" t="s">
        <v>1459</v>
      </c>
      <c r="E288" s="8"/>
      <c r="F288" s="8"/>
      <c r="G288" s="25">
        <f t="array" ref="G288">SUM(IF("155"&amp;C288=KHN&amp;MH,SL))</f>
        <v>988</v>
      </c>
      <c r="H288" s="25">
        <f t="array" ref="H288">SUM(IF("155"&amp;C288=KHN&amp;MH,TH))</f>
        <v>5895224</v>
      </c>
      <c r="I288" s="25">
        <f t="array" ref="I288">SUM(IF("155"&amp;C288=KHC&amp;MH,SL))</f>
        <v>988</v>
      </c>
      <c r="J288" s="25">
        <f t="array" ref="J288">SUM(IF("155"&amp;C288=KHC&amp;MH,TH))</f>
        <v>5895224</v>
      </c>
      <c r="K288" s="8">
        <f t="shared" si="35"/>
        <v>0</v>
      </c>
      <c r="L288" s="8">
        <f t="shared" si="36"/>
        <v>0</v>
      </c>
      <c r="M288" s="282"/>
    </row>
    <row r="289" spans="1:13" ht="18.75" customHeight="1">
      <c r="A289" s="282" t="str">
        <f t="shared" si="37"/>
        <v>TP</v>
      </c>
      <c r="B289" s="295">
        <f t="shared" si="38"/>
        <v>255</v>
      </c>
      <c r="C289" s="40" t="s">
        <v>1303</v>
      </c>
      <c r="D289" s="294" t="s">
        <v>1459</v>
      </c>
      <c r="E289" s="8"/>
      <c r="F289" s="8"/>
      <c r="G289" s="25">
        <f t="array" ref="G289">SUM(IF("155"&amp;C289=KHN&amp;MH,SL))</f>
        <v>2528</v>
      </c>
      <c r="H289" s="25">
        <f t="array" ref="H289">SUM(IF("155"&amp;C289=KHN&amp;MH,TH))</f>
        <v>15355726</v>
      </c>
      <c r="I289" s="25">
        <f t="array" ref="I289">SUM(IF("155"&amp;C289=KHC&amp;MH,SL))</f>
        <v>2528</v>
      </c>
      <c r="J289" s="25">
        <f t="array" ref="J289">SUM(IF("155"&amp;C289=KHC&amp;MH,TH))</f>
        <v>15355726</v>
      </c>
      <c r="K289" s="8">
        <f t="shared" si="35"/>
        <v>0</v>
      </c>
      <c r="L289" s="8">
        <f t="shared" si="36"/>
        <v>0</v>
      </c>
      <c r="M289" s="282"/>
    </row>
    <row r="290" spans="1:13" ht="18.75" customHeight="1">
      <c r="A290" s="282" t="str">
        <f t="shared" si="37"/>
        <v>TP</v>
      </c>
      <c r="B290" s="295">
        <f t="shared" si="38"/>
        <v>256</v>
      </c>
      <c r="C290" s="190" t="s">
        <v>389</v>
      </c>
      <c r="D290" s="294" t="s">
        <v>1459</v>
      </c>
      <c r="E290" s="8"/>
      <c r="F290" s="8"/>
      <c r="G290" s="25">
        <f t="array" ref="G290">SUM(IF("155"&amp;C290=KHN&amp;MH,SL))</f>
        <v>11320</v>
      </c>
      <c r="H290" s="25">
        <f t="array" ref="H290">SUM(IF("155"&amp;C290=KHN&amp;MH,TH))</f>
        <v>78238180</v>
      </c>
      <c r="I290" s="25">
        <f t="array" ref="I290">SUM(IF("155"&amp;C290=KHC&amp;MH,SL))</f>
        <v>11320</v>
      </c>
      <c r="J290" s="25">
        <f t="array" ref="J290">SUM(IF("155"&amp;C290=KHC&amp;MH,TH))</f>
        <v>78238180</v>
      </c>
      <c r="K290" s="8">
        <f t="shared" si="35"/>
        <v>0</v>
      </c>
      <c r="L290" s="8">
        <f t="shared" si="36"/>
        <v>0</v>
      </c>
      <c r="M290" s="282"/>
    </row>
    <row r="291" spans="1:13" ht="18.75" customHeight="1">
      <c r="A291" s="282" t="str">
        <f t="shared" si="37"/>
        <v>TP</v>
      </c>
      <c r="B291" s="295">
        <f t="shared" si="38"/>
        <v>257</v>
      </c>
      <c r="C291" s="40" t="s">
        <v>1255</v>
      </c>
      <c r="D291" s="294" t="s">
        <v>1459</v>
      </c>
      <c r="E291" s="8"/>
      <c r="F291" s="8"/>
      <c r="G291" s="25">
        <f t="array" ref="G291">SUM(IF("155"&amp;C291=KHN&amp;MH,SL))</f>
        <v>9109</v>
      </c>
      <c r="H291" s="25">
        <f t="array" ref="H291">SUM(IF("155"&amp;C291=KHN&amp;MH,TH))</f>
        <v>69770655</v>
      </c>
      <c r="I291" s="25">
        <f t="array" ref="I291">SUM(IF("155"&amp;C291=KHC&amp;MH,SL))</f>
        <v>9109</v>
      </c>
      <c r="J291" s="25">
        <f t="array" ref="J291">SUM(IF("155"&amp;C291=KHC&amp;MH,TH))</f>
        <v>69770655</v>
      </c>
      <c r="K291" s="8">
        <f t="shared" ref="K291:K354" si="39">E291+G291-I291</f>
        <v>0</v>
      </c>
      <c r="L291" s="8">
        <f t="shared" ref="L291:L354" si="40">F291+H291-J291</f>
        <v>0</v>
      </c>
      <c r="M291" s="282"/>
    </row>
    <row r="292" spans="1:13" ht="18.75" customHeight="1">
      <c r="A292" s="282" t="str">
        <f t="shared" si="37"/>
        <v>TP</v>
      </c>
      <c r="B292" s="295">
        <f t="shared" si="38"/>
        <v>258</v>
      </c>
      <c r="C292" s="190" t="s">
        <v>638</v>
      </c>
      <c r="D292" s="294" t="s">
        <v>1459</v>
      </c>
      <c r="E292" s="8"/>
      <c r="F292" s="8"/>
      <c r="G292" s="25">
        <f t="array" ref="G292">SUM(IF("155"&amp;C292=KHN&amp;MH,SL))</f>
        <v>727</v>
      </c>
      <c r="H292" s="25">
        <f t="array" ref="H292">SUM(IF("155"&amp;C292=KHN&amp;MH,TH))</f>
        <v>4927155</v>
      </c>
      <c r="I292" s="25">
        <f t="array" ref="I292">SUM(IF("155"&amp;C292=KHC&amp;MH,SL))</f>
        <v>727</v>
      </c>
      <c r="J292" s="25">
        <f t="array" ref="J292">SUM(IF("155"&amp;C292=KHC&amp;MH,TH))</f>
        <v>4927155</v>
      </c>
      <c r="K292" s="8">
        <f t="shared" si="39"/>
        <v>0</v>
      </c>
      <c r="L292" s="8">
        <f t="shared" si="40"/>
        <v>0</v>
      </c>
      <c r="M292" s="282"/>
    </row>
    <row r="293" spans="1:13" ht="18.75" customHeight="1">
      <c r="A293" s="282" t="str">
        <f t="shared" si="37"/>
        <v>TP</v>
      </c>
      <c r="B293" s="295">
        <f t="shared" si="38"/>
        <v>259</v>
      </c>
      <c r="C293" s="190" t="s">
        <v>651</v>
      </c>
      <c r="D293" s="294" t="s">
        <v>1459</v>
      </c>
      <c r="E293" s="8"/>
      <c r="F293" s="8"/>
      <c r="G293" s="25">
        <f t="array" ref="G293">SUM(IF("155"&amp;C293=KHN&amp;MH,SL))</f>
        <v>523</v>
      </c>
      <c r="H293" s="25">
        <f t="array" ref="H293">SUM(IF("155"&amp;C293=KHN&amp;MH,TH))</f>
        <v>3744780</v>
      </c>
      <c r="I293" s="25">
        <f t="array" ref="I293">SUM(IF("155"&amp;C293=KHC&amp;MH,SL))</f>
        <v>523</v>
      </c>
      <c r="J293" s="25">
        <f t="array" ref="J293">SUM(IF("155"&amp;C293=KHC&amp;MH,TH))</f>
        <v>3744780</v>
      </c>
      <c r="K293" s="8">
        <f t="shared" si="39"/>
        <v>0</v>
      </c>
      <c r="L293" s="8">
        <f t="shared" si="40"/>
        <v>0</v>
      </c>
      <c r="M293" s="282"/>
    </row>
    <row r="294" spans="1:13" ht="18.75" customHeight="1">
      <c r="A294" s="282" t="str">
        <f t="shared" si="37"/>
        <v>TP</v>
      </c>
      <c r="B294" s="295">
        <f t="shared" si="38"/>
        <v>260</v>
      </c>
      <c r="C294" s="190" t="s">
        <v>414</v>
      </c>
      <c r="D294" s="294" t="s">
        <v>1459</v>
      </c>
      <c r="E294" s="8"/>
      <c r="F294" s="8"/>
      <c r="G294" s="25">
        <f t="array" ref="G294">SUM(IF("155"&amp;C294=KHN&amp;MH,SL))</f>
        <v>2332</v>
      </c>
      <c r="H294" s="25">
        <f t="array" ref="H294">SUM(IF("155"&amp;C294=KHN&amp;MH,TH))</f>
        <v>17882705</v>
      </c>
      <c r="I294" s="25">
        <f t="array" ref="I294">SUM(IF("155"&amp;C294=KHC&amp;MH,SL))</f>
        <v>2332</v>
      </c>
      <c r="J294" s="25">
        <f t="array" ref="J294">SUM(IF("155"&amp;C294=KHC&amp;MH,TH))</f>
        <v>17882705</v>
      </c>
      <c r="K294" s="8">
        <f t="shared" si="39"/>
        <v>0</v>
      </c>
      <c r="L294" s="8">
        <f t="shared" si="40"/>
        <v>0</v>
      </c>
      <c r="M294" s="282"/>
    </row>
    <row r="295" spans="1:13" ht="18.75" customHeight="1">
      <c r="A295" s="282" t="str">
        <f t="shared" si="37"/>
        <v>TP</v>
      </c>
      <c r="B295" s="295">
        <f t="shared" si="38"/>
        <v>261</v>
      </c>
      <c r="C295" s="40" t="s">
        <v>1256</v>
      </c>
      <c r="D295" s="294" t="s">
        <v>1459</v>
      </c>
      <c r="E295" s="8"/>
      <c r="F295" s="8"/>
      <c r="G295" s="25">
        <f t="array" ref="G295">SUM(IF("155"&amp;C295=KHN&amp;MH,SL))</f>
        <v>3947</v>
      </c>
      <c r="H295" s="25">
        <f t="array" ref="H295">SUM(IF("155"&amp;C295=KHN&amp;MH,TH))</f>
        <v>34779500</v>
      </c>
      <c r="I295" s="25">
        <f t="array" ref="I295">SUM(IF("155"&amp;C295=KHC&amp;MH,SL))</f>
        <v>3947</v>
      </c>
      <c r="J295" s="25">
        <f t="array" ref="J295">SUM(IF("155"&amp;C295=KHC&amp;MH,TH))</f>
        <v>34779500</v>
      </c>
      <c r="K295" s="8">
        <f t="shared" si="39"/>
        <v>0</v>
      </c>
      <c r="L295" s="8">
        <f t="shared" si="40"/>
        <v>0</v>
      </c>
      <c r="M295" s="282"/>
    </row>
    <row r="296" spans="1:13" ht="18.75" customHeight="1">
      <c r="A296" s="282" t="str">
        <f t="shared" si="37"/>
        <v>TP</v>
      </c>
      <c r="B296" s="295">
        <f t="shared" si="38"/>
        <v>262</v>
      </c>
      <c r="C296" s="190" t="s">
        <v>927</v>
      </c>
      <c r="D296" s="294" t="s">
        <v>1459</v>
      </c>
      <c r="E296" s="8"/>
      <c r="F296" s="8"/>
      <c r="G296" s="25">
        <f t="array" ref="G296">SUM(IF("155"&amp;C296=KHN&amp;MH,SL))</f>
        <v>596</v>
      </c>
      <c r="H296" s="25">
        <f t="array" ref="H296">SUM(IF("155"&amp;C296=KHN&amp;MH,TH))</f>
        <v>4574602</v>
      </c>
      <c r="I296" s="25">
        <f t="array" ref="I296">SUM(IF("155"&amp;C296=KHC&amp;MH,SL))</f>
        <v>596</v>
      </c>
      <c r="J296" s="25">
        <f t="array" ref="J296">SUM(IF("155"&amp;C296=KHC&amp;MH,TH))</f>
        <v>4574602</v>
      </c>
      <c r="K296" s="8">
        <f t="shared" si="39"/>
        <v>0</v>
      </c>
      <c r="L296" s="8">
        <f t="shared" si="40"/>
        <v>0</v>
      </c>
      <c r="M296" s="282"/>
    </row>
    <row r="297" spans="1:13" ht="18.75" customHeight="1">
      <c r="A297" s="282" t="str">
        <f t="shared" si="37"/>
        <v>TP</v>
      </c>
      <c r="B297" s="295">
        <f t="shared" si="38"/>
        <v>263</v>
      </c>
      <c r="C297" s="190" t="s">
        <v>639</v>
      </c>
      <c r="D297" s="294" t="s">
        <v>1459</v>
      </c>
      <c r="E297" s="8"/>
      <c r="F297" s="8"/>
      <c r="G297" s="25">
        <f t="array" ref="G297">SUM(IF("155"&amp;C297=KHN&amp;MH,SL))</f>
        <v>931</v>
      </c>
      <c r="H297" s="25">
        <f t="array" ref="H297">SUM(IF("155"&amp;C297=KHN&amp;MH,TH))</f>
        <v>7328326</v>
      </c>
      <c r="I297" s="25">
        <f t="array" ref="I297">SUM(IF("155"&amp;C297=KHC&amp;MH,SL))</f>
        <v>931</v>
      </c>
      <c r="J297" s="25">
        <f t="array" ref="J297">SUM(IF("155"&amp;C297=KHC&amp;MH,TH))</f>
        <v>7328326</v>
      </c>
      <c r="K297" s="8">
        <f t="shared" si="39"/>
        <v>0</v>
      </c>
      <c r="L297" s="8">
        <f t="shared" si="40"/>
        <v>0</v>
      </c>
      <c r="M297" s="282"/>
    </row>
    <row r="298" spans="1:13" ht="18.75" customHeight="1">
      <c r="A298" s="282" t="str">
        <f t="shared" si="37"/>
        <v>TP</v>
      </c>
      <c r="B298" s="295">
        <f t="shared" si="38"/>
        <v>264</v>
      </c>
      <c r="C298" s="190" t="s">
        <v>540</v>
      </c>
      <c r="D298" s="294" t="s">
        <v>1459</v>
      </c>
      <c r="E298" s="8"/>
      <c r="F298" s="8"/>
      <c r="G298" s="25">
        <f t="array" ref="G298">SUM(IF("155"&amp;C298=KHN&amp;MH,SL))</f>
        <v>1858</v>
      </c>
      <c r="H298" s="25">
        <f t="array" ref="H298">SUM(IF("155"&amp;C298=KHN&amp;MH,TH))</f>
        <v>15184937</v>
      </c>
      <c r="I298" s="25">
        <f t="array" ref="I298">SUM(IF("155"&amp;C298=KHC&amp;MH,SL))</f>
        <v>1858</v>
      </c>
      <c r="J298" s="25">
        <f t="array" ref="J298">SUM(IF("155"&amp;C298=KHC&amp;MH,TH))</f>
        <v>15184937</v>
      </c>
      <c r="K298" s="8">
        <f t="shared" si="39"/>
        <v>0</v>
      </c>
      <c r="L298" s="8">
        <f t="shared" si="40"/>
        <v>0</v>
      </c>
      <c r="M298" s="282"/>
    </row>
    <row r="299" spans="1:13" ht="18.75" customHeight="1">
      <c r="A299" s="282" t="str">
        <f t="shared" si="37"/>
        <v>TP</v>
      </c>
      <c r="B299" s="295">
        <f t="shared" si="38"/>
        <v>265</v>
      </c>
      <c r="C299" s="187" t="s">
        <v>662</v>
      </c>
      <c r="D299" s="294" t="s">
        <v>1459</v>
      </c>
      <c r="E299" s="8"/>
      <c r="F299" s="8"/>
      <c r="G299" s="25">
        <f t="array" ref="G299">SUM(IF("155"&amp;C299=KHN&amp;MH,SL))</f>
        <v>1530</v>
      </c>
      <c r="H299" s="25">
        <f t="array" ref="H299">SUM(IF("155"&amp;C299=KHN&amp;MH,TH))</f>
        <v>9520497</v>
      </c>
      <c r="I299" s="25">
        <f t="array" ref="I299">SUM(IF("155"&amp;C299=KHC&amp;MH,SL))</f>
        <v>1530</v>
      </c>
      <c r="J299" s="25">
        <f t="array" ref="J299">SUM(IF("155"&amp;C299=KHC&amp;MH,TH))</f>
        <v>9520497</v>
      </c>
      <c r="K299" s="8">
        <f t="shared" si="39"/>
        <v>0</v>
      </c>
      <c r="L299" s="8">
        <f t="shared" si="40"/>
        <v>0</v>
      </c>
      <c r="M299" s="282"/>
    </row>
    <row r="300" spans="1:13" ht="18.75" customHeight="1">
      <c r="A300" s="282" t="str">
        <f t="shared" si="37"/>
        <v>TP</v>
      </c>
      <c r="B300" s="295">
        <f t="shared" si="38"/>
        <v>266</v>
      </c>
      <c r="C300" s="190" t="s">
        <v>907</v>
      </c>
      <c r="D300" s="294" t="s">
        <v>1459</v>
      </c>
      <c r="E300" s="8"/>
      <c r="F300" s="8"/>
      <c r="G300" s="25">
        <f t="array" ref="G300">SUM(IF("155"&amp;C300=KHN&amp;MH,SL))</f>
        <v>500</v>
      </c>
      <c r="H300" s="25">
        <f t="array" ref="H300">SUM(IF("155"&amp;C300=KHN&amp;MH,TH))</f>
        <v>2794886</v>
      </c>
      <c r="I300" s="25">
        <f t="array" ref="I300">SUM(IF("155"&amp;C300=KHC&amp;MH,SL))</f>
        <v>500</v>
      </c>
      <c r="J300" s="25">
        <f t="array" ref="J300">SUM(IF("155"&amp;C300=KHC&amp;MH,TH))</f>
        <v>2794886</v>
      </c>
      <c r="K300" s="8">
        <f t="shared" si="39"/>
        <v>0</v>
      </c>
      <c r="L300" s="8">
        <f t="shared" si="40"/>
        <v>0</v>
      </c>
      <c r="M300" s="282"/>
    </row>
    <row r="301" spans="1:13" ht="18.75" customHeight="1">
      <c r="A301" s="282" t="str">
        <f t="shared" si="37"/>
        <v>TP</v>
      </c>
      <c r="B301" s="295">
        <f t="shared" si="38"/>
        <v>267</v>
      </c>
      <c r="C301" s="190" t="s">
        <v>392</v>
      </c>
      <c r="D301" s="294" t="s">
        <v>1459</v>
      </c>
      <c r="E301" s="8"/>
      <c r="F301" s="8"/>
      <c r="G301" s="25">
        <f t="array" ref="G301">SUM(IF("155"&amp;C301=KHN&amp;MH,SL))</f>
        <v>1511</v>
      </c>
      <c r="H301" s="25">
        <f t="array" ref="H301">SUM(IF("155"&amp;C301=KHN&amp;MH,TH))</f>
        <v>12338179</v>
      </c>
      <c r="I301" s="25">
        <f t="array" ref="I301">SUM(IF("155"&amp;C301=KHC&amp;MH,SL))</f>
        <v>1511</v>
      </c>
      <c r="J301" s="25">
        <f t="array" ref="J301">SUM(IF("155"&amp;C301=KHC&amp;MH,TH))</f>
        <v>12338179</v>
      </c>
      <c r="K301" s="8">
        <f t="shared" si="39"/>
        <v>0</v>
      </c>
      <c r="L301" s="8">
        <f t="shared" si="40"/>
        <v>0</v>
      </c>
      <c r="M301" s="282"/>
    </row>
    <row r="302" spans="1:13" ht="18.75" customHeight="1">
      <c r="A302" s="282" t="str">
        <f t="shared" si="37"/>
        <v>TP</v>
      </c>
      <c r="B302" s="295">
        <f t="shared" si="38"/>
        <v>268</v>
      </c>
      <c r="C302" s="286" t="s">
        <v>968</v>
      </c>
      <c r="D302" s="294" t="s">
        <v>1459</v>
      </c>
      <c r="E302" s="8"/>
      <c r="F302" s="8"/>
      <c r="G302" s="25">
        <f t="array" ref="G302">SUM(IF("155"&amp;C302=KHN&amp;MH,SL))</f>
        <v>100</v>
      </c>
      <c r="H302" s="25">
        <f t="array" ref="H302">SUM(IF("155"&amp;C302=KHN&amp;MH,TH))</f>
        <v>929120</v>
      </c>
      <c r="I302" s="25">
        <f t="array" ref="I302">SUM(IF("155"&amp;C302=KHC&amp;MH,SL))</f>
        <v>100</v>
      </c>
      <c r="J302" s="25">
        <f t="array" ref="J302">SUM(IF("155"&amp;C302=KHC&amp;MH,TH))</f>
        <v>929120</v>
      </c>
      <c r="K302" s="8">
        <f t="shared" si="39"/>
        <v>0</v>
      </c>
      <c r="L302" s="8">
        <f t="shared" si="40"/>
        <v>0</v>
      </c>
      <c r="M302" s="282"/>
    </row>
    <row r="303" spans="1:13" ht="18.75" customHeight="1">
      <c r="A303" s="282" t="str">
        <f t="shared" si="37"/>
        <v>TP</v>
      </c>
      <c r="B303" s="295">
        <f t="shared" si="38"/>
        <v>269</v>
      </c>
      <c r="C303" s="190" t="s">
        <v>626</v>
      </c>
      <c r="D303" s="294" t="s">
        <v>1459</v>
      </c>
      <c r="E303" s="8"/>
      <c r="F303" s="8"/>
      <c r="G303" s="25">
        <f t="array" ref="G303">SUM(IF("155"&amp;C303=KHN&amp;MH,SL))</f>
        <v>947</v>
      </c>
      <c r="H303" s="25">
        <f t="array" ref="H303">SUM(IF("155"&amp;C303=KHN&amp;MH,TH))</f>
        <v>11822401</v>
      </c>
      <c r="I303" s="25">
        <f t="array" ref="I303">SUM(IF("155"&amp;C303=KHC&amp;MH,SL))</f>
        <v>947</v>
      </c>
      <c r="J303" s="25">
        <f t="array" ref="J303">SUM(IF("155"&amp;C303=KHC&amp;MH,TH))</f>
        <v>11822401</v>
      </c>
      <c r="K303" s="8">
        <f t="shared" si="39"/>
        <v>0</v>
      </c>
      <c r="L303" s="8">
        <f t="shared" si="40"/>
        <v>0</v>
      </c>
      <c r="M303" s="282"/>
    </row>
    <row r="304" spans="1:13" ht="18.75" customHeight="1">
      <c r="A304" s="282" t="str">
        <f t="shared" si="37"/>
        <v>TP</v>
      </c>
      <c r="B304" s="295">
        <f t="shared" si="38"/>
        <v>270</v>
      </c>
      <c r="C304" s="286" t="s">
        <v>984</v>
      </c>
      <c r="D304" s="294" t="s">
        <v>1459</v>
      </c>
      <c r="E304" s="8"/>
      <c r="F304" s="8"/>
      <c r="G304" s="25">
        <f t="array" ref="G304">SUM(IF("155"&amp;C304=KHN&amp;MH,SL))</f>
        <v>420</v>
      </c>
      <c r="H304" s="25">
        <f t="array" ref="H304">SUM(IF("155"&amp;C304=KHN&amp;MH,TH))</f>
        <v>4833129</v>
      </c>
      <c r="I304" s="25">
        <f t="array" ref="I304">SUM(IF("155"&amp;C304=KHC&amp;MH,SL))</f>
        <v>420</v>
      </c>
      <c r="J304" s="25">
        <f t="array" ref="J304">SUM(IF("155"&amp;C304=KHC&amp;MH,TH))</f>
        <v>4833129</v>
      </c>
      <c r="K304" s="8">
        <f t="shared" si="39"/>
        <v>0</v>
      </c>
      <c r="L304" s="8">
        <f t="shared" si="40"/>
        <v>0</v>
      </c>
      <c r="M304" s="282"/>
    </row>
    <row r="305" spans="1:13" ht="18.75" customHeight="1">
      <c r="A305" s="282" t="str">
        <f t="shared" si="37"/>
        <v>TP</v>
      </c>
      <c r="B305" s="295">
        <f t="shared" si="38"/>
        <v>271</v>
      </c>
      <c r="C305" s="190" t="s">
        <v>1066</v>
      </c>
      <c r="D305" s="294" t="s">
        <v>1459</v>
      </c>
      <c r="E305" s="8"/>
      <c r="F305" s="8"/>
      <c r="G305" s="25">
        <f t="array" ref="G305">SUM(IF("155"&amp;C305=KHN&amp;MH,SL))</f>
        <v>320</v>
      </c>
      <c r="H305" s="25">
        <f t="array" ref="H305">SUM(IF("155"&amp;C305=KHN&amp;MH,TH))</f>
        <v>3791492</v>
      </c>
      <c r="I305" s="25">
        <f t="array" ref="I305">SUM(IF("155"&amp;C305=KHC&amp;MH,SL))</f>
        <v>320</v>
      </c>
      <c r="J305" s="25">
        <f t="array" ref="J305">SUM(IF("155"&amp;C305=KHC&amp;MH,TH))</f>
        <v>3791492</v>
      </c>
      <c r="K305" s="8">
        <f t="shared" si="39"/>
        <v>0</v>
      </c>
      <c r="L305" s="8">
        <f t="shared" si="40"/>
        <v>0</v>
      </c>
      <c r="M305" s="282"/>
    </row>
    <row r="306" spans="1:13" ht="18.75" customHeight="1">
      <c r="A306" s="282" t="str">
        <f t="shared" si="37"/>
        <v>TP</v>
      </c>
      <c r="B306" s="295">
        <f t="shared" si="38"/>
        <v>272</v>
      </c>
      <c r="C306" s="190" t="s">
        <v>938</v>
      </c>
      <c r="D306" s="294" t="s">
        <v>1459</v>
      </c>
      <c r="E306" s="8"/>
      <c r="F306" s="8"/>
      <c r="G306" s="25">
        <f t="array" ref="G306">SUM(IF("155"&amp;C306=KHN&amp;MH,SL))</f>
        <v>1600</v>
      </c>
      <c r="H306" s="25">
        <f t="array" ref="H306">SUM(IF("155"&amp;C306=KHN&amp;MH,TH))</f>
        <v>18554705</v>
      </c>
      <c r="I306" s="25">
        <f t="array" ref="I306">SUM(IF("155"&amp;C306=KHC&amp;MH,SL))</f>
        <v>1600</v>
      </c>
      <c r="J306" s="25">
        <f t="array" ref="J306">SUM(IF("155"&amp;C306=KHC&amp;MH,TH))</f>
        <v>18554705</v>
      </c>
      <c r="K306" s="8">
        <f t="shared" si="39"/>
        <v>0</v>
      </c>
      <c r="L306" s="8">
        <f t="shared" si="40"/>
        <v>0</v>
      </c>
      <c r="M306" s="282"/>
    </row>
    <row r="307" spans="1:13" ht="18.75" customHeight="1">
      <c r="A307" s="282" t="str">
        <f t="shared" si="37"/>
        <v>TP</v>
      </c>
      <c r="B307" s="295">
        <f t="shared" si="38"/>
        <v>273</v>
      </c>
      <c r="C307" s="190" t="s">
        <v>934</v>
      </c>
      <c r="D307" s="294" t="s">
        <v>1459</v>
      </c>
      <c r="E307" s="8"/>
      <c r="F307" s="8"/>
      <c r="G307" s="25">
        <f t="array" ref="G307">SUM(IF("155"&amp;C307=KHN&amp;MH,SL))</f>
        <v>233</v>
      </c>
      <c r="H307" s="25">
        <f t="array" ref="H307">SUM(IF("155"&amp;C307=KHN&amp;MH,TH))</f>
        <v>2735071</v>
      </c>
      <c r="I307" s="25">
        <f t="array" ref="I307">SUM(IF("155"&amp;C307=KHC&amp;MH,SL))</f>
        <v>233</v>
      </c>
      <c r="J307" s="25">
        <f t="array" ref="J307">SUM(IF("155"&amp;C307=KHC&amp;MH,TH))</f>
        <v>2735071</v>
      </c>
      <c r="K307" s="8">
        <f t="shared" si="39"/>
        <v>0</v>
      </c>
      <c r="L307" s="8">
        <f t="shared" si="40"/>
        <v>0</v>
      </c>
      <c r="M307" s="282"/>
    </row>
    <row r="308" spans="1:13" ht="18.75" customHeight="1">
      <c r="A308" s="282" t="str">
        <f t="shared" si="37"/>
        <v>TP</v>
      </c>
      <c r="B308" s="295">
        <f t="shared" si="38"/>
        <v>274</v>
      </c>
      <c r="C308" s="190" t="s">
        <v>1067</v>
      </c>
      <c r="D308" s="294" t="s">
        <v>1459</v>
      </c>
      <c r="E308" s="8"/>
      <c r="F308" s="8"/>
      <c r="G308" s="25">
        <f t="array" ref="G308">SUM(IF("155"&amp;C308=KHN&amp;MH,SL))</f>
        <v>28</v>
      </c>
      <c r="H308" s="25">
        <f t="array" ref="H308">SUM(IF("155"&amp;C308=KHN&amp;MH,TH))</f>
        <v>334142</v>
      </c>
      <c r="I308" s="25">
        <f t="array" ref="I308">SUM(IF("155"&amp;C308=KHC&amp;MH,SL))</f>
        <v>28</v>
      </c>
      <c r="J308" s="25">
        <f t="array" ref="J308">SUM(IF("155"&amp;C308=KHC&amp;MH,TH))</f>
        <v>334142</v>
      </c>
      <c r="K308" s="8">
        <f t="shared" si="39"/>
        <v>0</v>
      </c>
      <c r="L308" s="8">
        <f t="shared" si="40"/>
        <v>0</v>
      </c>
      <c r="M308" s="282"/>
    </row>
    <row r="309" spans="1:13" ht="18.75" customHeight="1">
      <c r="A309" s="282" t="str">
        <f t="shared" si="37"/>
        <v>TP</v>
      </c>
      <c r="B309" s="295">
        <f t="shared" si="38"/>
        <v>275</v>
      </c>
      <c r="C309" s="190" t="s">
        <v>1049</v>
      </c>
      <c r="D309" s="294" t="s">
        <v>1459</v>
      </c>
      <c r="E309" s="8"/>
      <c r="F309" s="8"/>
      <c r="G309" s="25">
        <f t="array" ref="G309">SUM(IF("155"&amp;C309=KHN&amp;MH,SL))</f>
        <v>210</v>
      </c>
      <c r="H309" s="25">
        <f t="array" ref="H309">SUM(IF("155"&amp;C309=KHN&amp;MH,TH))</f>
        <v>2881977</v>
      </c>
      <c r="I309" s="25">
        <f t="array" ref="I309">SUM(IF("155"&amp;C309=KHC&amp;MH,SL))</f>
        <v>210</v>
      </c>
      <c r="J309" s="25">
        <f t="array" ref="J309">SUM(IF("155"&amp;C309=KHC&amp;MH,TH))</f>
        <v>2881977</v>
      </c>
      <c r="K309" s="8">
        <f t="shared" si="39"/>
        <v>0</v>
      </c>
      <c r="L309" s="8">
        <f t="shared" si="40"/>
        <v>0</v>
      </c>
      <c r="M309" s="282"/>
    </row>
    <row r="310" spans="1:13" ht="18.75" customHeight="1">
      <c r="A310" s="282" t="str">
        <f t="shared" ref="A310:A373" si="41">IF(B310&lt;&gt;"","TP","")</f>
        <v>TP</v>
      </c>
      <c r="B310" s="295">
        <f t="shared" ref="B310:B373" si="42">IF(C310&lt;&gt;"",B309+1,"")</f>
        <v>276</v>
      </c>
      <c r="C310" s="40" t="s">
        <v>1503</v>
      </c>
      <c r="D310" s="294" t="s">
        <v>1459</v>
      </c>
      <c r="E310" s="8"/>
      <c r="F310" s="8"/>
      <c r="G310" s="25">
        <f t="array" ref="G310">SUM(IF("155"&amp;C310=KHN&amp;MH,SL))</f>
        <v>64</v>
      </c>
      <c r="H310" s="25">
        <f t="array" ref="H310">SUM(IF("155"&amp;C310=KHN&amp;MH,TH))</f>
        <v>588528</v>
      </c>
      <c r="I310" s="25">
        <f t="array" ref="I310">SUM(IF("155"&amp;C310=KHC&amp;MH,SL))</f>
        <v>64</v>
      </c>
      <c r="J310" s="25">
        <f t="array" ref="J310">SUM(IF("155"&amp;C310=KHC&amp;MH,TH))</f>
        <v>588528</v>
      </c>
      <c r="K310" s="8">
        <f t="shared" si="39"/>
        <v>0</v>
      </c>
      <c r="L310" s="8">
        <f t="shared" si="40"/>
        <v>0</v>
      </c>
      <c r="M310" s="282"/>
    </row>
    <row r="311" spans="1:13" ht="18.75" customHeight="1">
      <c r="A311" s="282" t="str">
        <f t="shared" si="41"/>
        <v>TP</v>
      </c>
      <c r="B311" s="295">
        <f t="shared" si="42"/>
        <v>277</v>
      </c>
      <c r="C311" s="187" t="s">
        <v>1007</v>
      </c>
      <c r="D311" s="294" t="s">
        <v>1459</v>
      </c>
      <c r="E311" s="8"/>
      <c r="F311" s="8"/>
      <c r="G311" s="25">
        <f t="array" ref="G311">SUM(IF("155"&amp;C311=KHN&amp;MH,SL))</f>
        <v>20</v>
      </c>
      <c r="H311" s="25">
        <f t="array" ref="H311">SUM(IF("155"&amp;C311=KHN&amp;MH,TH))</f>
        <v>318799</v>
      </c>
      <c r="I311" s="25">
        <f t="array" ref="I311">SUM(IF("155"&amp;C311=KHC&amp;MH,SL))</f>
        <v>20</v>
      </c>
      <c r="J311" s="25">
        <f t="array" ref="J311">SUM(IF("155"&amp;C311=KHC&amp;MH,TH))</f>
        <v>318799</v>
      </c>
      <c r="K311" s="8">
        <f t="shared" si="39"/>
        <v>0</v>
      </c>
      <c r="L311" s="8">
        <f t="shared" si="40"/>
        <v>0</v>
      </c>
      <c r="M311" s="282"/>
    </row>
    <row r="312" spans="1:13" ht="18.75" customHeight="1">
      <c r="A312" s="282" t="str">
        <f t="shared" si="41"/>
        <v>TP</v>
      </c>
      <c r="B312" s="295">
        <f t="shared" si="42"/>
        <v>278</v>
      </c>
      <c r="C312" s="187" t="s">
        <v>1031</v>
      </c>
      <c r="D312" s="294" t="s">
        <v>1459</v>
      </c>
      <c r="E312" s="8"/>
      <c r="F312" s="8"/>
      <c r="G312" s="25">
        <f t="array" ref="G312">SUM(IF("155"&amp;C312=KHN&amp;MH,SL))</f>
        <v>20</v>
      </c>
      <c r="H312" s="25">
        <f t="array" ref="H312">SUM(IF("155"&amp;C312=KHN&amp;MH,TH))</f>
        <v>405744</v>
      </c>
      <c r="I312" s="25">
        <f t="array" ref="I312">SUM(IF("155"&amp;C312=KHC&amp;MH,SL))</f>
        <v>20</v>
      </c>
      <c r="J312" s="25">
        <f t="array" ref="J312">SUM(IF("155"&amp;C312=KHC&amp;MH,TH))</f>
        <v>405744</v>
      </c>
      <c r="K312" s="8">
        <f t="shared" si="39"/>
        <v>0</v>
      </c>
      <c r="L312" s="8">
        <f t="shared" si="40"/>
        <v>0</v>
      </c>
      <c r="M312" s="282"/>
    </row>
    <row r="313" spans="1:13" ht="18.75" customHeight="1">
      <c r="A313" s="282" t="str">
        <f t="shared" si="41"/>
        <v>TP</v>
      </c>
      <c r="B313" s="295">
        <f t="shared" si="42"/>
        <v>279</v>
      </c>
      <c r="C313" s="190" t="s">
        <v>1002</v>
      </c>
      <c r="D313" s="294" t="s">
        <v>1459</v>
      </c>
      <c r="E313" s="8"/>
      <c r="F313" s="8"/>
      <c r="G313" s="25">
        <f t="array" ref="G313">SUM(IF("155"&amp;C313=KHN&amp;MH,SL))</f>
        <v>20</v>
      </c>
      <c r="H313" s="25">
        <f t="array" ref="H313">SUM(IF("155"&amp;C313=KHN&amp;MH,TH))</f>
        <v>438135</v>
      </c>
      <c r="I313" s="25">
        <f t="array" ref="I313">SUM(IF("155"&amp;C313=KHC&amp;MH,SL))</f>
        <v>20</v>
      </c>
      <c r="J313" s="25">
        <f t="array" ref="J313">SUM(IF("155"&amp;C313=KHC&amp;MH,TH))</f>
        <v>438135</v>
      </c>
      <c r="K313" s="8">
        <f t="shared" si="39"/>
        <v>0</v>
      </c>
      <c r="L313" s="8">
        <f t="shared" si="40"/>
        <v>0</v>
      </c>
      <c r="M313" s="282"/>
    </row>
    <row r="314" spans="1:13" ht="18.75" customHeight="1">
      <c r="A314" s="282" t="str">
        <f t="shared" si="41"/>
        <v>TP</v>
      </c>
      <c r="B314" s="295">
        <f t="shared" si="42"/>
        <v>280</v>
      </c>
      <c r="C314" s="187" t="s">
        <v>1030</v>
      </c>
      <c r="D314" s="294" t="s">
        <v>1459</v>
      </c>
      <c r="E314" s="8"/>
      <c r="F314" s="8"/>
      <c r="G314" s="25">
        <f t="array" ref="G314">SUM(IF("155"&amp;C314=KHN&amp;MH,SL))</f>
        <v>20</v>
      </c>
      <c r="H314" s="25">
        <f t="array" ref="H314">SUM(IF("155"&amp;C314=KHN&amp;MH,TH))</f>
        <v>453479</v>
      </c>
      <c r="I314" s="25">
        <f t="array" ref="I314">SUM(IF("155"&amp;C314=KHC&amp;MH,SL))</f>
        <v>20</v>
      </c>
      <c r="J314" s="25">
        <f t="array" ref="J314">SUM(IF("155"&amp;C314=KHC&amp;MH,TH))</f>
        <v>453479</v>
      </c>
      <c r="K314" s="8">
        <f t="shared" si="39"/>
        <v>0</v>
      </c>
      <c r="L314" s="8">
        <f t="shared" si="40"/>
        <v>0</v>
      </c>
      <c r="M314" s="282"/>
    </row>
    <row r="315" spans="1:13" ht="18.75" customHeight="1">
      <c r="A315" s="282" t="str">
        <f t="shared" si="41"/>
        <v>TP</v>
      </c>
      <c r="B315" s="295">
        <f t="shared" si="42"/>
        <v>281</v>
      </c>
      <c r="C315" s="40" t="s">
        <v>1409</v>
      </c>
      <c r="D315" s="294" t="s">
        <v>1459</v>
      </c>
      <c r="E315" s="8"/>
      <c r="F315" s="8"/>
      <c r="G315" s="25">
        <f t="array" ref="G315">SUM(IF("155"&amp;C315=KHN&amp;MH,SL))</f>
        <v>708</v>
      </c>
      <c r="H315" s="25">
        <f t="array" ref="H315">SUM(IF("155"&amp;C315=KHN&amp;MH,TH))</f>
        <v>6278758</v>
      </c>
      <c r="I315" s="25">
        <f t="array" ref="I315">SUM(IF("155"&amp;C315=KHC&amp;MH,SL))</f>
        <v>708</v>
      </c>
      <c r="J315" s="25">
        <f t="array" ref="J315">SUM(IF("155"&amp;C315=KHC&amp;MH,TH))</f>
        <v>6278758</v>
      </c>
      <c r="K315" s="8">
        <f t="shared" si="39"/>
        <v>0</v>
      </c>
      <c r="L315" s="8">
        <f t="shared" si="40"/>
        <v>0</v>
      </c>
      <c r="M315" s="282"/>
    </row>
    <row r="316" spans="1:13" ht="18.75" customHeight="1">
      <c r="A316" s="282" t="str">
        <f t="shared" si="41"/>
        <v>TP</v>
      </c>
      <c r="B316" s="295">
        <f t="shared" si="42"/>
        <v>282</v>
      </c>
      <c r="C316" s="40" t="s">
        <v>1382</v>
      </c>
      <c r="D316" s="294" t="s">
        <v>1459</v>
      </c>
      <c r="E316" s="8"/>
      <c r="F316" s="8"/>
      <c r="G316" s="25">
        <f t="array" ref="G316">SUM(IF("155"&amp;C316=KHN&amp;MH,SL))</f>
        <v>300</v>
      </c>
      <c r="H316" s="25">
        <f t="array" ref="H316">SUM(IF("155"&amp;C316=KHN&amp;MH,TH))</f>
        <v>2606869</v>
      </c>
      <c r="I316" s="25">
        <f t="array" ref="I316">SUM(IF("155"&amp;C316=KHC&amp;MH,SL))</f>
        <v>300</v>
      </c>
      <c r="J316" s="25">
        <f t="array" ref="J316">SUM(IF("155"&amp;C316=KHC&amp;MH,TH))</f>
        <v>2606869</v>
      </c>
      <c r="K316" s="8">
        <f t="shared" si="39"/>
        <v>0</v>
      </c>
      <c r="L316" s="8">
        <f t="shared" si="40"/>
        <v>0</v>
      </c>
      <c r="M316" s="282"/>
    </row>
    <row r="317" spans="1:13" ht="18.75" customHeight="1">
      <c r="A317" s="282" t="str">
        <f t="shared" si="41"/>
        <v>TP</v>
      </c>
      <c r="B317" s="295">
        <f t="shared" si="42"/>
        <v>283</v>
      </c>
      <c r="C317" s="187" t="s">
        <v>972</v>
      </c>
      <c r="D317" s="294" t="s">
        <v>1459</v>
      </c>
      <c r="E317" s="8"/>
      <c r="F317" s="8"/>
      <c r="G317" s="25">
        <f t="array" ref="G317">SUM(IF("155"&amp;C317=KHN&amp;MH,SL))</f>
        <v>412</v>
      </c>
      <c r="H317" s="25">
        <f t="array" ref="H317">SUM(IF("155"&amp;C317=KHN&amp;MH,TH))</f>
        <v>3897994</v>
      </c>
      <c r="I317" s="25">
        <f t="array" ref="I317">SUM(IF("155"&amp;C317=KHC&amp;MH,SL))</f>
        <v>412</v>
      </c>
      <c r="J317" s="25">
        <f t="array" ref="J317">SUM(IF("155"&amp;C317=KHC&amp;MH,TH))</f>
        <v>3897994</v>
      </c>
      <c r="K317" s="8">
        <f t="shared" si="39"/>
        <v>0</v>
      </c>
      <c r="L317" s="8">
        <f t="shared" si="40"/>
        <v>0</v>
      </c>
      <c r="M317" s="282"/>
    </row>
    <row r="318" spans="1:13" ht="18.75" customHeight="1">
      <c r="A318" s="282" t="str">
        <f t="shared" si="41"/>
        <v>TP</v>
      </c>
      <c r="B318" s="295">
        <f t="shared" si="42"/>
        <v>284</v>
      </c>
      <c r="C318" s="190" t="s">
        <v>441</v>
      </c>
      <c r="D318" s="294" t="s">
        <v>1459</v>
      </c>
      <c r="E318" s="8"/>
      <c r="F318" s="8"/>
      <c r="G318" s="25">
        <f t="array" ref="G318">SUM(IF("155"&amp;C318=KHN&amp;MH,SL))</f>
        <v>4368</v>
      </c>
      <c r="H318" s="25">
        <f t="array" ref="H318">SUM(IF("155"&amp;C318=KHN&amp;MH,TH))</f>
        <v>61875258</v>
      </c>
      <c r="I318" s="25">
        <f t="array" ref="I318">SUM(IF("155"&amp;C318=KHC&amp;MH,SL))</f>
        <v>4368</v>
      </c>
      <c r="J318" s="25">
        <f t="array" ref="J318">SUM(IF("155"&amp;C318=KHC&amp;MH,TH))</f>
        <v>61875258</v>
      </c>
      <c r="K318" s="8">
        <f t="shared" si="39"/>
        <v>0</v>
      </c>
      <c r="L318" s="8">
        <f t="shared" si="40"/>
        <v>0</v>
      </c>
      <c r="M318" s="282"/>
    </row>
    <row r="319" spans="1:13" ht="18.75" customHeight="1">
      <c r="A319" s="282" t="str">
        <f t="shared" si="41"/>
        <v>TP</v>
      </c>
      <c r="B319" s="295">
        <f t="shared" si="42"/>
        <v>285</v>
      </c>
      <c r="C319" s="40" t="s">
        <v>1403</v>
      </c>
      <c r="D319" s="294" t="s">
        <v>1459</v>
      </c>
      <c r="E319" s="8"/>
      <c r="F319" s="8"/>
      <c r="G319" s="25">
        <f t="array" ref="G319">SUM(IF("155"&amp;C319=KHN&amp;MH,SL))</f>
        <v>469</v>
      </c>
      <c r="H319" s="25">
        <f t="array" ref="H319">SUM(IF("155"&amp;C319=KHN&amp;MH,TH))</f>
        <v>6330727</v>
      </c>
      <c r="I319" s="25">
        <f t="array" ref="I319">SUM(IF("155"&amp;C319=KHC&amp;MH,SL))</f>
        <v>469</v>
      </c>
      <c r="J319" s="25">
        <f t="array" ref="J319">SUM(IF("155"&amp;C319=KHC&amp;MH,TH))</f>
        <v>6330727</v>
      </c>
      <c r="K319" s="8">
        <f t="shared" si="39"/>
        <v>0</v>
      </c>
      <c r="L319" s="8">
        <f t="shared" si="40"/>
        <v>0</v>
      </c>
      <c r="M319" s="282"/>
    </row>
    <row r="320" spans="1:13" ht="18.75" customHeight="1">
      <c r="A320" s="282" t="str">
        <f t="shared" si="41"/>
        <v>TP</v>
      </c>
      <c r="B320" s="295">
        <f t="shared" si="42"/>
        <v>286</v>
      </c>
      <c r="C320" s="187" t="s">
        <v>1033</v>
      </c>
      <c r="D320" s="294" t="s">
        <v>1459</v>
      </c>
      <c r="E320" s="8"/>
      <c r="F320" s="8"/>
      <c r="G320" s="25">
        <f t="array" ref="G320">SUM(IF("155"&amp;C320=KHN&amp;MH,SL))</f>
        <v>20</v>
      </c>
      <c r="H320" s="25">
        <f t="array" ref="H320">SUM(IF("155"&amp;C320=KHN&amp;MH,TH))</f>
        <v>359714</v>
      </c>
      <c r="I320" s="25">
        <f t="array" ref="I320">SUM(IF("155"&amp;C320=KHC&amp;MH,SL))</f>
        <v>20</v>
      </c>
      <c r="J320" s="25">
        <f t="array" ref="J320">SUM(IF("155"&amp;C320=KHC&amp;MH,TH))</f>
        <v>359714</v>
      </c>
      <c r="K320" s="8">
        <f t="shared" si="39"/>
        <v>0</v>
      </c>
      <c r="L320" s="8">
        <f t="shared" si="40"/>
        <v>0</v>
      </c>
      <c r="M320" s="282"/>
    </row>
    <row r="321" spans="1:13" ht="18.75" customHeight="1">
      <c r="A321" s="282" t="str">
        <f t="shared" si="41"/>
        <v>TP</v>
      </c>
      <c r="B321" s="295">
        <f t="shared" si="42"/>
        <v>287</v>
      </c>
      <c r="C321" s="187" t="s">
        <v>1034</v>
      </c>
      <c r="D321" s="294" t="s">
        <v>1459</v>
      </c>
      <c r="E321" s="8"/>
      <c r="F321" s="8"/>
      <c r="G321" s="25">
        <f t="array" ref="G321">SUM(IF("155"&amp;C321=KHN&amp;MH,SL))</f>
        <v>20</v>
      </c>
      <c r="H321" s="25">
        <f t="array" ref="H321">SUM(IF("155"&amp;C321=KHN&amp;MH,TH))</f>
        <v>388696</v>
      </c>
      <c r="I321" s="25">
        <f t="array" ref="I321">SUM(IF("155"&amp;C321=KHC&amp;MH,SL))</f>
        <v>20</v>
      </c>
      <c r="J321" s="25">
        <f t="array" ref="J321">SUM(IF("155"&amp;C321=KHC&amp;MH,TH))</f>
        <v>388696</v>
      </c>
      <c r="K321" s="8">
        <f t="shared" si="39"/>
        <v>0</v>
      </c>
      <c r="L321" s="8">
        <f t="shared" si="40"/>
        <v>0</v>
      </c>
      <c r="M321" s="282"/>
    </row>
    <row r="322" spans="1:13" ht="18.75" customHeight="1">
      <c r="A322" s="282" t="str">
        <f t="shared" si="41"/>
        <v>TP</v>
      </c>
      <c r="B322" s="295">
        <f t="shared" si="42"/>
        <v>288</v>
      </c>
      <c r="C322" s="187" t="s">
        <v>1035</v>
      </c>
      <c r="D322" s="294" t="s">
        <v>1459</v>
      </c>
      <c r="E322" s="8"/>
      <c r="F322" s="8"/>
      <c r="G322" s="25">
        <f t="array" ref="G322">SUM(IF("155"&amp;C322=KHN&amp;MH,SL))</f>
        <v>22</v>
      </c>
      <c r="H322" s="25">
        <f t="array" ref="H322">SUM(IF("155"&amp;C322=KHN&amp;MH,TH))</f>
        <v>472573</v>
      </c>
      <c r="I322" s="25">
        <f t="array" ref="I322">SUM(IF("155"&amp;C322=KHC&amp;MH,SL))</f>
        <v>22</v>
      </c>
      <c r="J322" s="25">
        <f t="array" ref="J322">SUM(IF("155"&amp;C322=KHC&amp;MH,TH))</f>
        <v>472573</v>
      </c>
      <c r="K322" s="8">
        <f t="shared" si="39"/>
        <v>0</v>
      </c>
      <c r="L322" s="8">
        <f t="shared" si="40"/>
        <v>0</v>
      </c>
      <c r="M322" s="282"/>
    </row>
    <row r="323" spans="1:13" ht="18.75" customHeight="1">
      <c r="A323" s="282" t="str">
        <f t="shared" si="41"/>
        <v>TP</v>
      </c>
      <c r="B323" s="295">
        <f t="shared" si="42"/>
        <v>289</v>
      </c>
      <c r="C323" s="187" t="s">
        <v>1001</v>
      </c>
      <c r="D323" s="294" t="s">
        <v>1459</v>
      </c>
      <c r="E323" s="8"/>
      <c r="F323" s="8"/>
      <c r="G323" s="25">
        <f t="array" ref="G323">SUM(IF("155"&amp;C323=KHN&amp;MH,SL))</f>
        <v>24</v>
      </c>
      <c r="H323" s="25">
        <f t="array" ref="H323">SUM(IF("155"&amp;C323=KHN&amp;MH,TH))</f>
        <v>546220</v>
      </c>
      <c r="I323" s="25">
        <f t="array" ref="I323">SUM(IF("155"&amp;C323=KHC&amp;MH,SL))</f>
        <v>24</v>
      </c>
      <c r="J323" s="25">
        <f t="array" ref="J323">SUM(IF("155"&amp;C323=KHC&amp;MH,TH))</f>
        <v>546220</v>
      </c>
      <c r="K323" s="8">
        <f t="shared" si="39"/>
        <v>0</v>
      </c>
      <c r="L323" s="8">
        <f t="shared" si="40"/>
        <v>0</v>
      </c>
      <c r="M323" s="282"/>
    </row>
    <row r="324" spans="1:13" ht="18.75" customHeight="1">
      <c r="A324" s="282" t="str">
        <f t="shared" si="41"/>
        <v>TP</v>
      </c>
      <c r="B324" s="295">
        <f t="shared" si="42"/>
        <v>290</v>
      </c>
      <c r="C324" s="187" t="s">
        <v>1003</v>
      </c>
      <c r="D324" s="294" t="s">
        <v>1459</v>
      </c>
      <c r="E324" s="8"/>
      <c r="F324" s="8"/>
      <c r="G324" s="25">
        <f t="array" ref="G324">SUM(IF("155"&amp;C324=KHN&amp;MH,SL))</f>
        <v>22</v>
      </c>
      <c r="H324" s="25">
        <f t="array" ref="H324">SUM(IF("155"&amp;C324=KHN&amp;MH,TH))</f>
        <v>511954</v>
      </c>
      <c r="I324" s="25">
        <f t="array" ref="I324">SUM(IF("155"&amp;C324=KHC&amp;MH,SL))</f>
        <v>22</v>
      </c>
      <c r="J324" s="25">
        <f t="array" ref="J324">SUM(IF("155"&amp;C324=KHC&amp;MH,TH))</f>
        <v>511954</v>
      </c>
      <c r="K324" s="8">
        <f t="shared" si="39"/>
        <v>0</v>
      </c>
      <c r="L324" s="8">
        <f t="shared" si="40"/>
        <v>0</v>
      </c>
      <c r="M324" s="282"/>
    </row>
    <row r="325" spans="1:13" ht="18.75" customHeight="1">
      <c r="A325" s="282" t="str">
        <f t="shared" si="41"/>
        <v>TP</v>
      </c>
      <c r="B325" s="295">
        <f t="shared" si="42"/>
        <v>291</v>
      </c>
      <c r="C325" s="190" t="s">
        <v>913</v>
      </c>
      <c r="D325" s="294" t="s">
        <v>1459</v>
      </c>
      <c r="E325" s="8"/>
      <c r="F325" s="8"/>
      <c r="G325" s="25">
        <f t="array" ref="G325">SUM(IF("155"&amp;C325=KHN&amp;MH,SL))</f>
        <v>37</v>
      </c>
      <c r="H325" s="25">
        <f t="array" ref="H325">SUM(IF("155"&amp;C325=KHN&amp;MH,TH))</f>
        <v>830373</v>
      </c>
      <c r="I325" s="25">
        <f t="array" ref="I325">SUM(IF("155"&amp;C325=KHC&amp;MH,SL))</f>
        <v>37</v>
      </c>
      <c r="J325" s="25">
        <f t="array" ref="J325">SUM(IF("155"&amp;C325=KHC&amp;MH,TH))</f>
        <v>830373</v>
      </c>
      <c r="K325" s="8">
        <f t="shared" si="39"/>
        <v>0</v>
      </c>
      <c r="L325" s="8">
        <f t="shared" si="40"/>
        <v>0</v>
      </c>
      <c r="M325" s="282"/>
    </row>
    <row r="326" spans="1:13" ht="18.75" customHeight="1">
      <c r="A326" s="282" t="str">
        <f t="shared" si="41"/>
        <v>TP</v>
      </c>
      <c r="B326" s="295">
        <f t="shared" si="42"/>
        <v>292</v>
      </c>
      <c r="C326" s="190" t="s">
        <v>897</v>
      </c>
      <c r="D326" s="294" t="s">
        <v>1459</v>
      </c>
      <c r="E326" s="8"/>
      <c r="F326" s="8"/>
      <c r="G326" s="25">
        <f t="array" ref="G326">SUM(IF("155"&amp;C326=KHN&amp;MH,SL))</f>
        <v>1740</v>
      </c>
      <c r="H326" s="25">
        <f t="array" ref="H326">SUM(IF("155"&amp;C326=KHN&amp;MH,TH))</f>
        <v>21084694</v>
      </c>
      <c r="I326" s="25">
        <f t="array" ref="I326">SUM(IF("155"&amp;C326=KHC&amp;MH,SL))</f>
        <v>1740</v>
      </c>
      <c r="J326" s="25">
        <f t="array" ref="J326">SUM(IF("155"&amp;C326=KHC&amp;MH,TH))</f>
        <v>21084694</v>
      </c>
      <c r="K326" s="8">
        <f t="shared" si="39"/>
        <v>0</v>
      </c>
      <c r="L326" s="8">
        <f t="shared" si="40"/>
        <v>0</v>
      </c>
      <c r="M326" s="282"/>
    </row>
    <row r="327" spans="1:13" ht="18.75" customHeight="1">
      <c r="A327" s="282" t="str">
        <f t="shared" si="41"/>
        <v>TP</v>
      </c>
      <c r="B327" s="295">
        <f t="shared" si="42"/>
        <v>293</v>
      </c>
      <c r="C327" s="40" t="s">
        <v>1481</v>
      </c>
      <c r="D327" s="294" t="s">
        <v>1459</v>
      </c>
      <c r="E327" s="8"/>
      <c r="F327" s="8"/>
      <c r="G327" s="25">
        <f t="array" ref="G327">SUM(IF("155"&amp;C327=KHN&amp;MH,SL))</f>
        <v>114</v>
      </c>
      <c r="H327" s="25">
        <f t="array" ref="H327">SUM(IF("155"&amp;C327=KHN&amp;MH,TH))</f>
        <v>1057933</v>
      </c>
      <c r="I327" s="25">
        <f t="array" ref="I327">SUM(IF("155"&amp;C327=KHC&amp;MH,SL))</f>
        <v>114</v>
      </c>
      <c r="J327" s="25">
        <f t="array" ref="J327">SUM(IF("155"&amp;C327=KHC&amp;MH,TH))</f>
        <v>1057933</v>
      </c>
      <c r="K327" s="8">
        <f t="shared" si="39"/>
        <v>0</v>
      </c>
      <c r="L327" s="8">
        <f t="shared" si="40"/>
        <v>0</v>
      </c>
      <c r="M327" s="282"/>
    </row>
    <row r="328" spans="1:13" ht="18.75" customHeight="1">
      <c r="A328" s="282" t="str">
        <f t="shared" si="41"/>
        <v>TP</v>
      </c>
      <c r="B328" s="295">
        <f t="shared" si="42"/>
        <v>294</v>
      </c>
      <c r="C328" s="190" t="s">
        <v>549</v>
      </c>
      <c r="D328" s="294" t="s">
        <v>1459</v>
      </c>
      <c r="E328" s="8"/>
      <c r="F328" s="8"/>
      <c r="G328" s="25">
        <f t="array" ref="G328">SUM(IF("155"&amp;C328=KHN&amp;MH,SL))</f>
        <v>151</v>
      </c>
      <c r="H328" s="25">
        <f t="array" ref="H328">SUM(IF("155"&amp;C328=KHN&amp;MH,TH))</f>
        <v>1789110</v>
      </c>
      <c r="I328" s="25">
        <f t="array" ref="I328">SUM(IF("155"&amp;C328=KHC&amp;MH,SL))</f>
        <v>151</v>
      </c>
      <c r="J328" s="25">
        <f t="array" ref="J328">SUM(IF("155"&amp;C328=KHC&amp;MH,TH))</f>
        <v>1789110</v>
      </c>
      <c r="K328" s="8">
        <f t="shared" si="39"/>
        <v>0</v>
      </c>
      <c r="L328" s="8">
        <f t="shared" si="40"/>
        <v>0</v>
      </c>
      <c r="M328" s="282"/>
    </row>
    <row r="329" spans="1:13" ht="18.75" customHeight="1">
      <c r="A329" s="282" t="str">
        <f t="shared" si="41"/>
        <v>TP</v>
      </c>
      <c r="B329" s="295">
        <f t="shared" si="42"/>
        <v>295</v>
      </c>
      <c r="C329" s="190" t="s">
        <v>659</v>
      </c>
      <c r="D329" s="294" t="s">
        <v>1459</v>
      </c>
      <c r="E329" s="8"/>
      <c r="F329" s="8"/>
      <c r="G329" s="25">
        <f t="array" ref="G329">SUM(IF("155"&amp;C329=KHN&amp;MH,SL))</f>
        <v>518</v>
      </c>
      <c r="H329" s="25">
        <f t="array" ref="H329">SUM(IF("155"&amp;C329=KHN&amp;MH,TH))</f>
        <v>6223168</v>
      </c>
      <c r="I329" s="25">
        <f t="array" ref="I329">SUM(IF("155"&amp;C329=KHC&amp;MH,SL))</f>
        <v>518</v>
      </c>
      <c r="J329" s="25">
        <f t="array" ref="J329">SUM(IF("155"&amp;C329=KHC&amp;MH,TH))</f>
        <v>6223168</v>
      </c>
      <c r="K329" s="8">
        <f t="shared" si="39"/>
        <v>0</v>
      </c>
      <c r="L329" s="8">
        <f t="shared" si="40"/>
        <v>0</v>
      </c>
      <c r="M329" s="282"/>
    </row>
    <row r="330" spans="1:13" ht="18.75" customHeight="1">
      <c r="A330" s="282" t="str">
        <f t="shared" si="41"/>
        <v>TP</v>
      </c>
      <c r="B330" s="295">
        <f t="shared" si="42"/>
        <v>296</v>
      </c>
      <c r="C330" s="40" t="s">
        <v>1541</v>
      </c>
      <c r="D330" s="294" t="s">
        <v>1459</v>
      </c>
      <c r="E330" s="8"/>
      <c r="F330" s="8"/>
      <c r="G330" s="25">
        <f t="array" ref="G330">SUM(IF("155"&amp;C330=KHN&amp;MH,SL))</f>
        <v>127</v>
      </c>
      <c r="H330" s="25">
        <f t="array" ref="H330">SUM(IF("155"&amp;C330=KHN&amp;MH,TH))</f>
        <v>1875006</v>
      </c>
      <c r="I330" s="25">
        <f t="array" ref="I330">SUM(IF("155"&amp;C330=KHC&amp;MH,SL))</f>
        <v>127</v>
      </c>
      <c r="J330" s="25">
        <f t="array" ref="J330">SUM(IF("155"&amp;C330=KHC&amp;MH,TH))</f>
        <v>1875006</v>
      </c>
      <c r="K330" s="8">
        <f t="shared" si="39"/>
        <v>0</v>
      </c>
      <c r="L330" s="8">
        <f t="shared" si="40"/>
        <v>0</v>
      </c>
      <c r="M330" s="282"/>
    </row>
    <row r="331" spans="1:13" ht="18.75" customHeight="1">
      <c r="A331" s="282" t="str">
        <f t="shared" si="41"/>
        <v>TP</v>
      </c>
      <c r="B331" s="295">
        <f t="shared" si="42"/>
        <v>297</v>
      </c>
      <c r="C331" s="187" t="s">
        <v>640</v>
      </c>
      <c r="D331" s="294" t="s">
        <v>1459</v>
      </c>
      <c r="E331" s="8"/>
      <c r="F331" s="8"/>
      <c r="G331" s="25">
        <f t="array" ref="G331">SUM(IF("155"&amp;C331=KHN&amp;MH,SL))</f>
        <v>1407</v>
      </c>
      <c r="H331" s="25">
        <f t="array" ref="H331">SUM(IF("155"&amp;C331=KHN&amp;MH,TH))</f>
        <v>19723090</v>
      </c>
      <c r="I331" s="25">
        <f t="array" ref="I331">SUM(IF("155"&amp;C331=KHC&amp;MH,SL))</f>
        <v>1407</v>
      </c>
      <c r="J331" s="25">
        <f t="array" ref="J331">SUM(IF("155"&amp;C331=KHC&amp;MH,TH))</f>
        <v>19723090</v>
      </c>
      <c r="K331" s="8">
        <f t="shared" si="39"/>
        <v>0</v>
      </c>
      <c r="L331" s="8">
        <f t="shared" si="40"/>
        <v>0</v>
      </c>
      <c r="M331" s="282"/>
    </row>
    <row r="332" spans="1:13" ht="18.75" customHeight="1">
      <c r="A332" s="282" t="str">
        <f t="shared" si="41"/>
        <v>TP</v>
      </c>
      <c r="B332" s="295">
        <f t="shared" si="42"/>
        <v>298</v>
      </c>
      <c r="C332" s="187" t="s">
        <v>985</v>
      </c>
      <c r="D332" s="294" t="s">
        <v>1459</v>
      </c>
      <c r="E332" s="8"/>
      <c r="F332" s="8"/>
      <c r="G332" s="25">
        <f t="array" ref="G332">SUM(IF("155"&amp;C332=KHN&amp;MH,SL))</f>
        <v>308</v>
      </c>
      <c r="H332" s="25">
        <f t="array" ref="H332">SUM(IF("155"&amp;C332=KHN&amp;MH,TH))</f>
        <v>3544295</v>
      </c>
      <c r="I332" s="25">
        <f t="array" ref="I332">SUM(IF("155"&amp;C332=KHC&amp;MH,SL))</f>
        <v>308</v>
      </c>
      <c r="J332" s="25">
        <f t="array" ref="J332">SUM(IF("155"&amp;C332=KHC&amp;MH,TH))</f>
        <v>3544295</v>
      </c>
      <c r="K332" s="8">
        <f t="shared" si="39"/>
        <v>0</v>
      </c>
      <c r="L332" s="8">
        <f t="shared" si="40"/>
        <v>0</v>
      </c>
      <c r="M332" s="282"/>
    </row>
    <row r="333" spans="1:13" ht="18.75" customHeight="1">
      <c r="A333" s="282" t="str">
        <f t="shared" si="41"/>
        <v>TP</v>
      </c>
      <c r="B333" s="295">
        <f t="shared" si="42"/>
        <v>299</v>
      </c>
      <c r="C333" s="40" t="s">
        <v>1418</v>
      </c>
      <c r="D333" s="294" t="s">
        <v>1459</v>
      </c>
      <c r="E333" s="8"/>
      <c r="F333" s="8"/>
      <c r="G333" s="25">
        <f t="array" ref="G333">SUM(IF("155"&amp;C333=KHN&amp;MH,SL))</f>
        <v>48</v>
      </c>
      <c r="H333" s="25">
        <f t="array" ref="H333">SUM(IF("155"&amp;C333=KHN&amp;MH,TH))</f>
        <v>469743</v>
      </c>
      <c r="I333" s="25">
        <f t="array" ref="I333">SUM(IF("155"&amp;C333=KHC&amp;MH,SL))</f>
        <v>48</v>
      </c>
      <c r="J333" s="25">
        <f t="array" ref="J333">SUM(IF("155"&amp;C333=KHC&amp;MH,TH))</f>
        <v>469743</v>
      </c>
      <c r="K333" s="8">
        <f t="shared" si="39"/>
        <v>0</v>
      </c>
      <c r="L333" s="8">
        <f t="shared" si="40"/>
        <v>0</v>
      </c>
      <c r="M333" s="282"/>
    </row>
    <row r="334" spans="1:13" ht="18.75" customHeight="1">
      <c r="A334" s="282" t="str">
        <f t="shared" si="41"/>
        <v>TP</v>
      </c>
      <c r="B334" s="295">
        <f t="shared" si="42"/>
        <v>300</v>
      </c>
      <c r="C334" s="40" t="s">
        <v>1507</v>
      </c>
      <c r="D334" s="294" t="s">
        <v>1459</v>
      </c>
      <c r="E334" s="8"/>
      <c r="F334" s="8"/>
      <c r="G334" s="25">
        <f t="array" ref="G334">SUM(IF("155"&amp;C334=KHN&amp;MH,SL))</f>
        <v>25</v>
      </c>
      <c r="H334" s="25">
        <f t="array" ref="H334">SUM(IF("155"&amp;C334=KHN&amp;MH,TH))</f>
        <v>284731</v>
      </c>
      <c r="I334" s="25">
        <f t="array" ref="I334">SUM(IF("155"&amp;C334=KHC&amp;MH,SL))</f>
        <v>25</v>
      </c>
      <c r="J334" s="25">
        <f t="array" ref="J334">SUM(IF("155"&amp;C334=KHC&amp;MH,TH))</f>
        <v>284731</v>
      </c>
      <c r="K334" s="8">
        <f t="shared" si="39"/>
        <v>0</v>
      </c>
      <c r="L334" s="8">
        <f t="shared" si="40"/>
        <v>0</v>
      </c>
      <c r="M334" s="282"/>
    </row>
    <row r="335" spans="1:13" ht="18.75" customHeight="1">
      <c r="A335" s="282" t="str">
        <f t="shared" si="41"/>
        <v>TP</v>
      </c>
      <c r="B335" s="295">
        <f t="shared" si="42"/>
        <v>301</v>
      </c>
      <c r="C335" s="190" t="s">
        <v>628</v>
      </c>
      <c r="D335" s="294" t="s">
        <v>1459</v>
      </c>
      <c r="E335" s="8"/>
      <c r="F335" s="8"/>
      <c r="G335" s="25">
        <f t="array" ref="G335">SUM(IF("155"&amp;C335=KHN&amp;MH,SL))</f>
        <v>61</v>
      </c>
      <c r="H335" s="25">
        <f t="array" ref="H335">SUM(IF("155"&amp;C335=KHN&amp;MH,TH))</f>
        <v>1445331</v>
      </c>
      <c r="I335" s="25">
        <f t="array" ref="I335">SUM(IF("155"&amp;C335=KHC&amp;MH,SL))</f>
        <v>61</v>
      </c>
      <c r="J335" s="25">
        <f t="array" ref="J335">SUM(IF("155"&amp;C335=KHC&amp;MH,TH))</f>
        <v>1445331</v>
      </c>
      <c r="K335" s="8">
        <f t="shared" si="39"/>
        <v>0</v>
      </c>
      <c r="L335" s="8">
        <f t="shared" si="40"/>
        <v>0</v>
      </c>
      <c r="M335" s="282"/>
    </row>
    <row r="336" spans="1:13" ht="18.75" customHeight="1">
      <c r="A336" s="282" t="str">
        <f t="shared" si="41"/>
        <v>TP</v>
      </c>
      <c r="B336" s="295">
        <f t="shared" si="42"/>
        <v>302</v>
      </c>
      <c r="C336" s="187" t="s">
        <v>961</v>
      </c>
      <c r="D336" s="294" t="s">
        <v>1459</v>
      </c>
      <c r="E336" s="8"/>
      <c r="F336" s="8"/>
      <c r="G336" s="25">
        <f t="array" ref="G336">SUM(IF("155"&amp;C336=KHN&amp;MH,SL))</f>
        <v>205</v>
      </c>
      <c r="H336" s="25">
        <f t="array" ref="H336">SUM(IF("155"&amp;C336=KHN&amp;MH,TH))</f>
        <v>3300885</v>
      </c>
      <c r="I336" s="25">
        <f t="array" ref="I336">SUM(IF("155"&amp;C336=KHC&amp;MH,SL))</f>
        <v>205</v>
      </c>
      <c r="J336" s="25">
        <f t="array" ref="J336">SUM(IF("155"&amp;C336=KHC&amp;MH,TH))</f>
        <v>3300885</v>
      </c>
      <c r="K336" s="8">
        <f t="shared" si="39"/>
        <v>0</v>
      </c>
      <c r="L336" s="8">
        <f t="shared" si="40"/>
        <v>0</v>
      </c>
      <c r="M336" s="282"/>
    </row>
    <row r="337" spans="1:13" ht="18.75" customHeight="1">
      <c r="A337" s="282" t="str">
        <f t="shared" si="41"/>
        <v>TP</v>
      </c>
      <c r="B337" s="295">
        <f t="shared" si="42"/>
        <v>303</v>
      </c>
      <c r="C337" s="190" t="s">
        <v>877</v>
      </c>
      <c r="D337" s="294" t="s">
        <v>1459</v>
      </c>
      <c r="E337" s="8"/>
      <c r="F337" s="8"/>
      <c r="G337" s="25">
        <f t="array" ref="G337">SUM(IF("155"&amp;C337=KHN&amp;MH,SL))</f>
        <v>24</v>
      </c>
      <c r="H337" s="25">
        <f t="array" ref="H337">SUM(IF("155"&amp;C337=KHN&amp;MH,TH))</f>
        <v>816941</v>
      </c>
      <c r="I337" s="25">
        <f t="array" ref="I337">SUM(IF("155"&amp;C337=KHC&amp;MH,SL))</f>
        <v>24</v>
      </c>
      <c r="J337" s="25">
        <f t="array" ref="J337">SUM(IF("155"&amp;C337=KHC&amp;MH,TH))</f>
        <v>816941</v>
      </c>
      <c r="K337" s="8">
        <f t="shared" si="39"/>
        <v>0</v>
      </c>
      <c r="L337" s="8">
        <f t="shared" si="40"/>
        <v>0</v>
      </c>
      <c r="M337" s="282"/>
    </row>
    <row r="338" spans="1:13" ht="18.75" customHeight="1">
      <c r="A338" s="282" t="str">
        <f t="shared" si="41"/>
        <v>TP</v>
      </c>
      <c r="B338" s="295">
        <f t="shared" si="42"/>
        <v>304</v>
      </c>
      <c r="C338" s="190" t="s">
        <v>879</v>
      </c>
      <c r="D338" s="294" t="s">
        <v>1459</v>
      </c>
      <c r="E338" s="8"/>
      <c r="F338" s="8"/>
      <c r="G338" s="25">
        <f t="array" ref="G338">SUM(IF("155"&amp;C338=KHN&amp;MH,SL))</f>
        <v>22</v>
      </c>
      <c r="H338" s="25">
        <f t="array" ref="H338">SUM(IF("155"&amp;C338=KHN&amp;MH,TH))</f>
        <v>846141</v>
      </c>
      <c r="I338" s="25">
        <f t="array" ref="I338">SUM(IF("155"&amp;C338=KHC&amp;MH,SL))</f>
        <v>22</v>
      </c>
      <c r="J338" s="25">
        <f t="array" ref="J338">SUM(IF("155"&amp;C338=KHC&amp;MH,TH))</f>
        <v>846141</v>
      </c>
      <c r="K338" s="8">
        <f t="shared" si="39"/>
        <v>0</v>
      </c>
      <c r="L338" s="8">
        <f t="shared" si="40"/>
        <v>0</v>
      </c>
      <c r="M338" s="282"/>
    </row>
    <row r="339" spans="1:13" ht="18.75" customHeight="1">
      <c r="A339" s="282" t="str">
        <f t="shared" si="41"/>
        <v>TP</v>
      </c>
      <c r="B339" s="295">
        <f t="shared" si="42"/>
        <v>305</v>
      </c>
      <c r="C339" s="190" t="s">
        <v>881</v>
      </c>
      <c r="D339" s="294" t="s">
        <v>1459</v>
      </c>
      <c r="E339" s="8"/>
      <c r="F339" s="8"/>
      <c r="G339" s="25">
        <f t="array" ref="G339">SUM(IF("155"&amp;C339=KHN&amp;MH,SL))</f>
        <v>10</v>
      </c>
      <c r="H339" s="25">
        <f t="array" ref="H339">SUM(IF("155"&amp;C339=KHN&amp;MH,TH))</f>
        <v>409638</v>
      </c>
      <c r="I339" s="25">
        <f t="array" ref="I339">SUM(IF("155"&amp;C339=KHC&amp;MH,SL))</f>
        <v>10</v>
      </c>
      <c r="J339" s="25">
        <f t="array" ref="J339">SUM(IF("155"&amp;C339=KHC&amp;MH,TH))</f>
        <v>409638</v>
      </c>
      <c r="K339" s="8">
        <f t="shared" si="39"/>
        <v>0</v>
      </c>
      <c r="L339" s="8">
        <f t="shared" si="40"/>
        <v>0</v>
      </c>
      <c r="M339" s="282"/>
    </row>
    <row r="340" spans="1:13" ht="18.75" customHeight="1">
      <c r="A340" s="282" t="str">
        <f t="shared" si="41"/>
        <v>TP</v>
      </c>
      <c r="B340" s="295">
        <f t="shared" si="42"/>
        <v>306</v>
      </c>
      <c r="C340" s="190" t="s">
        <v>1018</v>
      </c>
      <c r="D340" s="294" t="s">
        <v>1459</v>
      </c>
      <c r="E340" s="8"/>
      <c r="F340" s="8"/>
      <c r="G340" s="25">
        <f t="array" ref="G340">SUM(IF("155"&amp;C340=KHN&amp;MH,SL))</f>
        <v>50</v>
      </c>
      <c r="H340" s="25">
        <f t="array" ref="H340">SUM(IF("155"&amp;C340=KHN&amp;MH,TH))</f>
        <v>2075603</v>
      </c>
      <c r="I340" s="25">
        <f t="array" ref="I340">SUM(IF("155"&amp;C340=KHC&amp;MH,SL))</f>
        <v>50</v>
      </c>
      <c r="J340" s="25">
        <f t="array" ref="J340">SUM(IF("155"&amp;C340=KHC&amp;MH,TH))</f>
        <v>2075603</v>
      </c>
      <c r="K340" s="8">
        <f t="shared" si="39"/>
        <v>0</v>
      </c>
      <c r="L340" s="8">
        <f t="shared" si="40"/>
        <v>0</v>
      </c>
      <c r="M340" s="282"/>
    </row>
    <row r="341" spans="1:13" ht="18.75" customHeight="1">
      <c r="A341" s="282" t="str">
        <f t="shared" si="41"/>
        <v>TP</v>
      </c>
      <c r="B341" s="295">
        <f t="shared" si="42"/>
        <v>307</v>
      </c>
      <c r="C341" s="190" t="s">
        <v>994</v>
      </c>
      <c r="D341" s="294" t="s">
        <v>1459</v>
      </c>
      <c r="E341" s="8"/>
      <c r="F341" s="8"/>
      <c r="G341" s="25">
        <f t="array" ref="G341">SUM(IF("155"&amp;C341=KHN&amp;MH,SL))</f>
        <v>608</v>
      </c>
      <c r="H341" s="25">
        <f t="array" ref="H341">SUM(IF("155"&amp;C341=KHN&amp;MH,TH))</f>
        <v>8706792</v>
      </c>
      <c r="I341" s="25">
        <f t="array" ref="I341">SUM(IF("155"&amp;C341=KHC&amp;MH,SL))</f>
        <v>608</v>
      </c>
      <c r="J341" s="25">
        <f t="array" ref="J341">SUM(IF("155"&amp;C341=KHC&amp;MH,TH))</f>
        <v>8706792</v>
      </c>
      <c r="K341" s="8">
        <f t="shared" si="39"/>
        <v>0</v>
      </c>
      <c r="L341" s="8">
        <f t="shared" si="40"/>
        <v>0</v>
      </c>
      <c r="M341" s="282"/>
    </row>
    <row r="342" spans="1:13" ht="18.75" customHeight="1">
      <c r="A342" s="282" t="str">
        <f t="shared" si="41"/>
        <v>TP</v>
      </c>
      <c r="B342" s="295">
        <f t="shared" si="42"/>
        <v>308</v>
      </c>
      <c r="C342" s="190" t="s">
        <v>955</v>
      </c>
      <c r="D342" s="294" t="s">
        <v>1459</v>
      </c>
      <c r="E342" s="8"/>
      <c r="F342" s="8"/>
      <c r="G342" s="25">
        <f t="array" ref="G342">SUM(IF("155"&amp;C342=KHN&amp;MH,SL))</f>
        <v>215</v>
      </c>
      <c r="H342" s="25">
        <f t="array" ref="H342">SUM(IF("155"&amp;C342=KHN&amp;MH,TH))</f>
        <v>4061366</v>
      </c>
      <c r="I342" s="25">
        <f t="array" ref="I342">SUM(IF("155"&amp;C342=KHC&amp;MH,SL))</f>
        <v>215</v>
      </c>
      <c r="J342" s="25">
        <f t="array" ref="J342">SUM(IF("155"&amp;C342=KHC&amp;MH,TH))</f>
        <v>4061366</v>
      </c>
      <c r="K342" s="8">
        <f t="shared" si="39"/>
        <v>0</v>
      </c>
      <c r="L342" s="8">
        <f t="shared" si="40"/>
        <v>0</v>
      </c>
      <c r="M342" s="282"/>
    </row>
    <row r="343" spans="1:13" ht="18.75" customHeight="1">
      <c r="A343" s="282" t="str">
        <f t="shared" si="41"/>
        <v>TP</v>
      </c>
      <c r="B343" s="295">
        <f t="shared" si="42"/>
        <v>309</v>
      </c>
      <c r="C343" s="190" t="s">
        <v>1009</v>
      </c>
      <c r="D343" s="294" t="s">
        <v>1459</v>
      </c>
      <c r="E343" s="8"/>
      <c r="F343" s="8"/>
      <c r="G343" s="25">
        <f t="array" ref="G343">SUM(IF("155"&amp;C343=KHN&amp;MH,SL))</f>
        <v>52</v>
      </c>
      <c r="H343" s="25">
        <f t="array" ref="H343">SUM(IF("155"&amp;C343=KHN&amp;MH,TH))</f>
        <v>1081530</v>
      </c>
      <c r="I343" s="25">
        <f t="array" ref="I343">SUM(IF("155"&amp;C343=KHC&amp;MH,SL))</f>
        <v>52</v>
      </c>
      <c r="J343" s="25">
        <f t="array" ref="J343">SUM(IF("155"&amp;C343=KHC&amp;MH,TH))</f>
        <v>1081530</v>
      </c>
      <c r="K343" s="8">
        <f t="shared" si="39"/>
        <v>0</v>
      </c>
      <c r="L343" s="8">
        <f t="shared" si="40"/>
        <v>0</v>
      </c>
      <c r="M343" s="282"/>
    </row>
    <row r="344" spans="1:13" ht="18.75" customHeight="1">
      <c r="A344" s="282" t="str">
        <f t="shared" si="41"/>
        <v>TP</v>
      </c>
      <c r="B344" s="295">
        <f t="shared" si="42"/>
        <v>310</v>
      </c>
      <c r="C344" s="187" t="s">
        <v>1013</v>
      </c>
      <c r="D344" s="294" t="s">
        <v>1459</v>
      </c>
      <c r="E344" s="8"/>
      <c r="F344" s="8"/>
      <c r="G344" s="25">
        <f t="array" ref="G344">SUM(IF("155"&amp;C344=KHN&amp;MH,SL))</f>
        <v>50</v>
      </c>
      <c r="H344" s="25">
        <f t="array" ref="H344">SUM(IF("155"&amp;C344=KHN&amp;MH,TH))</f>
        <v>2088389</v>
      </c>
      <c r="I344" s="25">
        <f t="array" ref="I344">SUM(IF("155"&amp;C344=KHC&amp;MH,SL))</f>
        <v>50</v>
      </c>
      <c r="J344" s="25">
        <f t="array" ref="J344">SUM(IF("155"&amp;C344=KHC&amp;MH,TH))</f>
        <v>2088389</v>
      </c>
      <c r="K344" s="8">
        <f t="shared" si="39"/>
        <v>0</v>
      </c>
      <c r="L344" s="8">
        <f t="shared" si="40"/>
        <v>0</v>
      </c>
      <c r="M344" s="282"/>
    </row>
    <row r="345" spans="1:13" ht="18.75" customHeight="1">
      <c r="A345" s="282" t="str">
        <f t="shared" si="41"/>
        <v>TP</v>
      </c>
      <c r="B345" s="295">
        <f t="shared" si="42"/>
        <v>311</v>
      </c>
      <c r="C345" s="187" t="s">
        <v>1021</v>
      </c>
      <c r="D345" s="294" t="s">
        <v>1459</v>
      </c>
      <c r="E345" s="8"/>
      <c r="F345" s="8"/>
      <c r="G345" s="25">
        <f t="array" ref="G345">SUM(IF("155"&amp;C345=KHN&amp;MH,SL))</f>
        <v>50</v>
      </c>
      <c r="H345" s="25">
        <f t="array" ref="H345">SUM(IF("155"&amp;C345=KHN&amp;MH,TH))</f>
        <v>2523115</v>
      </c>
      <c r="I345" s="25">
        <f t="array" ref="I345">SUM(IF("155"&amp;C345=KHC&amp;MH,SL))</f>
        <v>50</v>
      </c>
      <c r="J345" s="25">
        <f t="array" ref="J345">SUM(IF("155"&amp;C345=KHC&amp;MH,TH))</f>
        <v>2523115</v>
      </c>
      <c r="K345" s="8">
        <f t="shared" si="39"/>
        <v>0</v>
      </c>
      <c r="L345" s="8">
        <f t="shared" si="40"/>
        <v>0</v>
      </c>
      <c r="M345" s="282"/>
    </row>
    <row r="346" spans="1:13" ht="18.75" customHeight="1">
      <c r="A346" s="282" t="str">
        <f t="shared" si="41"/>
        <v>TP</v>
      </c>
      <c r="B346" s="295">
        <f t="shared" si="42"/>
        <v>312</v>
      </c>
      <c r="C346" s="187" t="s">
        <v>1020</v>
      </c>
      <c r="D346" s="294" t="s">
        <v>1459</v>
      </c>
      <c r="E346" s="8"/>
      <c r="F346" s="8"/>
      <c r="G346" s="25">
        <f t="array" ref="G346">SUM(IF("155"&amp;C346=KHN&amp;MH,SL))</f>
        <v>5</v>
      </c>
      <c r="H346" s="25">
        <f t="array" ref="H346">SUM(IF("155"&amp;C346=KHN&amp;MH,TH))</f>
        <v>282572</v>
      </c>
      <c r="I346" s="25">
        <f t="array" ref="I346">SUM(IF("155"&amp;C346=KHC&amp;MH,SL))</f>
        <v>5</v>
      </c>
      <c r="J346" s="25">
        <f t="array" ref="J346">SUM(IF("155"&amp;C346=KHC&amp;MH,TH))</f>
        <v>282572</v>
      </c>
      <c r="K346" s="8">
        <f t="shared" si="39"/>
        <v>0</v>
      </c>
      <c r="L346" s="8">
        <f t="shared" si="40"/>
        <v>0</v>
      </c>
      <c r="M346" s="282"/>
    </row>
    <row r="347" spans="1:13" ht="18.75" customHeight="1">
      <c r="A347" s="282" t="str">
        <f t="shared" si="41"/>
        <v>TP</v>
      </c>
      <c r="B347" s="295">
        <f t="shared" si="42"/>
        <v>313</v>
      </c>
      <c r="C347" s="187" t="s">
        <v>1032</v>
      </c>
      <c r="D347" s="294" t="s">
        <v>1459</v>
      </c>
      <c r="E347" s="8"/>
      <c r="F347" s="8"/>
      <c r="G347" s="25">
        <f t="array" ref="G347">SUM(IF("155"&amp;C347=KHN&amp;MH,SL))</f>
        <v>60</v>
      </c>
      <c r="H347" s="25">
        <f t="array" ref="H347">SUM(IF("155"&amp;C347=KHN&amp;MH,TH))</f>
        <v>1595700</v>
      </c>
      <c r="I347" s="25">
        <f t="array" ref="I347">SUM(IF("155"&amp;C347=KHC&amp;MH,SL))</f>
        <v>60</v>
      </c>
      <c r="J347" s="25">
        <f t="array" ref="J347">SUM(IF("155"&amp;C347=KHC&amp;MH,TH))</f>
        <v>1595700</v>
      </c>
      <c r="K347" s="8">
        <f t="shared" si="39"/>
        <v>0</v>
      </c>
      <c r="L347" s="8">
        <f t="shared" si="40"/>
        <v>0</v>
      </c>
      <c r="M347" s="282"/>
    </row>
    <row r="348" spans="1:13" ht="18.75" customHeight="1">
      <c r="A348" s="282" t="str">
        <f t="shared" si="41"/>
        <v>TP</v>
      </c>
      <c r="B348" s="295">
        <f t="shared" si="42"/>
        <v>314</v>
      </c>
      <c r="C348" s="187" t="s">
        <v>1012</v>
      </c>
      <c r="D348" s="294" t="s">
        <v>1459</v>
      </c>
      <c r="E348" s="8"/>
      <c r="F348" s="8"/>
      <c r="G348" s="25">
        <f t="array" ref="G348">SUM(IF("155"&amp;C348=KHN&amp;MH,SL))</f>
        <v>56</v>
      </c>
      <c r="H348" s="25">
        <f t="array" ref="H348">SUM(IF("155"&amp;C348=KHN&amp;MH,TH))</f>
        <v>1914158</v>
      </c>
      <c r="I348" s="25">
        <f t="array" ref="I348">SUM(IF("155"&amp;C348=KHC&amp;MH,SL))</f>
        <v>56</v>
      </c>
      <c r="J348" s="25">
        <f t="array" ref="J348">SUM(IF("155"&amp;C348=KHC&amp;MH,TH))</f>
        <v>1914158</v>
      </c>
      <c r="K348" s="8">
        <f t="shared" si="39"/>
        <v>0</v>
      </c>
      <c r="L348" s="8">
        <f t="shared" si="40"/>
        <v>0</v>
      </c>
      <c r="M348" s="282"/>
    </row>
    <row r="349" spans="1:13" ht="18.75" customHeight="1">
      <c r="A349" s="282" t="str">
        <f t="shared" si="41"/>
        <v>TP</v>
      </c>
      <c r="B349" s="295">
        <f t="shared" si="42"/>
        <v>315</v>
      </c>
      <c r="C349" s="190" t="s">
        <v>928</v>
      </c>
      <c r="D349" s="294" t="s">
        <v>1459</v>
      </c>
      <c r="E349" s="8"/>
      <c r="F349" s="8"/>
      <c r="G349" s="25">
        <f t="array" ref="G349">SUM(IF("155"&amp;C349=KHN&amp;MH,SL))</f>
        <v>500</v>
      </c>
      <c r="H349" s="25">
        <f t="array" ref="H349">SUM(IF("155"&amp;C349=KHN&amp;MH,TH))</f>
        <v>5548057</v>
      </c>
      <c r="I349" s="25">
        <f t="array" ref="I349">SUM(IF("155"&amp;C349=KHC&amp;MH,SL))</f>
        <v>500</v>
      </c>
      <c r="J349" s="25">
        <f t="array" ref="J349">SUM(IF("155"&amp;C349=KHC&amp;MH,TH))</f>
        <v>5548057</v>
      </c>
      <c r="K349" s="8">
        <f t="shared" si="39"/>
        <v>0</v>
      </c>
      <c r="L349" s="8">
        <f t="shared" si="40"/>
        <v>0</v>
      </c>
      <c r="M349" s="282"/>
    </row>
    <row r="350" spans="1:13" ht="18.75" customHeight="1">
      <c r="A350" s="282" t="str">
        <f t="shared" si="41"/>
        <v>TP</v>
      </c>
      <c r="B350" s="295">
        <f t="shared" si="42"/>
        <v>316</v>
      </c>
      <c r="C350" s="190" t="s">
        <v>929</v>
      </c>
      <c r="D350" s="294" t="s">
        <v>1459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8801805</v>
      </c>
      <c r="I350" s="25">
        <f t="array" ref="I350">SUM(IF("155"&amp;C350=KHC&amp;MH,SL))</f>
        <v>500</v>
      </c>
      <c r="J350" s="25">
        <f t="array" ref="J350">SUM(IF("155"&amp;C350=KHC&amp;MH,TH))</f>
        <v>8801805</v>
      </c>
      <c r="K350" s="8">
        <f t="shared" si="39"/>
        <v>0</v>
      </c>
      <c r="L350" s="8">
        <f t="shared" si="40"/>
        <v>0</v>
      </c>
      <c r="M350" s="282"/>
    </row>
    <row r="351" spans="1:13" ht="18.75" customHeight="1">
      <c r="A351" s="282" t="str">
        <f t="shared" si="41"/>
        <v>TP</v>
      </c>
      <c r="B351" s="295">
        <f t="shared" si="42"/>
        <v>317</v>
      </c>
      <c r="C351" s="40" t="s">
        <v>1336</v>
      </c>
      <c r="D351" s="294" t="s">
        <v>1459</v>
      </c>
      <c r="E351" s="8"/>
      <c r="F351" s="8"/>
      <c r="G351" s="25">
        <f t="array" ref="G351">SUM(IF("155"&amp;C351=KHN&amp;MH,SL))</f>
        <v>52</v>
      </c>
      <c r="H351" s="25">
        <f t="array" ref="H351">SUM(IF("155"&amp;C351=KHN&amp;MH,TH))</f>
        <v>460631</v>
      </c>
      <c r="I351" s="25">
        <f t="array" ref="I351">SUM(IF("155"&amp;C351=KHC&amp;MH,SL))</f>
        <v>52</v>
      </c>
      <c r="J351" s="25">
        <f t="array" ref="J351">SUM(IF("155"&amp;C351=KHC&amp;MH,TH))</f>
        <v>460631</v>
      </c>
      <c r="K351" s="8">
        <f t="shared" si="39"/>
        <v>0</v>
      </c>
      <c r="L351" s="8">
        <f t="shared" si="40"/>
        <v>0</v>
      </c>
      <c r="M351" s="282"/>
    </row>
    <row r="352" spans="1:13" ht="18.75" customHeight="1">
      <c r="A352" s="282" t="str">
        <f t="shared" si="41"/>
        <v>TP</v>
      </c>
      <c r="B352" s="295">
        <f t="shared" si="42"/>
        <v>318</v>
      </c>
      <c r="C352" s="190" t="s">
        <v>649</v>
      </c>
      <c r="D352" s="294" t="s">
        <v>1459</v>
      </c>
      <c r="E352" s="8"/>
      <c r="F352" s="8"/>
      <c r="G352" s="25">
        <f t="array" ref="G352">SUM(IF("155"&amp;C352=KHN&amp;MH,SL))</f>
        <v>203</v>
      </c>
      <c r="H352" s="25">
        <f t="array" ref="H352">SUM(IF("155"&amp;C352=KHN&amp;MH,TH))</f>
        <v>2760596</v>
      </c>
      <c r="I352" s="25">
        <f t="array" ref="I352">SUM(IF("155"&amp;C352=KHC&amp;MH,SL))</f>
        <v>203</v>
      </c>
      <c r="J352" s="25">
        <f t="array" ref="J352">SUM(IF("155"&amp;C352=KHC&amp;MH,TH))</f>
        <v>2760596</v>
      </c>
      <c r="K352" s="8">
        <f t="shared" si="39"/>
        <v>0</v>
      </c>
      <c r="L352" s="8">
        <f t="shared" si="40"/>
        <v>0</v>
      </c>
      <c r="M352" s="282"/>
    </row>
    <row r="353" spans="1:13" ht="18.75" customHeight="1">
      <c r="A353" s="282" t="str">
        <f t="shared" si="41"/>
        <v>TP</v>
      </c>
      <c r="B353" s="295">
        <f t="shared" si="42"/>
        <v>319</v>
      </c>
      <c r="C353" s="190" t="s">
        <v>901</v>
      </c>
      <c r="D353" s="294" t="s">
        <v>1459</v>
      </c>
      <c r="E353" s="8"/>
      <c r="F353" s="8"/>
      <c r="G353" s="25">
        <f t="array" ref="G353">SUM(IF("155"&amp;C353=KHN&amp;MH,SL))</f>
        <v>235</v>
      </c>
      <c r="H353" s="25">
        <f t="array" ref="H353">SUM(IF("155"&amp;C353=KHN&amp;MH,TH))</f>
        <v>2391922</v>
      </c>
      <c r="I353" s="25">
        <f t="array" ref="I353">SUM(IF("155"&amp;C353=KHC&amp;MH,SL))</f>
        <v>235</v>
      </c>
      <c r="J353" s="25">
        <f t="array" ref="J353">SUM(IF("155"&amp;C353=KHC&amp;MH,TH))</f>
        <v>2391922</v>
      </c>
      <c r="K353" s="8">
        <f t="shared" si="39"/>
        <v>0</v>
      </c>
      <c r="L353" s="8">
        <f t="shared" si="40"/>
        <v>0</v>
      </c>
      <c r="M353" s="282"/>
    </row>
    <row r="354" spans="1:13" ht="18.75" customHeight="1">
      <c r="A354" s="282" t="str">
        <f t="shared" si="41"/>
        <v>TP</v>
      </c>
      <c r="B354" s="295">
        <f t="shared" si="42"/>
        <v>320</v>
      </c>
      <c r="C354" s="190" t="s">
        <v>931</v>
      </c>
      <c r="D354" s="294" t="s">
        <v>1459</v>
      </c>
      <c r="E354" s="8"/>
      <c r="F354" s="8"/>
      <c r="G354" s="25">
        <f t="array" ref="G354">SUM(IF("155"&amp;C354=KHN&amp;MH,SL))</f>
        <v>110</v>
      </c>
      <c r="H354" s="25">
        <f t="array" ref="H354">SUM(IF("155"&amp;C354=KHN&amp;MH,TH))</f>
        <v>1431649</v>
      </c>
      <c r="I354" s="25">
        <f t="array" ref="I354">SUM(IF("155"&amp;C354=KHC&amp;MH,SL))</f>
        <v>110</v>
      </c>
      <c r="J354" s="25">
        <f t="array" ref="J354">SUM(IF("155"&amp;C354=KHC&amp;MH,TH))</f>
        <v>1431649</v>
      </c>
      <c r="K354" s="8">
        <f t="shared" si="39"/>
        <v>0</v>
      </c>
      <c r="L354" s="8">
        <f t="shared" si="40"/>
        <v>0</v>
      </c>
      <c r="M354" s="282"/>
    </row>
    <row r="355" spans="1:13" ht="18.75" customHeight="1">
      <c r="A355" s="282" t="str">
        <f t="shared" si="41"/>
        <v>TP</v>
      </c>
      <c r="B355" s="295">
        <f t="shared" si="42"/>
        <v>321</v>
      </c>
      <c r="C355" s="187" t="s">
        <v>650</v>
      </c>
      <c r="D355" s="294" t="s">
        <v>1459</v>
      </c>
      <c r="E355" s="8"/>
      <c r="F355" s="8"/>
      <c r="G355" s="25">
        <f t="array" ref="G355">SUM(IF("155"&amp;C355=KHN&amp;MH,SL))</f>
        <v>104</v>
      </c>
      <c r="H355" s="25">
        <f t="array" ref="H355">SUM(IF("155"&amp;C355=KHN&amp;MH,TH))</f>
        <v>1934895</v>
      </c>
      <c r="I355" s="25">
        <f t="array" ref="I355">SUM(IF("155"&amp;C355=KHC&amp;MH,SL))</f>
        <v>104</v>
      </c>
      <c r="J355" s="25">
        <f t="array" ref="J355">SUM(IF("155"&amp;C355=KHC&amp;MH,TH))</f>
        <v>1934895</v>
      </c>
      <c r="K355" s="8">
        <f t="shared" ref="K355:K407" si="43">E355+G355-I355</f>
        <v>0</v>
      </c>
      <c r="L355" s="8">
        <f t="shared" ref="L355:L407" si="44">F355+H355-J355</f>
        <v>0</v>
      </c>
      <c r="M355" s="282"/>
    </row>
    <row r="356" spans="1:13" ht="18.75" customHeight="1">
      <c r="A356" s="282" t="str">
        <f t="shared" si="41"/>
        <v>TP</v>
      </c>
      <c r="B356" s="295">
        <f t="shared" si="42"/>
        <v>322</v>
      </c>
      <c r="C356" s="187" t="s">
        <v>1005</v>
      </c>
      <c r="D356" s="294" t="s">
        <v>1459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518261</v>
      </c>
      <c r="I356" s="25">
        <f t="array" ref="I356">SUM(IF("155"&amp;C356=KHC&amp;MH,SL))</f>
        <v>20</v>
      </c>
      <c r="J356" s="25">
        <f t="array" ref="J356">SUM(IF("155"&amp;C356=KHC&amp;MH,TH))</f>
        <v>518261</v>
      </c>
      <c r="K356" s="8">
        <f t="shared" si="43"/>
        <v>0</v>
      </c>
      <c r="L356" s="8">
        <f t="shared" si="44"/>
        <v>0</v>
      </c>
      <c r="M356" s="282"/>
    </row>
    <row r="357" spans="1:13" ht="18.75" customHeight="1">
      <c r="A357" s="282" t="str">
        <f t="shared" si="41"/>
        <v>TP</v>
      </c>
      <c r="B357" s="295">
        <f t="shared" si="42"/>
        <v>323</v>
      </c>
      <c r="C357" s="190" t="s">
        <v>454</v>
      </c>
      <c r="D357" s="294" t="s">
        <v>1459</v>
      </c>
      <c r="E357" s="8"/>
      <c r="F357" s="8"/>
      <c r="G357" s="25">
        <f t="array" ref="G357">SUM(IF("155"&amp;C357=KHN&amp;MH,SL))</f>
        <v>902</v>
      </c>
      <c r="H357" s="25">
        <f t="array" ref="H357">SUM(IF("155"&amp;C357=KHN&amp;MH,TH))</f>
        <v>16866636</v>
      </c>
      <c r="I357" s="25">
        <f t="array" ref="I357">SUM(IF("155"&amp;C357=KHC&amp;MH,SL))</f>
        <v>902</v>
      </c>
      <c r="J357" s="25">
        <f t="array" ref="J357">SUM(IF("155"&amp;C357=KHC&amp;MH,TH))</f>
        <v>16866636</v>
      </c>
      <c r="K357" s="8">
        <f t="shared" si="43"/>
        <v>0</v>
      </c>
      <c r="L357" s="8">
        <f t="shared" si="44"/>
        <v>0</v>
      </c>
      <c r="M357" s="282"/>
    </row>
    <row r="358" spans="1:13" ht="18.75" customHeight="1">
      <c r="A358" s="282" t="str">
        <f t="shared" si="41"/>
        <v>TP</v>
      </c>
      <c r="B358" s="295">
        <f t="shared" si="42"/>
        <v>324</v>
      </c>
      <c r="C358" s="187" t="s">
        <v>1004</v>
      </c>
      <c r="D358" s="294" t="s">
        <v>1459</v>
      </c>
      <c r="E358" s="8"/>
      <c r="F358" s="8"/>
      <c r="G358" s="25">
        <f t="array" ref="G358">SUM(IF("155"&amp;C358=KHN&amp;MH,SL))</f>
        <v>20</v>
      </c>
      <c r="H358" s="25">
        <f t="array" ref="H358">SUM(IF("155"&amp;C358=KHN&amp;MH,TH))</f>
        <v>593273</v>
      </c>
      <c r="I358" s="25">
        <f t="array" ref="I358">SUM(IF("155"&amp;C358=KHC&amp;MH,SL))</f>
        <v>20</v>
      </c>
      <c r="J358" s="25">
        <f t="array" ref="J358">SUM(IF("155"&amp;C358=KHC&amp;MH,TH))</f>
        <v>593273</v>
      </c>
      <c r="K358" s="8">
        <f t="shared" si="43"/>
        <v>0</v>
      </c>
      <c r="L358" s="8">
        <f t="shared" si="44"/>
        <v>0</v>
      </c>
      <c r="M358" s="282"/>
    </row>
    <row r="359" spans="1:13" ht="18.75" customHeight="1">
      <c r="A359" s="282" t="str">
        <f t="shared" si="41"/>
        <v>TP</v>
      </c>
      <c r="B359" s="295">
        <f t="shared" si="42"/>
        <v>325</v>
      </c>
      <c r="C359" s="190" t="s">
        <v>996</v>
      </c>
      <c r="D359" s="294" t="s">
        <v>1459</v>
      </c>
      <c r="E359" s="8"/>
      <c r="F359" s="8"/>
      <c r="G359" s="25">
        <f t="array" ref="G359">SUM(IF("155"&amp;C359=KHN&amp;MH,SL))</f>
        <v>50</v>
      </c>
      <c r="H359" s="25">
        <f t="array" ref="H359">SUM(IF("155"&amp;C359=KHN&amp;MH,TH))</f>
        <v>1321226</v>
      </c>
      <c r="I359" s="25">
        <f t="array" ref="I359">SUM(IF("155"&amp;C359=KHC&amp;MH,SL))</f>
        <v>50</v>
      </c>
      <c r="J359" s="25">
        <f t="array" ref="J359">SUM(IF("155"&amp;C359=KHC&amp;MH,TH))</f>
        <v>1321226</v>
      </c>
      <c r="K359" s="8">
        <f t="shared" si="43"/>
        <v>0</v>
      </c>
      <c r="L359" s="8">
        <f t="shared" si="44"/>
        <v>0</v>
      </c>
      <c r="M359" s="282"/>
    </row>
    <row r="360" spans="1:13" ht="18.75" customHeight="1">
      <c r="A360" s="282" t="str">
        <f t="shared" si="41"/>
        <v>TP</v>
      </c>
      <c r="B360" s="295">
        <f t="shared" si="42"/>
        <v>326</v>
      </c>
      <c r="C360" s="190" t="s">
        <v>942</v>
      </c>
      <c r="D360" s="294" t="s">
        <v>1459</v>
      </c>
      <c r="E360" s="8"/>
      <c r="F360" s="8"/>
      <c r="G360" s="25">
        <f t="array" ref="G360">SUM(IF("155"&amp;C360=KHN&amp;MH,SL))</f>
        <v>85</v>
      </c>
      <c r="H360" s="25">
        <f t="array" ref="H360">SUM(IF("155"&amp;C360=KHN&amp;MH,TH))</f>
        <v>900621</v>
      </c>
      <c r="I360" s="25">
        <f t="array" ref="I360">SUM(IF("155"&amp;C360=KHC&amp;MH,SL))</f>
        <v>85</v>
      </c>
      <c r="J360" s="25">
        <f t="array" ref="J360">SUM(IF("155"&amp;C360=KHC&amp;MH,TH))</f>
        <v>900621</v>
      </c>
      <c r="K360" s="8">
        <f t="shared" si="43"/>
        <v>0</v>
      </c>
      <c r="L360" s="8">
        <f t="shared" si="44"/>
        <v>0</v>
      </c>
      <c r="M360" s="282"/>
    </row>
    <row r="361" spans="1:13" ht="18.75" customHeight="1">
      <c r="A361" s="282" t="str">
        <f t="shared" si="41"/>
        <v>TP</v>
      </c>
      <c r="B361" s="295">
        <f t="shared" si="42"/>
        <v>327</v>
      </c>
      <c r="C361" s="40" t="s">
        <v>1348</v>
      </c>
      <c r="D361" s="294" t="s">
        <v>1459</v>
      </c>
      <c r="E361" s="8"/>
      <c r="F361" s="8"/>
      <c r="G361" s="25">
        <f t="array" ref="G361">SUM(IF("155"&amp;C361=KHN&amp;MH,SL))</f>
        <v>100</v>
      </c>
      <c r="H361" s="25">
        <f t="array" ref="H361">SUM(IF("155"&amp;C361=KHN&amp;MH,TH))</f>
        <v>1586056</v>
      </c>
      <c r="I361" s="25">
        <f t="array" ref="I361">SUM(IF("155"&amp;C361=KHC&amp;MH,SL))</f>
        <v>100</v>
      </c>
      <c r="J361" s="25">
        <f t="array" ref="J361">SUM(IF("155"&amp;C361=KHC&amp;MH,TH))</f>
        <v>1586056</v>
      </c>
      <c r="K361" s="8">
        <f t="shared" si="43"/>
        <v>0</v>
      </c>
      <c r="L361" s="8">
        <f t="shared" si="44"/>
        <v>0</v>
      </c>
      <c r="M361" s="282"/>
    </row>
    <row r="362" spans="1:13" ht="18.75" customHeight="1">
      <c r="A362" s="282" t="str">
        <f t="shared" si="41"/>
        <v>TP</v>
      </c>
      <c r="B362" s="295">
        <f t="shared" si="42"/>
        <v>328</v>
      </c>
      <c r="C362" s="187" t="s">
        <v>986</v>
      </c>
      <c r="D362" s="294" t="s">
        <v>1459</v>
      </c>
      <c r="E362" s="8"/>
      <c r="F362" s="8"/>
      <c r="G362" s="25">
        <f t="array" ref="G362">SUM(IF("155"&amp;C362=KHN&amp;MH,SL))</f>
        <v>210</v>
      </c>
      <c r="H362" s="25">
        <f t="array" ref="H362">SUM(IF("155"&amp;C362=KHN&amp;MH,TH))</f>
        <v>2488166</v>
      </c>
      <c r="I362" s="25">
        <f t="array" ref="I362">SUM(IF("155"&amp;C362=KHC&amp;MH,SL))</f>
        <v>210</v>
      </c>
      <c r="J362" s="25">
        <f t="array" ref="J362">SUM(IF("155"&amp;C362=KHC&amp;MH,TH))</f>
        <v>2488166</v>
      </c>
      <c r="K362" s="8">
        <f t="shared" si="43"/>
        <v>0</v>
      </c>
      <c r="L362" s="8">
        <f t="shared" si="44"/>
        <v>0</v>
      </c>
      <c r="M362" s="282"/>
    </row>
    <row r="363" spans="1:13" ht="18.75" customHeight="1">
      <c r="A363" s="282" t="str">
        <f t="shared" si="41"/>
        <v>TP</v>
      </c>
      <c r="B363" s="295">
        <f t="shared" si="42"/>
        <v>329</v>
      </c>
      <c r="C363" s="190" t="s">
        <v>882</v>
      </c>
      <c r="D363" s="294" t="s">
        <v>1459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542291</v>
      </c>
      <c r="I363" s="25">
        <f t="array" ref="I363">SUM(IF("155"&amp;C363=KHC&amp;MH,SL))</f>
        <v>10</v>
      </c>
      <c r="J363" s="25">
        <f t="array" ref="J363">SUM(IF("155"&amp;C363=KHC&amp;MH,TH))</f>
        <v>542291</v>
      </c>
      <c r="K363" s="8">
        <f t="shared" si="43"/>
        <v>0</v>
      </c>
      <c r="L363" s="8">
        <f t="shared" si="44"/>
        <v>0</v>
      </c>
      <c r="M363" s="282"/>
    </row>
    <row r="364" spans="1:13" ht="18.75" customHeight="1">
      <c r="A364" s="282" t="str">
        <f t="shared" si="41"/>
        <v>TP</v>
      </c>
      <c r="B364" s="295">
        <f t="shared" si="42"/>
        <v>330</v>
      </c>
      <c r="C364" s="855" t="s">
        <v>989</v>
      </c>
      <c r="D364" s="294" t="s">
        <v>1459</v>
      </c>
      <c r="E364" s="8"/>
      <c r="F364" s="8"/>
      <c r="G364" s="25">
        <f t="array" ref="G364">SUM(IF("155"&amp;C364=KHN&amp;MH,SL))</f>
        <v>22</v>
      </c>
      <c r="H364" s="25">
        <f t="array" ref="H364">SUM(IF("155"&amp;C364=KHN&amp;MH,TH))</f>
        <v>755741</v>
      </c>
      <c r="I364" s="25">
        <f t="array" ref="I364">SUM(IF("155"&amp;C364=KHC&amp;MH,SL))</f>
        <v>22</v>
      </c>
      <c r="J364" s="25">
        <f t="array" ref="J364">SUM(IF("155"&amp;C364=KHC&amp;MH,TH))</f>
        <v>755741</v>
      </c>
      <c r="K364" s="8">
        <f t="shared" si="43"/>
        <v>0</v>
      </c>
      <c r="L364" s="8">
        <f t="shared" si="44"/>
        <v>0</v>
      </c>
      <c r="M364" s="282"/>
    </row>
    <row r="365" spans="1:13" ht="18.75" customHeight="1">
      <c r="A365" s="282" t="str">
        <f t="shared" si="41"/>
        <v>TP</v>
      </c>
      <c r="B365" s="295">
        <f t="shared" si="42"/>
        <v>331</v>
      </c>
      <c r="C365" s="190" t="s">
        <v>943</v>
      </c>
      <c r="D365" s="294" t="s">
        <v>1459</v>
      </c>
      <c r="E365" s="8"/>
      <c r="F365" s="8"/>
      <c r="G365" s="25">
        <f t="array" ref="G365">SUM(IF("155"&amp;C365=KHN&amp;MH,SL))</f>
        <v>76</v>
      </c>
      <c r="H365" s="25">
        <f t="array" ref="H365">SUM(IF("155"&amp;C365=KHN&amp;MH,TH))</f>
        <v>1166677</v>
      </c>
      <c r="I365" s="25">
        <f t="array" ref="I365">SUM(IF("155"&amp;C365=KHC&amp;MH,SL))</f>
        <v>76</v>
      </c>
      <c r="J365" s="25">
        <f t="array" ref="J365">SUM(IF("155"&amp;C365=KHC&amp;MH,TH))</f>
        <v>1166677</v>
      </c>
      <c r="K365" s="8">
        <f t="shared" si="43"/>
        <v>0</v>
      </c>
      <c r="L365" s="8">
        <f t="shared" si="44"/>
        <v>0</v>
      </c>
      <c r="M365" s="282"/>
    </row>
    <row r="366" spans="1:13" ht="18.75" customHeight="1">
      <c r="A366" s="282" t="str">
        <f t="shared" si="41"/>
        <v>TP</v>
      </c>
      <c r="B366" s="295">
        <f t="shared" si="42"/>
        <v>332</v>
      </c>
      <c r="C366" s="286" t="s">
        <v>946</v>
      </c>
      <c r="D366" s="294" t="s">
        <v>1459</v>
      </c>
      <c r="E366" s="8"/>
      <c r="F366" s="8"/>
      <c r="G366" s="25">
        <f t="array" ref="G366">SUM(IF("155"&amp;C366=KHN&amp;MH,SL))</f>
        <v>470</v>
      </c>
      <c r="H366" s="25">
        <f t="array" ref="H366">SUM(IF("155"&amp;C366=KHN&amp;MH,TH))</f>
        <v>2980099</v>
      </c>
      <c r="I366" s="25">
        <f t="array" ref="I366">SUM(IF("155"&amp;C366=KHC&amp;MH,SL))</f>
        <v>470</v>
      </c>
      <c r="J366" s="25">
        <f t="array" ref="J366">SUM(IF("155"&amp;C366=KHC&amp;MH,TH))</f>
        <v>2980099</v>
      </c>
      <c r="K366" s="8">
        <f t="shared" si="43"/>
        <v>0</v>
      </c>
      <c r="L366" s="8">
        <f t="shared" si="44"/>
        <v>0</v>
      </c>
      <c r="M366" s="282"/>
    </row>
    <row r="367" spans="1:13" ht="18.75" customHeight="1">
      <c r="A367" s="282" t="str">
        <f t="shared" si="41"/>
        <v>TP</v>
      </c>
      <c r="B367" s="295">
        <f t="shared" si="42"/>
        <v>333</v>
      </c>
      <c r="C367" s="190" t="s">
        <v>952</v>
      </c>
      <c r="D367" s="294" t="s">
        <v>1459</v>
      </c>
      <c r="E367" s="8"/>
      <c r="F367" s="8"/>
      <c r="G367" s="25">
        <f t="array" ref="G367">SUM(IF("155"&amp;C367=KHN&amp;MH,SL))</f>
        <v>50</v>
      </c>
      <c r="H367" s="25">
        <f t="array" ref="H367">SUM(IF("155"&amp;C367=KHN&amp;MH,TH))</f>
        <v>713322</v>
      </c>
      <c r="I367" s="25">
        <f t="array" ref="I367">SUM(IF("155"&amp;C367=KHC&amp;MH,SL))</f>
        <v>50</v>
      </c>
      <c r="J367" s="25">
        <f t="array" ref="J367">SUM(IF("155"&amp;C367=KHC&amp;MH,TH))</f>
        <v>713322</v>
      </c>
      <c r="K367" s="8">
        <f t="shared" si="43"/>
        <v>0</v>
      </c>
      <c r="L367" s="8">
        <f t="shared" si="44"/>
        <v>0</v>
      </c>
      <c r="M367" s="282"/>
    </row>
    <row r="368" spans="1:13" ht="18.75" customHeight="1">
      <c r="A368" s="282" t="str">
        <f t="shared" si="41"/>
        <v>TP</v>
      </c>
      <c r="B368" s="295">
        <f t="shared" si="42"/>
        <v>334</v>
      </c>
      <c r="C368" s="40" t="s">
        <v>1480</v>
      </c>
      <c r="D368" s="294" t="s">
        <v>1459</v>
      </c>
      <c r="E368" s="8"/>
      <c r="F368" s="8"/>
      <c r="G368" s="25">
        <f t="array" ref="G368">SUM(IF("155"&amp;C368=KHN&amp;MH,SL))</f>
        <v>52</v>
      </c>
      <c r="H368" s="25">
        <f t="array" ref="H368">SUM(IF("155"&amp;C368=KHN&amp;MH,TH))</f>
        <v>517662</v>
      </c>
      <c r="I368" s="25">
        <f t="array" ref="I368">SUM(IF("155"&amp;C368=KHC&amp;MH,SL))</f>
        <v>52</v>
      </c>
      <c r="J368" s="25">
        <f t="array" ref="J368">SUM(IF("155"&amp;C368=KHC&amp;MH,TH))</f>
        <v>517662</v>
      </c>
      <c r="K368" s="8">
        <f t="shared" si="43"/>
        <v>0</v>
      </c>
      <c r="L368" s="8">
        <f t="shared" si="44"/>
        <v>0</v>
      </c>
      <c r="M368" s="282"/>
    </row>
    <row r="369" spans="1:13" ht="18.75" customHeight="1">
      <c r="A369" s="282" t="str">
        <f t="shared" si="41"/>
        <v>TP</v>
      </c>
      <c r="B369" s="295">
        <f t="shared" si="42"/>
        <v>335</v>
      </c>
      <c r="C369" s="190" t="s">
        <v>653</v>
      </c>
      <c r="D369" s="294" t="s">
        <v>1459</v>
      </c>
      <c r="E369" s="8"/>
      <c r="F369" s="8"/>
      <c r="G369" s="25">
        <f t="array" ref="G369">SUM(IF("155"&amp;C369=KHN&amp;MH,SL))</f>
        <v>50</v>
      </c>
      <c r="H369" s="25">
        <f t="array" ref="H369">SUM(IF("155"&amp;C369=KHN&amp;MH,TH))</f>
        <v>1155498</v>
      </c>
      <c r="I369" s="25">
        <f t="array" ref="I369">SUM(IF("155"&amp;C369=KHC&amp;MH,SL))</f>
        <v>50</v>
      </c>
      <c r="J369" s="25">
        <f t="array" ref="J369">SUM(IF("155"&amp;C369=KHC&amp;MH,TH))</f>
        <v>1155498</v>
      </c>
      <c r="K369" s="8">
        <f t="shared" si="43"/>
        <v>0</v>
      </c>
      <c r="L369" s="8">
        <f t="shared" si="44"/>
        <v>0</v>
      </c>
      <c r="M369" s="282"/>
    </row>
    <row r="370" spans="1:13" ht="18.75" customHeight="1">
      <c r="A370" s="282" t="str">
        <f t="shared" si="41"/>
        <v>TP</v>
      </c>
      <c r="B370" s="295">
        <f t="shared" si="42"/>
        <v>336</v>
      </c>
      <c r="C370" s="187" t="s">
        <v>960</v>
      </c>
      <c r="D370" s="294" t="s">
        <v>1459</v>
      </c>
      <c r="E370" s="8"/>
      <c r="F370" s="8"/>
      <c r="G370" s="25">
        <f t="array" ref="G370">SUM(IF("155"&amp;C370=KHN&amp;MH,SL))</f>
        <v>34</v>
      </c>
      <c r="H370" s="25">
        <f t="array" ref="H370">SUM(IF("155"&amp;C370=KHN&amp;MH,TH))</f>
        <v>632562</v>
      </c>
      <c r="I370" s="25">
        <f t="array" ref="I370">SUM(IF("155"&amp;C370=KHC&amp;MH,SL))</f>
        <v>34</v>
      </c>
      <c r="J370" s="25">
        <f t="array" ref="J370">SUM(IF("155"&amp;C370=KHC&amp;MH,TH))</f>
        <v>632562</v>
      </c>
      <c r="K370" s="8">
        <f t="shared" si="43"/>
        <v>0</v>
      </c>
      <c r="L370" s="8">
        <f t="shared" si="44"/>
        <v>0</v>
      </c>
      <c r="M370" s="282"/>
    </row>
    <row r="371" spans="1:13" ht="18.75" customHeight="1">
      <c r="A371" s="282" t="str">
        <f t="shared" si="41"/>
        <v>TP</v>
      </c>
      <c r="B371" s="295">
        <f t="shared" si="42"/>
        <v>337</v>
      </c>
      <c r="C371" s="190" t="s">
        <v>911</v>
      </c>
      <c r="D371" s="294" t="s">
        <v>1459</v>
      </c>
      <c r="E371" s="8"/>
      <c r="F371" s="8"/>
      <c r="G371" s="25">
        <f t="array" ref="G371">SUM(IF("155"&amp;C371=KHN&amp;MH,SL))</f>
        <v>246</v>
      </c>
      <c r="H371" s="25">
        <f t="array" ref="H371">SUM(IF("155"&amp;C371=KHN&amp;MH,TH))</f>
        <v>4737097</v>
      </c>
      <c r="I371" s="25">
        <f t="array" ref="I371">SUM(IF("155"&amp;C371=KHC&amp;MH,SL))</f>
        <v>246</v>
      </c>
      <c r="J371" s="25">
        <f t="array" ref="J371">SUM(IF("155"&amp;C371=KHC&amp;MH,TH))</f>
        <v>4737097</v>
      </c>
      <c r="K371" s="8">
        <f t="shared" si="43"/>
        <v>0</v>
      </c>
      <c r="L371" s="8">
        <f t="shared" si="44"/>
        <v>0</v>
      </c>
      <c r="M371" s="282"/>
    </row>
    <row r="372" spans="1:13" ht="18.75" customHeight="1">
      <c r="A372" s="282" t="str">
        <f t="shared" si="41"/>
        <v>TP</v>
      </c>
      <c r="B372" s="295">
        <f t="shared" si="42"/>
        <v>338</v>
      </c>
      <c r="C372" s="190" t="s">
        <v>922</v>
      </c>
      <c r="D372" s="294" t="s">
        <v>1459</v>
      </c>
      <c r="E372" s="8"/>
      <c r="F372" s="8"/>
      <c r="G372" s="25">
        <f t="array" ref="G372">SUM(IF("155"&amp;C372=KHN&amp;MH,SL))</f>
        <v>50</v>
      </c>
      <c r="H372" s="25">
        <f t="array" ref="H372">SUM(IF("155"&amp;C372=KHN&amp;MH,TH))</f>
        <v>1318185</v>
      </c>
      <c r="I372" s="25">
        <f t="array" ref="I372">SUM(IF("155"&amp;C372=KHC&amp;MH,SL))</f>
        <v>50</v>
      </c>
      <c r="J372" s="25">
        <f t="array" ref="J372">SUM(IF("155"&amp;C372=KHC&amp;MH,TH))</f>
        <v>1318185</v>
      </c>
      <c r="K372" s="8">
        <f t="shared" si="43"/>
        <v>0</v>
      </c>
      <c r="L372" s="8">
        <f t="shared" si="44"/>
        <v>0</v>
      </c>
      <c r="M372" s="282"/>
    </row>
    <row r="373" spans="1:13" ht="18.75" customHeight="1">
      <c r="A373" s="282" t="str">
        <f t="shared" si="41"/>
        <v>TP</v>
      </c>
      <c r="B373" s="295">
        <f t="shared" si="42"/>
        <v>339</v>
      </c>
      <c r="C373" s="190" t="s">
        <v>962</v>
      </c>
      <c r="D373" s="294" t="s">
        <v>1459</v>
      </c>
      <c r="E373" s="8"/>
      <c r="F373" s="8"/>
      <c r="G373" s="25">
        <f t="array" ref="G373">SUM(IF("155"&amp;C373=KHN&amp;MH,SL))</f>
        <v>1210</v>
      </c>
      <c r="H373" s="25">
        <f t="array" ref="H373">SUM(IF("155"&amp;C373=KHN&amp;MH,TH))</f>
        <v>24026007</v>
      </c>
      <c r="I373" s="25">
        <f t="array" ref="I373">SUM(IF("155"&amp;C373=KHC&amp;MH,SL))</f>
        <v>1210</v>
      </c>
      <c r="J373" s="25">
        <f t="array" ref="J373">SUM(IF("155"&amp;C373=KHC&amp;MH,TH))</f>
        <v>24026007</v>
      </c>
      <c r="K373" s="8">
        <f t="shared" si="43"/>
        <v>0</v>
      </c>
      <c r="L373" s="8">
        <f t="shared" si="44"/>
        <v>0</v>
      </c>
      <c r="M373" s="282"/>
    </row>
    <row r="374" spans="1:13" ht="18.75" customHeight="1">
      <c r="A374" s="282" t="str">
        <f t="shared" ref="A374:A407" si="45">IF(B374&lt;&gt;"","TP","")</f>
        <v>TP</v>
      </c>
      <c r="B374" s="295">
        <f t="shared" ref="B374:B407" si="46">IF(C374&lt;&gt;"",B373+1,"")</f>
        <v>340</v>
      </c>
      <c r="C374" s="40" t="s">
        <v>1415</v>
      </c>
      <c r="D374" s="294" t="s">
        <v>1459</v>
      </c>
      <c r="E374" s="8"/>
      <c r="F374" s="8"/>
      <c r="G374" s="25">
        <f t="array" ref="G374">SUM(IF("155"&amp;C374=KHN&amp;MH,SL))</f>
        <v>286</v>
      </c>
      <c r="H374" s="25">
        <f t="array" ref="H374">SUM(IF("155"&amp;C374=KHN&amp;MH,TH))</f>
        <v>3546861</v>
      </c>
      <c r="I374" s="25">
        <f t="array" ref="I374">SUM(IF("155"&amp;C374=KHC&amp;MH,SL))</f>
        <v>286</v>
      </c>
      <c r="J374" s="25">
        <f t="array" ref="J374">SUM(IF("155"&amp;C374=KHC&amp;MH,TH))</f>
        <v>3546861</v>
      </c>
      <c r="K374" s="8">
        <f t="shared" si="43"/>
        <v>0</v>
      </c>
      <c r="L374" s="8">
        <f t="shared" si="44"/>
        <v>0</v>
      </c>
      <c r="M374" s="282"/>
    </row>
    <row r="375" spans="1:13" ht="18.75" customHeight="1">
      <c r="A375" s="282" t="str">
        <f t="shared" si="45"/>
        <v>TP</v>
      </c>
      <c r="B375" s="295">
        <f t="shared" si="46"/>
        <v>341</v>
      </c>
      <c r="C375" s="190" t="s">
        <v>899</v>
      </c>
      <c r="D375" s="294" t="s">
        <v>1459</v>
      </c>
      <c r="E375" s="8"/>
      <c r="F375" s="8"/>
      <c r="G375" s="25">
        <f t="array" ref="G375">SUM(IF("155"&amp;C375=KHN&amp;MH,SL))</f>
        <v>55</v>
      </c>
      <c r="H375" s="25">
        <f t="array" ref="H375">SUM(IF("155"&amp;C375=KHN&amp;MH,TH))</f>
        <v>582755</v>
      </c>
      <c r="I375" s="25">
        <f t="array" ref="I375">SUM(IF("155"&amp;C375=KHC&amp;MH,SL))</f>
        <v>55</v>
      </c>
      <c r="J375" s="25">
        <f t="array" ref="J375">SUM(IF("155"&amp;C375=KHC&amp;MH,TH))</f>
        <v>582755</v>
      </c>
      <c r="K375" s="8">
        <f t="shared" si="43"/>
        <v>0</v>
      </c>
      <c r="L375" s="8">
        <f t="shared" si="44"/>
        <v>0</v>
      </c>
      <c r="M375" s="282"/>
    </row>
    <row r="376" spans="1:13" ht="18.75" customHeight="1">
      <c r="A376" s="282" t="str">
        <f t="shared" si="45"/>
        <v>TP</v>
      </c>
      <c r="B376" s="295">
        <f t="shared" si="46"/>
        <v>342</v>
      </c>
      <c r="C376" s="190" t="s">
        <v>1069</v>
      </c>
      <c r="D376" s="294" t="s">
        <v>1459</v>
      </c>
      <c r="E376" s="8"/>
      <c r="F376" s="8"/>
      <c r="G376" s="25">
        <f t="array" ref="G376">SUM(IF("155"&amp;C376=KHN&amp;MH,SL))</f>
        <v>13</v>
      </c>
      <c r="H376" s="25">
        <f t="array" ref="H376">SUM(IF("155"&amp;C376=KHN&amp;MH,TH))</f>
        <v>568468</v>
      </c>
      <c r="I376" s="25">
        <f t="array" ref="I376">SUM(IF("155"&amp;C376=KHC&amp;MH,SL))</f>
        <v>13</v>
      </c>
      <c r="J376" s="25">
        <f t="array" ref="J376">SUM(IF("155"&amp;C376=KHC&amp;MH,TH))</f>
        <v>568468</v>
      </c>
      <c r="K376" s="8">
        <f t="shared" si="43"/>
        <v>0</v>
      </c>
      <c r="L376" s="8">
        <f t="shared" si="44"/>
        <v>0</v>
      </c>
      <c r="M376" s="282"/>
    </row>
    <row r="377" spans="1:13" ht="18.75" customHeight="1">
      <c r="A377" s="282" t="str">
        <f t="shared" si="45"/>
        <v>TP</v>
      </c>
      <c r="B377" s="295">
        <f t="shared" si="46"/>
        <v>343</v>
      </c>
      <c r="C377" s="187" t="s">
        <v>947</v>
      </c>
      <c r="D377" s="294" t="s">
        <v>1459</v>
      </c>
      <c r="E377" s="8"/>
      <c r="F377" s="8"/>
      <c r="G377" s="25">
        <f t="array" ref="G377">SUM(IF("155"&amp;C377=KHN&amp;MH,SL))</f>
        <v>475</v>
      </c>
      <c r="H377" s="25">
        <f t="array" ref="H377">SUM(IF("155"&amp;C377=KHN&amp;MH,TH))</f>
        <v>5429170</v>
      </c>
      <c r="I377" s="25">
        <f t="array" ref="I377">SUM(IF("155"&amp;C377=KHC&amp;MH,SL))</f>
        <v>475</v>
      </c>
      <c r="J377" s="25">
        <f t="array" ref="J377">SUM(IF("155"&amp;C377=KHC&amp;MH,TH))</f>
        <v>5429170</v>
      </c>
      <c r="K377" s="8">
        <f t="shared" si="43"/>
        <v>0</v>
      </c>
      <c r="L377" s="8">
        <f t="shared" si="44"/>
        <v>0</v>
      </c>
      <c r="M377" s="282"/>
    </row>
    <row r="378" spans="1:13" ht="18.75" customHeight="1">
      <c r="A378" s="282" t="str">
        <f t="shared" si="45"/>
        <v>TP</v>
      </c>
      <c r="B378" s="295">
        <f t="shared" si="46"/>
        <v>344</v>
      </c>
      <c r="C378" s="190" t="s">
        <v>656</v>
      </c>
      <c r="D378" s="294" t="s">
        <v>1459</v>
      </c>
      <c r="E378" s="8"/>
      <c r="F378" s="8"/>
      <c r="G378" s="25">
        <f t="array" ref="G378">SUM(IF("155"&amp;C378=KHN&amp;MH,SL))</f>
        <v>98</v>
      </c>
      <c r="H378" s="25">
        <f t="array" ref="H378">SUM(IF("155"&amp;C378=KHN&amp;MH,TH))</f>
        <v>1847795</v>
      </c>
      <c r="I378" s="25">
        <f t="array" ref="I378">SUM(IF("155"&amp;C378=KHC&amp;MH,SL))</f>
        <v>98</v>
      </c>
      <c r="J378" s="25">
        <f t="array" ref="J378">SUM(IF("155"&amp;C378=KHC&amp;MH,TH))</f>
        <v>1847795</v>
      </c>
      <c r="K378" s="8">
        <f t="shared" si="43"/>
        <v>0</v>
      </c>
      <c r="L378" s="8">
        <f t="shared" si="44"/>
        <v>0</v>
      </c>
      <c r="M378" s="282"/>
    </row>
    <row r="379" spans="1:13" ht="18.75" customHeight="1">
      <c r="A379" s="282" t="str">
        <f t="shared" si="45"/>
        <v>TP</v>
      </c>
      <c r="B379" s="295">
        <f t="shared" si="46"/>
        <v>345</v>
      </c>
      <c r="C379" s="190" t="s">
        <v>655</v>
      </c>
      <c r="D379" s="294" t="s">
        <v>1459</v>
      </c>
      <c r="E379" s="8"/>
      <c r="F379" s="8"/>
      <c r="G379" s="25">
        <f t="array" ref="G379">SUM(IF("155"&amp;C379=KHN&amp;MH,SL))</f>
        <v>55</v>
      </c>
      <c r="H379" s="25">
        <f t="array" ref="H379">SUM(IF("155"&amp;C379=KHN&amp;MH,TH))</f>
        <v>1275636</v>
      </c>
      <c r="I379" s="25">
        <f t="array" ref="I379">SUM(IF("155"&amp;C379=KHC&amp;MH,SL))</f>
        <v>55</v>
      </c>
      <c r="J379" s="25">
        <f t="array" ref="J379">SUM(IF("155"&amp;C379=KHC&amp;MH,TH))</f>
        <v>1275636</v>
      </c>
      <c r="K379" s="8">
        <f t="shared" si="43"/>
        <v>0</v>
      </c>
      <c r="L379" s="8">
        <f t="shared" si="44"/>
        <v>0</v>
      </c>
      <c r="M379" s="282"/>
    </row>
    <row r="380" spans="1:13" ht="18.75" customHeight="1">
      <c r="A380" s="282" t="str">
        <f t="shared" si="45"/>
        <v>TP</v>
      </c>
      <c r="B380" s="295">
        <f t="shared" si="46"/>
        <v>346</v>
      </c>
      <c r="C380" s="187" t="s">
        <v>1017</v>
      </c>
      <c r="D380" s="294" t="s">
        <v>1459</v>
      </c>
      <c r="E380" s="8"/>
      <c r="F380" s="8"/>
      <c r="G380" s="25">
        <f t="array" ref="G380">SUM(IF("155"&amp;C380=KHN&amp;MH,SL))</f>
        <v>48</v>
      </c>
      <c r="H380" s="25">
        <f t="array" ref="H380">SUM(IF("155"&amp;C380=KHN&amp;MH,TH))</f>
        <v>2332176</v>
      </c>
      <c r="I380" s="25">
        <f t="array" ref="I380">SUM(IF("155"&amp;C380=KHC&amp;MH,SL))</f>
        <v>48</v>
      </c>
      <c r="J380" s="25">
        <f t="array" ref="J380">SUM(IF("155"&amp;C380=KHC&amp;MH,TH))</f>
        <v>2332176</v>
      </c>
      <c r="K380" s="8">
        <f t="shared" si="43"/>
        <v>0</v>
      </c>
      <c r="L380" s="8">
        <f t="shared" si="44"/>
        <v>0</v>
      </c>
      <c r="M380" s="282"/>
    </row>
    <row r="381" spans="1:13" ht="18.75" customHeight="1">
      <c r="A381" s="282" t="str">
        <f t="shared" si="45"/>
        <v>TP</v>
      </c>
      <c r="B381" s="295">
        <f t="shared" si="46"/>
        <v>347</v>
      </c>
      <c r="C381" s="187" t="s">
        <v>1011</v>
      </c>
      <c r="D381" s="294" t="s">
        <v>1459</v>
      </c>
      <c r="E381" s="8"/>
      <c r="F381" s="8"/>
      <c r="G381" s="25">
        <f t="array" ref="G381">SUM(IF("155"&amp;C381=KHN&amp;MH,SL))</f>
        <v>51</v>
      </c>
      <c r="H381" s="25">
        <f t="array" ref="H381">SUM(IF("155"&amp;C381=KHN&amp;MH,TH))</f>
        <v>2986567</v>
      </c>
      <c r="I381" s="25">
        <f t="array" ref="I381">SUM(IF("155"&amp;C381=KHC&amp;MH,SL))</f>
        <v>51</v>
      </c>
      <c r="J381" s="25">
        <f t="array" ref="J381">SUM(IF("155"&amp;C381=KHC&amp;MH,TH))</f>
        <v>2986567</v>
      </c>
      <c r="K381" s="8">
        <f t="shared" si="43"/>
        <v>0</v>
      </c>
      <c r="L381" s="8">
        <f t="shared" si="44"/>
        <v>0</v>
      </c>
      <c r="M381" s="282"/>
    </row>
    <row r="382" spans="1:13" ht="18.75" customHeight="1">
      <c r="A382" s="282" t="str">
        <f t="shared" si="45"/>
        <v>TP</v>
      </c>
      <c r="B382" s="295">
        <f t="shared" si="46"/>
        <v>348</v>
      </c>
      <c r="C382" s="187" t="s">
        <v>1019</v>
      </c>
      <c r="D382" s="294" t="s">
        <v>1459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1511567</v>
      </c>
      <c r="I382" s="25">
        <f t="array" ref="I382">SUM(IF("155"&amp;C382=KHC&amp;MH,SL))</f>
        <v>23</v>
      </c>
      <c r="J382" s="25">
        <f t="array" ref="J382">SUM(IF("155"&amp;C382=KHC&amp;MH,TH))</f>
        <v>1511567</v>
      </c>
      <c r="K382" s="8">
        <f t="shared" si="43"/>
        <v>0</v>
      </c>
      <c r="L382" s="8">
        <f t="shared" si="44"/>
        <v>0</v>
      </c>
      <c r="M382" s="282"/>
    </row>
    <row r="383" spans="1:13" ht="18.75" customHeight="1">
      <c r="A383" s="282" t="str">
        <f t="shared" si="45"/>
        <v>TP</v>
      </c>
      <c r="B383" s="295">
        <f t="shared" si="46"/>
        <v>349</v>
      </c>
      <c r="C383" s="190" t="s">
        <v>992</v>
      </c>
      <c r="D383" s="294" t="s">
        <v>1459</v>
      </c>
      <c r="E383" s="8"/>
      <c r="F383" s="8"/>
      <c r="G383" s="25">
        <f t="array" ref="G383">SUM(IF("155"&amp;C383=KHN&amp;MH,SL))</f>
        <v>107</v>
      </c>
      <c r="H383" s="25">
        <f t="array" ref="H383">SUM(IF("155"&amp;C383=KHN&amp;MH,TH))</f>
        <v>3648288</v>
      </c>
      <c r="I383" s="25">
        <f t="array" ref="I383">SUM(IF("155"&amp;C383=KHC&amp;MH,SL))</f>
        <v>107</v>
      </c>
      <c r="J383" s="25">
        <f t="array" ref="J383">SUM(IF("155"&amp;C383=KHC&amp;MH,TH))</f>
        <v>3648288</v>
      </c>
      <c r="K383" s="8">
        <f t="shared" si="43"/>
        <v>0</v>
      </c>
      <c r="L383" s="8">
        <f t="shared" si="44"/>
        <v>0</v>
      </c>
      <c r="M383" s="282"/>
    </row>
    <row r="384" spans="1:13" ht="18.75" customHeight="1">
      <c r="A384" s="282" t="str">
        <f t="shared" si="45"/>
        <v>TP</v>
      </c>
      <c r="B384" s="295">
        <f t="shared" si="46"/>
        <v>350</v>
      </c>
      <c r="C384" s="190" t="s">
        <v>991</v>
      </c>
      <c r="D384" s="294" t="s">
        <v>1459</v>
      </c>
      <c r="E384" s="8"/>
      <c r="F384" s="8"/>
      <c r="G384" s="25">
        <f t="array" ref="G384">SUM(IF("155"&amp;C384=KHN&amp;MH,SL))</f>
        <v>53</v>
      </c>
      <c r="H384" s="25">
        <f t="array" ref="H384">SUM(IF("155"&amp;C384=KHN&amp;MH,TH))</f>
        <v>2105267</v>
      </c>
      <c r="I384" s="25">
        <f t="array" ref="I384">SUM(IF("155"&amp;C384=KHC&amp;MH,SL))</f>
        <v>53</v>
      </c>
      <c r="J384" s="25">
        <f t="array" ref="J384">SUM(IF("155"&amp;C384=KHC&amp;MH,TH))</f>
        <v>2105267</v>
      </c>
      <c r="K384" s="8">
        <f t="shared" si="43"/>
        <v>0</v>
      </c>
      <c r="L384" s="8">
        <f t="shared" si="44"/>
        <v>0</v>
      </c>
      <c r="M384" s="282"/>
    </row>
    <row r="385" spans="1:13" ht="18.75" customHeight="1">
      <c r="A385" s="282" t="str">
        <f t="shared" si="45"/>
        <v>TP</v>
      </c>
      <c r="B385" s="295">
        <f t="shared" si="46"/>
        <v>351</v>
      </c>
      <c r="C385" s="190" t="s">
        <v>610</v>
      </c>
      <c r="D385" s="294" t="s">
        <v>1459</v>
      </c>
      <c r="E385" s="8"/>
      <c r="F385" s="8"/>
      <c r="G385" s="25">
        <f t="array" ref="G385">SUM(IF("155"&amp;C385=KHN&amp;MH,SL))</f>
        <v>614</v>
      </c>
      <c r="H385" s="25">
        <f t="array" ref="H385">SUM(IF("155"&amp;C385=KHN&amp;MH,TH))</f>
        <v>18530355</v>
      </c>
      <c r="I385" s="25">
        <f t="array" ref="I385">SUM(IF("155"&amp;C385=KHC&amp;MH,SL))</f>
        <v>614</v>
      </c>
      <c r="J385" s="25">
        <f t="array" ref="J385">SUM(IF("155"&amp;C385=KHC&amp;MH,TH))</f>
        <v>18530355</v>
      </c>
      <c r="K385" s="8">
        <f t="shared" si="43"/>
        <v>0</v>
      </c>
      <c r="L385" s="8">
        <f t="shared" si="44"/>
        <v>0</v>
      </c>
      <c r="M385" s="282"/>
    </row>
    <row r="386" spans="1:13" ht="18.75" customHeight="1">
      <c r="A386" s="282" t="str">
        <f t="shared" si="45"/>
        <v>TP</v>
      </c>
      <c r="B386" s="295">
        <f t="shared" si="46"/>
        <v>352</v>
      </c>
      <c r="C386" s="40" t="s">
        <v>1368</v>
      </c>
      <c r="D386" s="294" t="s">
        <v>1459</v>
      </c>
      <c r="E386" s="8"/>
      <c r="F386" s="8"/>
      <c r="G386" s="25">
        <f t="array" ref="G386">SUM(IF("155"&amp;C386=KHN&amp;MH,SL))</f>
        <v>42</v>
      </c>
      <c r="H386" s="25">
        <f t="array" ref="H386">SUM(IF("155"&amp;C386=KHN&amp;MH,TH))</f>
        <v>811420</v>
      </c>
      <c r="I386" s="25">
        <f t="array" ref="I386">SUM(IF("155"&amp;C386=KHC&amp;MH,SL))</f>
        <v>42</v>
      </c>
      <c r="J386" s="25">
        <f t="array" ref="J386">SUM(IF("155"&amp;C386=KHC&amp;MH,TH))</f>
        <v>811420</v>
      </c>
      <c r="K386" s="8">
        <f t="shared" si="43"/>
        <v>0</v>
      </c>
      <c r="L386" s="8">
        <f t="shared" si="44"/>
        <v>0</v>
      </c>
      <c r="M386" s="282"/>
    </row>
    <row r="387" spans="1:13" ht="18.75" customHeight="1">
      <c r="A387" s="282" t="str">
        <f t="shared" si="45"/>
        <v>TP</v>
      </c>
      <c r="B387" s="295">
        <f t="shared" si="46"/>
        <v>353</v>
      </c>
      <c r="C387" s="40" t="s">
        <v>1070</v>
      </c>
      <c r="D387" s="294" t="s">
        <v>1459</v>
      </c>
      <c r="E387" s="8"/>
      <c r="F387" s="8"/>
      <c r="G387" s="25">
        <f t="array" ref="G387">SUM(IF("155"&amp;C387=KHN&amp;MH,SL))</f>
        <v>220</v>
      </c>
      <c r="H387" s="25">
        <f t="array" ref="H387">SUM(IF("155"&amp;C387=KHN&amp;MH,TH))</f>
        <v>7380154</v>
      </c>
      <c r="I387" s="25">
        <f t="array" ref="I387">SUM(IF("155"&amp;C387=KHC&amp;MH,SL))</f>
        <v>220</v>
      </c>
      <c r="J387" s="25">
        <f t="array" ref="J387">SUM(IF("155"&amp;C387=KHC&amp;MH,TH))</f>
        <v>7380154</v>
      </c>
      <c r="K387" s="8">
        <f t="shared" si="43"/>
        <v>0</v>
      </c>
      <c r="L387" s="8">
        <f t="shared" si="44"/>
        <v>0</v>
      </c>
      <c r="M387" s="282"/>
    </row>
    <row r="388" spans="1:13" ht="18.75" customHeight="1">
      <c r="A388" s="282" t="str">
        <f t="shared" si="45"/>
        <v>TP</v>
      </c>
      <c r="B388" s="295">
        <f t="shared" si="46"/>
        <v>354</v>
      </c>
      <c r="C388" s="40" t="s">
        <v>1504</v>
      </c>
      <c r="D388" s="294" t="s">
        <v>1459</v>
      </c>
      <c r="E388" s="8"/>
      <c r="F388" s="8"/>
      <c r="G388" s="25">
        <f t="array" ref="G388">SUM(IF("155"&amp;C388=KHN&amp;MH,SL))</f>
        <v>66</v>
      </c>
      <c r="H388" s="25">
        <f t="array" ref="H388">SUM(IF("155"&amp;C388=KHN&amp;MH,TH))</f>
        <v>1141454</v>
      </c>
      <c r="I388" s="25">
        <f t="array" ref="I388">SUM(IF("155"&amp;C388=KHC&amp;MH,SL))</f>
        <v>66</v>
      </c>
      <c r="J388" s="25">
        <f t="array" ref="J388">SUM(IF("155"&amp;C388=KHC&amp;MH,TH))</f>
        <v>1141454</v>
      </c>
      <c r="K388" s="8">
        <f t="shared" si="43"/>
        <v>0</v>
      </c>
      <c r="L388" s="8">
        <f t="shared" si="44"/>
        <v>0</v>
      </c>
      <c r="M388" s="282"/>
    </row>
    <row r="389" spans="1:13" ht="18.75" customHeight="1">
      <c r="A389" s="282" t="str">
        <f t="shared" si="45"/>
        <v>TP</v>
      </c>
      <c r="B389" s="295">
        <f t="shared" si="46"/>
        <v>355</v>
      </c>
      <c r="C389" s="40" t="s">
        <v>1384</v>
      </c>
      <c r="D389" s="294" t="s">
        <v>1459</v>
      </c>
      <c r="E389" s="8"/>
      <c r="F389" s="8"/>
      <c r="G389" s="25">
        <f t="array" ref="G389">SUM(IF("155"&amp;C389=KHN&amp;MH,SL))</f>
        <v>37</v>
      </c>
      <c r="H389" s="25">
        <f t="array" ref="H389">SUM(IF("155"&amp;C389=KHN&amp;MH,TH))</f>
        <v>1282934</v>
      </c>
      <c r="I389" s="25">
        <f t="array" ref="I389">SUM(IF("155"&amp;C389=KHC&amp;MH,SL))</f>
        <v>37</v>
      </c>
      <c r="J389" s="25">
        <f t="array" ref="J389">SUM(IF("155"&amp;C389=KHC&amp;MH,TH))</f>
        <v>1282934</v>
      </c>
      <c r="K389" s="8">
        <f t="shared" si="43"/>
        <v>0</v>
      </c>
      <c r="L389" s="8">
        <f t="shared" si="44"/>
        <v>0</v>
      </c>
      <c r="M389" s="282"/>
    </row>
    <row r="390" spans="1:13" ht="18.75" customHeight="1">
      <c r="A390" s="282" t="str">
        <f t="shared" si="45"/>
        <v>TP</v>
      </c>
      <c r="B390" s="295">
        <f t="shared" si="46"/>
        <v>356</v>
      </c>
      <c r="C390" s="190" t="s">
        <v>944</v>
      </c>
      <c r="D390" s="294" t="s">
        <v>1459</v>
      </c>
      <c r="E390" s="8"/>
      <c r="F390" s="8"/>
      <c r="G390" s="25">
        <f t="array" ref="G390">SUM(IF("155"&amp;C390=KHN&amp;MH,SL))</f>
        <v>91</v>
      </c>
      <c r="H390" s="25">
        <f t="array" ref="H390">SUM(IF("155"&amp;C390=KHN&amp;MH,TH))</f>
        <v>2080229</v>
      </c>
      <c r="I390" s="25">
        <f t="array" ref="I390">SUM(IF("155"&amp;C390=KHC&amp;MH,SL))</f>
        <v>91</v>
      </c>
      <c r="J390" s="25">
        <f t="array" ref="J390">SUM(IF("155"&amp;C390=KHC&amp;MH,TH))</f>
        <v>2080229</v>
      </c>
      <c r="K390" s="8">
        <f t="shared" si="43"/>
        <v>0</v>
      </c>
      <c r="L390" s="8">
        <f t="shared" si="44"/>
        <v>0</v>
      </c>
      <c r="M390" s="282"/>
    </row>
    <row r="391" spans="1:13" ht="18.75" customHeight="1">
      <c r="A391" s="282" t="str">
        <f t="shared" si="45"/>
        <v>TP</v>
      </c>
      <c r="B391" s="295">
        <f t="shared" si="46"/>
        <v>357</v>
      </c>
      <c r="C391" s="190" t="s">
        <v>1443</v>
      </c>
      <c r="D391" s="294" t="s">
        <v>1459</v>
      </c>
      <c r="E391" s="8"/>
      <c r="F391" s="8"/>
      <c r="G391" s="25">
        <f t="array" ref="G391">SUM(IF("155"&amp;C391=KHN&amp;MH,SL))</f>
        <v>9367</v>
      </c>
      <c r="H391" s="25">
        <f t="array" ref="H391">SUM(IF("155"&amp;C391=KHN&amp;MH,TH))</f>
        <v>79059238</v>
      </c>
      <c r="I391" s="25">
        <f t="array" ref="I391">SUM(IF("155"&amp;C391=KHC&amp;MH,SL))</f>
        <v>9367</v>
      </c>
      <c r="J391" s="25">
        <f t="array" ref="J391">SUM(IF("155"&amp;C391=KHC&amp;MH,TH))</f>
        <v>79059238</v>
      </c>
      <c r="K391" s="8">
        <f t="shared" si="43"/>
        <v>0</v>
      </c>
      <c r="L391" s="8">
        <f t="shared" si="44"/>
        <v>0</v>
      </c>
      <c r="M391" s="282"/>
    </row>
    <row r="392" spans="1:13" ht="18.75" customHeight="1">
      <c r="A392" s="282" t="str">
        <f t="shared" si="45"/>
        <v>TP</v>
      </c>
      <c r="B392" s="295">
        <f t="shared" si="46"/>
        <v>358</v>
      </c>
      <c r="C392" s="286" t="s">
        <v>1440</v>
      </c>
      <c r="D392" s="294" t="s">
        <v>1459</v>
      </c>
      <c r="E392" s="8"/>
      <c r="F392" s="8"/>
      <c r="G392" s="25">
        <f t="array" ref="G392">SUM(IF("155"&amp;C392=KHN&amp;MH,SL))</f>
        <v>500</v>
      </c>
      <c r="H392" s="25">
        <f t="array" ref="H392">SUM(IF("155"&amp;C392=KHN&amp;MH,TH))</f>
        <v>3462321</v>
      </c>
      <c r="I392" s="25">
        <f t="array" ref="I392">SUM(IF("155"&amp;C392=KHC&amp;MH,SL))</f>
        <v>500</v>
      </c>
      <c r="J392" s="25">
        <f t="array" ref="J392">SUM(IF("155"&amp;C392=KHC&amp;MH,TH))</f>
        <v>3462321</v>
      </c>
      <c r="K392" s="8">
        <f t="shared" si="43"/>
        <v>0</v>
      </c>
      <c r="L392" s="8">
        <f t="shared" si="44"/>
        <v>0</v>
      </c>
      <c r="M392" s="282"/>
    </row>
    <row r="393" spans="1:13" ht="18.75" customHeight="1">
      <c r="A393" s="282" t="str">
        <f t="shared" si="45"/>
        <v>TP</v>
      </c>
      <c r="B393" s="295">
        <f t="shared" si="46"/>
        <v>359</v>
      </c>
      <c r="C393" s="286" t="s">
        <v>1439</v>
      </c>
      <c r="D393" s="294" t="s">
        <v>1459</v>
      </c>
      <c r="E393" s="8"/>
      <c r="F393" s="8"/>
      <c r="G393" s="25">
        <f t="array" ref="G393">SUM(IF("155"&amp;C393=KHN&amp;MH,SL))</f>
        <v>1300</v>
      </c>
      <c r="H393" s="25">
        <f t="array" ref="H393">SUM(IF("155"&amp;C393=KHN&amp;MH,TH))</f>
        <v>9054089</v>
      </c>
      <c r="I393" s="25">
        <f t="array" ref="I393">SUM(IF("155"&amp;C393=KHC&amp;MH,SL))</f>
        <v>1300</v>
      </c>
      <c r="J393" s="25">
        <f t="array" ref="J393">SUM(IF("155"&amp;C393=KHC&amp;MH,TH))</f>
        <v>9054089</v>
      </c>
      <c r="K393" s="8">
        <f t="shared" si="43"/>
        <v>0</v>
      </c>
      <c r="L393" s="8">
        <f t="shared" si="44"/>
        <v>0</v>
      </c>
      <c r="M393" s="282"/>
    </row>
    <row r="394" spans="1:13" ht="18.75" customHeight="1">
      <c r="A394" s="282" t="str">
        <f t="shared" si="45"/>
        <v>TP</v>
      </c>
      <c r="B394" s="295">
        <f t="shared" si="46"/>
        <v>360</v>
      </c>
      <c r="C394" s="187" t="s">
        <v>1441</v>
      </c>
      <c r="D394" s="294" t="s">
        <v>1459</v>
      </c>
      <c r="E394" s="8"/>
      <c r="F394" s="8"/>
      <c r="G394" s="25">
        <f t="array" ref="G394">SUM(IF("155"&amp;C394=KHN&amp;MH,SL))</f>
        <v>3600</v>
      </c>
      <c r="H394" s="25">
        <f t="array" ref="H394">SUM(IF("155"&amp;C394=KHN&amp;MH,TH))</f>
        <v>13059656</v>
      </c>
      <c r="I394" s="25">
        <f t="array" ref="I394">SUM(IF("155"&amp;C394=KHC&amp;MH,SL))</f>
        <v>3600</v>
      </c>
      <c r="J394" s="25">
        <f t="array" ref="J394">SUM(IF("155"&amp;C394=KHC&amp;MH,TH))</f>
        <v>13059656</v>
      </c>
      <c r="K394" s="8">
        <f t="shared" si="43"/>
        <v>0</v>
      </c>
      <c r="L394" s="8">
        <f t="shared" si="44"/>
        <v>0</v>
      </c>
      <c r="M394" s="282"/>
    </row>
    <row r="395" spans="1:13" ht="18.75" customHeight="1">
      <c r="A395" s="282" t="str">
        <f t="shared" si="45"/>
        <v>TP</v>
      </c>
      <c r="B395" s="295">
        <f t="shared" si="46"/>
        <v>361</v>
      </c>
      <c r="C395" s="187" t="s">
        <v>1442</v>
      </c>
      <c r="D395" s="294" t="s">
        <v>1459</v>
      </c>
      <c r="E395" s="8"/>
      <c r="F395" s="8"/>
      <c r="G395" s="25">
        <f t="array" ref="G395">SUM(IF("155"&amp;C395=KHN&amp;MH,SL))</f>
        <v>300</v>
      </c>
      <c r="H395" s="25">
        <f t="array" ref="H395">SUM(IF("155"&amp;C395=KHN&amp;MH,TH))</f>
        <v>1645112</v>
      </c>
      <c r="I395" s="25">
        <f t="array" ref="I395">SUM(IF("155"&amp;C395=KHC&amp;MH,SL))</f>
        <v>300</v>
      </c>
      <c r="J395" s="25">
        <f t="array" ref="J395">SUM(IF("155"&amp;C395=KHC&amp;MH,TH))</f>
        <v>1645112</v>
      </c>
      <c r="K395" s="8">
        <f t="shared" si="43"/>
        <v>0</v>
      </c>
      <c r="L395" s="8">
        <f t="shared" si="44"/>
        <v>0</v>
      </c>
      <c r="M395" s="282"/>
    </row>
    <row r="396" spans="1:13" ht="18.75" customHeight="1">
      <c r="A396" s="282" t="str">
        <f t="shared" si="45"/>
        <v>TP</v>
      </c>
      <c r="B396" s="295">
        <f t="shared" si="46"/>
        <v>362</v>
      </c>
      <c r="C396" s="187" t="s">
        <v>1434</v>
      </c>
      <c r="D396" s="294" t="s">
        <v>1459</v>
      </c>
      <c r="E396" s="8"/>
      <c r="F396" s="8"/>
      <c r="G396" s="25">
        <f t="array" ref="G396">SUM(IF("155"&amp;C396=KHN&amp;MH,SL))</f>
        <v>1485</v>
      </c>
      <c r="H396" s="25">
        <f t="array" ref="H396">SUM(IF("155"&amp;C396=KHN&amp;MH,TH))</f>
        <v>12764627</v>
      </c>
      <c r="I396" s="25">
        <f t="array" ref="I396">SUM(IF("155"&amp;C396=KHC&amp;MH,SL))</f>
        <v>1485</v>
      </c>
      <c r="J396" s="25">
        <f t="array" ref="J396">SUM(IF("155"&amp;C396=KHC&amp;MH,TH))</f>
        <v>12764627</v>
      </c>
      <c r="K396" s="8">
        <f t="shared" si="43"/>
        <v>0</v>
      </c>
      <c r="L396" s="8">
        <f t="shared" si="44"/>
        <v>0</v>
      </c>
      <c r="M396" s="282"/>
    </row>
    <row r="397" spans="1:13" ht="18.75" customHeight="1">
      <c r="A397" s="282" t="str">
        <f t="shared" si="45"/>
        <v>TP</v>
      </c>
      <c r="B397" s="295">
        <f t="shared" si="46"/>
        <v>363</v>
      </c>
      <c r="C397" s="190" t="s">
        <v>1435</v>
      </c>
      <c r="D397" s="294" t="s">
        <v>1459</v>
      </c>
      <c r="E397" s="8"/>
      <c r="F397" s="8"/>
      <c r="G397" s="25">
        <f t="array" ref="G397">SUM(IF("155"&amp;C397=KHN&amp;MH,SL))</f>
        <v>10229</v>
      </c>
      <c r="H397" s="25">
        <f t="array" ref="H397">SUM(IF("155"&amp;C397=KHN&amp;MH,TH))</f>
        <v>99890134</v>
      </c>
      <c r="I397" s="25">
        <f t="array" ref="I397">SUM(IF("155"&amp;C397=KHC&amp;MH,SL))</f>
        <v>10229</v>
      </c>
      <c r="J397" s="25">
        <f t="array" ref="J397">SUM(IF("155"&amp;C397=KHC&amp;MH,TH))</f>
        <v>99890134</v>
      </c>
      <c r="K397" s="8">
        <f t="shared" si="43"/>
        <v>0</v>
      </c>
      <c r="L397" s="8">
        <f t="shared" si="44"/>
        <v>0</v>
      </c>
      <c r="M397" s="282"/>
    </row>
    <row r="398" spans="1:13" ht="18.75" customHeight="1">
      <c r="A398" s="282" t="str">
        <f t="shared" si="45"/>
        <v>TP</v>
      </c>
      <c r="B398" s="295">
        <f t="shared" si="46"/>
        <v>364</v>
      </c>
      <c r="C398" s="187" t="s">
        <v>1306</v>
      </c>
      <c r="D398" s="294" t="s">
        <v>1459</v>
      </c>
      <c r="E398" s="8"/>
      <c r="F398" s="8"/>
      <c r="G398" s="25">
        <f t="array" ref="G398">SUM(IF("155"&amp;C398=KHN&amp;MH,SL))</f>
        <v>2943</v>
      </c>
      <c r="H398" s="25">
        <f t="array" ref="H398">SUM(IF("155"&amp;C398=KHN&amp;MH,TH))</f>
        <v>30619494</v>
      </c>
      <c r="I398" s="25">
        <f t="array" ref="I398">SUM(IF("155"&amp;C398=KHC&amp;MH,SL))</f>
        <v>2943</v>
      </c>
      <c r="J398" s="25">
        <f t="array" ref="J398">SUM(IF("155"&amp;C398=KHC&amp;MH,TH))</f>
        <v>30619494</v>
      </c>
      <c r="K398" s="8">
        <f t="shared" si="43"/>
        <v>0</v>
      </c>
      <c r="L398" s="8">
        <f t="shared" si="44"/>
        <v>0</v>
      </c>
      <c r="M398" s="282"/>
    </row>
    <row r="399" spans="1:13" ht="18.75" customHeight="1">
      <c r="A399" s="282" t="str">
        <f t="shared" si="45"/>
        <v>TP</v>
      </c>
      <c r="B399" s="295">
        <f t="shared" si="46"/>
        <v>365</v>
      </c>
      <c r="C399" s="187" t="s">
        <v>1307</v>
      </c>
      <c r="D399" s="294" t="s">
        <v>1459</v>
      </c>
      <c r="E399" s="8"/>
      <c r="F399" s="8"/>
      <c r="G399" s="25">
        <f t="array" ref="G399">SUM(IF("155"&amp;C399=KHN&amp;MH,SL))</f>
        <v>1060</v>
      </c>
      <c r="H399" s="25">
        <f t="array" ref="H399">SUM(IF("155"&amp;C399=KHN&amp;MH,TH))</f>
        <v>13534164</v>
      </c>
      <c r="I399" s="25">
        <f t="array" ref="I399">SUM(IF("155"&amp;C399=KHC&amp;MH,SL))</f>
        <v>1060</v>
      </c>
      <c r="J399" s="25">
        <f t="array" ref="J399">SUM(IF("155"&amp;C399=KHC&amp;MH,TH))</f>
        <v>13534164</v>
      </c>
      <c r="K399" s="8">
        <f t="shared" si="43"/>
        <v>0</v>
      </c>
      <c r="L399" s="8">
        <f t="shared" si="44"/>
        <v>0</v>
      </c>
      <c r="M399" s="282"/>
    </row>
    <row r="400" spans="1:13" ht="18.75" customHeight="1">
      <c r="A400" s="282" t="str">
        <f t="shared" si="45"/>
        <v>TP</v>
      </c>
      <c r="B400" s="295">
        <f t="shared" si="46"/>
        <v>366</v>
      </c>
      <c r="C400" s="187" t="s">
        <v>1310</v>
      </c>
      <c r="D400" s="294" t="s">
        <v>1459</v>
      </c>
      <c r="E400" s="8"/>
      <c r="F400" s="8"/>
      <c r="G400" s="25">
        <f t="array" ref="G400">SUM(IF("155"&amp;C400=KHN&amp;MH,SL))</f>
        <v>1120</v>
      </c>
      <c r="H400" s="25">
        <f t="array" ref="H400">SUM(IF("155"&amp;C400=KHN&amp;MH,TH))</f>
        <v>10264672</v>
      </c>
      <c r="I400" s="25">
        <f t="array" ref="I400">SUM(IF("155"&amp;C400=KHC&amp;MH,SL))</f>
        <v>1120</v>
      </c>
      <c r="J400" s="25">
        <f t="array" ref="J400">SUM(IF("155"&amp;C400=KHC&amp;MH,TH))</f>
        <v>10264672</v>
      </c>
      <c r="K400" s="8">
        <f t="shared" si="43"/>
        <v>0</v>
      </c>
      <c r="L400" s="8">
        <f t="shared" si="44"/>
        <v>0</v>
      </c>
      <c r="M400" s="282"/>
    </row>
    <row r="401" spans="1:13" ht="18.75" customHeight="1">
      <c r="A401" s="282" t="str">
        <f t="shared" si="45"/>
        <v>TP</v>
      </c>
      <c r="B401" s="295">
        <f t="shared" si="46"/>
        <v>367</v>
      </c>
      <c r="C401" s="187" t="s">
        <v>1308</v>
      </c>
      <c r="D401" s="294" t="s">
        <v>1459</v>
      </c>
      <c r="E401" s="8"/>
      <c r="F401" s="8"/>
      <c r="G401" s="25">
        <f t="array" ref="G401">SUM(IF("155"&amp;C401=KHN&amp;MH,SL))</f>
        <v>600</v>
      </c>
      <c r="H401" s="25">
        <f t="array" ref="H401">SUM(IF("155"&amp;C401=KHN&amp;MH,TH))</f>
        <v>6079610</v>
      </c>
      <c r="I401" s="25">
        <f t="array" ref="I401">SUM(IF("155"&amp;C401=KHC&amp;MH,SL))</f>
        <v>600</v>
      </c>
      <c r="J401" s="25">
        <f t="array" ref="J401">SUM(IF("155"&amp;C401=KHC&amp;MH,TH))</f>
        <v>6079610</v>
      </c>
      <c r="K401" s="8">
        <f t="shared" si="43"/>
        <v>0</v>
      </c>
      <c r="L401" s="8">
        <f t="shared" si="44"/>
        <v>0</v>
      </c>
      <c r="M401" s="282"/>
    </row>
    <row r="402" spans="1:13" ht="18.75" customHeight="1">
      <c r="A402" s="282" t="str">
        <f t="shared" si="45"/>
        <v>TP</v>
      </c>
      <c r="B402" s="295">
        <f t="shared" si="46"/>
        <v>368</v>
      </c>
      <c r="C402" s="187" t="s">
        <v>1309</v>
      </c>
      <c r="D402" s="294" t="s">
        <v>1459</v>
      </c>
      <c r="E402" s="8"/>
      <c r="F402" s="8"/>
      <c r="G402" s="25">
        <f t="array" ref="G402">SUM(IF("155"&amp;C402=KHN&amp;MH,SL))</f>
        <v>1300</v>
      </c>
      <c r="H402" s="25">
        <f t="array" ref="H402">SUM(IF("155"&amp;C402=KHN&amp;MH,TH))</f>
        <v>14499583</v>
      </c>
      <c r="I402" s="25">
        <f t="array" ref="I402">SUM(IF("155"&amp;C402=KHC&amp;MH,SL))</f>
        <v>1300</v>
      </c>
      <c r="J402" s="25">
        <f t="array" ref="J402">SUM(IF("155"&amp;C402=KHC&amp;MH,TH))</f>
        <v>14499583</v>
      </c>
      <c r="K402" s="8">
        <f t="shared" si="43"/>
        <v>0</v>
      </c>
      <c r="L402" s="8">
        <f t="shared" si="44"/>
        <v>0</v>
      </c>
      <c r="M402" s="282"/>
    </row>
    <row r="403" spans="1:13" ht="18.75" customHeight="1">
      <c r="A403" s="282" t="str">
        <f t="shared" si="45"/>
        <v>TP</v>
      </c>
      <c r="B403" s="295">
        <f t="shared" si="46"/>
        <v>369</v>
      </c>
      <c r="C403" s="187" t="s">
        <v>1436</v>
      </c>
      <c r="D403" s="294" t="s">
        <v>1459</v>
      </c>
      <c r="E403" s="8"/>
      <c r="F403" s="8"/>
      <c r="G403" s="25">
        <f t="array" ref="G403">SUM(IF("155"&amp;C403=KHN&amp;MH,SL))</f>
        <v>660</v>
      </c>
      <c r="H403" s="25">
        <f t="array" ref="H403">SUM(IF("155"&amp;C403=KHN&amp;MH,TH))</f>
        <v>11539531</v>
      </c>
      <c r="I403" s="25">
        <f t="array" ref="I403">SUM(IF("155"&amp;C403=KHC&amp;MH,SL))</f>
        <v>660</v>
      </c>
      <c r="J403" s="25">
        <f t="array" ref="J403">SUM(IF("155"&amp;C403=KHC&amp;MH,TH))</f>
        <v>11539531</v>
      </c>
      <c r="K403" s="8">
        <f t="shared" si="43"/>
        <v>0</v>
      </c>
      <c r="L403" s="8">
        <f t="shared" si="44"/>
        <v>0</v>
      </c>
      <c r="M403" s="282"/>
    </row>
    <row r="404" spans="1:13" ht="18.75" customHeight="1">
      <c r="A404" s="282" t="str">
        <f t="shared" si="45"/>
        <v>TP</v>
      </c>
      <c r="B404" s="295">
        <f t="shared" si="46"/>
        <v>370</v>
      </c>
      <c r="C404" s="190" t="s">
        <v>1446</v>
      </c>
      <c r="D404" s="294" t="s">
        <v>1459</v>
      </c>
      <c r="E404" s="8"/>
      <c r="F404" s="8"/>
      <c r="G404" s="25">
        <f t="array" ref="G404">SUM(IF("155"&amp;C404=KHN&amp;MH,SL))</f>
        <v>710</v>
      </c>
      <c r="H404" s="25">
        <f t="array" ref="H404">SUM(IF("155"&amp;C404=KHN&amp;MH,TH))</f>
        <v>14128805</v>
      </c>
      <c r="I404" s="25">
        <f t="array" ref="I404">SUM(IF("155"&amp;C404=KHC&amp;MH,SL))</f>
        <v>710</v>
      </c>
      <c r="J404" s="25">
        <f t="array" ref="J404">SUM(IF("155"&amp;C404=KHC&amp;MH,TH))</f>
        <v>14128805</v>
      </c>
      <c r="K404" s="8">
        <f t="shared" si="43"/>
        <v>0</v>
      </c>
      <c r="L404" s="8">
        <f t="shared" si="44"/>
        <v>0</v>
      </c>
      <c r="M404" s="282"/>
    </row>
    <row r="405" spans="1:13" ht="18.75" customHeight="1">
      <c r="A405" s="282" t="str">
        <f t="shared" si="45"/>
        <v>TP</v>
      </c>
      <c r="B405" s="295">
        <f t="shared" si="46"/>
        <v>371</v>
      </c>
      <c r="C405" s="40" t="s">
        <v>1447</v>
      </c>
      <c r="D405" s="294" t="s">
        <v>1459</v>
      </c>
      <c r="E405" s="8"/>
      <c r="F405" s="8"/>
      <c r="G405" s="25">
        <f t="array" ref="G405">SUM(IF("155"&amp;C405=KHN&amp;MH,SL))</f>
        <v>200</v>
      </c>
      <c r="H405" s="25">
        <f t="array" ref="H405">SUM(IF("155"&amp;C405=KHN&amp;MH,TH))</f>
        <v>1974134</v>
      </c>
      <c r="I405" s="25">
        <f t="array" ref="I405">SUM(IF("155"&amp;C405=KHC&amp;MH,SL))</f>
        <v>200</v>
      </c>
      <c r="J405" s="25">
        <f t="array" ref="J405">SUM(IF("155"&amp;C405=KHC&amp;MH,TH))</f>
        <v>1974134</v>
      </c>
      <c r="K405" s="8">
        <f t="shared" si="43"/>
        <v>0</v>
      </c>
      <c r="L405" s="8">
        <f t="shared" si="44"/>
        <v>0</v>
      </c>
      <c r="M405" s="282"/>
    </row>
    <row r="406" spans="1:13" ht="18.75" customHeight="1">
      <c r="A406" s="282" t="str">
        <f t="shared" si="45"/>
        <v>TP</v>
      </c>
      <c r="B406" s="295">
        <f t="shared" si="46"/>
        <v>372</v>
      </c>
      <c r="C406" s="190" t="s">
        <v>1438</v>
      </c>
      <c r="D406" s="294" t="s">
        <v>1459</v>
      </c>
      <c r="E406" s="8"/>
      <c r="F406" s="8"/>
      <c r="G406" s="25">
        <f t="array" ref="G406">SUM(IF("155"&amp;C406=KHN&amp;MH,SL))</f>
        <v>500</v>
      </c>
      <c r="H406" s="25">
        <f t="array" ref="H406">SUM(IF("155"&amp;C406=KHN&amp;MH,TH))</f>
        <v>3409615</v>
      </c>
      <c r="I406" s="25">
        <f t="array" ref="I406">SUM(IF("155"&amp;C406=KHC&amp;MH,SL))</f>
        <v>500</v>
      </c>
      <c r="J406" s="25">
        <f t="array" ref="J406">SUM(IF("155"&amp;C406=KHC&amp;MH,TH))</f>
        <v>3409615</v>
      </c>
      <c r="K406" s="8">
        <f t="shared" si="43"/>
        <v>0</v>
      </c>
      <c r="L406" s="8">
        <f t="shared" si="44"/>
        <v>0</v>
      </c>
      <c r="M406" s="282"/>
    </row>
    <row r="407" spans="1:13" ht="18.75" customHeight="1">
      <c r="A407" s="282" t="str">
        <f t="shared" si="45"/>
        <v>TP</v>
      </c>
      <c r="B407" s="295">
        <f t="shared" si="46"/>
        <v>373</v>
      </c>
      <c r="C407" s="190" t="s">
        <v>1437</v>
      </c>
      <c r="D407" s="294" t="s">
        <v>1459</v>
      </c>
      <c r="E407" s="8"/>
      <c r="F407" s="8"/>
      <c r="G407" s="25">
        <f t="array" ref="G407">SUM(IF("155"&amp;C407=KHN&amp;MH,SL))</f>
        <v>11000</v>
      </c>
      <c r="H407" s="25">
        <f t="array" ref="H407">SUM(IF("155"&amp;C407=KHN&amp;MH,TH))</f>
        <v>36214985</v>
      </c>
      <c r="I407" s="25">
        <f t="array" ref="I407">SUM(IF("155"&amp;C407=KHC&amp;MH,SL))</f>
        <v>11000</v>
      </c>
      <c r="J407" s="25">
        <f t="array" ref="J407">SUM(IF("155"&amp;C407=KHC&amp;MH,TH))</f>
        <v>36214985</v>
      </c>
      <c r="K407" s="8">
        <f t="shared" si="43"/>
        <v>0</v>
      </c>
      <c r="L407" s="8">
        <f t="shared" si="44"/>
        <v>0</v>
      </c>
      <c r="M407" s="282"/>
    </row>
    <row r="408" spans="1:13" ht="18.75" customHeight="1">
      <c r="A408" s="282" t="str">
        <f t="shared" ref="A408" si="47">IF(B408&lt;&gt;"","TP","")</f>
        <v/>
      </c>
      <c r="B408" s="295" t="str">
        <f t="shared" ref="B408" si="48">IF(C408&lt;&gt;"",B407+1,"")</f>
        <v/>
      </c>
      <c r="C408" s="286"/>
      <c r="D408" s="294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ref="K408:K409" si="49">E408+G408-I408</f>
        <v>0</v>
      </c>
      <c r="L408" s="8">
        <f t="shared" ref="L408:L409" si="50">F408+H408-J408</f>
        <v>0</v>
      </c>
      <c r="M408" s="282"/>
    </row>
    <row r="409" spans="1:13" ht="18.75" customHeight="1">
      <c r="A409" s="282" t="str">
        <f t="shared" ref="A409" si="51">IF(B409&lt;&gt;"","TP","")</f>
        <v/>
      </c>
      <c r="B409" s="295" t="str">
        <f t="shared" ref="B409" si="52">IF(C409&lt;&gt;"",B408+1,"")</f>
        <v/>
      </c>
      <c r="C409" s="40"/>
      <c r="D409" s="294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9"/>
        <v>0</v>
      </c>
      <c r="L409" s="8">
        <f t="shared" si="50"/>
        <v>0</v>
      </c>
      <c r="M409" s="282"/>
    </row>
    <row r="410" spans="1:13" ht="18.75" customHeight="1">
      <c r="A410" s="282" t="str">
        <f t="shared" ref="A410" si="53">IF(B410&lt;&gt;"","TP","")</f>
        <v/>
      </c>
      <c r="B410" s="295" t="str">
        <f t="shared" ref="B410" si="54">IF(C410&lt;&gt;"",B409+1,"")</f>
        <v/>
      </c>
      <c r="C410" s="40"/>
      <c r="D410" s="294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ref="K410" si="55">E410+G410-I410</f>
        <v>0</v>
      </c>
      <c r="L410" s="8">
        <f t="shared" ref="L410" si="56">F410+H410-J410</f>
        <v>0</v>
      </c>
      <c r="M410" s="282"/>
    </row>
    <row r="411" spans="1:13" ht="18.75" customHeight="1">
      <c r="A411" s="282"/>
      <c r="B411" s="295"/>
      <c r="C411" s="40"/>
      <c r="D411" s="294"/>
      <c r="E411" s="8"/>
      <c r="F411" s="8"/>
      <c r="G411" s="25"/>
      <c r="H411" s="25"/>
      <c r="I411" s="25"/>
      <c r="J411" s="25"/>
      <c r="K411" s="8"/>
      <c r="L411" s="8"/>
      <c r="M411" s="282"/>
    </row>
    <row r="412" spans="1:13" ht="19.5" customHeight="1">
      <c r="A412" s="282" t="str">
        <f t="shared" ref="A412" si="57">IF(B412&lt;&gt;"","TP","")</f>
        <v/>
      </c>
      <c r="B412" s="869"/>
      <c r="C412" s="290" t="s">
        <v>199</v>
      </c>
      <c r="D412" s="869"/>
      <c r="E412" s="13">
        <f t="shared" ref="E412:L412" si="58">SUM(E35:E411)</f>
        <v>0</v>
      </c>
      <c r="F412" s="13">
        <f t="shared" si="58"/>
        <v>0</v>
      </c>
      <c r="G412" s="13">
        <f t="shared" si="58"/>
        <v>330380</v>
      </c>
      <c r="H412" s="13">
        <f t="shared" si="58"/>
        <v>2682206880</v>
      </c>
      <c r="I412" s="13">
        <f t="shared" si="58"/>
        <v>330380</v>
      </c>
      <c r="J412" s="13">
        <f t="shared" si="58"/>
        <v>2682206880</v>
      </c>
      <c r="K412" s="13">
        <f t="shared" si="58"/>
        <v>0</v>
      </c>
      <c r="L412" s="13">
        <f t="shared" si="58"/>
        <v>0</v>
      </c>
      <c r="M412" s="282"/>
    </row>
    <row r="413" spans="1:13" ht="18.75" customHeight="1">
      <c r="A413" s="282"/>
      <c r="B413" s="443"/>
      <c r="C413" s="443"/>
      <c r="D413" s="442"/>
      <c r="E413" s="444"/>
      <c r="F413" s="444">
        <f>F412-CDPS!C23</f>
        <v>0</v>
      </c>
      <c r="G413" s="444"/>
      <c r="H413" s="444">
        <f>H412-CDPS!E23</f>
        <v>0</v>
      </c>
      <c r="I413" s="444"/>
      <c r="J413" s="444">
        <f>J412-CDPS!F23</f>
        <v>0</v>
      </c>
      <c r="K413" s="444"/>
      <c r="L413" s="444">
        <f>L412-CDPS!H23</f>
        <v>0</v>
      </c>
      <c r="M413" s="296"/>
    </row>
    <row r="414" spans="1:13" ht="18.75" customHeight="1"/>
    <row r="415" spans="1:13" ht="19.5" customHeight="1"/>
    <row r="416" spans="1:13" ht="19.5" customHeight="1">
      <c r="C416" s="1031"/>
      <c r="D416" s="1031"/>
      <c r="E416" s="1031"/>
      <c r="F416" s="748"/>
      <c r="G416" s="748"/>
      <c r="H416" s="748"/>
      <c r="I416" s="748"/>
      <c r="J416" s="1031" t="s">
        <v>387</v>
      </c>
      <c r="K416" s="1031"/>
      <c r="L416" s="1031"/>
    </row>
    <row r="417" spans="3:12" ht="19.5" customHeight="1">
      <c r="C417" s="867"/>
      <c r="D417" s="867"/>
      <c r="E417" s="867"/>
      <c r="F417" s="1031"/>
      <c r="G417" s="1031"/>
      <c r="H417" s="1031"/>
      <c r="I417" s="748"/>
      <c r="J417" s="1031" t="s">
        <v>109</v>
      </c>
      <c r="K417" s="1031"/>
      <c r="L417" s="1031"/>
    </row>
    <row r="418" spans="3:12" ht="19.5" customHeight="1">
      <c r="C418" s="867"/>
      <c r="D418" s="867"/>
      <c r="E418" s="867"/>
      <c r="F418" s="1031"/>
      <c r="G418" s="1031"/>
      <c r="H418" s="1031"/>
      <c r="I418" s="280"/>
      <c r="J418" s="1031" t="s">
        <v>136</v>
      </c>
      <c r="K418" s="1031"/>
      <c r="L418" s="1031"/>
    </row>
    <row r="419" spans="3:12" ht="20.25" customHeight="1"/>
    <row r="420" spans="3:12" ht="20.25" customHeight="1"/>
    <row r="421" spans="3:12" ht="20.25" customHeight="1"/>
    <row r="422" spans="3:12" ht="20.25" customHeight="1"/>
    <row r="423" spans="3:12" ht="20.25" customHeight="1"/>
    <row r="424" spans="3:12" ht="20.25" customHeight="1"/>
    <row r="425" spans="3:12" ht="20.25" customHeight="1"/>
    <row r="426" spans="3:12" ht="19.5" customHeight="1"/>
    <row r="427" spans="3:12" ht="19.5" customHeight="1"/>
    <row r="428" spans="3:12" ht="19.5" customHeight="1"/>
    <row r="429" spans="3:12" ht="19.5" customHeight="1"/>
    <row r="430" spans="3:12" ht="19.5" customHeight="1"/>
    <row r="431" spans="3:12" ht="19.5" customHeight="1"/>
    <row r="432" spans="3:1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</sheetData>
  <autoFilter ref="A11:N413"/>
  <sortState ref="A34:N407">
    <sortCondition ref="C34:C407"/>
  </sortState>
  <mergeCells count="20">
    <mergeCell ref="C416:E416"/>
    <mergeCell ref="J418:L418"/>
    <mergeCell ref="F418:H418"/>
    <mergeCell ref="J417:L417"/>
    <mergeCell ref="F417:H417"/>
    <mergeCell ref="J416:L416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300" customWidth="1"/>
    <col min="2" max="2" width="29.7109375" style="300" customWidth="1"/>
    <col min="3" max="3" width="5.7109375" style="300" customWidth="1"/>
    <col min="4" max="4" width="6.7109375" style="300" customWidth="1"/>
    <col min="5" max="5" width="12.7109375" style="300" customWidth="1"/>
    <col min="6" max="6" width="9.85546875" style="300" customWidth="1"/>
    <col min="7" max="7" width="11" style="300" customWidth="1"/>
    <col min="8" max="8" width="14" style="300" customWidth="1"/>
    <col min="9" max="9" width="3.5703125" style="300" customWidth="1"/>
    <col min="10" max="10" width="7.5703125" style="300" customWidth="1"/>
    <col min="11" max="11" width="3.140625" style="300" customWidth="1"/>
    <col min="12" max="12" width="5.7109375" style="300" customWidth="1"/>
    <col min="13" max="13" width="2.7109375" style="300" customWidth="1"/>
    <col min="14" max="14" width="4" style="300" customWidth="1"/>
    <col min="15" max="15" width="3.7109375" style="300" customWidth="1"/>
    <col min="16" max="16384" width="9.140625" style="300"/>
  </cols>
  <sheetData>
    <row r="1" spans="1:17" ht="5.25" hidden="1" customHeight="1"/>
    <row r="2" spans="1:17" s="628" customFormat="1" ht="12" customHeight="1">
      <c r="A2" s="627" t="str">
        <f>TH!A1</f>
        <v>Đơn vị: CÔNG TY TNHH SX TM KIM DUNG PHÁT</v>
      </c>
      <c r="G2" s="629" t="str">
        <f>+IF(LEFT($D$7,1)="N","Mẫu số 01 - VT","Mẫu số 02 - VT")</f>
        <v>Mẫu số 01 - VT</v>
      </c>
    </row>
    <row r="3" spans="1:17" s="628" customFormat="1" ht="12" customHeight="1">
      <c r="A3" s="630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29" t="s">
        <v>104</v>
      </c>
      <c r="O3" s="631"/>
      <c r="P3" s="632">
        <f>IF(J5="Quý I",1,IF(J5="Quý II",4,IF(J5="Quý III",7,IF(J5="Quý IV",10,""))))</f>
        <v>10</v>
      </c>
      <c r="Q3" s="632">
        <f>IF(J5="Quý I",3,IF(J5="Quý II",6,IF(J5="Quý III",9,IF(J5="Quý IV",12,""))))</f>
        <v>12</v>
      </c>
    </row>
    <row r="4" spans="1:17" s="628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33"/>
      <c r="M4" s="634"/>
      <c r="N4" s="629" t="s">
        <v>105</v>
      </c>
      <c r="O4" s="631"/>
    </row>
    <row r="5" spans="1:17" ht="18" customHeight="1" thickBot="1">
      <c r="D5" s="304" t="str">
        <f>+IF(LEFT($L$5,1)="N","PHIẾU NHẬP KHO","PHIẾU XUẤT KHO")</f>
        <v>PHIẾU NHẬP KHO</v>
      </c>
      <c r="J5" s="624" t="s">
        <v>1469</v>
      </c>
      <c r="K5" s="305"/>
      <c r="L5" s="625" t="s">
        <v>1546</v>
      </c>
      <c r="M5" s="306"/>
      <c r="N5" s="626">
        <v>6</v>
      </c>
      <c r="O5" s="301"/>
      <c r="P5" s="301"/>
    </row>
    <row r="6" spans="1:17" ht="10.5" customHeight="1">
      <c r="D6" s="63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23  tháng  12  năm  2016</v>
      </c>
      <c r="E6" s="637"/>
      <c r="M6" s="303"/>
      <c r="O6" s="301"/>
    </row>
    <row r="7" spans="1:17" ht="10.5" customHeight="1">
      <c r="C7" s="638" t="str">
        <f xml:space="preserve"> "Số:"</f>
        <v>Số:</v>
      </c>
      <c r="D7" s="639" t="str">
        <f xml:space="preserve"> RIGHT($L$5,2)&amp;"/"&amp;LEFT($L$5,1)&amp;IF($N$5&gt;=10,$N$5,"0"&amp;$N$5)</f>
        <v>NL/N06</v>
      </c>
      <c r="G7" s="300" t="str">
        <f ca="1">"Nợ:  "&amp;IF(ROWS($1:1)&gt;COUNT(Dong10),"",OFFSET(TH!L$1,SMALL(Dong10,ROWS($1:1)),))</f>
        <v>Nợ:  1521</v>
      </c>
      <c r="M7" s="303"/>
      <c r="O7" s="301"/>
    </row>
    <row r="8" spans="1:17" ht="10.5" customHeight="1">
      <c r="D8" s="71"/>
      <c r="G8" s="300" t="str">
        <f ca="1">"Có:  "&amp;IF(ROWS($1:1)&gt;COUNT(Dong10),"",OFFSET(TH!M$1,SMALL(Dong10,ROWS($1:1)),))</f>
        <v>Có:  331</v>
      </c>
      <c r="M8" s="303"/>
      <c r="O8" s="640"/>
    </row>
    <row r="9" spans="1:17" ht="11.25" customHeight="1">
      <c r="A9" s="30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TNHH SX TM DV &amp; ĐT XD Tân Phú Thịnh</v>
      </c>
      <c r="M9" s="303"/>
    </row>
    <row r="10" spans="1:17" ht="11.25" customHeight="1">
      <c r="A10" s="30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00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00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81" t="s">
        <v>35</v>
      </c>
      <c r="B14" s="1081" t="s">
        <v>200</v>
      </c>
      <c r="C14" s="1081" t="s">
        <v>201</v>
      </c>
      <c r="D14" s="1081" t="s">
        <v>192</v>
      </c>
      <c r="E14" s="1083" t="s">
        <v>202</v>
      </c>
      <c r="F14" s="1083"/>
      <c r="G14" s="1081" t="s">
        <v>203</v>
      </c>
      <c r="H14" s="1081" t="s">
        <v>204</v>
      </c>
    </row>
    <row r="15" spans="1:17" ht="12.75" customHeight="1">
      <c r="A15" s="1082"/>
      <c r="B15" s="1082"/>
      <c r="C15" s="1082"/>
      <c r="D15" s="1082"/>
      <c r="E15" s="641" t="s">
        <v>205</v>
      </c>
      <c r="F15" s="641" t="str">
        <f>IF(LEFT($D$7,1)="N","Thực nhập","Thực xuất")</f>
        <v>Thực nhập</v>
      </c>
      <c r="G15" s="1082"/>
      <c r="H15" s="1082"/>
    </row>
    <row r="16" spans="1:17" s="71" customFormat="1" ht="8.25" customHeight="1">
      <c r="A16" s="642" t="s">
        <v>2</v>
      </c>
      <c r="B16" s="642" t="s">
        <v>3</v>
      </c>
      <c r="C16" s="642" t="s">
        <v>4</v>
      </c>
      <c r="D16" s="642" t="s">
        <v>5</v>
      </c>
      <c r="E16" s="642">
        <v>1</v>
      </c>
      <c r="F16" s="642">
        <v>2</v>
      </c>
      <c r="G16" s="642">
        <v>3</v>
      </c>
      <c r="H16" s="642">
        <v>4</v>
      </c>
    </row>
    <row r="17" spans="1:8" ht="11.25" customHeight="1">
      <c r="A17" s="643">
        <f ca="1">IF(B17="","",ROW()-16)</f>
        <v>1</v>
      </c>
      <c r="B17" s="644" t="str">
        <f ca="1">IF(ROWS($1:1)&gt;COUNT(Dong10),"",OFFSET(TH!F$1,SMALL(Dong10,ROWS($1:1)),))</f>
        <v>Giấy 2 da</v>
      </c>
      <c r="C17" s="645"/>
      <c r="D17" s="646" t="str">
        <f ca="1">IF(ISNA(VLOOKUP(B17,NXT!$C$12:$D$411,2,0)),"",VLOOKUP(B17,NXT!$C$12:$D$411,2,0))</f>
        <v>kg</v>
      </c>
      <c r="E17" s="647"/>
      <c r="F17" s="648">
        <f ca="1">IF(ROWS($1:1)&gt;COUNT(Dong10),"",OFFSET(TH!I$1,SMALL(Dong10,ROWS($1:1)),))</f>
        <v>9196</v>
      </c>
      <c r="G17" s="648">
        <f ca="1">IF(ROWS($1:1)&gt;COUNT(Dong10),"",OFFSET(TH!J$1,SMALL(Dong10,ROWS($1:1)),))</f>
        <v>9000</v>
      </c>
      <c r="H17" s="647">
        <f ca="1">IF(F17&lt;&gt;"",ROUND(F17*G17,0),0)</f>
        <v>82764000</v>
      </c>
    </row>
    <row r="18" spans="1:8" ht="11.25" customHeight="1">
      <c r="A18" s="643" t="str">
        <f t="shared" ref="A18:A20" ca="1" si="0">IF(B18="","",A17+1)</f>
        <v/>
      </c>
      <c r="B18" s="644" t="str">
        <f ca="1">IF(ROWS($1:2)&gt;COUNT(Dong10),"",OFFSET(TH!F$1,SMALL(Dong10,ROWS($1:2)),))</f>
        <v/>
      </c>
      <c r="C18" s="645"/>
      <c r="D18" s="646" t="str">
        <f ca="1">IF(ISNA(VLOOKUP(B18,NXT!$C$12:$D$411,2,0)),"",VLOOKUP(B18,NXT!$C$12:$D$411,2,0))</f>
        <v/>
      </c>
      <c r="E18" s="647"/>
      <c r="F18" s="648" t="str">
        <f ca="1">IF(ROWS($1:2)&gt;COUNT(Dong10),"",OFFSET(TH!I$1,SMALL(Dong10,ROWS($1:2)),))</f>
        <v/>
      </c>
      <c r="G18" s="648" t="str">
        <f ca="1">IF(ROWS($1:2)&gt;COUNT(Dong10),"",OFFSET(TH!J$1,SMALL(Dong10,ROWS($1:2)),))</f>
        <v/>
      </c>
      <c r="H18" s="647">
        <f t="shared" ref="H18:H24" ca="1" si="1">IF(F18&lt;&gt;"",ROUND(F18*G18,0),0)</f>
        <v>0</v>
      </c>
    </row>
    <row r="19" spans="1:8" ht="11.25" customHeight="1">
      <c r="A19" s="643" t="str">
        <f t="shared" ca="1" si="0"/>
        <v/>
      </c>
      <c r="B19" s="644" t="str">
        <f ca="1">IF(ROWS($1:3)&gt;COUNT(Dong10),"",OFFSET(TH!F$1,SMALL(Dong10,ROWS($1:3)),))</f>
        <v/>
      </c>
      <c r="C19" s="645"/>
      <c r="D19" s="646" t="str">
        <f ca="1">IF(ISNA(VLOOKUP(B19,NXT!$C$12:$D$411,2,0)),"",VLOOKUP(B19,NXT!$C$12:$D$411,2,0))</f>
        <v/>
      </c>
      <c r="E19" s="647"/>
      <c r="F19" s="648" t="str">
        <f ca="1">IF(ROWS($1:3)&gt;COUNT(Dong10),"",OFFSET(TH!I$1,SMALL(Dong10,ROWS($1:3)),))</f>
        <v/>
      </c>
      <c r="G19" s="648" t="str">
        <f ca="1">IF(ROWS($1:3)&gt;COUNT(Dong10),"",OFFSET(TH!J$1,SMALL(Dong10,ROWS($1:3)),))</f>
        <v/>
      </c>
      <c r="H19" s="647">
        <f t="shared" ca="1" si="1"/>
        <v>0</v>
      </c>
    </row>
    <row r="20" spans="1:8" ht="11.25" customHeight="1">
      <c r="A20" s="643" t="str">
        <f t="shared" ca="1" si="0"/>
        <v/>
      </c>
      <c r="B20" s="644" t="str">
        <f ca="1">IF(ROWS($1:4)&gt;COUNT(Dong10),"",OFFSET(TH!F$1,SMALL(Dong10,ROWS($1:4)),))</f>
        <v/>
      </c>
      <c r="C20" s="645"/>
      <c r="D20" s="646" t="str">
        <f ca="1">IF(ISNA(VLOOKUP(B20,NXT!$C$12:$D$411,2,0)),"",VLOOKUP(B20,NXT!$C$12:$D$411,2,0))</f>
        <v/>
      </c>
      <c r="E20" s="647"/>
      <c r="F20" s="648" t="str">
        <f ca="1">IF(ROWS($1:4)&gt;COUNT(Dong10),"",OFFSET(TH!I$1,SMALL(Dong10,ROWS($1:4)),))</f>
        <v/>
      </c>
      <c r="G20" s="648" t="str">
        <f ca="1">IF(ROWS($1:4)&gt;COUNT(Dong10),"",OFFSET(TH!J$1,SMALL(Dong10,ROWS($1:4)),))</f>
        <v/>
      </c>
      <c r="H20" s="647">
        <f t="shared" ca="1" si="1"/>
        <v>0</v>
      </c>
    </row>
    <row r="21" spans="1:8" ht="11.25" customHeight="1">
      <c r="A21" s="643" t="str">
        <f t="shared" ref="A21:A23" ca="1" si="2">IF(B21="","",A20+1)</f>
        <v/>
      </c>
      <c r="B21" s="644" t="str">
        <f ca="1">IF(ROWS($1:5)&gt;COUNT(Dong10),"",OFFSET(TH!F$1,SMALL(Dong10,ROWS($1:5)),))</f>
        <v/>
      </c>
      <c r="C21" s="645"/>
      <c r="D21" s="646" t="str">
        <f ca="1">IF(ISNA(VLOOKUP(B21,NXT!$C$12:$D$411,2,0)),"",VLOOKUP(B21,NXT!$C$12:$D$411,2,0))</f>
        <v/>
      </c>
      <c r="E21" s="647"/>
      <c r="F21" s="648" t="str">
        <f ca="1">IF(ROWS($1:5)&gt;COUNT(Dong10),"",OFFSET(TH!I$1,SMALL(Dong10,ROWS($1:5)),))</f>
        <v/>
      </c>
      <c r="G21" s="648" t="str">
        <f ca="1">IF(ROWS($1:5)&gt;COUNT(Dong10),"",OFFSET(TH!J$1,SMALL(Dong10,ROWS($1:5)),))</f>
        <v/>
      </c>
      <c r="H21" s="647">
        <f t="shared" ca="1" si="1"/>
        <v>0</v>
      </c>
    </row>
    <row r="22" spans="1:8" ht="11.25" customHeight="1">
      <c r="A22" s="643" t="str">
        <f t="shared" ca="1" si="2"/>
        <v/>
      </c>
      <c r="B22" s="644" t="str">
        <f ca="1">IF(ROWS($1:6)&gt;COUNT(Dong10),"",OFFSET(TH!F$1,SMALL(Dong10,ROWS($1:6)),))</f>
        <v/>
      </c>
      <c r="C22" s="645"/>
      <c r="D22" s="646" t="str">
        <f ca="1">IF(ISNA(VLOOKUP(B22,NXT!$C$12:$D$411,2,0)),"",VLOOKUP(B22,NXT!$C$12:$D$411,2,0))</f>
        <v/>
      </c>
      <c r="E22" s="647"/>
      <c r="F22" s="648" t="str">
        <f ca="1">IF(ROWS($1:6)&gt;COUNT(Dong10),"",OFFSET(TH!I$1,SMALL(Dong10,ROWS($1:6)),))</f>
        <v/>
      </c>
      <c r="G22" s="648" t="str">
        <f ca="1">IF(ROWS($1:6)&gt;COUNT(Dong10),"",OFFSET(TH!J$1,SMALL(Dong10,ROWS($1:6)),))</f>
        <v/>
      </c>
      <c r="H22" s="647">
        <f t="shared" ca="1" si="1"/>
        <v>0</v>
      </c>
    </row>
    <row r="23" spans="1:8" ht="11.25" customHeight="1">
      <c r="A23" s="643" t="str">
        <f t="shared" ca="1" si="2"/>
        <v/>
      </c>
      <c r="B23" s="644" t="str">
        <f ca="1">IF(ROWS($1:7)&gt;COUNT(Dong10),"",OFFSET(TH!F$1,SMALL(Dong10,ROWS($1:7)),))</f>
        <v/>
      </c>
      <c r="C23" s="645"/>
      <c r="D23" s="646" t="str">
        <f ca="1">IF(ISNA(VLOOKUP(B23,NXT!$C$12:$D$411,2,0)),"",VLOOKUP(B23,NXT!$C$12:$D$411,2,0))</f>
        <v/>
      </c>
      <c r="E23" s="647"/>
      <c r="F23" s="648" t="str">
        <f ca="1">IF(ROWS($1:7)&gt;COUNT(Dong10),"",OFFSET(TH!I$1,SMALL(Dong10,ROWS($1:7)),))</f>
        <v/>
      </c>
      <c r="G23" s="648" t="str">
        <f ca="1">IF(ROWS($1:7)&gt;COUNT(Dong10),"",OFFSET(TH!J$1,SMALL(Dong10,ROWS($1:7)),))</f>
        <v/>
      </c>
      <c r="H23" s="647">
        <f t="shared" ca="1" si="1"/>
        <v>0</v>
      </c>
    </row>
    <row r="24" spans="1:8" ht="11.25" customHeight="1">
      <c r="A24" s="643" t="str">
        <f t="shared" ref="A24" ca="1" si="3">IF(B24="","",A23+1)</f>
        <v/>
      </c>
      <c r="B24" s="644" t="str">
        <f ca="1">IF(ROWS($1:8)&gt;COUNT(Dong10),"",OFFSET(TH!F$1,SMALL(Dong10,ROWS($1:8)),))</f>
        <v/>
      </c>
      <c r="C24" s="645"/>
      <c r="D24" s="646" t="str">
        <f ca="1">IF(ISNA(VLOOKUP(B24,NXT!$C$12:$D$411,2,0)),"",VLOOKUP(B24,NXT!$C$12:$D$411,2,0))</f>
        <v/>
      </c>
      <c r="E24" s="647"/>
      <c r="F24" s="648" t="str">
        <f ca="1">IF(ROWS($1:8)&gt;COUNT(Dong10),"",OFFSET(TH!I$1,SMALL(Dong10,ROWS($1:8)),))</f>
        <v/>
      </c>
      <c r="G24" s="648" t="str">
        <f ca="1">IF(ROWS($1:8)&gt;COUNT(Dong10),"",OFFSET(TH!J$1,SMALL(Dong10,ROWS($1:8)),))</f>
        <v/>
      </c>
      <c r="H24" s="647">
        <f t="shared" ca="1" si="1"/>
        <v>0</v>
      </c>
    </row>
    <row r="25" spans="1:8" ht="11.25" customHeight="1">
      <c r="A25" s="643" t="str">
        <f t="shared" ref="A25" ca="1" si="4">IF(B25="","",A24+1)</f>
        <v/>
      </c>
      <c r="B25" s="644" t="str">
        <f ca="1">IF(ROWS($1:9)&gt;COUNT(Dong10),"",OFFSET(TH!F$1,SMALL(Dong10,ROWS($1:9)),))</f>
        <v/>
      </c>
      <c r="C25" s="645"/>
      <c r="D25" s="646" t="str">
        <f ca="1">IF(ISNA(VLOOKUP(B25,NXT!$C$12:$D$411,2,0)),"",VLOOKUP(B25,NXT!$C$12:$D$411,2,0))</f>
        <v/>
      </c>
      <c r="E25" s="647"/>
      <c r="F25" s="648" t="str">
        <f ca="1">IF(ROWS($1:9)&gt;COUNT(Dong10),"",OFFSET(TH!I$1,SMALL(Dong10,ROWS($1:9)),))</f>
        <v/>
      </c>
      <c r="G25" s="648" t="str">
        <f ca="1">IF(ROWS($1:9)&gt;COUNT(Dong10),"",OFFSET(TH!J$1,SMALL(Dong10,ROWS($1:9)),))</f>
        <v/>
      </c>
      <c r="H25" s="647">
        <f t="shared" ref="H25" ca="1" si="5">IF(F25&lt;&gt;"",ROUND(F25*G25,0),0)</f>
        <v>0</v>
      </c>
    </row>
    <row r="26" spans="1:8" ht="11.25" customHeight="1">
      <c r="A26" s="643" t="str">
        <f t="shared" ref="A26:A27" ca="1" si="6">IF(B26="","",A25+1)</f>
        <v/>
      </c>
      <c r="B26" s="644" t="str">
        <f ca="1">IF(ROWS($1:10)&gt;COUNT(Dong10),"",OFFSET(TH!F$1,SMALL(Dong10,ROWS($1:10)),))</f>
        <v/>
      </c>
      <c r="C26" s="645"/>
      <c r="D26" s="646" t="str">
        <f ca="1">IF(ISNA(VLOOKUP(B26,NXT!$C$12:$D$411,2,0)),"",VLOOKUP(B26,NXT!$C$12:$D$411,2,0))</f>
        <v/>
      </c>
      <c r="E26" s="647"/>
      <c r="F26" s="648" t="str">
        <f ca="1">IF(ROWS($1:10)&gt;COUNT(Dong10),"",OFFSET(TH!I$1,SMALL(Dong10,ROWS($1:10)),))</f>
        <v/>
      </c>
      <c r="G26" s="648" t="str">
        <f ca="1">IF(ROWS($1:10)&gt;COUNT(Dong10),"",OFFSET(TH!J$1,SMALL(Dong10,ROWS($1:10)),))</f>
        <v/>
      </c>
      <c r="H26" s="647">
        <f t="shared" ref="H26:H27" ca="1" si="7">IF(F26&lt;&gt;"",ROUND(F26*G26,0),0)</f>
        <v>0</v>
      </c>
    </row>
    <row r="27" spans="1:8" ht="11.25" customHeight="1">
      <c r="A27" s="643" t="str">
        <f t="shared" ca="1" si="6"/>
        <v/>
      </c>
      <c r="B27" s="644" t="str">
        <f ca="1">IF(ROWS($1:11)&gt;COUNT(Dong10),"",OFFSET(TH!F$1,SMALL(Dong10,ROWS($1:11)),))</f>
        <v/>
      </c>
      <c r="C27" s="645"/>
      <c r="D27" s="646" t="str">
        <f ca="1">IF(ISNA(VLOOKUP(B27,NXT!$C$12:$D$411,2,0)),"",VLOOKUP(B27,NXT!$C$12:$D$411,2,0))</f>
        <v/>
      </c>
      <c r="E27" s="647"/>
      <c r="F27" s="648" t="str">
        <f ca="1">IF(ROWS($1:11)&gt;COUNT(Dong10),"",OFFSET(TH!I$1,SMALL(Dong10,ROWS($1:11)),))</f>
        <v/>
      </c>
      <c r="G27" s="648" t="str">
        <f ca="1">IF(ROWS($1:11)&gt;COUNT(Dong10),"",OFFSET(TH!J$1,SMALL(Dong10,ROWS($1:11)),))</f>
        <v/>
      </c>
      <c r="H27" s="647">
        <f t="shared" ca="1" si="7"/>
        <v>0</v>
      </c>
    </row>
    <row r="28" spans="1:8" ht="11.25" customHeight="1">
      <c r="A28" s="1083" t="s">
        <v>206</v>
      </c>
      <c r="B28" s="1083"/>
      <c r="C28" s="649"/>
      <c r="D28" s="649"/>
      <c r="E28" s="650"/>
      <c r="F28" s="650"/>
      <c r="G28" s="650"/>
      <c r="H28" s="650">
        <f ca="1">SUM(H17:H27)</f>
        <v>82764000</v>
      </c>
    </row>
    <row r="29" spans="1:8" ht="3" customHeight="1">
      <c r="A29" s="651"/>
      <c r="B29" s="651"/>
      <c r="C29" s="303"/>
      <c r="D29" s="303"/>
      <c r="E29" s="652"/>
      <c r="F29" s="652"/>
      <c r="G29" s="652"/>
      <c r="H29" s="652"/>
    </row>
    <row r="30" spans="1:8" ht="11.25" customHeight="1">
      <c r="A30" s="300" t="str">
        <f ca="1">"Tổng số tiền (viết bằng chữ):  "&amp;[1]!VND(H28, TRUE)</f>
        <v>Tổng số tiền (viết bằng chữ):  Tám mươi hai triệu, bảy trăm sáu mươi bốn ngàn đồng</v>
      </c>
    </row>
    <row r="31" spans="1:8" ht="11.25" customHeight="1">
      <c r="A31" s="300" t="str">
        <f ca="1">"Số chứng từ gốc kèm theo :  "&amp;IF(ROWS($1:1)&gt;COUNT(Dong10),"",IF(OFFSET(TH!G$1,SMALL(Dong10,ROWS($1:1)),)="","","HĐ "&amp;OFFSET(TH!G$1,SMALL(Dong10,ROWS($1:1)),)))</f>
        <v>Số chứng từ gốc kèm theo :  HĐ 0000003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23  tháng  12  năm  2016</v>
      </c>
    </row>
    <row r="33" spans="1:8" s="302" customFormat="1" ht="11.25" customHeight="1">
      <c r="A33" s="653" t="s">
        <v>207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39" t="s">
        <v>208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39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5" customFormat="1" ht="11.25" customHeight="1"/>
    <row r="40" spans="1:8" ht="11.25" customHeight="1">
      <c r="A40" s="308"/>
      <c r="F40" s="309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1" customWidth="1"/>
    <col min="2" max="2" width="8.5703125" style="311" customWidth="1"/>
    <col min="3" max="3" width="11" style="311" customWidth="1"/>
    <col min="4" max="4" width="41.7109375" style="311" customWidth="1"/>
    <col min="5" max="5" width="8" style="896" customWidth="1"/>
    <col min="6" max="6" width="8.85546875" style="311" customWidth="1"/>
    <col min="7" max="7" width="9" style="311" customWidth="1"/>
    <col min="8" max="8" width="14.140625" style="311" customWidth="1"/>
    <col min="9" max="9" width="8.85546875" style="311" customWidth="1"/>
    <col min="10" max="10" width="13.42578125" style="311" customWidth="1"/>
    <col min="11" max="11" width="10.140625" style="311" customWidth="1"/>
    <col min="12" max="12" width="13" style="311" customWidth="1"/>
    <col min="13" max="13" width="7.140625" style="311" customWidth="1"/>
    <col min="14" max="14" width="2" style="311" customWidth="1"/>
    <col min="15" max="15" width="5.5703125" style="311" customWidth="1"/>
    <col min="16" max="16" width="4.42578125" style="311" customWidth="1"/>
    <col min="17" max="16384" width="23.85546875" style="311"/>
  </cols>
  <sheetData>
    <row r="1" spans="1:17">
      <c r="A1" s="310" t="s">
        <v>209</v>
      </c>
      <c r="E1" s="311"/>
      <c r="O1" s="312"/>
    </row>
    <row r="2" spans="1:17" s="430" customFormat="1" ht="16.5" customHeight="1">
      <c r="B2" s="313" t="str">
        <f>TH!A1</f>
        <v>Đơn vị: CÔNG TY TNHH SX TM KIM DUNG PHÁT</v>
      </c>
      <c r="C2" s="314"/>
      <c r="D2" s="315"/>
      <c r="E2" s="316"/>
      <c r="F2" s="2"/>
      <c r="J2" s="1089" t="s">
        <v>210</v>
      </c>
      <c r="K2" s="1089"/>
      <c r="L2" s="1089"/>
      <c r="M2" s="1089"/>
      <c r="N2" s="898"/>
    </row>
    <row r="3" spans="1:17" s="430" customFormat="1" ht="16.5" customHeight="1">
      <c r="B3" s="577" t="str">
        <f>TH!A2</f>
        <v>Địa chỉ: 1A227/1 Ấp 1, Phạm Văn Hai, Bình Chánh, TPHCM</v>
      </c>
      <c r="C3" s="313"/>
      <c r="D3" s="313"/>
      <c r="E3" s="317"/>
      <c r="F3" s="313"/>
      <c r="J3" s="1090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90"/>
      <c r="L3" s="1090"/>
      <c r="M3" s="1090"/>
      <c r="N3" s="899"/>
    </row>
    <row r="4" spans="1:17" s="430" customFormat="1" ht="16.5" customHeight="1">
      <c r="B4" s="313"/>
      <c r="C4" s="313"/>
      <c r="D4" s="313"/>
      <c r="E4" s="317"/>
      <c r="F4" s="313"/>
      <c r="J4" s="1090"/>
      <c r="K4" s="1090"/>
      <c r="L4" s="1090"/>
      <c r="M4" s="1090"/>
      <c r="N4" s="899"/>
    </row>
    <row r="5" spans="1:17" ht="18.75" customHeight="1">
      <c r="B5" s="1091" t="s">
        <v>211</v>
      </c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1091"/>
      <c r="N5" s="318"/>
    </row>
    <row r="6" spans="1:17" s="319" customFormat="1" ht="12.75">
      <c r="B6" s="1092" t="s">
        <v>212</v>
      </c>
      <c r="C6" s="1092"/>
      <c r="D6" s="1092"/>
      <c r="E6" s="1092"/>
      <c r="F6" s="1092"/>
      <c r="G6" s="1092"/>
      <c r="H6" s="1092"/>
      <c r="I6" s="1092"/>
      <c r="J6" s="1092"/>
      <c r="K6" s="1092"/>
      <c r="L6" s="1092"/>
      <c r="M6" s="1092"/>
      <c r="N6" s="900"/>
    </row>
    <row r="7" spans="1:17">
      <c r="C7" s="320"/>
      <c r="D7" s="320"/>
      <c r="F7" s="321" t="s">
        <v>273</v>
      </c>
      <c r="G7" s="896" t="str">
        <f>IF($O$10="VL","1522",IF($O$10="NL","1521",IF($O$10="TP","155","")))</f>
        <v>1521</v>
      </c>
      <c r="H7" s="321" t="s">
        <v>213</v>
      </c>
      <c r="I7" s="320" t="str">
        <f>IF($O$10="NL","Nguyên Liệu",IF($O$10="TP","Thành Phẩm",IF($O$10="VL","Vật Liệu","")))</f>
        <v>Nguyên Liệu</v>
      </c>
      <c r="J7" s="320"/>
      <c r="K7" s="320"/>
      <c r="L7" s="320"/>
      <c r="M7" s="320"/>
      <c r="N7" s="896"/>
    </row>
    <row r="8" spans="1:17">
      <c r="B8" s="896"/>
      <c r="C8" s="320"/>
      <c r="D8" s="320"/>
      <c r="F8" s="896" t="s">
        <v>214</v>
      </c>
      <c r="H8" s="320"/>
      <c r="I8" s="320"/>
      <c r="J8" s="1093" t="s">
        <v>1422</v>
      </c>
      <c r="K8" s="1093"/>
      <c r="L8" s="1093"/>
      <c r="M8" s="320"/>
      <c r="N8" s="320"/>
    </row>
    <row r="9" spans="1:17">
      <c r="D9" s="322"/>
      <c r="E9" s="323"/>
      <c r="F9" s="322"/>
      <c r="G9" s="322"/>
      <c r="H9" s="322"/>
      <c r="I9" s="322"/>
      <c r="J9" s="322"/>
      <c r="K9" s="322" t="s">
        <v>123</v>
      </c>
      <c r="M9" s="324"/>
      <c r="N9" s="325"/>
    </row>
    <row r="10" spans="1:17" ht="15.75" customHeight="1">
      <c r="A10" s="1094" t="s">
        <v>35</v>
      </c>
      <c r="B10" s="1095" t="s">
        <v>1</v>
      </c>
      <c r="C10" s="1095"/>
      <c r="D10" s="1088" t="s">
        <v>0</v>
      </c>
      <c r="E10" s="1088" t="s">
        <v>215</v>
      </c>
      <c r="F10" s="1088" t="s">
        <v>203</v>
      </c>
      <c r="G10" s="1086" t="s">
        <v>216</v>
      </c>
      <c r="H10" s="1087"/>
      <c r="I10" s="1086" t="s">
        <v>217</v>
      </c>
      <c r="J10" s="1087"/>
      <c r="K10" s="1086" t="s">
        <v>218</v>
      </c>
      <c r="L10" s="1087"/>
      <c r="M10" s="1088" t="s">
        <v>127</v>
      </c>
      <c r="N10" s="326"/>
      <c r="O10" s="327" t="s">
        <v>209</v>
      </c>
    </row>
    <row r="11" spans="1:17" ht="31.5" customHeight="1">
      <c r="A11" s="1094"/>
      <c r="B11" s="328" t="s">
        <v>15</v>
      </c>
      <c r="C11" s="328" t="s">
        <v>32</v>
      </c>
      <c r="D11" s="1088"/>
      <c r="E11" s="1088"/>
      <c r="F11" s="1088"/>
      <c r="G11" s="328" t="s">
        <v>202</v>
      </c>
      <c r="H11" s="328" t="s">
        <v>204</v>
      </c>
      <c r="I11" s="328" t="s">
        <v>202</v>
      </c>
      <c r="J11" s="328" t="s">
        <v>204</v>
      </c>
      <c r="K11" s="328" t="s">
        <v>202</v>
      </c>
      <c r="L11" s="328" t="s">
        <v>204</v>
      </c>
      <c r="M11" s="1088"/>
      <c r="N11" s="326"/>
    </row>
    <row r="12" spans="1:17" s="896" customFormat="1">
      <c r="A12" s="329"/>
      <c r="B12" s="895" t="s">
        <v>2</v>
      </c>
      <c r="C12" s="897" t="s">
        <v>3</v>
      </c>
      <c r="D12" s="897" t="s">
        <v>4</v>
      </c>
      <c r="E12" s="895" t="s">
        <v>5</v>
      </c>
      <c r="F12" s="895">
        <v>1</v>
      </c>
      <c r="G12" s="895">
        <v>2</v>
      </c>
      <c r="H12" s="895" t="s">
        <v>220</v>
      </c>
      <c r="I12" s="895">
        <v>4</v>
      </c>
      <c r="J12" s="895" t="s">
        <v>221</v>
      </c>
      <c r="K12" s="895">
        <v>6</v>
      </c>
      <c r="L12" s="895" t="s">
        <v>222</v>
      </c>
      <c r="M12" s="895"/>
      <c r="N12" s="330"/>
    </row>
    <row r="13" spans="1:17">
      <c r="A13" s="331"/>
      <c r="B13" s="331"/>
      <c r="C13" s="331"/>
      <c r="D13" s="904" t="s">
        <v>144</v>
      </c>
      <c r="E13" s="333"/>
      <c r="F13" s="267"/>
      <c r="G13" s="267"/>
      <c r="H13" s="267"/>
      <c r="I13" s="267"/>
      <c r="J13" s="267"/>
      <c r="K13" s="905">
        <f>VLOOKUP($J$8,NXT!$C$12:$L$411,3,0)</f>
        <v>0</v>
      </c>
      <c r="L13" s="905">
        <f>VLOOKUP($J$8,NXT!$C$12:$L$411,4,0)</f>
        <v>0</v>
      </c>
      <c r="M13" s="267"/>
      <c r="N13" s="330"/>
    </row>
    <row r="14" spans="1:17">
      <c r="A14" s="307">
        <f ca="1">IF(B14="","",ROW()-13)</f>
        <v>1</v>
      </c>
      <c r="B14" s="906" t="str">
        <f ca="1">IF(ROWS($1:1)&gt;COUNT(Dong11),"",OFFSET(TH!D$1,SMALL(Dong11,ROWS($1:1)),))</f>
        <v>NL/N01</v>
      </c>
      <c r="C14" s="907">
        <f ca="1">IF(ROWS($1:1)&gt;COUNT(Dong11),"",OFFSET(TH!E$1,SMALL(Dong11,ROWS($1:1)),))</f>
        <v>42650</v>
      </c>
      <c r="D14" s="908" t="str">
        <f ca="1">IF(ROWS($1:1)&gt;COUNT(Dong11),"",OFFSET(TH!H$1,SMALL(Dong11,ROWS($1:1)),))</f>
        <v>DNTN Tiến Nam</v>
      </c>
      <c r="E14" s="906" t="str">
        <f ca="1">IF(ROWS($1:1)&gt;COUNT(Dong11),"",IF(OFFSET(TH!L$1,SMALL(Dong11,ROWS($1:1)),)=$G$7,OFFSET(TH!M$1,SMALL(Dong11,ROWS($1:1)),),OFFSET(TH!L$1,SMALL(Dong11,ROWS($1:1)),)))</f>
        <v>331</v>
      </c>
      <c r="F14" s="909">
        <f ca="1">IF(ROWS($1:1)&gt;COUNT(Dong11),0,OFFSET(TH!J$1,SMALL(Dong11,ROWS($1:1)),))</f>
        <v>8900</v>
      </c>
      <c r="G14" s="909">
        <f ca="1">IF(ROWS($1:1)&gt;COUNT(Dong11),0,IF(MID(OFFSET(TH!D$1,SMALL(Dong11,ROWS($1:1)),),4,1)="N",OFFSET(TH!I$1,SMALL(Dong11,ROWS($1:1)),),0))</f>
        <v>3458</v>
      </c>
      <c r="H14" s="910">
        <f t="shared" ref="H14:H45" ca="1" si="0">ROUND(F14*G14,0)</f>
        <v>30776200</v>
      </c>
      <c r="I14" s="909">
        <f ca="1">IF(ROWS($1:1)&gt;COUNT(Dong11),0,IF(MID(OFFSET(TH!D$1,SMALL(Dong11,ROWS($1:1)),),4,1)="X",OFFSET(TH!I$1,SMALL(Dong11,ROWS($1:1)),),0))</f>
        <v>0</v>
      </c>
      <c r="J14" s="910">
        <f t="shared" ref="J14:J45" ca="1" si="1">ROUND(F14*I14,0)</f>
        <v>0</v>
      </c>
      <c r="K14" s="910">
        <f t="shared" ref="K14:K45" ca="1" si="2">IF(D14&lt;&gt;"",K13+G14-I14,0)</f>
        <v>3458</v>
      </c>
      <c r="L14" s="910">
        <f t="shared" ref="L14:L45" ca="1" si="3">IF(D14&lt;&gt;"",L13+H14-J14,0)</f>
        <v>30776200</v>
      </c>
      <c r="M14" s="910"/>
      <c r="N14" s="330"/>
    </row>
    <row r="15" spans="1:17">
      <c r="A15" s="307" t="str">
        <f t="shared" ref="A15:A46" ca="1" si="4">IF(B15="","",A14+1)</f>
        <v/>
      </c>
      <c r="B15" s="906" t="str">
        <f ca="1">IF(ROWS($1:2)&gt;COUNT(Dong11),"",OFFSET(TH!D$1,SMALL(Dong11,ROWS($1:2)),))</f>
        <v/>
      </c>
      <c r="C15" s="907" t="str">
        <f ca="1">IF(ROWS($1:2)&gt;COUNT(Dong11),"",OFFSET(TH!E$1,SMALL(Dong11,ROWS($1:2)),))</f>
        <v/>
      </c>
      <c r="D15" s="908" t="str">
        <f ca="1">IF(ROWS($1:2)&gt;COUNT(Dong11),"",OFFSET(TH!H$1,SMALL(Dong11,ROWS($1:2)),))</f>
        <v/>
      </c>
      <c r="E15" s="906" t="str">
        <f ca="1">IF(ROWS($1:2)&gt;COUNT(Dong11),"",IF(OFFSET(TH!L$1,SMALL(Dong11,ROWS($1:2)),)=$G$7,OFFSET(TH!M$1,SMALL(Dong11,ROWS($1:2)),),OFFSET(TH!L$1,SMALL(Dong11,ROWS($1:2)),)))</f>
        <v/>
      </c>
      <c r="F15" s="909">
        <f ca="1">IF(ROWS($1:2)&gt;COUNT(Dong11),0,OFFSET(TH!J$1,SMALL(Dong11,ROWS($1:2)),))</f>
        <v>0</v>
      </c>
      <c r="G15" s="909">
        <f ca="1">IF(ROWS($1:2)&gt;COUNT(Dong11),0,IF(MID(OFFSET(TH!D$1,SMALL(Dong11,ROWS($1:2)),),4,1)="N",OFFSET(TH!I$1,SMALL(Dong11,ROWS($1:2)),),0))</f>
        <v>0</v>
      </c>
      <c r="H15" s="910">
        <f t="shared" ref="H15:H38" ca="1" si="5">ROUND(F15*G15,0)</f>
        <v>0</v>
      </c>
      <c r="I15" s="909">
        <f ca="1">IF(ROWS($1:2)&gt;COUNT(Dong11),0,IF(MID(OFFSET(TH!D$1,SMALL(Dong11,ROWS($1:2)),),4,1)="X",OFFSET(TH!I$1,SMALL(Dong11,ROWS($1:2)),),0))</f>
        <v>0</v>
      </c>
      <c r="J15" s="910">
        <f t="shared" ref="J15:J38" ca="1" si="6">ROUND(F15*I15,0)</f>
        <v>0</v>
      </c>
      <c r="K15" s="910">
        <f t="shared" ca="1" si="2"/>
        <v>0</v>
      </c>
      <c r="L15" s="910">
        <f t="shared" ca="1" si="3"/>
        <v>0</v>
      </c>
      <c r="M15" s="910"/>
      <c r="N15" s="330"/>
      <c r="Q15" s="911"/>
    </row>
    <row r="16" spans="1:17">
      <c r="A16" s="307" t="str">
        <f t="shared" ca="1" si="4"/>
        <v/>
      </c>
      <c r="B16" s="906" t="str">
        <f ca="1">IF(ROWS($1:3)&gt;COUNT(Dong11),"",OFFSET(TH!D$1,SMALL(Dong11,ROWS($1:3)),))</f>
        <v/>
      </c>
      <c r="C16" s="907" t="str">
        <f ca="1">IF(ROWS($1:3)&gt;COUNT(Dong11),"",OFFSET(TH!E$1,SMALL(Dong11,ROWS($1:3)),))</f>
        <v/>
      </c>
      <c r="D16" s="908" t="str">
        <f ca="1">IF(ROWS($1:3)&gt;COUNT(Dong11),"",OFFSET(TH!H$1,SMALL(Dong11,ROWS($1:3)),))</f>
        <v/>
      </c>
      <c r="E16" s="906" t="str">
        <f ca="1">IF(ROWS($1:3)&gt;COUNT(Dong11),"",IF(OFFSET(TH!L$1,SMALL(Dong11,ROWS($1:3)),)=$G$7,OFFSET(TH!M$1,SMALL(Dong11,ROWS($1:3)),),OFFSET(TH!L$1,SMALL(Dong11,ROWS($1:3)),)))</f>
        <v/>
      </c>
      <c r="F16" s="909">
        <f ca="1">IF(ROWS($1:3)&gt;COUNT(Dong11),0,OFFSET(TH!J$1,SMALL(Dong11,ROWS($1:3)),))</f>
        <v>0</v>
      </c>
      <c r="G16" s="909">
        <f ca="1">IF(ROWS($1:3)&gt;COUNT(Dong11),0,IF(MID(OFFSET(TH!D$1,SMALL(Dong11,ROWS($1:3)),),4,1)="N",OFFSET(TH!I$1,SMALL(Dong11,ROWS($1:3)),),0))</f>
        <v>0</v>
      </c>
      <c r="H16" s="910">
        <f t="shared" ca="1" si="5"/>
        <v>0</v>
      </c>
      <c r="I16" s="909">
        <f ca="1">IF(ROWS($1:3)&gt;COUNT(Dong11),0,IF(MID(OFFSET(TH!D$1,SMALL(Dong11,ROWS($1:3)),),4,1)="X",OFFSET(TH!I$1,SMALL(Dong11,ROWS($1:3)),),0))</f>
        <v>0</v>
      </c>
      <c r="J16" s="910">
        <f t="shared" ca="1" si="6"/>
        <v>0</v>
      </c>
      <c r="K16" s="910">
        <f t="shared" ca="1" si="2"/>
        <v>0</v>
      </c>
      <c r="L16" s="910">
        <f t="shared" ca="1" si="3"/>
        <v>0</v>
      </c>
      <c r="M16" s="910"/>
      <c r="N16" s="330"/>
    </row>
    <row r="17" spans="1:16">
      <c r="A17" s="307" t="str">
        <f t="shared" ca="1" si="4"/>
        <v/>
      </c>
      <c r="B17" s="906" t="str">
        <f ca="1">IF(ROWS($1:4)&gt;COUNT(Dong11),"",OFFSET(TH!D$1,SMALL(Dong11,ROWS($1:4)),))</f>
        <v/>
      </c>
      <c r="C17" s="907" t="str">
        <f ca="1">IF(ROWS($1:4)&gt;COUNT(Dong11),"",OFFSET(TH!E$1,SMALL(Dong11,ROWS($1:4)),))</f>
        <v/>
      </c>
      <c r="D17" s="908" t="str">
        <f ca="1">IF(ROWS($1:4)&gt;COUNT(Dong11),"",OFFSET(TH!H$1,SMALL(Dong11,ROWS($1:4)),))</f>
        <v/>
      </c>
      <c r="E17" s="906" t="str">
        <f ca="1">IF(ROWS($1:4)&gt;COUNT(Dong11),"",IF(OFFSET(TH!L$1,SMALL(Dong11,ROWS($1:4)),)=$G$7,OFFSET(TH!M$1,SMALL(Dong11,ROWS($1:4)),),OFFSET(TH!L$1,SMALL(Dong11,ROWS($1:4)),)))</f>
        <v/>
      </c>
      <c r="F17" s="909">
        <f ca="1">IF(ROWS($1:4)&gt;COUNT(Dong11),0,OFFSET(TH!J$1,SMALL(Dong11,ROWS($1:4)),))</f>
        <v>0</v>
      </c>
      <c r="G17" s="909">
        <f ca="1">IF(ROWS($1:4)&gt;COUNT(Dong11),0,IF(MID(OFFSET(TH!D$1,SMALL(Dong11,ROWS($1:4)),),4,1)="N",OFFSET(TH!I$1,SMALL(Dong11,ROWS($1:4)),),0))</f>
        <v>0</v>
      </c>
      <c r="H17" s="910">
        <f t="shared" ca="1" si="5"/>
        <v>0</v>
      </c>
      <c r="I17" s="909">
        <f ca="1">IF(ROWS($1:4)&gt;COUNT(Dong11),0,IF(MID(OFFSET(TH!D$1,SMALL(Dong11,ROWS($1:4)),),4,1)="X",OFFSET(TH!I$1,SMALL(Dong11,ROWS($1:4)),),0))</f>
        <v>0</v>
      </c>
      <c r="J17" s="910">
        <f t="shared" ca="1" si="6"/>
        <v>0</v>
      </c>
      <c r="K17" s="910">
        <f t="shared" ca="1" si="2"/>
        <v>0</v>
      </c>
      <c r="L17" s="910">
        <f t="shared" ca="1" si="3"/>
        <v>0</v>
      </c>
      <c r="M17" s="910"/>
      <c r="N17" s="330"/>
      <c r="P17" s="912"/>
    </row>
    <row r="18" spans="1:16">
      <c r="A18" s="307" t="str">
        <f t="shared" ca="1" si="4"/>
        <v/>
      </c>
      <c r="B18" s="906" t="str">
        <f ca="1">IF(ROWS($1:5)&gt;COUNT(Dong11),"",OFFSET(TH!D$1,SMALL(Dong11,ROWS($1:5)),))</f>
        <v/>
      </c>
      <c r="C18" s="907" t="str">
        <f ca="1">IF(ROWS($1:5)&gt;COUNT(Dong11),"",OFFSET(TH!E$1,SMALL(Dong11,ROWS($1:5)),))</f>
        <v/>
      </c>
      <c r="D18" s="908" t="str">
        <f ca="1">IF(ROWS($1:5)&gt;COUNT(Dong11),"",OFFSET(TH!H$1,SMALL(Dong11,ROWS($1:5)),))</f>
        <v/>
      </c>
      <c r="E18" s="906" t="str">
        <f ca="1">IF(ROWS($1:5)&gt;COUNT(Dong11),"",IF(OFFSET(TH!L$1,SMALL(Dong11,ROWS($1:5)),)=$G$7,OFFSET(TH!M$1,SMALL(Dong11,ROWS($1:5)),),OFFSET(TH!L$1,SMALL(Dong11,ROWS($1:5)),)))</f>
        <v/>
      </c>
      <c r="F18" s="909">
        <f ca="1">IF(ROWS($1:5)&gt;COUNT(Dong11),0,OFFSET(TH!J$1,SMALL(Dong11,ROWS($1:5)),))</f>
        <v>0</v>
      </c>
      <c r="G18" s="909">
        <f ca="1">IF(ROWS($1:5)&gt;COUNT(Dong11),0,IF(MID(OFFSET(TH!D$1,SMALL(Dong11,ROWS($1:5)),),4,1)="N",OFFSET(TH!I$1,SMALL(Dong11,ROWS($1:5)),),0))</f>
        <v>0</v>
      </c>
      <c r="H18" s="910">
        <f t="shared" ca="1" si="5"/>
        <v>0</v>
      </c>
      <c r="I18" s="909">
        <f ca="1">IF(ROWS($1:5)&gt;COUNT(Dong11),0,IF(MID(OFFSET(TH!D$1,SMALL(Dong11,ROWS($1:5)),),4,1)="X",OFFSET(TH!I$1,SMALL(Dong11,ROWS($1:5)),),0))</f>
        <v>0</v>
      </c>
      <c r="J18" s="910">
        <f t="shared" ca="1" si="6"/>
        <v>0</v>
      </c>
      <c r="K18" s="910">
        <f t="shared" ca="1" si="2"/>
        <v>0</v>
      </c>
      <c r="L18" s="910">
        <f t="shared" ca="1" si="3"/>
        <v>0</v>
      </c>
      <c r="M18" s="910"/>
      <c r="N18" s="330"/>
    </row>
    <row r="19" spans="1:16">
      <c r="A19" s="307" t="str">
        <f t="shared" ca="1" si="4"/>
        <v/>
      </c>
      <c r="B19" s="906" t="str">
        <f ca="1">IF(ROWS($1:6)&gt;COUNT(Dong11),"",OFFSET(TH!D$1,SMALL(Dong11,ROWS($1:6)),))</f>
        <v/>
      </c>
      <c r="C19" s="907" t="str">
        <f ca="1">IF(ROWS($1:6)&gt;COUNT(Dong11),"",OFFSET(TH!E$1,SMALL(Dong11,ROWS($1:6)),))</f>
        <v/>
      </c>
      <c r="D19" s="908" t="str">
        <f ca="1">IF(ROWS($1:6)&gt;COUNT(Dong11),"",OFFSET(TH!H$1,SMALL(Dong11,ROWS($1:6)),))</f>
        <v/>
      </c>
      <c r="E19" s="906" t="str">
        <f ca="1">IF(ROWS($1:6)&gt;COUNT(Dong11),"",IF(OFFSET(TH!L$1,SMALL(Dong11,ROWS($1:6)),)=$G$7,OFFSET(TH!M$1,SMALL(Dong11,ROWS($1:6)),),OFFSET(TH!L$1,SMALL(Dong11,ROWS($1:6)),)))</f>
        <v/>
      </c>
      <c r="F19" s="909">
        <f ca="1">IF(ROWS($1:6)&gt;COUNT(Dong11),0,OFFSET(TH!J$1,SMALL(Dong11,ROWS($1:6)),))</f>
        <v>0</v>
      </c>
      <c r="G19" s="909">
        <f ca="1">IF(ROWS($1:6)&gt;COUNT(Dong11),0,IF(MID(OFFSET(TH!D$1,SMALL(Dong11,ROWS($1:6)),),4,1)="N",OFFSET(TH!I$1,SMALL(Dong11,ROWS($1:6)),),0))</f>
        <v>0</v>
      </c>
      <c r="H19" s="910">
        <f t="shared" ca="1" si="5"/>
        <v>0</v>
      </c>
      <c r="I19" s="909">
        <f ca="1">IF(ROWS($1:6)&gt;COUNT(Dong11),0,IF(MID(OFFSET(TH!D$1,SMALL(Dong11,ROWS($1:6)),),4,1)="X",OFFSET(TH!I$1,SMALL(Dong11,ROWS($1:6)),),0))</f>
        <v>0</v>
      </c>
      <c r="J19" s="910">
        <f t="shared" ca="1" si="6"/>
        <v>0</v>
      </c>
      <c r="K19" s="910">
        <f t="shared" ca="1" si="2"/>
        <v>0</v>
      </c>
      <c r="L19" s="910">
        <f t="shared" ca="1" si="3"/>
        <v>0</v>
      </c>
      <c r="M19" s="910"/>
      <c r="N19" s="330"/>
    </row>
    <row r="20" spans="1:16">
      <c r="A20" s="307" t="str">
        <f t="shared" ca="1" si="4"/>
        <v/>
      </c>
      <c r="B20" s="906" t="str">
        <f ca="1">IF(ROWS($1:7)&gt;COUNT(Dong11),"",OFFSET(TH!D$1,SMALL(Dong11,ROWS($1:7)),))</f>
        <v/>
      </c>
      <c r="C20" s="907" t="str">
        <f ca="1">IF(ROWS($1:7)&gt;COUNT(Dong11),"",OFFSET(TH!E$1,SMALL(Dong11,ROWS($1:7)),))</f>
        <v/>
      </c>
      <c r="D20" s="908" t="str">
        <f ca="1">IF(ROWS($1:7)&gt;COUNT(Dong11),"",OFFSET(TH!H$1,SMALL(Dong11,ROWS($1:7)),))</f>
        <v/>
      </c>
      <c r="E20" s="906" t="str">
        <f ca="1">IF(ROWS($1:7)&gt;COUNT(Dong11),"",IF(OFFSET(TH!L$1,SMALL(Dong11,ROWS($1:7)),)=$G$7,OFFSET(TH!M$1,SMALL(Dong11,ROWS($1:7)),),OFFSET(TH!L$1,SMALL(Dong11,ROWS($1:7)),)))</f>
        <v/>
      </c>
      <c r="F20" s="909">
        <f ca="1">IF(ROWS($1:7)&gt;COUNT(Dong11),0,OFFSET(TH!J$1,SMALL(Dong11,ROWS($1:7)),))</f>
        <v>0</v>
      </c>
      <c r="G20" s="909">
        <f ca="1">IF(ROWS($1:7)&gt;COUNT(Dong11),0,IF(MID(OFFSET(TH!D$1,SMALL(Dong11,ROWS($1:7)),),4,1)="N",OFFSET(TH!I$1,SMALL(Dong11,ROWS($1:7)),),0))</f>
        <v>0</v>
      </c>
      <c r="H20" s="910">
        <f t="shared" ca="1" si="5"/>
        <v>0</v>
      </c>
      <c r="I20" s="909">
        <f ca="1">IF(ROWS($1:7)&gt;COUNT(Dong11),0,IF(MID(OFFSET(TH!D$1,SMALL(Dong11,ROWS($1:7)),),4,1)="X",OFFSET(TH!I$1,SMALL(Dong11,ROWS($1:7)),),0))</f>
        <v>0</v>
      </c>
      <c r="J20" s="910">
        <f t="shared" ca="1" si="6"/>
        <v>0</v>
      </c>
      <c r="K20" s="910">
        <f t="shared" ca="1" si="2"/>
        <v>0</v>
      </c>
      <c r="L20" s="910">
        <f t="shared" ca="1" si="3"/>
        <v>0</v>
      </c>
      <c r="M20" s="910"/>
      <c r="N20" s="330"/>
    </row>
    <row r="21" spans="1:16">
      <c r="A21" s="307" t="str">
        <f t="shared" ca="1" si="4"/>
        <v/>
      </c>
      <c r="B21" s="906" t="str">
        <f ca="1">IF(ROWS($1:8)&gt;COUNT(Dong11),"",OFFSET(TH!D$1,SMALL(Dong11,ROWS($1:8)),))</f>
        <v/>
      </c>
      <c r="C21" s="907" t="str">
        <f ca="1">IF(ROWS($1:8)&gt;COUNT(Dong11),"",OFFSET(TH!E$1,SMALL(Dong11,ROWS($1:8)),))</f>
        <v/>
      </c>
      <c r="D21" s="908" t="str">
        <f ca="1">IF(ROWS($1:8)&gt;COUNT(Dong11),"",OFFSET(TH!H$1,SMALL(Dong11,ROWS($1:8)),))</f>
        <v/>
      </c>
      <c r="E21" s="906" t="str">
        <f ca="1">IF(ROWS($1:8)&gt;COUNT(Dong11),"",IF(OFFSET(TH!L$1,SMALL(Dong11,ROWS($1:8)),)=$G$7,OFFSET(TH!M$1,SMALL(Dong11,ROWS($1:8)),),OFFSET(TH!L$1,SMALL(Dong11,ROWS($1:8)),)))</f>
        <v/>
      </c>
      <c r="F21" s="909">
        <f ca="1">IF(ROWS($1:8)&gt;COUNT(Dong11),0,OFFSET(TH!J$1,SMALL(Dong11,ROWS($1:8)),))</f>
        <v>0</v>
      </c>
      <c r="G21" s="909">
        <f ca="1">IF(ROWS($1:8)&gt;COUNT(Dong11),0,IF(MID(OFFSET(TH!D$1,SMALL(Dong11,ROWS($1:8)),),4,1)="N",OFFSET(TH!I$1,SMALL(Dong11,ROWS($1:8)),),0))</f>
        <v>0</v>
      </c>
      <c r="H21" s="910">
        <f t="shared" ca="1" si="5"/>
        <v>0</v>
      </c>
      <c r="I21" s="909">
        <f ca="1">IF(ROWS($1:8)&gt;COUNT(Dong11),0,IF(MID(OFFSET(TH!D$1,SMALL(Dong11,ROWS($1:8)),),4,1)="X",OFFSET(TH!I$1,SMALL(Dong11,ROWS($1:8)),),0))</f>
        <v>0</v>
      </c>
      <c r="J21" s="910">
        <f t="shared" ca="1" si="6"/>
        <v>0</v>
      </c>
      <c r="K21" s="910">
        <f t="shared" ca="1" si="2"/>
        <v>0</v>
      </c>
      <c r="L21" s="910">
        <f t="shared" ca="1" si="3"/>
        <v>0</v>
      </c>
      <c r="M21" s="910"/>
      <c r="N21" s="330"/>
    </row>
    <row r="22" spans="1:16">
      <c r="A22" s="307" t="str">
        <f t="shared" ca="1" si="4"/>
        <v/>
      </c>
      <c r="B22" s="906" t="str">
        <f ca="1">IF(ROWS($1:9)&gt;COUNT(Dong11),"",OFFSET(TH!D$1,SMALL(Dong11,ROWS($1:9)),))</f>
        <v/>
      </c>
      <c r="C22" s="907" t="str">
        <f ca="1">IF(ROWS($1:9)&gt;COUNT(Dong11),"",OFFSET(TH!E$1,SMALL(Dong11,ROWS($1:9)),))</f>
        <v/>
      </c>
      <c r="D22" s="908" t="str">
        <f ca="1">IF(ROWS($1:9)&gt;COUNT(Dong11),"",OFFSET(TH!H$1,SMALL(Dong11,ROWS($1:9)),))</f>
        <v/>
      </c>
      <c r="E22" s="906" t="str">
        <f ca="1">IF(ROWS($1:9)&gt;COUNT(Dong11),"",IF(OFFSET(TH!L$1,SMALL(Dong11,ROWS($1:9)),)=$G$7,OFFSET(TH!M$1,SMALL(Dong11,ROWS($1:9)),),OFFSET(TH!L$1,SMALL(Dong11,ROWS($1:9)),)))</f>
        <v/>
      </c>
      <c r="F22" s="909">
        <f ca="1">IF(ROWS($1:9)&gt;COUNT(Dong11),0,OFFSET(TH!J$1,SMALL(Dong11,ROWS($1:9)),))</f>
        <v>0</v>
      </c>
      <c r="G22" s="909">
        <f ca="1">IF(ROWS($1:9)&gt;COUNT(Dong11),0,IF(MID(OFFSET(TH!D$1,SMALL(Dong11,ROWS($1:9)),),4,1)="N",OFFSET(TH!I$1,SMALL(Dong11,ROWS($1:9)),),0))</f>
        <v>0</v>
      </c>
      <c r="H22" s="910">
        <f t="shared" ca="1" si="5"/>
        <v>0</v>
      </c>
      <c r="I22" s="909">
        <f ca="1">IF(ROWS($1:9)&gt;COUNT(Dong11),0,IF(MID(OFFSET(TH!D$1,SMALL(Dong11,ROWS($1:9)),),4,1)="X",OFFSET(TH!I$1,SMALL(Dong11,ROWS($1:9)),),0))</f>
        <v>0</v>
      </c>
      <c r="J22" s="910">
        <f t="shared" ca="1" si="6"/>
        <v>0</v>
      </c>
      <c r="K22" s="910">
        <f t="shared" ca="1" si="2"/>
        <v>0</v>
      </c>
      <c r="L22" s="910">
        <f t="shared" ca="1" si="3"/>
        <v>0</v>
      </c>
      <c r="M22" s="910"/>
      <c r="N22" s="330"/>
    </row>
    <row r="23" spans="1:16">
      <c r="A23" s="307" t="str">
        <f t="shared" ca="1" si="4"/>
        <v/>
      </c>
      <c r="B23" s="906" t="str">
        <f ca="1">IF(ROWS($1:10)&gt;COUNT(Dong11),"",OFFSET(TH!D$1,SMALL(Dong11,ROWS($1:10)),))</f>
        <v/>
      </c>
      <c r="C23" s="907" t="str">
        <f ca="1">IF(ROWS($1:10)&gt;COUNT(Dong11),"",OFFSET(TH!E$1,SMALL(Dong11,ROWS($1:10)),))</f>
        <v/>
      </c>
      <c r="D23" s="908" t="str">
        <f ca="1">IF(ROWS($1:10)&gt;COUNT(Dong11),"",OFFSET(TH!H$1,SMALL(Dong11,ROWS($1:10)),))</f>
        <v/>
      </c>
      <c r="E23" s="906" t="str">
        <f ca="1">IF(ROWS($1:10)&gt;COUNT(Dong11),"",IF(OFFSET(TH!L$1,SMALL(Dong11,ROWS($1:10)),)=$G$7,OFFSET(TH!M$1,SMALL(Dong11,ROWS($1:10)),),OFFSET(TH!L$1,SMALL(Dong11,ROWS($1:10)),)))</f>
        <v/>
      </c>
      <c r="F23" s="909">
        <f ca="1">IF(ROWS($1:10)&gt;COUNT(Dong11),0,OFFSET(TH!J$1,SMALL(Dong11,ROWS($1:10)),))</f>
        <v>0</v>
      </c>
      <c r="G23" s="909">
        <f ca="1">IF(ROWS($1:10)&gt;COUNT(Dong11),0,IF(MID(OFFSET(TH!D$1,SMALL(Dong11,ROWS($1:10)),),4,1)="N",OFFSET(TH!I$1,SMALL(Dong11,ROWS($1:10)),),0))</f>
        <v>0</v>
      </c>
      <c r="H23" s="910">
        <f t="shared" ca="1" si="5"/>
        <v>0</v>
      </c>
      <c r="I23" s="909">
        <f ca="1">IF(ROWS($1:10)&gt;COUNT(Dong11),0,IF(MID(OFFSET(TH!D$1,SMALL(Dong11,ROWS($1:10)),),4,1)="X",OFFSET(TH!I$1,SMALL(Dong11,ROWS($1:10)),),0))</f>
        <v>0</v>
      </c>
      <c r="J23" s="910">
        <f t="shared" ca="1" si="6"/>
        <v>0</v>
      </c>
      <c r="K23" s="910">
        <f t="shared" ca="1" si="2"/>
        <v>0</v>
      </c>
      <c r="L23" s="910">
        <f t="shared" ca="1" si="3"/>
        <v>0</v>
      </c>
      <c r="M23" s="910"/>
      <c r="N23" s="330"/>
    </row>
    <row r="24" spans="1:16">
      <c r="A24" s="307" t="str">
        <f t="shared" ca="1" si="4"/>
        <v/>
      </c>
      <c r="B24" s="906" t="str">
        <f ca="1">IF(ROWS($1:11)&gt;COUNT(Dong11),"",OFFSET(TH!D$1,SMALL(Dong11,ROWS($1:11)),))</f>
        <v/>
      </c>
      <c r="C24" s="907" t="str">
        <f ca="1">IF(ROWS($1:11)&gt;COUNT(Dong11),"",OFFSET(TH!E$1,SMALL(Dong11,ROWS($1:11)),))</f>
        <v/>
      </c>
      <c r="D24" s="908" t="str">
        <f ca="1">IF(ROWS($1:11)&gt;COUNT(Dong11),"",OFFSET(TH!H$1,SMALL(Dong11,ROWS($1:11)),))</f>
        <v/>
      </c>
      <c r="E24" s="906" t="str">
        <f ca="1">IF(ROWS($1:11)&gt;COUNT(Dong11),"",IF(OFFSET(TH!L$1,SMALL(Dong11,ROWS($1:11)),)=$G$7,OFFSET(TH!M$1,SMALL(Dong11,ROWS($1:11)),),OFFSET(TH!L$1,SMALL(Dong11,ROWS($1:11)),)))</f>
        <v/>
      </c>
      <c r="F24" s="909">
        <f ca="1">IF(ROWS($1:11)&gt;COUNT(Dong11),0,OFFSET(TH!J$1,SMALL(Dong11,ROWS($1:11)),))</f>
        <v>0</v>
      </c>
      <c r="G24" s="909">
        <f ca="1">IF(ROWS($1:11)&gt;COUNT(Dong11),0,IF(MID(OFFSET(TH!D$1,SMALL(Dong11,ROWS($1:11)),),4,1)="N",OFFSET(TH!I$1,SMALL(Dong11,ROWS($1:11)),),0))</f>
        <v>0</v>
      </c>
      <c r="H24" s="910">
        <f t="shared" ca="1" si="5"/>
        <v>0</v>
      </c>
      <c r="I24" s="909">
        <f ca="1">IF(ROWS($1:11)&gt;COUNT(Dong11),0,IF(MID(OFFSET(TH!D$1,SMALL(Dong11,ROWS($1:11)),),4,1)="X",OFFSET(TH!I$1,SMALL(Dong11,ROWS($1:11)),),0))</f>
        <v>0</v>
      </c>
      <c r="J24" s="910">
        <f t="shared" ca="1" si="6"/>
        <v>0</v>
      </c>
      <c r="K24" s="910">
        <f t="shared" ca="1" si="2"/>
        <v>0</v>
      </c>
      <c r="L24" s="910">
        <f t="shared" ca="1" si="3"/>
        <v>0</v>
      </c>
      <c r="M24" s="910"/>
      <c r="N24" s="330"/>
    </row>
    <row r="25" spans="1:16">
      <c r="A25" s="307" t="str">
        <f t="shared" ca="1" si="4"/>
        <v/>
      </c>
      <c r="B25" s="906" t="str">
        <f ca="1">IF(ROWS($1:12)&gt;COUNT(Dong11),"",OFFSET(TH!D$1,SMALL(Dong11,ROWS($1:12)),))</f>
        <v/>
      </c>
      <c r="C25" s="907" t="str">
        <f ca="1">IF(ROWS($1:12)&gt;COUNT(Dong11),"",OFFSET(TH!E$1,SMALL(Dong11,ROWS($1:12)),))</f>
        <v/>
      </c>
      <c r="D25" s="908" t="str">
        <f ca="1">IF(ROWS($1:12)&gt;COUNT(Dong11),"",OFFSET(TH!H$1,SMALL(Dong11,ROWS($1:12)),))</f>
        <v/>
      </c>
      <c r="E25" s="906" t="str">
        <f ca="1">IF(ROWS($1:12)&gt;COUNT(Dong11),"",IF(OFFSET(TH!L$1,SMALL(Dong11,ROWS($1:12)),)=$G$7,OFFSET(TH!M$1,SMALL(Dong11,ROWS($1:12)),),OFFSET(TH!L$1,SMALL(Dong11,ROWS($1:12)),)))</f>
        <v/>
      </c>
      <c r="F25" s="909">
        <f ca="1">IF(ROWS($1:12)&gt;COUNT(Dong11),0,OFFSET(TH!J$1,SMALL(Dong11,ROWS($1:12)),))</f>
        <v>0</v>
      </c>
      <c r="G25" s="909">
        <f ca="1">IF(ROWS($1:12)&gt;COUNT(Dong11),0,IF(MID(OFFSET(TH!D$1,SMALL(Dong11,ROWS($1:12)),),4,1)="N",OFFSET(TH!I$1,SMALL(Dong11,ROWS($1:12)),),0))</f>
        <v>0</v>
      </c>
      <c r="H25" s="910">
        <f t="shared" ca="1" si="5"/>
        <v>0</v>
      </c>
      <c r="I25" s="909">
        <f ca="1">IF(ROWS($1:12)&gt;COUNT(Dong11),0,IF(MID(OFFSET(TH!D$1,SMALL(Dong11,ROWS($1:12)),),4,1)="X",OFFSET(TH!I$1,SMALL(Dong11,ROWS($1:12)),),0))</f>
        <v>0</v>
      </c>
      <c r="J25" s="910">
        <f t="shared" ca="1" si="6"/>
        <v>0</v>
      </c>
      <c r="K25" s="910">
        <f t="shared" ca="1" si="2"/>
        <v>0</v>
      </c>
      <c r="L25" s="910">
        <f t="shared" ca="1" si="3"/>
        <v>0</v>
      </c>
      <c r="M25" s="910"/>
      <c r="N25" s="330"/>
    </row>
    <row r="26" spans="1:16">
      <c r="A26" s="307" t="str">
        <f t="shared" ca="1" si="4"/>
        <v/>
      </c>
      <c r="B26" s="906" t="str">
        <f ca="1">IF(ROWS($1:13)&gt;COUNT(Dong11),"",OFFSET(TH!D$1,SMALL(Dong11,ROWS($1:13)),))</f>
        <v/>
      </c>
      <c r="C26" s="907" t="str">
        <f ca="1">IF(ROWS($1:13)&gt;COUNT(Dong11),"",OFFSET(TH!E$1,SMALL(Dong11,ROWS($1:13)),))</f>
        <v/>
      </c>
      <c r="D26" s="908" t="str">
        <f ca="1">IF(ROWS($1:13)&gt;COUNT(Dong11),"",OFFSET(TH!H$1,SMALL(Dong11,ROWS($1:13)),))</f>
        <v/>
      </c>
      <c r="E26" s="906" t="str">
        <f ca="1">IF(ROWS($1:13)&gt;COUNT(Dong11),"",IF(OFFSET(TH!L$1,SMALL(Dong11,ROWS($1:13)),)=$G$7,OFFSET(TH!M$1,SMALL(Dong11,ROWS($1:13)),),OFFSET(TH!L$1,SMALL(Dong11,ROWS($1:13)),)))</f>
        <v/>
      </c>
      <c r="F26" s="909">
        <f ca="1">IF(ROWS($1:13)&gt;COUNT(Dong11),0,OFFSET(TH!J$1,SMALL(Dong11,ROWS($1:13)),))</f>
        <v>0</v>
      </c>
      <c r="G26" s="909">
        <f ca="1">IF(ROWS($1:13)&gt;COUNT(Dong11),0,IF(MID(OFFSET(TH!D$1,SMALL(Dong11,ROWS($1:13)),),4,1)="N",OFFSET(TH!I$1,SMALL(Dong11,ROWS($1:13)),),0))</f>
        <v>0</v>
      </c>
      <c r="H26" s="910">
        <f t="shared" ca="1" si="5"/>
        <v>0</v>
      </c>
      <c r="I26" s="909">
        <f ca="1">IF(ROWS($1:13)&gt;COUNT(Dong11),0,IF(MID(OFFSET(TH!D$1,SMALL(Dong11,ROWS($1:13)),),4,1)="X",OFFSET(TH!I$1,SMALL(Dong11,ROWS($1:13)),),0))</f>
        <v>0</v>
      </c>
      <c r="J26" s="910">
        <f t="shared" ca="1" si="6"/>
        <v>0</v>
      </c>
      <c r="K26" s="910">
        <f t="shared" ca="1" si="2"/>
        <v>0</v>
      </c>
      <c r="L26" s="910">
        <f t="shared" ca="1" si="3"/>
        <v>0</v>
      </c>
      <c r="M26" s="910"/>
      <c r="N26" s="330"/>
    </row>
    <row r="27" spans="1:16">
      <c r="A27" s="307" t="str">
        <f t="shared" ca="1" si="4"/>
        <v/>
      </c>
      <c r="B27" s="906" t="str">
        <f ca="1">IF(ROWS($1:14)&gt;COUNT(Dong11),"",OFFSET(TH!D$1,SMALL(Dong11,ROWS($1:14)),))</f>
        <v/>
      </c>
      <c r="C27" s="907" t="str">
        <f ca="1">IF(ROWS($1:14)&gt;COUNT(Dong11),"",OFFSET(TH!E$1,SMALL(Dong11,ROWS($1:14)),))</f>
        <v/>
      </c>
      <c r="D27" s="908" t="str">
        <f ca="1">IF(ROWS($1:14)&gt;COUNT(Dong11),"",OFFSET(TH!H$1,SMALL(Dong11,ROWS($1:14)),))</f>
        <v/>
      </c>
      <c r="E27" s="906" t="str">
        <f ca="1">IF(ROWS($1:14)&gt;COUNT(Dong11),"",IF(OFFSET(TH!L$1,SMALL(Dong11,ROWS($1:14)),)=$G$7,OFFSET(TH!M$1,SMALL(Dong11,ROWS($1:14)),),OFFSET(TH!L$1,SMALL(Dong11,ROWS($1:14)),)))</f>
        <v/>
      </c>
      <c r="F27" s="909">
        <f ca="1">IF(ROWS($1:14)&gt;COUNT(Dong11),0,OFFSET(TH!J$1,SMALL(Dong11,ROWS($1:14)),))</f>
        <v>0</v>
      </c>
      <c r="G27" s="909">
        <f ca="1">IF(ROWS($1:14)&gt;COUNT(Dong11),0,IF(MID(OFFSET(TH!D$1,SMALL(Dong11,ROWS($1:14)),),4,1)="N",OFFSET(TH!I$1,SMALL(Dong11,ROWS($1:14)),),0))</f>
        <v>0</v>
      </c>
      <c r="H27" s="910">
        <f t="shared" ca="1" si="5"/>
        <v>0</v>
      </c>
      <c r="I27" s="909">
        <f ca="1">IF(ROWS($1:14)&gt;COUNT(Dong11),0,IF(MID(OFFSET(TH!D$1,SMALL(Dong11,ROWS($1:14)),),4,1)="X",OFFSET(TH!I$1,SMALL(Dong11,ROWS($1:14)),),0))</f>
        <v>0</v>
      </c>
      <c r="J27" s="910">
        <f t="shared" ca="1" si="6"/>
        <v>0</v>
      </c>
      <c r="K27" s="910">
        <f t="shared" ca="1" si="2"/>
        <v>0</v>
      </c>
      <c r="L27" s="910">
        <f t="shared" ca="1" si="3"/>
        <v>0</v>
      </c>
      <c r="M27" s="910"/>
      <c r="N27" s="330"/>
    </row>
    <row r="28" spans="1:16">
      <c r="A28" s="307" t="str">
        <f t="shared" ca="1" si="4"/>
        <v/>
      </c>
      <c r="B28" s="906" t="str">
        <f ca="1">IF(ROWS($1:15)&gt;COUNT(Dong11),"",OFFSET(TH!D$1,SMALL(Dong11,ROWS($1:15)),))</f>
        <v/>
      </c>
      <c r="C28" s="907" t="str">
        <f ca="1">IF(ROWS($1:15)&gt;COUNT(Dong11),"",OFFSET(TH!E$1,SMALL(Dong11,ROWS($1:15)),))</f>
        <v/>
      </c>
      <c r="D28" s="908" t="str">
        <f ca="1">IF(ROWS($1:15)&gt;COUNT(Dong11),"",OFFSET(TH!H$1,SMALL(Dong11,ROWS($1:15)),))</f>
        <v/>
      </c>
      <c r="E28" s="906" t="str">
        <f ca="1">IF(ROWS($1:15)&gt;COUNT(Dong11),"",IF(OFFSET(TH!L$1,SMALL(Dong11,ROWS($1:15)),)=$G$7,OFFSET(TH!M$1,SMALL(Dong11,ROWS($1:15)),),OFFSET(TH!L$1,SMALL(Dong11,ROWS($1:15)),)))</f>
        <v/>
      </c>
      <c r="F28" s="909">
        <f ca="1">IF(ROWS($1:15)&gt;COUNT(Dong11),0,OFFSET(TH!J$1,SMALL(Dong11,ROWS($1:15)),))</f>
        <v>0</v>
      </c>
      <c r="G28" s="909">
        <f ca="1">IF(ROWS($1:15)&gt;COUNT(Dong11),0,IF(MID(OFFSET(TH!D$1,SMALL(Dong11,ROWS($1:15)),),4,1)="N",OFFSET(TH!I$1,SMALL(Dong11,ROWS($1:15)),),0))</f>
        <v>0</v>
      </c>
      <c r="H28" s="910">
        <f t="shared" ca="1" si="5"/>
        <v>0</v>
      </c>
      <c r="I28" s="909">
        <f ca="1">IF(ROWS($1:15)&gt;COUNT(Dong11),0,IF(MID(OFFSET(TH!D$1,SMALL(Dong11,ROWS($1:15)),),4,1)="X",OFFSET(TH!I$1,SMALL(Dong11,ROWS($1:15)),),0))</f>
        <v>0</v>
      </c>
      <c r="J28" s="910">
        <f t="shared" ca="1" si="6"/>
        <v>0</v>
      </c>
      <c r="K28" s="910">
        <f t="shared" ca="1" si="2"/>
        <v>0</v>
      </c>
      <c r="L28" s="910">
        <f t="shared" ca="1" si="3"/>
        <v>0</v>
      </c>
      <c r="M28" s="910"/>
      <c r="N28" s="330"/>
    </row>
    <row r="29" spans="1:16">
      <c r="A29" s="307" t="str">
        <f t="shared" ca="1" si="4"/>
        <v/>
      </c>
      <c r="B29" s="906" t="str">
        <f ca="1">IF(ROWS($1:16)&gt;COUNT(Dong11),"",OFFSET(TH!D$1,SMALL(Dong11,ROWS($1:16)),))</f>
        <v/>
      </c>
      <c r="C29" s="907" t="str">
        <f ca="1">IF(ROWS($1:16)&gt;COUNT(Dong11),"",OFFSET(TH!E$1,SMALL(Dong11,ROWS($1:16)),))</f>
        <v/>
      </c>
      <c r="D29" s="908" t="str">
        <f ca="1">IF(ROWS($1:16)&gt;COUNT(Dong11),"",OFFSET(TH!H$1,SMALL(Dong11,ROWS($1:16)),))</f>
        <v/>
      </c>
      <c r="E29" s="906" t="str">
        <f ca="1">IF(ROWS($1:16)&gt;COUNT(Dong11),"",IF(OFFSET(TH!L$1,SMALL(Dong11,ROWS($1:16)),)=$G$7,OFFSET(TH!M$1,SMALL(Dong11,ROWS($1:16)),),OFFSET(TH!L$1,SMALL(Dong11,ROWS($1:16)),)))</f>
        <v/>
      </c>
      <c r="F29" s="909">
        <f ca="1">IF(ROWS($1:16)&gt;COUNT(Dong11),0,OFFSET(TH!J$1,SMALL(Dong11,ROWS($1:16)),))</f>
        <v>0</v>
      </c>
      <c r="G29" s="909">
        <f ca="1">IF(ROWS($1:16)&gt;COUNT(Dong11),0,IF(MID(OFFSET(TH!D$1,SMALL(Dong11,ROWS($1:16)),),4,1)="N",OFFSET(TH!I$1,SMALL(Dong11,ROWS($1:16)),),0))</f>
        <v>0</v>
      </c>
      <c r="H29" s="910">
        <f t="shared" ca="1" si="5"/>
        <v>0</v>
      </c>
      <c r="I29" s="909">
        <f ca="1">IF(ROWS($1:16)&gt;COUNT(Dong11),0,IF(MID(OFFSET(TH!D$1,SMALL(Dong11,ROWS($1:16)),),4,1)="X",OFFSET(TH!I$1,SMALL(Dong11,ROWS($1:16)),),0))</f>
        <v>0</v>
      </c>
      <c r="J29" s="910">
        <f t="shared" ca="1" si="6"/>
        <v>0</v>
      </c>
      <c r="K29" s="910">
        <f t="shared" ca="1" si="2"/>
        <v>0</v>
      </c>
      <c r="L29" s="910">
        <f t="shared" ca="1" si="3"/>
        <v>0</v>
      </c>
      <c r="M29" s="910"/>
      <c r="N29" s="330"/>
    </row>
    <row r="30" spans="1:16">
      <c r="A30" s="307" t="str">
        <f t="shared" ca="1" si="4"/>
        <v/>
      </c>
      <c r="B30" s="906" t="str">
        <f ca="1">IF(ROWS($1:17)&gt;COUNT(Dong11),"",OFFSET(TH!D$1,SMALL(Dong11,ROWS($1:17)),))</f>
        <v/>
      </c>
      <c r="C30" s="907" t="str">
        <f ca="1">IF(ROWS($1:17)&gt;COUNT(Dong11),"",OFFSET(TH!E$1,SMALL(Dong11,ROWS($1:17)),))</f>
        <v/>
      </c>
      <c r="D30" s="908" t="str">
        <f ca="1">IF(ROWS($1:17)&gt;COUNT(Dong11),"",OFFSET(TH!H$1,SMALL(Dong11,ROWS($1:17)),))</f>
        <v/>
      </c>
      <c r="E30" s="906" t="str">
        <f ca="1">IF(ROWS($1:17)&gt;COUNT(Dong11),"",IF(OFFSET(TH!L$1,SMALL(Dong11,ROWS($1:17)),)=$G$7,OFFSET(TH!M$1,SMALL(Dong11,ROWS($1:17)),),OFFSET(TH!L$1,SMALL(Dong11,ROWS($1:17)),)))</f>
        <v/>
      </c>
      <c r="F30" s="909">
        <f ca="1">IF(ROWS($1:17)&gt;COUNT(Dong11),0,OFFSET(TH!J$1,SMALL(Dong11,ROWS($1:17)),))</f>
        <v>0</v>
      </c>
      <c r="G30" s="909">
        <f ca="1">IF(ROWS($1:17)&gt;COUNT(Dong11),0,IF(MID(OFFSET(TH!D$1,SMALL(Dong11,ROWS($1:17)),),4,1)="N",OFFSET(TH!I$1,SMALL(Dong11,ROWS($1:17)),),0))</f>
        <v>0</v>
      </c>
      <c r="H30" s="910">
        <f t="shared" ca="1" si="5"/>
        <v>0</v>
      </c>
      <c r="I30" s="909">
        <f ca="1">IF(ROWS($1:17)&gt;COUNT(Dong11),0,IF(MID(OFFSET(TH!D$1,SMALL(Dong11,ROWS($1:17)),),4,1)="X",OFFSET(TH!I$1,SMALL(Dong11,ROWS($1:17)),),0))</f>
        <v>0</v>
      </c>
      <c r="J30" s="910">
        <f t="shared" ca="1" si="6"/>
        <v>0</v>
      </c>
      <c r="K30" s="910">
        <f t="shared" ca="1" si="2"/>
        <v>0</v>
      </c>
      <c r="L30" s="910">
        <f t="shared" ca="1" si="3"/>
        <v>0</v>
      </c>
      <c r="M30" s="910"/>
      <c r="N30" s="330"/>
    </row>
    <row r="31" spans="1:16">
      <c r="A31" s="307" t="str">
        <f t="shared" ca="1" si="4"/>
        <v/>
      </c>
      <c r="B31" s="906" t="str">
        <f ca="1">IF(ROWS($1:18)&gt;COUNT(Dong11),"",OFFSET(TH!D$1,SMALL(Dong11,ROWS($1:18)),))</f>
        <v/>
      </c>
      <c r="C31" s="907" t="str">
        <f ca="1">IF(ROWS($1:18)&gt;COUNT(Dong11),"",OFFSET(TH!E$1,SMALL(Dong11,ROWS($1:18)),))</f>
        <v/>
      </c>
      <c r="D31" s="908" t="str">
        <f ca="1">IF(ROWS($1:18)&gt;COUNT(Dong11),"",OFFSET(TH!H$1,SMALL(Dong11,ROWS($1:18)),))</f>
        <v/>
      </c>
      <c r="E31" s="906" t="str">
        <f ca="1">IF(ROWS($1:18)&gt;COUNT(Dong11),"",IF(OFFSET(TH!L$1,SMALL(Dong11,ROWS($1:18)),)=$G$7,OFFSET(TH!M$1,SMALL(Dong11,ROWS($1:18)),),OFFSET(TH!L$1,SMALL(Dong11,ROWS($1:18)),)))</f>
        <v/>
      </c>
      <c r="F31" s="909">
        <f ca="1">IF(ROWS($1:18)&gt;COUNT(Dong11),0,OFFSET(TH!J$1,SMALL(Dong11,ROWS($1:18)),))</f>
        <v>0</v>
      </c>
      <c r="G31" s="909">
        <f ca="1">IF(ROWS($1:18)&gt;COUNT(Dong11),0,IF(MID(OFFSET(TH!D$1,SMALL(Dong11,ROWS($1:18)),),4,1)="N",OFFSET(TH!I$1,SMALL(Dong11,ROWS($1:18)),),0))</f>
        <v>0</v>
      </c>
      <c r="H31" s="910">
        <f t="shared" ca="1" si="5"/>
        <v>0</v>
      </c>
      <c r="I31" s="909">
        <f ca="1">IF(ROWS($1:18)&gt;COUNT(Dong11),0,IF(MID(OFFSET(TH!D$1,SMALL(Dong11,ROWS($1:18)),),4,1)="X",OFFSET(TH!I$1,SMALL(Dong11,ROWS($1:18)),),0))</f>
        <v>0</v>
      </c>
      <c r="J31" s="910">
        <f t="shared" ca="1" si="6"/>
        <v>0</v>
      </c>
      <c r="K31" s="910">
        <f t="shared" ca="1" si="2"/>
        <v>0</v>
      </c>
      <c r="L31" s="910">
        <f t="shared" ca="1" si="3"/>
        <v>0</v>
      </c>
      <c r="M31" s="910"/>
      <c r="N31" s="330"/>
    </row>
    <row r="32" spans="1:16">
      <c r="A32" s="307" t="str">
        <f t="shared" ca="1" si="4"/>
        <v/>
      </c>
      <c r="B32" s="906" t="str">
        <f ca="1">IF(ROWS($1:19)&gt;COUNT(Dong11),"",OFFSET(TH!D$1,SMALL(Dong11,ROWS($1:19)),))</f>
        <v/>
      </c>
      <c r="C32" s="907" t="str">
        <f ca="1">IF(ROWS($1:19)&gt;COUNT(Dong11),"",OFFSET(TH!E$1,SMALL(Dong11,ROWS($1:19)),))</f>
        <v/>
      </c>
      <c r="D32" s="908" t="str">
        <f ca="1">IF(ROWS($1:19)&gt;COUNT(Dong11),"",OFFSET(TH!H$1,SMALL(Dong11,ROWS($1:19)),))</f>
        <v/>
      </c>
      <c r="E32" s="906" t="str">
        <f ca="1">IF(ROWS($1:19)&gt;COUNT(Dong11),"",IF(OFFSET(TH!L$1,SMALL(Dong11,ROWS($1:19)),)=$G$7,OFFSET(TH!M$1,SMALL(Dong11,ROWS($1:19)),),OFFSET(TH!L$1,SMALL(Dong11,ROWS($1:19)),)))</f>
        <v/>
      </c>
      <c r="F32" s="909">
        <f ca="1">IF(ROWS($1:19)&gt;COUNT(Dong11),0,OFFSET(TH!J$1,SMALL(Dong11,ROWS($1:19)),))</f>
        <v>0</v>
      </c>
      <c r="G32" s="909">
        <f ca="1">IF(ROWS($1:19)&gt;COUNT(Dong11),0,IF(MID(OFFSET(TH!D$1,SMALL(Dong11,ROWS($1:19)),),4,1)="N",OFFSET(TH!I$1,SMALL(Dong11,ROWS($1:19)),),0))</f>
        <v>0</v>
      </c>
      <c r="H32" s="910">
        <f t="shared" ca="1" si="5"/>
        <v>0</v>
      </c>
      <c r="I32" s="909">
        <f ca="1">IF(ROWS($1:19)&gt;COUNT(Dong11),0,IF(MID(OFFSET(TH!D$1,SMALL(Dong11,ROWS($1:19)),),4,1)="X",OFFSET(TH!I$1,SMALL(Dong11,ROWS($1:19)),),0))</f>
        <v>0</v>
      </c>
      <c r="J32" s="910">
        <f t="shared" ca="1" si="6"/>
        <v>0</v>
      </c>
      <c r="K32" s="910">
        <f t="shared" ca="1" si="2"/>
        <v>0</v>
      </c>
      <c r="L32" s="910">
        <f t="shared" ca="1" si="3"/>
        <v>0</v>
      </c>
      <c r="M32" s="910"/>
      <c r="N32" s="330"/>
    </row>
    <row r="33" spans="1:14">
      <c r="A33" s="307" t="str">
        <f t="shared" ca="1" si="4"/>
        <v/>
      </c>
      <c r="B33" s="906" t="str">
        <f ca="1">IF(ROWS($1:20)&gt;COUNT(Dong11),"",OFFSET(TH!D$1,SMALL(Dong11,ROWS($1:20)),))</f>
        <v/>
      </c>
      <c r="C33" s="907" t="str">
        <f ca="1">IF(ROWS($1:20)&gt;COUNT(Dong11),"",OFFSET(TH!E$1,SMALL(Dong11,ROWS($1:20)),))</f>
        <v/>
      </c>
      <c r="D33" s="908" t="str">
        <f ca="1">IF(ROWS($1:20)&gt;COUNT(Dong11),"",OFFSET(TH!H$1,SMALL(Dong11,ROWS($1:20)),))</f>
        <v/>
      </c>
      <c r="E33" s="906" t="str">
        <f ca="1">IF(ROWS($1:20)&gt;COUNT(Dong11),"",IF(OFFSET(TH!L$1,SMALL(Dong11,ROWS($1:20)),)=$G$7,OFFSET(TH!M$1,SMALL(Dong11,ROWS($1:20)),),OFFSET(TH!L$1,SMALL(Dong11,ROWS($1:20)),)))</f>
        <v/>
      </c>
      <c r="F33" s="909">
        <f ca="1">IF(ROWS($1:20)&gt;COUNT(Dong11),0,OFFSET(TH!J$1,SMALL(Dong11,ROWS($1:20)),))</f>
        <v>0</v>
      </c>
      <c r="G33" s="909">
        <f ca="1">IF(ROWS($1:20)&gt;COUNT(Dong11),0,IF(MID(OFFSET(TH!D$1,SMALL(Dong11,ROWS($1:20)),),4,1)="N",OFFSET(TH!I$1,SMALL(Dong11,ROWS($1:20)),),0))</f>
        <v>0</v>
      </c>
      <c r="H33" s="910">
        <f t="shared" ca="1" si="5"/>
        <v>0</v>
      </c>
      <c r="I33" s="909">
        <f ca="1">IF(ROWS($1:20)&gt;COUNT(Dong11),0,IF(MID(OFFSET(TH!D$1,SMALL(Dong11,ROWS($1:20)),),4,1)="X",OFFSET(TH!I$1,SMALL(Dong11,ROWS($1:20)),),0))</f>
        <v>0</v>
      </c>
      <c r="J33" s="910">
        <f t="shared" ca="1" si="6"/>
        <v>0</v>
      </c>
      <c r="K33" s="910">
        <f t="shared" ca="1" si="2"/>
        <v>0</v>
      </c>
      <c r="L33" s="910">
        <f t="shared" ca="1" si="3"/>
        <v>0</v>
      </c>
      <c r="M33" s="910"/>
      <c r="N33" s="330"/>
    </row>
    <row r="34" spans="1:14">
      <c r="A34" s="307" t="str">
        <f t="shared" ca="1" si="4"/>
        <v/>
      </c>
      <c r="B34" s="906" t="str">
        <f ca="1">IF(ROWS($1:21)&gt;COUNT(Dong11),"",OFFSET(TH!D$1,SMALL(Dong11,ROWS($1:21)),))</f>
        <v/>
      </c>
      <c r="C34" s="907" t="str">
        <f ca="1">IF(ROWS($1:21)&gt;COUNT(Dong11),"",OFFSET(TH!E$1,SMALL(Dong11,ROWS($1:21)),))</f>
        <v/>
      </c>
      <c r="D34" s="908" t="str">
        <f ca="1">IF(ROWS($1:21)&gt;COUNT(Dong11),"",OFFSET(TH!H$1,SMALL(Dong11,ROWS($1:21)),))</f>
        <v/>
      </c>
      <c r="E34" s="906" t="str">
        <f ca="1">IF(ROWS($1:21)&gt;COUNT(Dong11),"",IF(OFFSET(TH!L$1,SMALL(Dong11,ROWS($1:21)),)=$G$7,OFFSET(TH!M$1,SMALL(Dong11,ROWS($1:21)),),OFFSET(TH!L$1,SMALL(Dong11,ROWS($1:21)),)))</f>
        <v/>
      </c>
      <c r="F34" s="909">
        <f ca="1">IF(ROWS($1:21)&gt;COUNT(Dong11),0,OFFSET(TH!J$1,SMALL(Dong11,ROWS($1:21)),))</f>
        <v>0</v>
      </c>
      <c r="G34" s="909">
        <f ca="1">IF(ROWS($1:21)&gt;COUNT(Dong11),0,IF(MID(OFFSET(TH!D$1,SMALL(Dong11,ROWS($1:21)),),4,1)="N",OFFSET(TH!I$1,SMALL(Dong11,ROWS($1:21)),),0))</f>
        <v>0</v>
      </c>
      <c r="H34" s="910">
        <f t="shared" ca="1" si="5"/>
        <v>0</v>
      </c>
      <c r="I34" s="909">
        <f ca="1">IF(ROWS($1:21)&gt;COUNT(Dong11),0,IF(MID(OFFSET(TH!D$1,SMALL(Dong11,ROWS($1:21)),),4,1)="X",OFFSET(TH!I$1,SMALL(Dong11,ROWS($1:21)),),0))</f>
        <v>0</v>
      </c>
      <c r="J34" s="910">
        <f t="shared" ca="1" si="6"/>
        <v>0</v>
      </c>
      <c r="K34" s="910">
        <f t="shared" ca="1" si="2"/>
        <v>0</v>
      </c>
      <c r="L34" s="910">
        <f t="shared" ca="1" si="3"/>
        <v>0</v>
      </c>
      <c r="M34" s="910"/>
      <c r="N34" s="330"/>
    </row>
    <row r="35" spans="1:14">
      <c r="A35" s="307" t="str">
        <f t="shared" ca="1" si="4"/>
        <v/>
      </c>
      <c r="B35" s="906" t="str">
        <f ca="1">IF(ROWS($1:22)&gt;COUNT(Dong11),"",OFFSET(TH!D$1,SMALL(Dong11,ROWS($1:22)),))</f>
        <v/>
      </c>
      <c r="C35" s="907" t="str">
        <f ca="1">IF(ROWS($1:22)&gt;COUNT(Dong11),"",OFFSET(TH!E$1,SMALL(Dong11,ROWS($1:22)),))</f>
        <v/>
      </c>
      <c r="D35" s="908" t="str">
        <f ca="1">IF(ROWS($1:22)&gt;COUNT(Dong11),"",OFFSET(TH!H$1,SMALL(Dong11,ROWS($1:22)),))</f>
        <v/>
      </c>
      <c r="E35" s="906" t="str">
        <f ca="1">IF(ROWS($1:22)&gt;COUNT(Dong11),"",IF(OFFSET(TH!L$1,SMALL(Dong11,ROWS($1:22)),)=$G$7,OFFSET(TH!M$1,SMALL(Dong11,ROWS($1:22)),),OFFSET(TH!L$1,SMALL(Dong11,ROWS($1:22)),)))</f>
        <v/>
      </c>
      <c r="F35" s="909">
        <f ca="1">IF(ROWS($1:22)&gt;COUNT(Dong11),0,OFFSET(TH!J$1,SMALL(Dong11,ROWS($1:22)),))</f>
        <v>0</v>
      </c>
      <c r="G35" s="909">
        <f ca="1">IF(ROWS($1:22)&gt;COUNT(Dong11),0,IF(MID(OFFSET(TH!D$1,SMALL(Dong11,ROWS($1:22)),),4,1)="N",OFFSET(TH!I$1,SMALL(Dong11,ROWS($1:22)),),0))</f>
        <v>0</v>
      </c>
      <c r="H35" s="910">
        <f t="shared" ca="1" si="5"/>
        <v>0</v>
      </c>
      <c r="I35" s="909">
        <f ca="1">IF(ROWS($1:22)&gt;COUNT(Dong11),0,IF(MID(OFFSET(TH!D$1,SMALL(Dong11,ROWS($1:22)),),4,1)="X",OFFSET(TH!I$1,SMALL(Dong11,ROWS($1:22)),),0))</f>
        <v>0</v>
      </c>
      <c r="J35" s="910">
        <f t="shared" ca="1" si="6"/>
        <v>0</v>
      </c>
      <c r="K35" s="910">
        <f t="shared" ca="1" si="2"/>
        <v>0</v>
      </c>
      <c r="L35" s="910">
        <f t="shared" ca="1" si="3"/>
        <v>0</v>
      </c>
      <c r="M35" s="910"/>
      <c r="N35" s="330"/>
    </row>
    <row r="36" spans="1:14">
      <c r="A36" s="307" t="str">
        <f t="shared" ca="1" si="4"/>
        <v/>
      </c>
      <c r="B36" s="906" t="str">
        <f ca="1">IF(ROWS($1:23)&gt;COUNT(Dong11),"",OFFSET(TH!D$1,SMALL(Dong11,ROWS($1:23)),))</f>
        <v/>
      </c>
      <c r="C36" s="907" t="str">
        <f ca="1">IF(ROWS($1:23)&gt;COUNT(Dong11),"",OFFSET(TH!E$1,SMALL(Dong11,ROWS($1:23)),))</f>
        <v/>
      </c>
      <c r="D36" s="908" t="str">
        <f ca="1">IF(ROWS($1:23)&gt;COUNT(Dong11),"",OFFSET(TH!H$1,SMALL(Dong11,ROWS($1:23)),))</f>
        <v/>
      </c>
      <c r="E36" s="906" t="str">
        <f ca="1">IF(ROWS($1:23)&gt;COUNT(Dong11),"",IF(OFFSET(TH!L$1,SMALL(Dong11,ROWS($1:23)),)=$G$7,OFFSET(TH!M$1,SMALL(Dong11,ROWS($1:23)),),OFFSET(TH!L$1,SMALL(Dong11,ROWS($1:23)),)))</f>
        <v/>
      </c>
      <c r="F36" s="909">
        <f ca="1">IF(ROWS($1:23)&gt;COUNT(Dong11),0,OFFSET(TH!J$1,SMALL(Dong11,ROWS($1:23)),))</f>
        <v>0</v>
      </c>
      <c r="G36" s="909">
        <f ca="1">IF(ROWS($1:23)&gt;COUNT(Dong11),0,IF(MID(OFFSET(TH!D$1,SMALL(Dong11,ROWS($1:23)),),4,1)="N",OFFSET(TH!I$1,SMALL(Dong11,ROWS($1:23)),),0))</f>
        <v>0</v>
      </c>
      <c r="H36" s="910">
        <f t="shared" ca="1" si="5"/>
        <v>0</v>
      </c>
      <c r="I36" s="909">
        <f ca="1">IF(ROWS($1:23)&gt;COUNT(Dong11),0,IF(MID(OFFSET(TH!D$1,SMALL(Dong11,ROWS($1:23)),),4,1)="X",OFFSET(TH!I$1,SMALL(Dong11,ROWS($1:23)),),0))</f>
        <v>0</v>
      </c>
      <c r="J36" s="910">
        <f t="shared" ca="1" si="6"/>
        <v>0</v>
      </c>
      <c r="K36" s="910">
        <f t="shared" ca="1" si="2"/>
        <v>0</v>
      </c>
      <c r="L36" s="910">
        <f t="shared" ca="1" si="3"/>
        <v>0</v>
      </c>
      <c r="M36" s="910"/>
      <c r="N36" s="330"/>
    </row>
    <row r="37" spans="1:14">
      <c r="A37" s="307" t="str">
        <f t="shared" ca="1" si="4"/>
        <v/>
      </c>
      <c r="B37" s="906" t="str">
        <f ca="1">IF(ROWS($1:24)&gt;COUNT(Dong11),"",OFFSET(TH!D$1,SMALL(Dong11,ROWS($1:24)),))</f>
        <v/>
      </c>
      <c r="C37" s="907" t="str">
        <f ca="1">IF(ROWS($1:24)&gt;COUNT(Dong11),"",OFFSET(TH!E$1,SMALL(Dong11,ROWS($1:24)),))</f>
        <v/>
      </c>
      <c r="D37" s="908" t="str">
        <f ca="1">IF(ROWS($1:24)&gt;COUNT(Dong11),"",OFFSET(TH!H$1,SMALL(Dong11,ROWS($1:24)),))</f>
        <v/>
      </c>
      <c r="E37" s="906" t="str">
        <f ca="1">IF(ROWS($1:24)&gt;COUNT(Dong11),"",IF(OFFSET(TH!L$1,SMALL(Dong11,ROWS($1:24)),)=$G$7,OFFSET(TH!M$1,SMALL(Dong11,ROWS($1:24)),),OFFSET(TH!L$1,SMALL(Dong11,ROWS($1:24)),)))</f>
        <v/>
      </c>
      <c r="F37" s="909">
        <f ca="1">IF(ROWS($1:24)&gt;COUNT(Dong11),0,OFFSET(TH!J$1,SMALL(Dong11,ROWS($1:24)),))</f>
        <v>0</v>
      </c>
      <c r="G37" s="909">
        <f ca="1">IF(ROWS($1:24)&gt;COUNT(Dong11),0,IF(MID(OFFSET(TH!D$1,SMALL(Dong11,ROWS($1:24)),),4,1)="N",OFFSET(TH!I$1,SMALL(Dong11,ROWS($1:24)),),0))</f>
        <v>0</v>
      </c>
      <c r="H37" s="910">
        <f t="shared" ca="1" si="5"/>
        <v>0</v>
      </c>
      <c r="I37" s="909">
        <f ca="1">IF(ROWS($1:24)&gt;COUNT(Dong11),0,IF(MID(OFFSET(TH!D$1,SMALL(Dong11,ROWS($1:24)),),4,1)="X",OFFSET(TH!I$1,SMALL(Dong11,ROWS($1:24)),),0))</f>
        <v>0</v>
      </c>
      <c r="J37" s="910">
        <f t="shared" ca="1" si="6"/>
        <v>0</v>
      </c>
      <c r="K37" s="910">
        <f t="shared" ca="1" si="2"/>
        <v>0</v>
      </c>
      <c r="L37" s="910">
        <f t="shared" ca="1" si="3"/>
        <v>0</v>
      </c>
      <c r="M37" s="910"/>
      <c r="N37" s="330"/>
    </row>
    <row r="38" spans="1:14">
      <c r="A38" s="307" t="str">
        <f t="shared" ca="1" si="4"/>
        <v/>
      </c>
      <c r="B38" s="906" t="str">
        <f ca="1">IF(ROWS($1:25)&gt;COUNT(Dong11),"",OFFSET(TH!D$1,SMALL(Dong11,ROWS($1:25)),))</f>
        <v/>
      </c>
      <c r="C38" s="907" t="str">
        <f ca="1">IF(ROWS($1:25)&gt;COUNT(Dong11),"",OFFSET(TH!E$1,SMALL(Dong11,ROWS($1:25)),))</f>
        <v/>
      </c>
      <c r="D38" s="908" t="str">
        <f ca="1">IF(ROWS($1:25)&gt;COUNT(Dong11),"",OFFSET(TH!H$1,SMALL(Dong11,ROWS($1:25)),))</f>
        <v/>
      </c>
      <c r="E38" s="906" t="str">
        <f ca="1">IF(ROWS($1:25)&gt;COUNT(Dong11),"",IF(OFFSET(TH!L$1,SMALL(Dong11,ROWS($1:25)),)=$G$7,OFFSET(TH!M$1,SMALL(Dong11,ROWS($1:25)),),OFFSET(TH!L$1,SMALL(Dong11,ROWS($1:25)),)))</f>
        <v/>
      </c>
      <c r="F38" s="909">
        <f ca="1">IF(ROWS($1:25)&gt;COUNT(Dong11),0,OFFSET(TH!J$1,SMALL(Dong11,ROWS($1:25)),))</f>
        <v>0</v>
      </c>
      <c r="G38" s="909">
        <f ca="1">IF(ROWS($1:25)&gt;COUNT(Dong11),0,IF(MID(OFFSET(TH!D$1,SMALL(Dong11,ROWS($1:25)),),4,1)="N",OFFSET(TH!I$1,SMALL(Dong11,ROWS($1:25)),),0))</f>
        <v>0</v>
      </c>
      <c r="H38" s="910">
        <f t="shared" ca="1" si="5"/>
        <v>0</v>
      </c>
      <c r="I38" s="909">
        <f ca="1">IF(ROWS($1:25)&gt;COUNT(Dong11),0,IF(MID(OFFSET(TH!D$1,SMALL(Dong11,ROWS($1:25)),),4,1)="X",OFFSET(TH!I$1,SMALL(Dong11,ROWS($1:25)),),0))</f>
        <v>0</v>
      </c>
      <c r="J38" s="910">
        <f t="shared" ca="1" si="6"/>
        <v>0</v>
      </c>
      <c r="K38" s="910">
        <f t="shared" ca="1" si="2"/>
        <v>0</v>
      </c>
      <c r="L38" s="910">
        <f t="shared" ca="1" si="3"/>
        <v>0</v>
      </c>
      <c r="M38" s="910"/>
      <c r="N38" s="330"/>
    </row>
    <row r="39" spans="1:14">
      <c r="A39" s="307" t="str">
        <f t="shared" ca="1" si="4"/>
        <v/>
      </c>
      <c r="B39" s="906" t="str">
        <f ca="1">IF(ROWS($1:26)&gt;COUNT(Dong11),"",OFFSET(TH!D$1,SMALL(Dong11,ROWS($1:26)),))</f>
        <v/>
      </c>
      <c r="C39" s="907" t="str">
        <f ca="1">IF(ROWS($1:26)&gt;COUNT(Dong11),"",OFFSET(TH!E$1,SMALL(Dong11,ROWS($1:26)),))</f>
        <v/>
      </c>
      <c r="D39" s="908" t="str">
        <f ca="1">IF(ROWS($1:26)&gt;COUNT(Dong11),"",OFFSET(TH!H$1,SMALL(Dong11,ROWS($1:26)),))</f>
        <v/>
      </c>
      <c r="E39" s="906" t="str">
        <f ca="1">IF(ROWS($1:26)&gt;COUNT(Dong11),"",IF(OFFSET(TH!L$1,SMALL(Dong11,ROWS($1:26)),)=$G$7,OFFSET(TH!M$1,SMALL(Dong11,ROWS($1:26)),),OFFSET(TH!L$1,SMALL(Dong11,ROWS($1:26)),)))</f>
        <v/>
      </c>
      <c r="F39" s="909">
        <f ca="1">IF(ROWS($1:26)&gt;COUNT(Dong11),0,OFFSET(TH!J$1,SMALL(Dong11,ROWS($1:26)),))</f>
        <v>0</v>
      </c>
      <c r="G39" s="909">
        <f ca="1">IF(ROWS($1:26)&gt;COUNT(Dong11),0,IF(MID(OFFSET(TH!D$1,SMALL(Dong11,ROWS($1:26)),),4,1)="N",OFFSET(TH!I$1,SMALL(Dong11,ROWS($1:26)),),0))</f>
        <v>0</v>
      </c>
      <c r="H39" s="910">
        <f t="shared" ca="1" si="0"/>
        <v>0</v>
      </c>
      <c r="I39" s="909">
        <f ca="1">IF(ROWS($1:26)&gt;COUNT(Dong11),0,IF(MID(OFFSET(TH!D$1,SMALL(Dong11,ROWS($1:26)),),4,1)="X",OFFSET(TH!I$1,SMALL(Dong11,ROWS($1:26)),),0))</f>
        <v>0</v>
      </c>
      <c r="J39" s="910">
        <f t="shared" ca="1" si="1"/>
        <v>0</v>
      </c>
      <c r="K39" s="910">
        <f t="shared" ca="1" si="2"/>
        <v>0</v>
      </c>
      <c r="L39" s="910">
        <f t="shared" ca="1" si="3"/>
        <v>0</v>
      </c>
      <c r="M39" s="910"/>
      <c r="N39" s="330"/>
    </row>
    <row r="40" spans="1:14">
      <c r="A40" s="307" t="str">
        <f t="shared" ca="1" si="4"/>
        <v/>
      </c>
      <c r="B40" s="906" t="str">
        <f ca="1">IF(ROWS($1:27)&gt;COUNT(Dong11),"",OFFSET(TH!D$1,SMALL(Dong11,ROWS($1:27)),))</f>
        <v/>
      </c>
      <c r="C40" s="907" t="str">
        <f ca="1">IF(ROWS($1:27)&gt;COUNT(Dong11),"",OFFSET(TH!E$1,SMALL(Dong11,ROWS($1:27)),))</f>
        <v/>
      </c>
      <c r="D40" s="908" t="str">
        <f ca="1">IF(ROWS($1:27)&gt;COUNT(Dong11),"",OFFSET(TH!H$1,SMALL(Dong11,ROWS($1:27)),))</f>
        <v/>
      </c>
      <c r="E40" s="906" t="str">
        <f ca="1">IF(ROWS($1:27)&gt;COUNT(Dong11),"",IF(OFFSET(TH!L$1,SMALL(Dong11,ROWS($1:27)),)=$G$7,OFFSET(TH!M$1,SMALL(Dong11,ROWS($1:27)),),OFFSET(TH!L$1,SMALL(Dong11,ROWS($1:27)),)))</f>
        <v/>
      </c>
      <c r="F40" s="909">
        <f ca="1">IF(ROWS($1:27)&gt;COUNT(Dong11),0,OFFSET(TH!J$1,SMALL(Dong11,ROWS($1:27)),))</f>
        <v>0</v>
      </c>
      <c r="G40" s="909">
        <f ca="1">IF(ROWS($1:27)&gt;COUNT(Dong11),0,IF(MID(OFFSET(TH!D$1,SMALL(Dong11,ROWS($1:27)),),4,1)="N",OFFSET(TH!I$1,SMALL(Dong11,ROWS($1:27)),),0))</f>
        <v>0</v>
      </c>
      <c r="H40" s="910">
        <f t="shared" ca="1" si="0"/>
        <v>0</v>
      </c>
      <c r="I40" s="909">
        <f ca="1">IF(ROWS($1:27)&gt;COUNT(Dong11),0,IF(MID(OFFSET(TH!D$1,SMALL(Dong11,ROWS($1:27)),),4,1)="X",OFFSET(TH!I$1,SMALL(Dong11,ROWS($1:27)),),0))</f>
        <v>0</v>
      </c>
      <c r="J40" s="910">
        <f t="shared" ca="1" si="1"/>
        <v>0</v>
      </c>
      <c r="K40" s="910">
        <f t="shared" ca="1" si="2"/>
        <v>0</v>
      </c>
      <c r="L40" s="910">
        <f t="shared" ca="1" si="3"/>
        <v>0</v>
      </c>
      <c r="M40" s="910"/>
      <c r="N40" s="330"/>
    </row>
    <row r="41" spans="1:14">
      <c r="A41" s="307" t="str">
        <f t="shared" ca="1" si="4"/>
        <v/>
      </c>
      <c r="B41" s="906" t="str">
        <f ca="1">IF(ROWS($1:28)&gt;COUNT(Dong11),"",OFFSET(TH!D$1,SMALL(Dong11,ROWS($1:28)),))</f>
        <v/>
      </c>
      <c r="C41" s="907" t="str">
        <f ca="1">IF(ROWS($1:28)&gt;COUNT(Dong11),"",OFFSET(TH!E$1,SMALL(Dong11,ROWS($1:28)),))</f>
        <v/>
      </c>
      <c r="D41" s="908" t="str">
        <f ca="1">IF(ROWS($1:28)&gt;COUNT(Dong11),"",OFFSET(TH!H$1,SMALL(Dong11,ROWS($1:28)),))</f>
        <v/>
      </c>
      <c r="E41" s="906" t="str">
        <f ca="1">IF(ROWS($1:28)&gt;COUNT(Dong11),"",IF(OFFSET(TH!L$1,SMALL(Dong11,ROWS($1:28)),)=$G$7,OFFSET(TH!M$1,SMALL(Dong11,ROWS($1:28)),),OFFSET(TH!L$1,SMALL(Dong11,ROWS($1:28)),)))</f>
        <v/>
      </c>
      <c r="F41" s="909">
        <f ca="1">IF(ROWS($1:28)&gt;COUNT(Dong11),0,OFFSET(TH!J$1,SMALL(Dong11,ROWS($1:28)),))</f>
        <v>0</v>
      </c>
      <c r="G41" s="909">
        <f ca="1">IF(ROWS($1:28)&gt;COUNT(Dong11),0,IF(MID(OFFSET(TH!D$1,SMALL(Dong11,ROWS($1:28)),),4,1)="N",OFFSET(TH!I$1,SMALL(Dong11,ROWS($1:28)),),0))</f>
        <v>0</v>
      </c>
      <c r="H41" s="910">
        <f t="shared" ca="1" si="0"/>
        <v>0</v>
      </c>
      <c r="I41" s="909">
        <f ca="1">IF(ROWS($1:28)&gt;COUNT(Dong11),0,IF(MID(OFFSET(TH!D$1,SMALL(Dong11,ROWS($1:28)),),4,1)="X",OFFSET(TH!I$1,SMALL(Dong11,ROWS($1:28)),),0))</f>
        <v>0</v>
      </c>
      <c r="J41" s="910">
        <f t="shared" ca="1" si="1"/>
        <v>0</v>
      </c>
      <c r="K41" s="910">
        <f t="shared" ca="1" si="2"/>
        <v>0</v>
      </c>
      <c r="L41" s="910">
        <f t="shared" ca="1" si="3"/>
        <v>0</v>
      </c>
      <c r="M41" s="910"/>
      <c r="N41" s="330"/>
    </row>
    <row r="42" spans="1:14">
      <c r="A42" s="307" t="str">
        <f t="shared" ca="1" si="4"/>
        <v/>
      </c>
      <c r="B42" s="906" t="str">
        <f ca="1">IF(ROWS($1:29)&gt;COUNT(Dong11),"",OFFSET(TH!D$1,SMALL(Dong11,ROWS($1:29)),))</f>
        <v/>
      </c>
      <c r="C42" s="907" t="str">
        <f ca="1">IF(ROWS($1:29)&gt;COUNT(Dong11),"",OFFSET(TH!E$1,SMALL(Dong11,ROWS($1:29)),))</f>
        <v/>
      </c>
      <c r="D42" s="908" t="str">
        <f ca="1">IF(ROWS($1:29)&gt;COUNT(Dong11),"",OFFSET(TH!H$1,SMALL(Dong11,ROWS($1:29)),))</f>
        <v/>
      </c>
      <c r="E42" s="906" t="str">
        <f ca="1">IF(ROWS($1:29)&gt;COUNT(Dong11),"",IF(OFFSET(TH!L$1,SMALL(Dong11,ROWS($1:29)),)=$G$7,OFFSET(TH!M$1,SMALL(Dong11,ROWS($1:29)),),OFFSET(TH!L$1,SMALL(Dong11,ROWS($1:29)),)))</f>
        <v/>
      </c>
      <c r="F42" s="909">
        <f ca="1">IF(ROWS($1:29)&gt;COUNT(Dong11),0,OFFSET(TH!J$1,SMALL(Dong11,ROWS($1:29)),))</f>
        <v>0</v>
      </c>
      <c r="G42" s="909">
        <f ca="1">IF(ROWS($1:29)&gt;COUNT(Dong11),0,IF(MID(OFFSET(TH!D$1,SMALL(Dong11,ROWS($1:29)),),4,1)="N",OFFSET(TH!I$1,SMALL(Dong11,ROWS($1:29)),),0))</f>
        <v>0</v>
      </c>
      <c r="H42" s="910">
        <f t="shared" ca="1" si="0"/>
        <v>0</v>
      </c>
      <c r="I42" s="909">
        <f ca="1">IF(ROWS($1:29)&gt;COUNT(Dong11),0,IF(MID(OFFSET(TH!D$1,SMALL(Dong11,ROWS($1:29)),),4,1)="X",OFFSET(TH!I$1,SMALL(Dong11,ROWS($1:29)),),0))</f>
        <v>0</v>
      </c>
      <c r="J42" s="910">
        <f t="shared" ca="1" si="1"/>
        <v>0</v>
      </c>
      <c r="K42" s="910">
        <f t="shared" ca="1" si="2"/>
        <v>0</v>
      </c>
      <c r="L42" s="910">
        <f t="shared" ca="1" si="3"/>
        <v>0</v>
      </c>
      <c r="M42" s="910"/>
      <c r="N42" s="330"/>
    </row>
    <row r="43" spans="1:14">
      <c r="A43" s="307" t="str">
        <f t="shared" ca="1" si="4"/>
        <v/>
      </c>
      <c r="B43" s="906" t="str">
        <f ca="1">IF(ROWS($1:30)&gt;COUNT(Dong11),"",OFFSET(TH!D$1,SMALL(Dong11,ROWS($1:30)),))</f>
        <v/>
      </c>
      <c r="C43" s="907" t="str">
        <f ca="1">IF(ROWS($1:30)&gt;COUNT(Dong11),"",OFFSET(TH!E$1,SMALL(Dong11,ROWS($1:30)),))</f>
        <v/>
      </c>
      <c r="D43" s="908" t="str">
        <f ca="1">IF(ROWS($1:30)&gt;COUNT(Dong11),"",OFFSET(TH!H$1,SMALL(Dong11,ROWS($1:30)),))</f>
        <v/>
      </c>
      <c r="E43" s="906" t="str">
        <f ca="1">IF(ROWS($1:30)&gt;COUNT(Dong11),"",IF(OFFSET(TH!L$1,SMALL(Dong11,ROWS($1:30)),)=$G$7,OFFSET(TH!M$1,SMALL(Dong11,ROWS($1:30)),),OFFSET(TH!L$1,SMALL(Dong11,ROWS($1:30)),)))</f>
        <v/>
      </c>
      <c r="F43" s="909">
        <f ca="1">IF(ROWS($1:30)&gt;COUNT(Dong11),0,OFFSET(TH!J$1,SMALL(Dong11,ROWS($1:30)),))</f>
        <v>0</v>
      </c>
      <c r="G43" s="909">
        <f ca="1">IF(ROWS($1:30)&gt;COUNT(Dong11),0,IF(MID(OFFSET(TH!D$1,SMALL(Dong11,ROWS($1:30)),),4,1)="N",OFFSET(TH!I$1,SMALL(Dong11,ROWS($1:30)),),0))</f>
        <v>0</v>
      </c>
      <c r="H43" s="910">
        <f t="shared" ca="1" si="0"/>
        <v>0</v>
      </c>
      <c r="I43" s="909">
        <f ca="1">IF(ROWS($1:30)&gt;COUNT(Dong11),0,IF(MID(OFFSET(TH!D$1,SMALL(Dong11,ROWS($1:30)),),4,1)="X",OFFSET(TH!I$1,SMALL(Dong11,ROWS($1:30)),),0))</f>
        <v>0</v>
      </c>
      <c r="J43" s="910">
        <f t="shared" ca="1" si="1"/>
        <v>0</v>
      </c>
      <c r="K43" s="910">
        <f t="shared" ca="1" si="2"/>
        <v>0</v>
      </c>
      <c r="L43" s="910">
        <f t="shared" ca="1" si="3"/>
        <v>0</v>
      </c>
      <c r="M43" s="910"/>
      <c r="N43" s="330"/>
    </row>
    <row r="44" spans="1:14">
      <c r="A44" s="307" t="str">
        <f t="shared" ca="1" si="4"/>
        <v/>
      </c>
      <c r="B44" s="906" t="str">
        <f ca="1">IF(ROWS($1:31)&gt;COUNT(Dong11),"",OFFSET(TH!D$1,SMALL(Dong11,ROWS($1:31)),))</f>
        <v/>
      </c>
      <c r="C44" s="907" t="str">
        <f ca="1">IF(ROWS($1:31)&gt;COUNT(Dong11),"",OFFSET(TH!E$1,SMALL(Dong11,ROWS($1:31)),))</f>
        <v/>
      </c>
      <c r="D44" s="908" t="str">
        <f ca="1">IF(ROWS($1:31)&gt;COUNT(Dong11),"",OFFSET(TH!H$1,SMALL(Dong11,ROWS($1:31)),))</f>
        <v/>
      </c>
      <c r="E44" s="906" t="str">
        <f ca="1">IF(ROWS($1:31)&gt;COUNT(Dong11),"",IF(OFFSET(TH!L$1,SMALL(Dong11,ROWS($1:31)),)=$G$7,OFFSET(TH!M$1,SMALL(Dong11,ROWS($1:31)),),OFFSET(TH!L$1,SMALL(Dong11,ROWS($1:31)),)))</f>
        <v/>
      </c>
      <c r="F44" s="909">
        <f ca="1">IF(ROWS($1:31)&gt;COUNT(Dong11),0,OFFSET(TH!J$1,SMALL(Dong11,ROWS($1:31)),))</f>
        <v>0</v>
      </c>
      <c r="G44" s="909">
        <f ca="1">IF(ROWS($1:31)&gt;COUNT(Dong11),0,IF(MID(OFFSET(TH!D$1,SMALL(Dong11,ROWS($1:31)),),4,1)="N",OFFSET(TH!I$1,SMALL(Dong11,ROWS($1:31)),),0))</f>
        <v>0</v>
      </c>
      <c r="H44" s="910">
        <f t="shared" ca="1" si="0"/>
        <v>0</v>
      </c>
      <c r="I44" s="909">
        <f ca="1">IF(ROWS($1:31)&gt;COUNT(Dong11),0,IF(MID(OFFSET(TH!D$1,SMALL(Dong11,ROWS($1:31)),),4,1)="X",OFFSET(TH!I$1,SMALL(Dong11,ROWS($1:31)),),0))</f>
        <v>0</v>
      </c>
      <c r="J44" s="910">
        <f t="shared" ca="1" si="1"/>
        <v>0</v>
      </c>
      <c r="K44" s="910">
        <f t="shared" ca="1" si="2"/>
        <v>0</v>
      </c>
      <c r="L44" s="910">
        <f t="shared" ca="1" si="3"/>
        <v>0</v>
      </c>
      <c r="M44" s="910"/>
      <c r="N44" s="330"/>
    </row>
    <row r="45" spans="1:14">
      <c r="A45" s="307" t="str">
        <f t="shared" ca="1" si="4"/>
        <v/>
      </c>
      <c r="B45" s="906" t="str">
        <f ca="1">IF(ROWS($1:32)&gt;COUNT(Dong11),"",OFFSET(TH!D$1,SMALL(Dong11,ROWS($1:32)),))</f>
        <v/>
      </c>
      <c r="C45" s="907" t="str">
        <f ca="1">IF(ROWS($1:32)&gt;COUNT(Dong11),"",OFFSET(TH!E$1,SMALL(Dong11,ROWS($1:32)),))</f>
        <v/>
      </c>
      <c r="D45" s="908" t="str">
        <f ca="1">IF(ROWS($1:32)&gt;COUNT(Dong11),"",OFFSET(TH!H$1,SMALL(Dong11,ROWS($1:32)),))</f>
        <v/>
      </c>
      <c r="E45" s="906" t="str">
        <f ca="1">IF(ROWS($1:32)&gt;COUNT(Dong11),"",IF(OFFSET(TH!L$1,SMALL(Dong11,ROWS($1:32)),)=$G$7,OFFSET(TH!M$1,SMALL(Dong11,ROWS($1:32)),),OFFSET(TH!L$1,SMALL(Dong11,ROWS($1:32)),)))</f>
        <v/>
      </c>
      <c r="F45" s="909">
        <f ca="1">IF(ROWS($1:32)&gt;COUNT(Dong11),0,OFFSET(TH!J$1,SMALL(Dong11,ROWS($1:32)),))</f>
        <v>0</v>
      </c>
      <c r="G45" s="909">
        <f ca="1">IF(ROWS($1:32)&gt;COUNT(Dong11),0,IF(MID(OFFSET(TH!D$1,SMALL(Dong11,ROWS($1:32)),),4,1)="N",OFFSET(TH!I$1,SMALL(Dong11,ROWS($1:32)),),0))</f>
        <v>0</v>
      </c>
      <c r="H45" s="910">
        <f t="shared" ca="1" si="0"/>
        <v>0</v>
      </c>
      <c r="I45" s="909">
        <f ca="1">IF(ROWS($1:32)&gt;COUNT(Dong11),0,IF(MID(OFFSET(TH!D$1,SMALL(Dong11,ROWS($1:32)),),4,1)="X",OFFSET(TH!I$1,SMALL(Dong11,ROWS($1:32)),),0))</f>
        <v>0</v>
      </c>
      <c r="J45" s="910">
        <f t="shared" ca="1" si="1"/>
        <v>0</v>
      </c>
      <c r="K45" s="910">
        <f t="shared" ca="1" si="2"/>
        <v>0</v>
      </c>
      <c r="L45" s="910">
        <f t="shared" ca="1" si="3"/>
        <v>0</v>
      </c>
      <c r="M45" s="910"/>
      <c r="N45" s="330"/>
    </row>
    <row r="46" spans="1:14">
      <c r="A46" s="307" t="str">
        <f t="shared" ca="1" si="4"/>
        <v/>
      </c>
      <c r="B46" s="906" t="str">
        <f ca="1">IF(ROWS($1:33)&gt;COUNT(Dong11),"",OFFSET(TH!D$1,SMALL(Dong11,ROWS($1:33)),))</f>
        <v/>
      </c>
      <c r="C46" s="907" t="str">
        <f ca="1">IF(ROWS($1:33)&gt;COUNT(Dong11),"",OFFSET(TH!E$1,SMALL(Dong11,ROWS($1:33)),))</f>
        <v/>
      </c>
      <c r="D46" s="908" t="str">
        <f ca="1">IF(ROWS($1:33)&gt;COUNT(Dong11),"",OFFSET(TH!H$1,SMALL(Dong11,ROWS($1:33)),))</f>
        <v/>
      </c>
      <c r="E46" s="906" t="str">
        <f ca="1">IF(ROWS($1:33)&gt;COUNT(Dong11),"",IF(OFFSET(TH!L$1,SMALL(Dong11,ROWS($1:33)),)=$G$7,OFFSET(TH!M$1,SMALL(Dong11,ROWS($1:33)),),OFFSET(TH!L$1,SMALL(Dong11,ROWS($1:33)),)))</f>
        <v/>
      </c>
      <c r="F46" s="909">
        <f ca="1">IF(ROWS($1:33)&gt;COUNT(Dong11),0,OFFSET(TH!J$1,SMALL(Dong11,ROWS($1:33)),))</f>
        <v>0</v>
      </c>
      <c r="G46" s="909">
        <f ca="1">IF(ROWS($1:33)&gt;COUNT(Dong11),0,IF(MID(OFFSET(TH!D$1,SMALL(Dong11,ROWS($1:33)),),4,1)="N",OFFSET(TH!I$1,SMALL(Dong11,ROWS($1:33)),),0))</f>
        <v>0</v>
      </c>
      <c r="H46" s="910">
        <f t="shared" ref="H46:H72" ca="1" si="7">ROUND(F46*G46,0)</f>
        <v>0</v>
      </c>
      <c r="I46" s="909">
        <f ca="1">IF(ROWS($1:33)&gt;COUNT(Dong11),0,IF(MID(OFFSET(TH!D$1,SMALL(Dong11,ROWS($1:33)),),4,1)="X",OFFSET(TH!I$1,SMALL(Dong11,ROWS($1:33)),),0))</f>
        <v>0</v>
      </c>
      <c r="J46" s="910">
        <f t="shared" ref="J46:J72" ca="1" si="8">ROUND(F46*I46,0)</f>
        <v>0</v>
      </c>
      <c r="K46" s="910">
        <f t="shared" ref="K46:K72" ca="1" si="9">IF(D46&lt;&gt;"",K45+G46-I46,0)</f>
        <v>0</v>
      </c>
      <c r="L46" s="910">
        <f t="shared" ref="L46:L72" ca="1" si="10">IF(D46&lt;&gt;"",L45+H46-J46,0)</f>
        <v>0</v>
      </c>
      <c r="M46" s="910"/>
      <c r="N46" s="330"/>
    </row>
    <row r="47" spans="1:14">
      <c r="A47" s="307" t="str">
        <f t="shared" ref="A47:A72" ca="1" si="11">IF(B47="","",A46+1)</f>
        <v/>
      </c>
      <c r="B47" s="906" t="str">
        <f ca="1">IF(ROWS($1:34)&gt;COUNT(Dong11),"",OFFSET(TH!D$1,SMALL(Dong11,ROWS($1:34)),))</f>
        <v/>
      </c>
      <c r="C47" s="907" t="str">
        <f ca="1">IF(ROWS($1:34)&gt;COUNT(Dong11),"",OFFSET(TH!E$1,SMALL(Dong11,ROWS($1:34)),))</f>
        <v/>
      </c>
      <c r="D47" s="908" t="str">
        <f ca="1">IF(ROWS($1:34)&gt;COUNT(Dong11),"",OFFSET(TH!H$1,SMALL(Dong11,ROWS($1:34)),))</f>
        <v/>
      </c>
      <c r="E47" s="906" t="str">
        <f ca="1">IF(ROWS($1:34)&gt;COUNT(Dong11),"",IF(OFFSET(TH!L$1,SMALL(Dong11,ROWS($1:34)),)=$G$7,OFFSET(TH!M$1,SMALL(Dong11,ROWS($1:34)),),OFFSET(TH!L$1,SMALL(Dong11,ROWS($1:34)),)))</f>
        <v/>
      </c>
      <c r="F47" s="909">
        <f ca="1">IF(ROWS($1:34)&gt;COUNT(Dong11),0,OFFSET(TH!J$1,SMALL(Dong11,ROWS($1:34)),))</f>
        <v>0</v>
      </c>
      <c r="G47" s="909">
        <f ca="1">IF(ROWS($1:34)&gt;COUNT(Dong11),0,IF(MID(OFFSET(TH!D$1,SMALL(Dong11,ROWS($1:34)),),4,1)="N",OFFSET(TH!I$1,SMALL(Dong11,ROWS($1:34)),),0))</f>
        <v>0</v>
      </c>
      <c r="H47" s="910">
        <f t="shared" ca="1" si="7"/>
        <v>0</v>
      </c>
      <c r="I47" s="909">
        <f ca="1">IF(ROWS($1:34)&gt;COUNT(Dong11),0,IF(MID(OFFSET(TH!D$1,SMALL(Dong11,ROWS($1:34)),),4,1)="X",OFFSET(TH!I$1,SMALL(Dong11,ROWS($1:34)),),0))</f>
        <v>0</v>
      </c>
      <c r="J47" s="910">
        <f t="shared" ca="1" si="8"/>
        <v>0</v>
      </c>
      <c r="K47" s="910">
        <f t="shared" ca="1" si="9"/>
        <v>0</v>
      </c>
      <c r="L47" s="910">
        <f t="shared" ca="1" si="10"/>
        <v>0</v>
      </c>
      <c r="M47" s="910"/>
      <c r="N47" s="330"/>
    </row>
    <row r="48" spans="1:14">
      <c r="A48" s="307" t="str">
        <f t="shared" ca="1" si="11"/>
        <v/>
      </c>
      <c r="B48" s="906" t="str">
        <f ca="1">IF(ROWS($1:35)&gt;COUNT(Dong11),"",OFFSET(TH!D$1,SMALL(Dong11,ROWS($1:35)),))</f>
        <v/>
      </c>
      <c r="C48" s="907" t="str">
        <f ca="1">IF(ROWS($1:35)&gt;COUNT(Dong11),"",OFFSET(TH!E$1,SMALL(Dong11,ROWS($1:35)),))</f>
        <v/>
      </c>
      <c r="D48" s="908" t="str">
        <f ca="1">IF(ROWS($1:35)&gt;COUNT(Dong11),"",OFFSET(TH!H$1,SMALL(Dong11,ROWS($1:35)),))</f>
        <v/>
      </c>
      <c r="E48" s="906" t="str">
        <f ca="1">IF(ROWS($1:35)&gt;COUNT(Dong11),"",IF(OFFSET(TH!L$1,SMALL(Dong11,ROWS($1:35)),)=$G$7,OFFSET(TH!M$1,SMALL(Dong11,ROWS($1:35)),),OFFSET(TH!L$1,SMALL(Dong11,ROWS($1:35)),)))</f>
        <v/>
      </c>
      <c r="F48" s="909">
        <f ca="1">IF(ROWS($1:35)&gt;COUNT(Dong11),0,OFFSET(TH!J$1,SMALL(Dong11,ROWS($1:35)),))</f>
        <v>0</v>
      </c>
      <c r="G48" s="909">
        <f ca="1">IF(ROWS($1:35)&gt;COUNT(Dong11),0,IF(MID(OFFSET(TH!D$1,SMALL(Dong11,ROWS($1:35)),),4,1)="N",OFFSET(TH!I$1,SMALL(Dong11,ROWS($1:35)),),0))</f>
        <v>0</v>
      </c>
      <c r="H48" s="910">
        <f t="shared" ca="1" si="7"/>
        <v>0</v>
      </c>
      <c r="I48" s="909">
        <f ca="1">IF(ROWS($1:35)&gt;COUNT(Dong11),0,IF(MID(OFFSET(TH!D$1,SMALL(Dong11,ROWS($1:35)),),4,1)="X",OFFSET(TH!I$1,SMALL(Dong11,ROWS($1:35)),),0))</f>
        <v>0</v>
      </c>
      <c r="J48" s="910">
        <f t="shared" ca="1" si="8"/>
        <v>0</v>
      </c>
      <c r="K48" s="910">
        <f t="shared" ca="1" si="9"/>
        <v>0</v>
      </c>
      <c r="L48" s="910">
        <f t="shared" ca="1" si="10"/>
        <v>0</v>
      </c>
      <c r="M48" s="910"/>
      <c r="N48" s="330"/>
    </row>
    <row r="49" spans="1:14">
      <c r="A49" s="307" t="str">
        <f t="shared" ca="1" si="11"/>
        <v/>
      </c>
      <c r="B49" s="906" t="str">
        <f ca="1">IF(ROWS($1:36)&gt;COUNT(Dong11),"",OFFSET(TH!D$1,SMALL(Dong11,ROWS($1:36)),))</f>
        <v/>
      </c>
      <c r="C49" s="907" t="str">
        <f ca="1">IF(ROWS($1:36)&gt;COUNT(Dong11),"",OFFSET(TH!E$1,SMALL(Dong11,ROWS($1:36)),))</f>
        <v/>
      </c>
      <c r="D49" s="908" t="str">
        <f ca="1">IF(ROWS($1:36)&gt;COUNT(Dong11),"",OFFSET(TH!H$1,SMALL(Dong11,ROWS($1:36)),))</f>
        <v/>
      </c>
      <c r="E49" s="906" t="str">
        <f ca="1">IF(ROWS($1:36)&gt;COUNT(Dong11),"",IF(OFFSET(TH!L$1,SMALL(Dong11,ROWS($1:36)),)=$G$7,OFFSET(TH!M$1,SMALL(Dong11,ROWS($1:36)),),OFFSET(TH!L$1,SMALL(Dong11,ROWS($1:36)),)))</f>
        <v/>
      </c>
      <c r="F49" s="909">
        <f ca="1">IF(ROWS($1:36)&gt;COUNT(Dong11),0,OFFSET(TH!J$1,SMALL(Dong11,ROWS($1:36)),))</f>
        <v>0</v>
      </c>
      <c r="G49" s="909">
        <f ca="1">IF(ROWS($1:36)&gt;COUNT(Dong11),0,IF(MID(OFFSET(TH!D$1,SMALL(Dong11,ROWS($1:36)),),4,1)="N",OFFSET(TH!I$1,SMALL(Dong11,ROWS($1:36)),),0))</f>
        <v>0</v>
      </c>
      <c r="H49" s="910">
        <f t="shared" ca="1" si="7"/>
        <v>0</v>
      </c>
      <c r="I49" s="909">
        <f ca="1">IF(ROWS($1:36)&gt;COUNT(Dong11),0,IF(MID(OFFSET(TH!D$1,SMALL(Dong11,ROWS($1:36)),),4,1)="X",OFFSET(TH!I$1,SMALL(Dong11,ROWS($1:36)),),0))</f>
        <v>0</v>
      </c>
      <c r="J49" s="910">
        <f t="shared" ca="1" si="8"/>
        <v>0</v>
      </c>
      <c r="K49" s="910">
        <f t="shared" ca="1" si="9"/>
        <v>0</v>
      </c>
      <c r="L49" s="910">
        <f t="shared" ca="1" si="10"/>
        <v>0</v>
      </c>
      <c r="M49" s="910"/>
      <c r="N49" s="330"/>
    </row>
    <row r="50" spans="1:14">
      <c r="A50" s="307" t="str">
        <f t="shared" ca="1" si="11"/>
        <v/>
      </c>
      <c r="B50" s="906" t="str">
        <f ca="1">IF(ROWS($1:37)&gt;COUNT(Dong11),"",OFFSET(TH!D$1,SMALL(Dong11,ROWS($1:37)),))</f>
        <v/>
      </c>
      <c r="C50" s="907" t="str">
        <f ca="1">IF(ROWS($1:37)&gt;COUNT(Dong11),"",OFFSET(TH!E$1,SMALL(Dong11,ROWS($1:37)),))</f>
        <v/>
      </c>
      <c r="D50" s="908" t="str">
        <f ca="1">IF(ROWS($1:37)&gt;COUNT(Dong11),"",OFFSET(TH!H$1,SMALL(Dong11,ROWS($1:37)),))</f>
        <v/>
      </c>
      <c r="E50" s="906" t="str">
        <f ca="1">IF(ROWS($1:37)&gt;COUNT(Dong11),"",IF(OFFSET(TH!L$1,SMALL(Dong11,ROWS($1:37)),)=$G$7,OFFSET(TH!M$1,SMALL(Dong11,ROWS($1:37)),),OFFSET(TH!L$1,SMALL(Dong11,ROWS($1:37)),)))</f>
        <v/>
      </c>
      <c r="F50" s="909">
        <f ca="1">IF(ROWS($1:37)&gt;COUNT(Dong11),0,OFFSET(TH!J$1,SMALL(Dong11,ROWS($1:37)),))</f>
        <v>0</v>
      </c>
      <c r="G50" s="909">
        <f ca="1">IF(ROWS($1:37)&gt;COUNT(Dong11),0,IF(MID(OFFSET(TH!D$1,SMALL(Dong11,ROWS($1:37)),),4,1)="N",OFFSET(TH!I$1,SMALL(Dong11,ROWS($1:37)),),0))</f>
        <v>0</v>
      </c>
      <c r="H50" s="910">
        <f t="shared" ca="1" si="7"/>
        <v>0</v>
      </c>
      <c r="I50" s="909">
        <f ca="1">IF(ROWS($1:37)&gt;COUNT(Dong11),0,IF(MID(OFFSET(TH!D$1,SMALL(Dong11,ROWS($1:37)),),4,1)="X",OFFSET(TH!I$1,SMALL(Dong11,ROWS($1:37)),),0))</f>
        <v>0</v>
      </c>
      <c r="J50" s="910">
        <f t="shared" ca="1" si="8"/>
        <v>0</v>
      </c>
      <c r="K50" s="910">
        <f t="shared" ca="1" si="9"/>
        <v>0</v>
      </c>
      <c r="L50" s="910">
        <f t="shared" ca="1" si="10"/>
        <v>0</v>
      </c>
      <c r="M50" s="910"/>
      <c r="N50" s="330"/>
    </row>
    <row r="51" spans="1:14">
      <c r="A51" s="307" t="str">
        <f t="shared" ca="1" si="11"/>
        <v/>
      </c>
      <c r="B51" s="906" t="str">
        <f ca="1">IF(ROWS($1:38)&gt;COUNT(Dong11),"",OFFSET(TH!D$1,SMALL(Dong11,ROWS($1:38)),))</f>
        <v/>
      </c>
      <c r="C51" s="907" t="str">
        <f ca="1">IF(ROWS($1:38)&gt;COUNT(Dong11),"",OFFSET(TH!E$1,SMALL(Dong11,ROWS($1:38)),))</f>
        <v/>
      </c>
      <c r="D51" s="908" t="str">
        <f ca="1">IF(ROWS($1:38)&gt;COUNT(Dong11),"",OFFSET(TH!H$1,SMALL(Dong11,ROWS($1:38)),))</f>
        <v/>
      </c>
      <c r="E51" s="906" t="str">
        <f ca="1">IF(ROWS($1:38)&gt;COUNT(Dong11),"",IF(OFFSET(TH!L$1,SMALL(Dong11,ROWS($1:38)),)=$G$7,OFFSET(TH!M$1,SMALL(Dong11,ROWS($1:38)),),OFFSET(TH!L$1,SMALL(Dong11,ROWS($1:38)),)))</f>
        <v/>
      </c>
      <c r="F51" s="909">
        <f ca="1">IF(ROWS($1:38)&gt;COUNT(Dong11),0,OFFSET(TH!J$1,SMALL(Dong11,ROWS($1:38)),))</f>
        <v>0</v>
      </c>
      <c r="G51" s="909">
        <f ca="1">IF(ROWS($1:38)&gt;COUNT(Dong11),0,IF(MID(OFFSET(TH!D$1,SMALL(Dong11,ROWS($1:38)),),4,1)="N",OFFSET(TH!I$1,SMALL(Dong11,ROWS($1:38)),),0))</f>
        <v>0</v>
      </c>
      <c r="H51" s="910">
        <f t="shared" ca="1" si="7"/>
        <v>0</v>
      </c>
      <c r="I51" s="909">
        <f ca="1">IF(ROWS($1:38)&gt;COUNT(Dong11),0,IF(MID(OFFSET(TH!D$1,SMALL(Dong11,ROWS($1:38)),),4,1)="X",OFFSET(TH!I$1,SMALL(Dong11,ROWS($1:38)),),0))</f>
        <v>0</v>
      </c>
      <c r="J51" s="910">
        <f t="shared" ca="1" si="8"/>
        <v>0</v>
      </c>
      <c r="K51" s="910">
        <f t="shared" ca="1" si="9"/>
        <v>0</v>
      </c>
      <c r="L51" s="910">
        <f t="shared" ca="1" si="10"/>
        <v>0</v>
      </c>
      <c r="M51" s="910"/>
      <c r="N51" s="330"/>
    </row>
    <row r="52" spans="1:14">
      <c r="A52" s="307" t="str">
        <f t="shared" ca="1" si="11"/>
        <v/>
      </c>
      <c r="B52" s="906" t="str">
        <f ca="1">IF(ROWS($1:39)&gt;COUNT(Dong11),"",OFFSET(TH!D$1,SMALL(Dong11,ROWS($1:39)),))</f>
        <v/>
      </c>
      <c r="C52" s="907" t="str">
        <f ca="1">IF(ROWS($1:39)&gt;COUNT(Dong11),"",OFFSET(TH!E$1,SMALL(Dong11,ROWS($1:39)),))</f>
        <v/>
      </c>
      <c r="D52" s="908" t="str">
        <f ca="1">IF(ROWS($1:39)&gt;COUNT(Dong11),"",OFFSET(TH!H$1,SMALL(Dong11,ROWS($1:39)),))</f>
        <v/>
      </c>
      <c r="E52" s="906" t="str">
        <f ca="1">IF(ROWS($1:39)&gt;COUNT(Dong11),"",IF(OFFSET(TH!L$1,SMALL(Dong11,ROWS($1:39)),)=$G$7,OFFSET(TH!M$1,SMALL(Dong11,ROWS($1:39)),),OFFSET(TH!L$1,SMALL(Dong11,ROWS($1:39)),)))</f>
        <v/>
      </c>
      <c r="F52" s="909">
        <f ca="1">IF(ROWS($1:39)&gt;COUNT(Dong11),0,OFFSET(TH!J$1,SMALL(Dong11,ROWS($1:39)),))</f>
        <v>0</v>
      </c>
      <c r="G52" s="909">
        <f ca="1">IF(ROWS($1:39)&gt;COUNT(Dong11),0,IF(MID(OFFSET(TH!D$1,SMALL(Dong11,ROWS($1:39)),),4,1)="N",OFFSET(TH!I$1,SMALL(Dong11,ROWS($1:39)),),0))</f>
        <v>0</v>
      </c>
      <c r="H52" s="910">
        <f t="shared" ca="1" si="7"/>
        <v>0</v>
      </c>
      <c r="I52" s="909">
        <f ca="1">IF(ROWS($1:39)&gt;COUNT(Dong11),0,IF(MID(OFFSET(TH!D$1,SMALL(Dong11,ROWS($1:39)),),4,1)="X",OFFSET(TH!I$1,SMALL(Dong11,ROWS($1:39)),),0))</f>
        <v>0</v>
      </c>
      <c r="J52" s="910">
        <f t="shared" ca="1" si="8"/>
        <v>0</v>
      </c>
      <c r="K52" s="910">
        <f t="shared" ca="1" si="9"/>
        <v>0</v>
      </c>
      <c r="L52" s="910">
        <f t="shared" ca="1" si="10"/>
        <v>0</v>
      </c>
      <c r="M52" s="910"/>
      <c r="N52" s="330"/>
    </row>
    <row r="53" spans="1:14">
      <c r="A53" s="307" t="str">
        <f t="shared" ca="1" si="11"/>
        <v/>
      </c>
      <c r="B53" s="906" t="str">
        <f ca="1">IF(ROWS($1:40)&gt;COUNT(Dong11),"",OFFSET(TH!D$1,SMALL(Dong11,ROWS($1:40)),))</f>
        <v/>
      </c>
      <c r="C53" s="907" t="str">
        <f ca="1">IF(ROWS($1:40)&gt;COUNT(Dong11),"",OFFSET(TH!E$1,SMALL(Dong11,ROWS($1:40)),))</f>
        <v/>
      </c>
      <c r="D53" s="908" t="str">
        <f ca="1">IF(ROWS($1:40)&gt;COUNT(Dong11),"",OFFSET(TH!H$1,SMALL(Dong11,ROWS($1:40)),))</f>
        <v/>
      </c>
      <c r="E53" s="906" t="str">
        <f ca="1">IF(ROWS($1:40)&gt;COUNT(Dong11),"",IF(OFFSET(TH!L$1,SMALL(Dong11,ROWS($1:40)),)=$G$7,OFFSET(TH!M$1,SMALL(Dong11,ROWS($1:40)),),OFFSET(TH!L$1,SMALL(Dong11,ROWS($1:40)),)))</f>
        <v/>
      </c>
      <c r="F53" s="909">
        <f ca="1">IF(ROWS($1:40)&gt;COUNT(Dong11),0,OFFSET(TH!J$1,SMALL(Dong11,ROWS($1:40)),))</f>
        <v>0</v>
      </c>
      <c r="G53" s="909">
        <f ca="1">IF(ROWS($1:40)&gt;COUNT(Dong11),0,IF(MID(OFFSET(TH!D$1,SMALL(Dong11,ROWS($1:40)),),4,1)="N",OFFSET(TH!I$1,SMALL(Dong11,ROWS($1:40)),),0))</f>
        <v>0</v>
      </c>
      <c r="H53" s="910">
        <f t="shared" ca="1" si="7"/>
        <v>0</v>
      </c>
      <c r="I53" s="909">
        <f ca="1">IF(ROWS($1:40)&gt;COUNT(Dong11),0,IF(MID(OFFSET(TH!D$1,SMALL(Dong11,ROWS($1:40)),),4,1)="X",OFFSET(TH!I$1,SMALL(Dong11,ROWS($1:40)),),0))</f>
        <v>0</v>
      </c>
      <c r="J53" s="910">
        <f t="shared" ca="1" si="8"/>
        <v>0</v>
      </c>
      <c r="K53" s="910">
        <f t="shared" ca="1" si="9"/>
        <v>0</v>
      </c>
      <c r="L53" s="910">
        <f t="shared" ca="1" si="10"/>
        <v>0</v>
      </c>
      <c r="M53" s="910"/>
      <c r="N53" s="330"/>
    </row>
    <row r="54" spans="1:14">
      <c r="A54" s="307" t="str">
        <f t="shared" ca="1" si="11"/>
        <v/>
      </c>
      <c r="B54" s="906" t="str">
        <f ca="1">IF(ROWS($1:41)&gt;COUNT(Dong11),"",OFFSET(TH!D$1,SMALL(Dong11,ROWS($1:41)),))</f>
        <v/>
      </c>
      <c r="C54" s="907" t="str">
        <f ca="1">IF(ROWS($1:41)&gt;COUNT(Dong11),"",OFFSET(TH!E$1,SMALL(Dong11,ROWS($1:41)),))</f>
        <v/>
      </c>
      <c r="D54" s="908" t="str">
        <f ca="1">IF(ROWS($1:41)&gt;COUNT(Dong11),"",OFFSET(TH!H$1,SMALL(Dong11,ROWS($1:41)),))</f>
        <v/>
      </c>
      <c r="E54" s="906" t="str">
        <f ca="1">IF(ROWS($1:41)&gt;COUNT(Dong11),"",IF(OFFSET(TH!L$1,SMALL(Dong11,ROWS($1:41)),)=$G$7,OFFSET(TH!M$1,SMALL(Dong11,ROWS($1:41)),),OFFSET(TH!L$1,SMALL(Dong11,ROWS($1:41)),)))</f>
        <v/>
      </c>
      <c r="F54" s="909">
        <f ca="1">IF(ROWS($1:41)&gt;COUNT(Dong11),0,OFFSET(TH!J$1,SMALL(Dong11,ROWS($1:41)),))</f>
        <v>0</v>
      </c>
      <c r="G54" s="909">
        <f ca="1">IF(ROWS($1:41)&gt;COUNT(Dong11),0,IF(MID(OFFSET(TH!D$1,SMALL(Dong11,ROWS($1:41)),),4,1)="N",OFFSET(TH!I$1,SMALL(Dong11,ROWS($1:41)),),0))</f>
        <v>0</v>
      </c>
      <c r="H54" s="910">
        <f t="shared" ca="1" si="7"/>
        <v>0</v>
      </c>
      <c r="I54" s="909">
        <f ca="1">IF(ROWS($1:41)&gt;COUNT(Dong11),0,IF(MID(OFFSET(TH!D$1,SMALL(Dong11,ROWS($1:41)),),4,1)="X",OFFSET(TH!I$1,SMALL(Dong11,ROWS($1:41)),),0))</f>
        <v>0</v>
      </c>
      <c r="J54" s="910">
        <f t="shared" ca="1" si="8"/>
        <v>0</v>
      </c>
      <c r="K54" s="910">
        <f t="shared" ca="1" si="9"/>
        <v>0</v>
      </c>
      <c r="L54" s="910">
        <f t="shared" ca="1" si="10"/>
        <v>0</v>
      </c>
      <c r="M54" s="910"/>
      <c r="N54" s="330"/>
    </row>
    <row r="55" spans="1:14">
      <c r="A55" s="307" t="str">
        <f t="shared" ca="1" si="11"/>
        <v/>
      </c>
      <c r="B55" s="906" t="str">
        <f ca="1">IF(ROWS($1:42)&gt;COUNT(Dong11),"",OFFSET(TH!D$1,SMALL(Dong11,ROWS($1:42)),))</f>
        <v/>
      </c>
      <c r="C55" s="907" t="str">
        <f ca="1">IF(ROWS($1:42)&gt;COUNT(Dong11),"",OFFSET(TH!E$1,SMALL(Dong11,ROWS($1:42)),))</f>
        <v/>
      </c>
      <c r="D55" s="908" t="str">
        <f ca="1">IF(ROWS($1:42)&gt;COUNT(Dong11),"",OFFSET(TH!H$1,SMALL(Dong11,ROWS($1:42)),))</f>
        <v/>
      </c>
      <c r="E55" s="906" t="str">
        <f ca="1">IF(ROWS($1:42)&gt;COUNT(Dong11),"",IF(OFFSET(TH!L$1,SMALL(Dong11,ROWS($1:42)),)=$G$7,OFFSET(TH!M$1,SMALL(Dong11,ROWS($1:42)),),OFFSET(TH!L$1,SMALL(Dong11,ROWS($1:42)),)))</f>
        <v/>
      </c>
      <c r="F55" s="909">
        <f ca="1">IF(ROWS($1:42)&gt;COUNT(Dong11),0,OFFSET(TH!J$1,SMALL(Dong11,ROWS($1:42)),))</f>
        <v>0</v>
      </c>
      <c r="G55" s="909">
        <f ca="1">IF(ROWS($1:42)&gt;COUNT(Dong11),0,IF(MID(OFFSET(TH!D$1,SMALL(Dong11,ROWS($1:42)),),4,1)="N",OFFSET(TH!I$1,SMALL(Dong11,ROWS($1:42)),),0))</f>
        <v>0</v>
      </c>
      <c r="H55" s="910">
        <f t="shared" ca="1" si="7"/>
        <v>0</v>
      </c>
      <c r="I55" s="909">
        <f ca="1">IF(ROWS($1:42)&gt;COUNT(Dong11),0,IF(MID(OFFSET(TH!D$1,SMALL(Dong11,ROWS($1:42)),),4,1)="X",OFFSET(TH!I$1,SMALL(Dong11,ROWS($1:42)),),0))</f>
        <v>0</v>
      </c>
      <c r="J55" s="910">
        <f t="shared" ca="1" si="8"/>
        <v>0</v>
      </c>
      <c r="K55" s="910">
        <f t="shared" ca="1" si="9"/>
        <v>0</v>
      </c>
      <c r="L55" s="910">
        <f t="shared" ca="1" si="10"/>
        <v>0</v>
      </c>
      <c r="M55" s="910"/>
      <c r="N55" s="330"/>
    </row>
    <row r="56" spans="1:14">
      <c r="A56" s="307" t="str">
        <f t="shared" ca="1" si="11"/>
        <v/>
      </c>
      <c r="B56" s="906" t="str">
        <f ca="1">IF(ROWS($1:43)&gt;COUNT(Dong11),"",OFFSET(TH!D$1,SMALL(Dong11,ROWS($1:43)),))</f>
        <v/>
      </c>
      <c r="C56" s="907" t="str">
        <f ca="1">IF(ROWS($1:43)&gt;COUNT(Dong11),"",OFFSET(TH!E$1,SMALL(Dong11,ROWS($1:43)),))</f>
        <v/>
      </c>
      <c r="D56" s="908" t="str">
        <f ca="1">IF(ROWS($1:43)&gt;COUNT(Dong11),"",OFFSET(TH!H$1,SMALL(Dong11,ROWS($1:43)),))</f>
        <v/>
      </c>
      <c r="E56" s="906" t="str">
        <f ca="1">IF(ROWS($1:43)&gt;COUNT(Dong11),"",IF(OFFSET(TH!L$1,SMALL(Dong11,ROWS($1:43)),)=$G$7,OFFSET(TH!M$1,SMALL(Dong11,ROWS($1:43)),),OFFSET(TH!L$1,SMALL(Dong11,ROWS($1:43)),)))</f>
        <v/>
      </c>
      <c r="F56" s="909">
        <f ca="1">IF(ROWS($1:43)&gt;COUNT(Dong11),0,OFFSET(TH!J$1,SMALL(Dong11,ROWS($1:43)),))</f>
        <v>0</v>
      </c>
      <c r="G56" s="909">
        <f ca="1">IF(ROWS($1:43)&gt;COUNT(Dong11),0,IF(MID(OFFSET(TH!D$1,SMALL(Dong11,ROWS($1:43)),),4,1)="N",OFFSET(TH!I$1,SMALL(Dong11,ROWS($1:43)),),0))</f>
        <v>0</v>
      </c>
      <c r="H56" s="910">
        <f t="shared" ca="1" si="7"/>
        <v>0</v>
      </c>
      <c r="I56" s="909">
        <f ca="1">IF(ROWS($1:43)&gt;COUNT(Dong11),0,IF(MID(OFFSET(TH!D$1,SMALL(Dong11,ROWS($1:43)),),4,1)="X",OFFSET(TH!I$1,SMALL(Dong11,ROWS($1:43)),),0))</f>
        <v>0</v>
      </c>
      <c r="J56" s="910">
        <f t="shared" ca="1" si="8"/>
        <v>0</v>
      </c>
      <c r="K56" s="910">
        <f t="shared" ca="1" si="9"/>
        <v>0</v>
      </c>
      <c r="L56" s="910">
        <f t="shared" ca="1" si="10"/>
        <v>0</v>
      </c>
      <c r="M56" s="910"/>
      <c r="N56" s="330"/>
    </row>
    <row r="57" spans="1:14">
      <c r="A57" s="307" t="str">
        <f t="shared" ca="1" si="11"/>
        <v/>
      </c>
      <c r="B57" s="906" t="str">
        <f ca="1">IF(ROWS($1:44)&gt;COUNT(Dong11),"",OFFSET(TH!D$1,SMALL(Dong11,ROWS($1:44)),))</f>
        <v/>
      </c>
      <c r="C57" s="907" t="str">
        <f ca="1">IF(ROWS($1:44)&gt;COUNT(Dong11),"",OFFSET(TH!E$1,SMALL(Dong11,ROWS($1:44)),))</f>
        <v/>
      </c>
      <c r="D57" s="908" t="str">
        <f ca="1">IF(ROWS($1:44)&gt;COUNT(Dong11),"",OFFSET(TH!H$1,SMALL(Dong11,ROWS($1:44)),))</f>
        <v/>
      </c>
      <c r="E57" s="906" t="str">
        <f ca="1">IF(ROWS($1:44)&gt;COUNT(Dong11),"",IF(OFFSET(TH!L$1,SMALL(Dong11,ROWS($1:44)),)=$G$7,OFFSET(TH!M$1,SMALL(Dong11,ROWS($1:44)),),OFFSET(TH!L$1,SMALL(Dong11,ROWS($1:44)),)))</f>
        <v/>
      </c>
      <c r="F57" s="909">
        <f ca="1">IF(ROWS($1:44)&gt;COUNT(Dong11),0,OFFSET(TH!J$1,SMALL(Dong11,ROWS($1:44)),))</f>
        <v>0</v>
      </c>
      <c r="G57" s="909">
        <f ca="1">IF(ROWS($1:44)&gt;COUNT(Dong11),0,IF(MID(OFFSET(TH!D$1,SMALL(Dong11,ROWS($1:44)),),4,1)="N",OFFSET(TH!I$1,SMALL(Dong11,ROWS($1:44)),),0))</f>
        <v>0</v>
      </c>
      <c r="H57" s="910">
        <f t="shared" ca="1" si="7"/>
        <v>0</v>
      </c>
      <c r="I57" s="909">
        <f ca="1">IF(ROWS($1:44)&gt;COUNT(Dong11),0,IF(MID(OFFSET(TH!D$1,SMALL(Dong11,ROWS($1:44)),),4,1)="X",OFFSET(TH!I$1,SMALL(Dong11,ROWS($1:44)),),0))</f>
        <v>0</v>
      </c>
      <c r="J57" s="910">
        <f t="shared" ca="1" si="8"/>
        <v>0</v>
      </c>
      <c r="K57" s="910">
        <f t="shared" ca="1" si="9"/>
        <v>0</v>
      </c>
      <c r="L57" s="910">
        <f t="shared" ca="1" si="10"/>
        <v>0</v>
      </c>
      <c r="M57" s="910"/>
      <c r="N57" s="330"/>
    </row>
    <row r="58" spans="1:14">
      <c r="A58" s="307" t="str">
        <f t="shared" ca="1" si="11"/>
        <v/>
      </c>
      <c r="B58" s="906" t="str">
        <f ca="1">IF(ROWS($1:45)&gt;COUNT(Dong11),"",OFFSET(TH!D$1,SMALL(Dong11,ROWS($1:45)),))</f>
        <v/>
      </c>
      <c r="C58" s="907" t="str">
        <f ca="1">IF(ROWS($1:45)&gt;COUNT(Dong11),"",OFFSET(TH!E$1,SMALL(Dong11,ROWS($1:45)),))</f>
        <v/>
      </c>
      <c r="D58" s="908" t="str">
        <f ca="1">IF(ROWS($1:45)&gt;COUNT(Dong11),"",OFFSET(TH!H$1,SMALL(Dong11,ROWS($1:45)),))</f>
        <v/>
      </c>
      <c r="E58" s="906" t="str">
        <f ca="1">IF(ROWS($1:45)&gt;COUNT(Dong11),"",IF(OFFSET(TH!L$1,SMALL(Dong11,ROWS($1:45)),)=$G$7,OFFSET(TH!M$1,SMALL(Dong11,ROWS($1:45)),),OFFSET(TH!L$1,SMALL(Dong11,ROWS($1:45)),)))</f>
        <v/>
      </c>
      <c r="F58" s="909">
        <f ca="1">IF(ROWS($1:45)&gt;COUNT(Dong11),0,OFFSET(TH!J$1,SMALL(Dong11,ROWS($1:45)),))</f>
        <v>0</v>
      </c>
      <c r="G58" s="909">
        <f ca="1">IF(ROWS($1:45)&gt;COUNT(Dong11),0,IF(MID(OFFSET(TH!D$1,SMALL(Dong11,ROWS($1:45)),),4,1)="N",OFFSET(TH!I$1,SMALL(Dong11,ROWS($1:45)),),0))</f>
        <v>0</v>
      </c>
      <c r="H58" s="910">
        <f t="shared" ca="1" si="7"/>
        <v>0</v>
      </c>
      <c r="I58" s="909">
        <f ca="1">IF(ROWS($1:45)&gt;COUNT(Dong11),0,IF(MID(OFFSET(TH!D$1,SMALL(Dong11,ROWS($1:45)),),4,1)="X",OFFSET(TH!I$1,SMALL(Dong11,ROWS($1:45)),),0))</f>
        <v>0</v>
      </c>
      <c r="J58" s="910">
        <f t="shared" ca="1" si="8"/>
        <v>0</v>
      </c>
      <c r="K58" s="910">
        <f t="shared" ca="1" si="9"/>
        <v>0</v>
      </c>
      <c r="L58" s="910">
        <f t="shared" ca="1" si="10"/>
        <v>0</v>
      </c>
      <c r="M58" s="910"/>
      <c r="N58" s="330"/>
    </row>
    <row r="59" spans="1:14">
      <c r="A59" s="307" t="str">
        <f t="shared" ca="1" si="11"/>
        <v/>
      </c>
      <c r="B59" s="906" t="str">
        <f ca="1">IF(ROWS($1:46)&gt;COUNT(Dong11),"",OFFSET(TH!D$1,SMALL(Dong11,ROWS($1:46)),))</f>
        <v/>
      </c>
      <c r="C59" s="907" t="str">
        <f ca="1">IF(ROWS($1:46)&gt;COUNT(Dong11),"",OFFSET(TH!E$1,SMALL(Dong11,ROWS($1:46)),))</f>
        <v/>
      </c>
      <c r="D59" s="908" t="str">
        <f ca="1">IF(ROWS($1:46)&gt;COUNT(Dong11),"",OFFSET(TH!H$1,SMALL(Dong11,ROWS($1:46)),))</f>
        <v/>
      </c>
      <c r="E59" s="906" t="str">
        <f ca="1">IF(ROWS($1:46)&gt;COUNT(Dong11),"",IF(OFFSET(TH!L$1,SMALL(Dong11,ROWS($1:46)),)=$G$7,OFFSET(TH!M$1,SMALL(Dong11,ROWS($1:46)),),OFFSET(TH!L$1,SMALL(Dong11,ROWS($1:46)),)))</f>
        <v/>
      </c>
      <c r="F59" s="909">
        <f ca="1">IF(ROWS($1:46)&gt;COUNT(Dong11),0,OFFSET(TH!J$1,SMALL(Dong11,ROWS($1:46)),))</f>
        <v>0</v>
      </c>
      <c r="G59" s="909">
        <f ca="1">IF(ROWS($1:46)&gt;COUNT(Dong11),0,IF(MID(OFFSET(TH!D$1,SMALL(Dong11,ROWS($1:46)),),4,1)="N",OFFSET(TH!I$1,SMALL(Dong11,ROWS($1:46)),),0))</f>
        <v>0</v>
      </c>
      <c r="H59" s="910">
        <f t="shared" ca="1" si="7"/>
        <v>0</v>
      </c>
      <c r="I59" s="909">
        <f ca="1">IF(ROWS($1:46)&gt;COUNT(Dong11),0,IF(MID(OFFSET(TH!D$1,SMALL(Dong11,ROWS($1:46)),),4,1)="X",OFFSET(TH!I$1,SMALL(Dong11,ROWS($1:46)),),0))</f>
        <v>0</v>
      </c>
      <c r="J59" s="910">
        <f t="shared" ca="1" si="8"/>
        <v>0</v>
      </c>
      <c r="K59" s="910">
        <f t="shared" ca="1" si="9"/>
        <v>0</v>
      </c>
      <c r="L59" s="910">
        <f t="shared" ca="1" si="10"/>
        <v>0</v>
      </c>
      <c r="M59" s="910"/>
      <c r="N59" s="330"/>
    </row>
    <row r="60" spans="1:14">
      <c r="A60" s="307" t="str">
        <f t="shared" ca="1" si="11"/>
        <v/>
      </c>
      <c r="B60" s="906" t="str">
        <f ca="1">IF(ROWS($1:47)&gt;COUNT(Dong11),"",OFFSET(TH!D$1,SMALL(Dong11,ROWS($1:47)),))</f>
        <v/>
      </c>
      <c r="C60" s="907" t="str">
        <f ca="1">IF(ROWS($1:47)&gt;COUNT(Dong11),"",OFFSET(TH!E$1,SMALL(Dong11,ROWS($1:47)),))</f>
        <v/>
      </c>
      <c r="D60" s="908" t="str">
        <f ca="1">IF(ROWS($1:47)&gt;COUNT(Dong11),"",OFFSET(TH!H$1,SMALL(Dong11,ROWS($1:47)),))</f>
        <v/>
      </c>
      <c r="E60" s="906" t="str">
        <f ca="1">IF(ROWS($1:47)&gt;COUNT(Dong11),"",IF(OFFSET(TH!L$1,SMALL(Dong11,ROWS($1:47)),)=$G$7,OFFSET(TH!M$1,SMALL(Dong11,ROWS($1:47)),),OFFSET(TH!L$1,SMALL(Dong11,ROWS($1:47)),)))</f>
        <v/>
      </c>
      <c r="F60" s="909">
        <f ca="1">IF(ROWS($1:47)&gt;COUNT(Dong11),0,OFFSET(TH!J$1,SMALL(Dong11,ROWS($1:47)),))</f>
        <v>0</v>
      </c>
      <c r="G60" s="909">
        <f ca="1">IF(ROWS($1:47)&gt;COUNT(Dong11),0,IF(MID(OFFSET(TH!D$1,SMALL(Dong11,ROWS($1:47)),),4,1)="N",OFFSET(TH!I$1,SMALL(Dong11,ROWS($1:47)),),0))</f>
        <v>0</v>
      </c>
      <c r="H60" s="910">
        <f t="shared" ca="1" si="7"/>
        <v>0</v>
      </c>
      <c r="I60" s="909">
        <f ca="1">IF(ROWS($1:47)&gt;COUNT(Dong11),0,IF(MID(OFFSET(TH!D$1,SMALL(Dong11,ROWS($1:47)),),4,1)="X",OFFSET(TH!I$1,SMALL(Dong11,ROWS($1:47)),),0))</f>
        <v>0</v>
      </c>
      <c r="J60" s="910">
        <f t="shared" ca="1" si="8"/>
        <v>0</v>
      </c>
      <c r="K60" s="910">
        <f t="shared" ca="1" si="9"/>
        <v>0</v>
      </c>
      <c r="L60" s="910">
        <f t="shared" ca="1" si="10"/>
        <v>0</v>
      </c>
      <c r="M60" s="910"/>
      <c r="N60" s="330"/>
    </row>
    <row r="61" spans="1:14">
      <c r="A61" s="307" t="str">
        <f t="shared" ca="1" si="11"/>
        <v/>
      </c>
      <c r="B61" s="906" t="str">
        <f ca="1">IF(ROWS($1:48)&gt;COUNT(Dong11),"",OFFSET(TH!D$1,SMALL(Dong11,ROWS($1:48)),))</f>
        <v/>
      </c>
      <c r="C61" s="907" t="str">
        <f ca="1">IF(ROWS($1:48)&gt;COUNT(Dong11),"",OFFSET(TH!E$1,SMALL(Dong11,ROWS($1:48)),))</f>
        <v/>
      </c>
      <c r="D61" s="908" t="str">
        <f ca="1">IF(ROWS($1:48)&gt;COUNT(Dong11),"",OFFSET(TH!H$1,SMALL(Dong11,ROWS($1:48)),))</f>
        <v/>
      </c>
      <c r="E61" s="906" t="str">
        <f ca="1">IF(ROWS($1:48)&gt;COUNT(Dong11),"",IF(OFFSET(TH!L$1,SMALL(Dong11,ROWS($1:48)),)=$G$7,OFFSET(TH!M$1,SMALL(Dong11,ROWS($1:48)),),OFFSET(TH!L$1,SMALL(Dong11,ROWS($1:48)),)))</f>
        <v/>
      </c>
      <c r="F61" s="909">
        <f ca="1">IF(ROWS($1:48)&gt;COUNT(Dong11),0,OFFSET(TH!J$1,SMALL(Dong11,ROWS($1:48)),))</f>
        <v>0</v>
      </c>
      <c r="G61" s="909">
        <f ca="1">IF(ROWS($1:48)&gt;COUNT(Dong11),0,IF(MID(OFFSET(TH!D$1,SMALL(Dong11,ROWS($1:48)),),4,1)="N",OFFSET(TH!I$1,SMALL(Dong11,ROWS($1:48)),),0))</f>
        <v>0</v>
      </c>
      <c r="H61" s="910">
        <f t="shared" ca="1" si="7"/>
        <v>0</v>
      </c>
      <c r="I61" s="909">
        <f ca="1">IF(ROWS($1:48)&gt;COUNT(Dong11),0,IF(MID(OFFSET(TH!D$1,SMALL(Dong11,ROWS($1:48)),),4,1)="X",OFFSET(TH!I$1,SMALL(Dong11,ROWS($1:48)),),0))</f>
        <v>0</v>
      </c>
      <c r="J61" s="910">
        <f t="shared" ca="1" si="8"/>
        <v>0</v>
      </c>
      <c r="K61" s="910">
        <f t="shared" ca="1" si="9"/>
        <v>0</v>
      </c>
      <c r="L61" s="910">
        <f t="shared" ca="1" si="10"/>
        <v>0</v>
      </c>
      <c r="M61" s="910"/>
      <c r="N61" s="330"/>
    </row>
    <row r="62" spans="1:14">
      <c r="A62" s="307" t="str">
        <f t="shared" ca="1" si="11"/>
        <v/>
      </c>
      <c r="B62" s="906" t="str">
        <f ca="1">IF(ROWS($1:49)&gt;COUNT(Dong11),"",OFFSET(TH!D$1,SMALL(Dong11,ROWS($1:49)),))</f>
        <v/>
      </c>
      <c r="C62" s="907" t="str">
        <f ca="1">IF(ROWS($1:49)&gt;COUNT(Dong11),"",OFFSET(TH!E$1,SMALL(Dong11,ROWS($1:49)),))</f>
        <v/>
      </c>
      <c r="D62" s="908" t="str">
        <f ca="1">IF(ROWS($1:49)&gt;COUNT(Dong11),"",OFFSET(TH!H$1,SMALL(Dong11,ROWS($1:49)),))</f>
        <v/>
      </c>
      <c r="E62" s="906" t="str">
        <f ca="1">IF(ROWS($1:49)&gt;COUNT(Dong11),"",IF(OFFSET(TH!L$1,SMALL(Dong11,ROWS($1:49)),)=$G$7,OFFSET(TH!M$1,SMALL(Dong11,ROWS($1:49)),),OFFSET(TH!L$1,SMALL(Dong11,ROWS($1:49)),)))</f>
        <v/>
      </c>
      <c r="F62" s="909">
        <f ca="1">IF(ROWS($1:49)&gt;COUNT(Dong11),0,OFFSET(TH!J$1,SMALL(Dong11,ROWS($1:49)),))</f>
        <v>0</v>
      </c>
      <c r="G62" s="909">
        <f ca="1">IF(ROWS($1:49)&gt;COUNT(Dong11),0,IF(MID(OFFSET(TH!D$1,SMALL(Dong11,ROWS($1:49)),),4,1)="N",OFFSET(TH!I$1,SMALL(Dong11,ROWS($1:49)),),0))</f>
        <v>0</v>
      </c>
      <c r="H62" s="910">
        <f t="shared" ca="1" si="7"/>
        <v>0</v>
      </c>
      <c r="I62" s="909">
        <f ca="1">IF(ROWS($1:49)&gt;COUNT(Dong11),0,IF(MID(OFFSET(TH!D$1,SMALL(Dong11,ROWS($1:49)),),4,1)="X",OFFSET(TH!I$1,SMALL(Dong11,ROWS($1:49)),),0))</f>
        <v>0</v>
      </c>
      <c r="J62" s="910">
        <f t="shared" ca="1" si="8"/>
        <v>0</v>
      </c>
      <c r="K62" s="910">
        <f t="shared" ca="1" si="9"/>
        <v>0</v>
      </c>
      <c r="L62" s="910">
        <f t="shared" ca="1" si="10"/>
        <v>0</v>
      </c>
      <c r="M62" s="910"/>
      <c r="N62" s="330"/>
    </row>
    <row r="63" spans="1:14">
      <c r="A63" s="307" t="str">
        <f t="shared" ca="1" si="11"/>
        <v/>
      </c>
      <c r="B63" s="906" t="str">
        <f ca="1">IF(ROWS($1:50)&gt;COUNT(Dong11),"",OFFSET(TH!D$1,SMALL(Dong11,ROWS($1:50)),))</f>
        <v/>
      </c>
      <c r="C63" s="907" t="str">
        <f ca="1">IF(ROWS($1:50)&gt;COUNT(Dong11),"",OFFSET(TH!E$1,SMALL(Dong11,ROWS($1:50)),))</f>
        <v/>
      </c>
      <c r="D63" s="908" t="str">
        <f ca="1">IF(ROWS($1:50)&gt;COUNT(Dong11),"",OFFSET(TH!H$1,SMALL(Dong11,ROWS($1:50)),))</f>
        <v/>
      </c>
      <c r="E63" s="906" t="str">
        <f ca="1">IF(ROWS($1:50)&gt;COUNT(Dong11),"",IF(OFFSET(TH!L$1,SMALL(Dong11,ROWS($1:50)),)=$G$7,OFFSET(TH!M$1,SMALL(Dong11,ROWS($1:50)),),OFFSET(TH!L$1,SMALL(Dong11,ROWS($1:50)),)))</f>
        <v/>
      </c>
      <c r="F63" s="909">
        <f ca="1">IF(ROWS($1:50)&gt;COUNT(Dong11),0,OFFSET(TH!J$1,SMALL(Dong11,ROWS($1:50)),))</f>
        <v>0</v>
      </c>
      <c r="G63" s="909">
        <f ca="1">IF(ROWS($1:50)&gt;COUNT(Dong11),0,IF(MID(OFFSET(TH!D$1,SMALL(Dong11,ROWS($1:50)),),4,1)="N",OFFSET(TH!I$1,SMALL(Dong11,ROWS($1:50)),),0))</f>
        <v>0</v>
      </c>
      <c r="H63" s="910">
        <f t="shared" ca="1" si="7"/>
        <v>0</v>
      </c>
      <c r="I63" s="909">
        <f ca="1">IF(ROWS($1:50)&gt;COUNT(Dong11),0,IF(MID(OFFSET(TH!D$1,SMALL(Dong11,ROWS($1:50)),),4,1)="X",OFFSET(TH!I$1,SMALL(Dong11,ROWS($1:50)),),0))</f>
        <v>0</v>
      </c>
      <c r="J63" s="910">
        <f t="shared" ca="1" si="8"/>
        <v>0</v>
      </c>
      <c r="K63" s="910">
        <f t="shared" ca="1" si="9"/>
        <v>0</v>
      </c>
      <c r="L63" s="910">
        <f t="shared" ca="1" si="10"/>
        <v>0</v>
      </c>
      <c r="M63" s="910"/>
      <c r="N63" s="330"/>
    </row>
    <row r="64" spans="1:14">
      <c r="A64" s="307" t="str">
        <f t="shared" ca="1" si="11"/>
        <v/>
      </c>
      <c r="B64" s="906" t="str">
        <f ca="1">IF(ROWS($1:51)&gt;COUNT(Dong11),"",OFFSET(TH!D$1,SMALL(Dong11,ROWS($1:51)),))</f>
        <v/>
      </c>
      <c r="C64" s="907" t="str">
        <f ca="1">IF(ROWS($1:51)&gt;COUNT(Dong11),"",OFFSET(TH!E$1,SMALL(Dong11,ROWS($1:51)),))</f>
        <v/>
      </c>
      <c r="D64" s="908" t="str">
        <f ca="1">IF(ROWS($1:51)&gt;COUNT(Dong11),"",OFFSET(TH!H$1,SMALL(Dong11,ROWS($1:51)),))</f>
        <v/>
      </c>
      <c r="E64" s="906" t="str">
        <f ca="1">IF(ROWS($1:51)&gt;COUNT(Dong11),"",IF(OFFSET(TH!L$1,SMALL(Dong11,ROWS($1:51)),)=$G$7,OFFSET(TH!M$1,SMALL(Dong11,ROWS($1:51)),),OFFSET(TH!L$1,SMALL(Dong11,ROWS($1:51)),)))</f>
        <v/>
      </c>
      <c r="F64" s="909">
        <f ca="1">IF(ROWS($1:51)&gt;COUNT(Dong11),0,OFFSET(TH!J$1,SMALL(Dong11,ROWS($1:51)),))</f>
        <v>0</v>
      </c>
      <c r="G64" s="909">
        <f ca="1">IF(ROWS($1:51)&gt;COUNT(Dong11),0,IF(MID(OFFSET(TH!D$1,SMALL(Dong11,ROWS($1:51)),),4,1)="N",OFFSET(TH!I$1,SMALL(Dong11,ROWS($1:51)),),0))</f>
        <v>0</v>
      </c>
      <c r="H64" s="910">
        <f t="shared" ca="1" si="7"/>
        <v>0</v>
      </c>
      <c r="I64" s="909">
        <f ca="1">IF(ROWS($1:51)&gt;COUNT(Dong11),0,IF(MID(OFFSET(TH!D$1,SMALL(Dong11,ROWS($1:51)),),4,1)="X",OFFSET(TH!I$1,SMALL(Dong11,ROWS($1:51)),),0))</f>
        <v>0</v>
      </c>
      <c r="J64" s="910">
        <f t="shared" ca="1" si="8"/>
        <v>0</v>
      </c>
      <c r="K64" s="910">
        <f t="shared" ca="1" si="9"/>
        <v>0</v>
      </c>
      <c r="L64" s="910">
        <f t="shared" ca="1" si="10"/>
        <v>0</v>
      </c>
      <c r="M64" s="910"/>
      <c r="N64" s="330"/>
    </row>
    <row r="65" spans="1:14">
      <c r="A65" s="307" t="str">
        <f t="shared" ca="1" si="11"/>
        <v/>
      </c>
      <c r="B65" s="906" t="str">
        <f ca="1">IF(ROWS($1:52)&gt;COUNT(Dong11),"",OFFSET(TH!D$1,SMALL(Dong11,ROWS($1:52)),))</f>
        <v/>
      </c>
      <c r="C65" s="907" t="str">
        <f ca="1">IF(ROWS($1:52)&gt;COUNT(Dong11),"",OFFSET(TH!E$1,SMALL(Dong11,ROWS($1:52)),))</f>
        <v/>
      </c>
      <c r="D65" s="908" t="str">
        <f ca="1">IF(ROWS($1:52)&gt;COUNT(Dong11),"",OFFSET(TH!H$1,SMALL(Dong11,ROWS($1:52)),))</f>
        <v/>
      </c>
      <c r="E65" s="906" t="str">
        <f ca="1">IF(ROWS($1:52)&gt;COUNT(Dong11),"",IF(OFFSET(TH!L$1,SMALL(Dong11,ROWS($1:52)),)=$G$7,OFFSET(TH!M$1,SMALL(Dong11,ROWS($1:52)),),OFFSET(TH!L$1,SMALL(Dong11,ROWS($1:52)),)))</f>
        <v/>
      </c>
      <c r="F65" s="909">
        <f ca="1">IF(ROWS($1:52)&gt;COUNT(Dong11),0,OFFSET(TH!J$1,SMALL(Dong11,ROWS($1:52)),))</f>
        <v>0</v>
      </c>
      <c r="G65" s="909">
        <f ca="1">IF(ROWS($1:52)&gt;COUNT(Dong11),0,IF(MID(OFFSET(TH!D$1,SMALL(Dong11,ROWS($1:52)),),4,1)="N",OFFSET(TH!I$1,SMALL(Dong11,ROWS($1:52)),),0))</f>
        <v>0</v>
      </c>
      <c r="H65" s="910">
        <f t="shared" ca="1" si="7"/>
        <v>0</v>
      </c>
      <c r="I65" s="909">
        <f ca="1">IF(ROWS($1:52)&gt;COUNT(Dong11),0,IF(MID(OFFSET(TH!D$1,SMALL(Dong11,ROWS($1:52)),),4,1)="X",OFFSET(TH!I$1,SMALL(Dong11,ROWS($1:52)),),0))</f>
        <v>0</v>
      </c>
      <c r="J65" s="910">
        <f t="shared" ca="1" si="8"/>
        <v>0</v>
      </c>
      <c r="K65" s="910">
        <f t="shared" ca="1" si="9"/>
        <v>0</v>
      </c>
      <c r="L65" s="910">
        <f t="shared" ca="1" si="10"/>
        <v>0</v>
      </c>
      <c r="M65" s="910"/>
      <c r="N65" s="330"/>
    </row>
    <row r="66" spans="1:14">
      <c r="A66" s="307" t="str">
        <f t="shared" ca="1" si="11"/>
        <v/>
      </c>
      <c r="B66" s="906" t="str">
        <f ca="1">IF(ROWS($1:53)&gt;COUNT(Dong11),"",OFFSET(TH!D$1,SMALL(Dong11,ROWS($1:53)),))</f>
        <v/>
      </c>
      <c r="C66" s="907" t="str">
        <f ca="1">IF(ROWS($1:53)&gt;COUNT(Dong11),"",OFFSET(TH!E$1,SMALL(Dong11,ROWS($1:53)),))</f>
        <v/>
      </c>
      <c r="D66" s="908" t="str">
        <f ca="1">IF(ROWS($1:53)&gt;COUNT(Dong11),"",OFFSET(TH!H$1,SMALL(Dong11,ROWS($1:53)),))</f>
        <v/>
      </c>
      <c r="E66" s="906" t="str">
        <f ca="1">IF(ROWS($1:53)&gt;COUNT(Dong11),"",IF(OFFSET(TH!L$1,SMALL(Dong11,ROWS($1:53)),)=$G$7,OFFSET(TH!M$1,SMALL(Dong11,ROWS($1:53)),),OFFSET(TH!L$1,SMALL(Dong11,ROWS($1:53)),)))</f>
        <v/>
      </c>
      <c r="F66" s="909">
        <f ca="1">IF(ROWS($1:53)&gt;COUNT(Dong11),0,OFFSET(TH!J$1,SMALL(Dong11,ROWS($1:53)),))</f>
        <v>0</v>
      </c>
      <c r="G66" s="909">
        <f ca="1">IF(ROWS($1:53)&gt;COUNT(Dong11),0,IF(MID(OFFSET(TH!D$1,SMALL(Dong11,ROWS($1:53)),),4,1)="N",OFFSET(TH!I$1,SMALL(Dong11,ROWS($1:53)),),0))</f>
        <v>0</v>
      </c>
      <c r="H66" s="910">
        <f t="shared" ca="1" si="7"/>
        <v>0</v>
      </c>
      <c r="I66" s="909">
        <f ca="1">IF(ROWS($1:53)&gt;COUNT(Dong11),0,IF(MID(OFFSET(TH!D$1,SMALL(Dong11,ROWS($1:53)),),4,1)="X",OFFSET(TH!I$1,SMALL(Dong11,ROWS($1:53)),),0))</f>
        <v>0</v>
      </c>
      <c r="J66" s="910">
        <f t="shared" ca="1" si="8"/>
        <v>0</v>
      </c>
      <c r="K66" s="910">
        <f t="shared" ca="1" si="9"/>
        <v>0</v>
      </c>
      <c r="L66" s="910">
        <f t="shared" ca="1" si="10"/>
        <v>0</v>
      </c>
      <c r="M66" s="910"/>
      <c r="N66" s="330"/>
    </row>
    <row r="67" spans="1:14">
      <c r="A67" s="307" t="str">
        <f t="shared" ca="1" si="11"/>
        <v/>
      </c>
      <c r="B67" s="906" t="str">
        <f ca="1">IF(ROWS($1:54)&gt;COUNT(Dong11),"",OFFSET(TH!D$1,SMALL(Dong11,ROWS($1:54)),))</f>
        <v/>
      </c>
      <c r="C67" s="907" t="str">
        <f ca="1">IF(ROWS($1:54)&gt;COUNT(Dong11),"",OFFSET(TH!E$1,SMALL(Dong11,ROWS($1:54)),))</f>
        <v/>
      </c>
      <c r="D67" s="908" t="str">
        <f ca="1">IF(ROWS($1:54)&gt;COUNT(Dong11),"",OFFSET(TH!H$1,SMALL(Dong11,ROWS($1:54)),))</f>
        <v/>
      </c>
      <c r="E67" s="906" t="str">
        <f ca="1">IF(ROWS($1:54)&gt;COUNT(Dong11),"",IF(OFFSET(TH!L$1,SMALL(Dong11,ROWS($1:54)),)=$G$7,OFFSET(TH!M$1,SMALL(Dong11,ROWS($1:54)),),OFFSET(TH!L$1,SMALL(Dong11,ROWS($1:54)),)))</f>
        <v/>
      </c>
      <c r="F67" s="909">
        <f ca="1">IF(ROWS($1:54)&gt;COUNT(Dong11),0,OFFSET(TH!J$1,SMALL(Dong11,ROWS($1:54)),))</f>
        <v>0</v>
      </c>
      <c r="G67" s="909">
        <f ca="1">IF(ROWS($1:54)&gt;COUNT(Dong11),0,IF(MID(OFFSET(TH!D$1,SMALL(Dong11,ROWS($1:54)),),4,1)="N",OFFSET(TH!I$1,SMALL(Dong11,ROWS($1:54)),),0))</f>
        <v>0</v>
      </c>
      <c r="H67" s="910">
        <f t="shared" ca="1" si="7"/>
        <v>0</v>
      </c>
      <c r="I67" s="909">
        <f ca="1">IF(ROWS($1:54)&gt;COUNT(Dong11),0,IF(MID(OFFSET(TH!D$1,SMALL(Dong11,ROWS($1:54)),),4,1)="X",OFFSET(TH!I$1,SMALL(Dong11,ROWS($1:54)),),0))</f>
        <v>0</v>
      </c>
      <c r="J67" s="910">
        <f t="shared" ca="1" si="8"/>
        <v>0</v>
      </c>
      <c r="K67" s="910">
        <f t="shared" ca="1" si="9"/>
        <v>0</v>
      </c>
      <c r="L67" s="910">
        <f t="shared" ca="1" si="10"/>
        <v>0</v>
      </c>
      <c r="M67" s="910"/>
      <c r="N67" s="330"/>
    </row>
    <row r="68" spans="1:14">
      <c r="A68" s="307" t="str">
        <f t="shared" ca="1" si="11"/>
        <v/>
      </c>
      <c r="B68" s="906" t="str">
        <f ca="1">IF(ROWS($1:55)&gt;COUNT(Dong11),"",OFFSET(TH!D$1,SMALL(Dong11,ROWS($1:55)),))</f>
        <v/>
      </c>
      <c r="C68" s="907" t="str">
        <f ca="1">IF(ROWS($1:55)&gt;COUNT(Dong11),"",OFFSET(TH!E$1,SMALL(Dong11,ROWS($1:55)),))</f>
        <v/>
      </c>
      <c r="D68" s="908" t="str">
        <f ca="1">IF(ROWS($1:55)&gt;COUNT(Dong11),"",OFFSET(TH!H$1,SMALL(Dong11,ROWS($1:55)),))</f>
        <v/>
      </c>
      <c r="E68" s="906" t="str">
        <f ca="1">IF(ROWS($1:55)&gt;COUNT(Dong11),"",IF(OFFSET(TH!L$1,SMALL(Dong11,ROWS($1:55)),)=$G$7,OFFSET(TH!M$1,SMALL(Dong11,ROWS($1:55)),),OFFSET(TH!L$1,SMALL(Dong11,ROWS($1:55)),)))</f>
        <v/>
      </c>
      <c r="F68" s="909">
        <f ca="1">IF(ROWS($1:55)&gt;COUNT(Dong11),0,OFFSET(TH!J$1,SMALL(Dong11,ROWS($1:55)),))</f>
        <v>0</v>
      </c>
      <c r="G68" s="909">
        <f ca="1">IF(ROWS($1:55)&gt;COUNT(Dong11),0,IF(MID(OFFSET(TH!D$1,SMALL(Dong11,ROWS($1:55)),),4,1)="N",OFFSET(TH!I$1,SMALL(Dong11,ROWS($1:55)),),0))</f>
        <v>0</v>
      </c>
      <c r="H68" s="910">
        <f t="shared" ca="1" si="7"/>
        <v>0</v>
      </c>
      <c r="I68" s="909">
        <f ca="1">IF(ROWS($1:55)&gt;COUNT(Dong11),0,IF(MID(OFFSET(TH!D$1,SMALL(Dong11,ROWS($1:55)),),4,1)="X",OFFSET(TH!I$1,SMALL(Dong11,ROWS($1:55)),),0))</f>
        <v>0</v>
      </c>
      <c r="J68" s="910">
        <f t="shared" ca="1" si="8"/>
        <v>0</v>
      </c>
      <c r="K68" s="910">
        <f t="shared" ca="1" si="9"/>
        <v>0</v>
      </c>
      <c r="L68" s="910">
        <f t="shared" ca="1" si="10"/>
        <v>0</v>
      </c>
      <c r="M68" s="910"/>
      <c r="N68" s="330"/>
    </row>
    <row r="69" spans="1:14">
      <c r="A69" s="307" t="str">
        <f t="shared" ca="1" si="11"/>
        <v/>
      </c>
      <c r="B69" s="906" t="str">
        <f ca="1">IF(ROWS($1:56)&gt;COUNT(Dong11),"",OFFSET(TH!D$1,SMALL(Dong11,ROWS($1:56)),))</f>
        <v/>
      </c>
      <c r="C69" s="907" t="str">
        <f ca="1">IF(ROWS($1:56)&gt;COUNT(Dong11),"",OFFSET(TH!E$1,SMALL(Dong11,ROWS($1:56)),))</f>
        <v/>
      </c>
      <c r="D69" s="908" t="str">
        <f ca="1">IF(ROWS($1:56)&gt;COUNT(Dong11),"",OFFSET(TH!H$1,SMALL(Dong11,ROWS($1:56)),))</f>
        <v/>
      </c>
      <c r="E69" s="906" t="str">
        <f ca="1">IF(ROWS($1:56)&gt;COUNT(Dong11),"",IF(OFFSET(TH!L$1,SMALL(Dong11,ROWS($1:56)),)=$G$7,OFFSET(TH!M$1,SMALL(Dong11,ROWS($1:56)),),OFFSET(TH!L$1,SMALL(Dong11,ROWS($1:56)),)))</f>
        <v/>
      </c>
      <c r="F69" s="909">
        <f ca="1">IF(ROWS($1:56)&gt;COUNT(Dong11),0,OFFSET(TH!J$1,SMALL(Dong11,ROWS($1:56)),))</f>
        <v>0</v>
      </c>
      <c r="G69" s="909">
        <f ca="1">IF(ROWS($1:56)&gt;COUNT(Dong11),0,IF(MID(OFFSET(TH!D$1,SMALL(Dong11,ROWS($1:56)),),4,1)="N",OFFSET(TH!I$1,SMALL(Dong11,ROWS($1:56)),),0))</f>
        <v>0</v>
      </c>
      <c r="H69" s="910">
        <f t="shared" ca="1" si="7"/>
        <v>0</v>
      </c>
      <c r="I69" s="909">
        <f ca="1">IF(ROWS($1:56)&gt;COUNT(Dong11),0,IF(MID(OFFSET(TH!D$1,SMALL(Dong11,ROWS($1:56)),),4,1)="X",OFFSET(TH!I$1,SMALL(Dong11,ROWS($1:56)),),0))</f>
        <v>0</v>
      </c>
      <c r="J69" s="910">
        <f t="shared" ca="1" si="8"/>
        <v>0</v>
      </c>
      <c r="K69" s="910">
        <f t="shared" ca="1" si="9"/>
        <v>0</v>
      </c>
      <c r="L69" s="910">
        <f t="shared" ca="1" si="10"/>
        <v>0</v>
      </c>
      <c r="M69" s="910"/>
      <c r="N69" s="330"/>
    </row>
    <row r="70" spans="1:14">
      <c r="A70" s="307" t="str">
        <f t="shared" ca="1" si="11"/>
        <v/>
      </c>
      <c r="B70" s="906" t="str">
        <f ca="1">IF(ROWS($1:57)&gt;COUNT(Dong11),"",OFFSET(TH!D$1,SMALL(Dong11,ROWS($1:57)),))</f>
        <v/>
      </c>
      <c r="C70" s="907" t="str">
        <f ca="1">IF(ROWS($1:57)&gt;COUNT(Dong11),"",OFFSET(TH!E$1,SMALL(Dong11,ROWS($1:57)),))</f>
        <v/>
      </c>
      <c r="D70" s="908" t="str">
        <f ca="1">IF(ROWS($1:57)&gt;COUNT(Dong11),"",OFFSET(TH!H$1,SMALL(Dong11,ROWS($1:57)),))</f>
        <v/>
      </c>
      <c r="E70" s="906" t="str">
        <f ca="1">IF(ROWS($1:57)&gt;COUNT(Dong11),"",IF(OFFSET(TH!L$1,SMALL(Dong11,ROWS($1:57)),)=$G$7,OFFSET(TH!M$1,SMALL(Dong11,ROWS($1:57)),),OFFSET(TH!L$1,SMALL(Dong11,ROWS($1:57)),)))</f>
        <v/>
      </c>
      <c r="F70" s="909">
        <f ca="1">IF(ROWS($1:57)&gt;COUNT(Dong11),0,OFFSET(TH!J$1,SMALL(Dong11,ROWS($1:57)),))</f>
        <v>0</v>
      </c>
      <c r="G70" s="909">
        <f ca="1">IF(ROWS($1:57)&gt;COUNT(Dong11),0,IF(MID(OFFSET(TH!D$1,SMALL(Dong11,ROWS($1:57)),),4,1)="N",OFFSET(TH!I$1,SMALL(Dong11,ROWS($1:57)),),0))</f>
        <v>0</v>
      </c>
      <c r="H70" s="910">
        <f t="shared" ca="1" si="7"/>
        <v>0</v>
      </c>
      <c r="I70" s="909">
        <f ca="1">IF(ROWS($1:57)&gt;COUNT(Dong11),0,IF(MID(OFFSET(TH!D$1,SMALL(Dong11,ROWS($1:57)),),4,1)="X",OFFSET(TH!I$1,SMALL(Dong11,ROWS($1:57)),),0))</f>
        <v>0</v>
      </c>
      <c r="J70" s="910">
        <f t="shared" ca="1" si="8"/>
        <v>0</v>
      </c>
      <c r="K70" s="910">
        <f t="shared" ca="1" si="9"/>
        <v>0</v>
      </c>
      <c r="L70" s="910">
        <f t="shared" ca="1" si="10"/>
        <v>0</v>
      </c>
      <c r="M70" s="910"/>
      <c r="N70" s="330"/>
    </row>
    <row r="71" spans="1:14">
      <c r="A71" s="307" t="str">
        <f t="shared" ca="1" si="11"/>
        <v/>
      </c>
      <c r="B71" s="906" t="str">
        <f ca="1">IF(ROWS($1:58)&gt;COUNT(Dong11),"",OFFSET(TH!D$1,SMALL(Dong11,ROWS($1:58)),))</f>
        <v/>
      </c>
      <c r="C71" s="907" t="str">
        <f ca="1">IF(ROWS($1:58)&gt;COUNT(Dong11),"",OFFSET(TH!E$1,SMALL(Dong11,ROWS($1:58)),))</f>
        <v/>
      </c>
      <c r="D71" s="908" t="str">
        <f ca="1">IF(ROWS($1:58)&gt;COUNT(Dong11),"",OFFSET(TH!H$1,SMALL(Dong11,ROWS($1:58)),))</f>
        <v/>
      </c>
      <c r="E71" s="906" t="str">
        <f ca="1">IF(ROWS($1:58)&gt;COUNT(Dong11),"",IF(OFFSET(TH!L$1,SMALL(Dong11,ROWS($1:58)),)=$G$7,OFFSET(TH!M$1,SMALL(Dong11,ROWS($1:58)),),OFFSET(TH!L$1,SMALL(Dong11,ROWS($1:58)),)))</f>
        <v/>
      </c>
      <c r="F71" s="909">
        <f ca="1">IF(ROWS($1:58)&gt;COUNT(Dong11),0,OFFSET(TH!J$1,SMALL(Dong11,ROWS($1:58)),))</f>
        <v>0</v>
      </c>
      <c r="G71" s="909">
        <f ca="1">IF(ROWS($1:58)&gt;COUNT(Dong11),0,IF(MID(OFFSET(TH!D$1,SMALL(Dong11,ROWS($1:58)),),4,1)="N",OFFSET(TH!I$1,SMALL(Dong11,ROWS($1:58)),),0))</f>
        <v>0</v>
      </c>
      <c r="H71" s="910">
        <f t="shared" ca="1" si="7"/>
        <v>0</v>
      </c>
      <c r="I71" s="909">
        <f ca="1">IF(ROWS($1:58)&gt;COUNT(Dong11),0,IF(MID(OFFSET(TH!D$1,SMALL(Dong11,ROWS($1:58)),),4,1)="X",OFFSET(TH!I$1,SMALL(Dong11,ROWS($1:58)),),0))</f>
        <v>0</v>
      </c>
      <c r="J71" s="910">
        <f t="shared" ca="1" si="8"/>
        <v>0</v>
      </c>
      <c r="K71" s="910">
        <f t="shared" ca="1" si="9"/>
        <v>0</v>
      </c>
      <c r="L71" s="910">
        <f t="shared" ca="1" si="10"/>
        <v>0</v>
      </c>
      <c r="M71" s="910"/>
      <c r="N71" s="330"/>
    </row>
    <row r="72" spans="1:14">
      <c r="A72" s="307" t="str">
        <f t="shared" ca="1" si="11"/>
        <v/>
      </c>
      <c r="B72" s="906" t="str">
        <f ca="1">IF(ROWS($1:59)&gt;COUNT(Dong11),"",OFFSET(TH!D$1,SMALL(Dong11,ROWS($1:59)),))</f>
        <v/>
      </c>
      <c r="C72" s="907" t="str">
        <f ca="1">IF(ROWS($1:59)&gt;COUNT(Dong11),"",OFFSET(TH!E$1,SMALL(Dong11,ROWS($1:59)),))</f>
        <v/>
      </c>
      <c r="D72" s="908" t="str">
        <f ca="1">IF(ROWS($1:59)&gt;COUNT(Dong11),"",OFFSET(TH!H$1,SMALL(Dong11,ROWS($1:59)),))</f>
        <v/>
      </c>
      <c r="E72" s="906" t="str">
        <f ca="1">IF(ROWS($1:59)&gt;COUNT(Dong11),"",IF(OFFSET(TH!L$1,SMALL(Dong11,ROWS($1:59)),)=$G$7,OFFSET(TH!M$1,SMALL(Dong11,ROWS($1:59)),),OFFSET(TH!L$1,SMALL(Dong11,ROWS($1:59)),)))</f>
        <v/>
      </c>
      <c r="F72" s="909">
        <f ca="1">IF(ROWS($1:59)&gt;COUNT(Dong11),0,OFFSET(TH!J$1,SMALL(Dong11,ROWS($1:59)),))</f>
        <v>0</v>
      </c>
      <c r="G72" s="909">
        <f ca="1">IF(ROWS($1:59)&gt;COUNT(Dong11),0,IF(MID(OFFSET(TH!D$1,SMALL(Dong11,ROWS($1:59)),),4,1)="N",OFFSET(TH!I$1,SMALL(Dong11,ROWS($1:59)),),0))</f>
        <v>0</v>
      </c>
      <c r="H72" s="910">
        <f t="shared" ca="1" si="7"/>
        <v>0</v>
      </c>
      <c r="I72" s="909">
        <f ca="1">IF(ROWS($1:59)&gt;COUNT(Dong11),0,IF(MID(OFFSET(TH!D$1,SMALL(Dong11,ROWS($1:59)),),4,1)="X",OFFSET(TH!I$1,SMALL(Dong11,ROWS($1:59)),),0))</f>
        <v>0</v>
      </c>
      <c r="J72" s="910">
        <f t="shared" ca="1" si="8"/>
        <v>0</v>
      </c>
      <c r="K72" s="910">
        <f t="shared" ca="1" si="9"/>
        <v>0</v>
      </c>
      <c r="L72" s="910">
        <f t="shared" ca="1" si="10"/>
        <v>0</v>
      </c>
      <c r="M72" s="910"/>
      <c r="N72" s="330"/>
    </row>
    <row r="73" spans="1:14">
      <c r="A73" s="307" t="str">
        <f>IF(B73="","",#REF!+1)</f>
        <v/>
      </c>
      <c r="B73" s="334"/>
      <c r="C73" s="335"/>
      <c r="D73" s="908"/>
      <c r="E73" s="336"/>
      <c r="F73" s="913"/>
      <c r="G73" s="904"/>
      <c r="H73" s="904"/>
      <c r="I73" s="904"/>
      <c r="J73" s="904"/>
      <c r="K73" s="904"/>
      <c r="L73" s="904"/>
      <c r="M73" s="914"/>
      <c r="N73" s="330"/>
    </row>
    <row r="74" spans="1:14">
      <c r="A74" s="338"/>
      <c r="B74" s="338"/>
      <c r="C74" s="338"/>
      <c r="D74" s="338" t="s">
        <v>223</v>
      </c>
      <c r="E74" s="895" t="s">
        <v>19</v>
      </c>
      <c r="F74" s="895" t="s">
        <v>19</v>
      </c>
      <c r="G74" s="915">
        <f ca="1">SUM(G14:G73)</f>
        <v>3458</v>
      </c>
      <c r="H74" s="915">
        <f ca="1">SUM(H14:H73)</f>
        <v>30776200</v>
      </c>
      <c r="I74" s="915">
        <f ca="1">SUM(I14:I73)</f>
        <v>0</v>
      </c>
      <c r="J74" s="915">
        <f ca="1">SUM(J14:J73)</f>
        <v>0</v>
      </c>
      <c r="K74" s="915">
        <f ca="1">K13+G74-I74</f>
        <v>3458</v>
      </c>
      <c r="L74" s="915">
        <f ca="1">L13+H74-J74</f>
        <v>30776200</v>
      </c>
      <c r="M74" s="338"/>
      <c r="N74" s="330"/>
    </row>
    <row r="75" spans="1:14">
      <c r="B75" s="339" t="s">
        <v>224</v>
      </c>
      <c r="G75" s="912"/>
      <c r="N75" s="330"/>
    </row>
    <row r="76" spans="1:14">
      <c r="B76" s="91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7 tháng 10 năm 2016</v>
      </c>
      <c r="G76" s="912"/>
      <c r="I76" s="912"/>
      <c r="N76" s="330"/>
    </row>
    <row r="77" spans="1:14">
      <c r="B77" s="320"/>
      <c r="C77" s="320"/>
      <c r="D77" s="320"/>
      <c r="F77" s="320"/>
      <c r="G77" s="917"/>
      <c r="H77" s="896"/>
      <c r="I77" s="918"/>
      <c r="J77" s="1084" t="str">
        <f ca="1">"Ngày 31 tháng  12  năm  "&amp;YEAR($A$14)</f>
        <v>Ngày 31 tháng  12  năm  1900</v>
      </c>
      <c r="K77" s="1084"/>
      <c r="L77" s="1084"/>
      <c r="M77" s="1084"/>
      <c r="N77" s="330"/>
    </row>
    <row r="78" spans="1:14">
      <c r="C78" s="320"/>
      <c r="D78" s="896" t="s">
        <v>11</v>
      </c>
      <c r="E78" s="1084" t="s">
        <v>12</v>
      </c>
      <c r="F78" s="1084"/>
      <c r="G78" s="1084"/>
      <c r="H78" s="1084"/>
      <c r="I78" s="1084"/>
      <c r="J78" s="1084" t="s">
        <v>109</v>
      </c>
      <c r="K78" s="1084"/>
      <c r="L78" s="1084"/>
      <c r="M78" s="1084"/>
      <c r="N78" s="330"/>
    </row>
    <row r="79" spans="1:14">
      <c r="C79" s="320"/>
      <c r="D79" s="896" t="s">
        <v>13</v>
      </c>
      <c r="E79" s="1084" t="s">
        <v>13</v>
      </c>
      <c r="F79" s="1084"/>
      <c r="G79" s="1084"/>
      <c r="H79" s="1084" t="s">
        <v>136</v>
      </c>
      <c r="I79" s="1084"/>
      <c r="J79" s="1084" t="s">
        <v>136</v>
      </c>
      <c r="K79" s="1084"/>
      <c r="L79" s="1084"/>
      <c r="M79" s="1084"/>
      <c r="N79" s="330"/>
    </row>
    <row r="80" spans="1:14">
      <c r="N80" s="341"/>
    </row>
    <row r="81" spans="4:14">
      <c r="E81" s="311"/>
    </row>
    <row r="83" spans="4:14" s="919" customFormat="1" ht="12.75">
      <c r="E83" s="920"/>
    </row>
    <row r="88" spans="4:14">
      <c r="D88" s="545" t="s">
        <v>150</v>
      </c>
      <c r="E88" s="545"/>
      <c r="J88" s="1085" t="s">
        <v>103</v>
      </c>
      <c r="K88" s="1085"/>
      <c r="L88" s="1085"/>
      <c r="M88" s="1085"/>
      <c r="N88" s="894"/>
    </row>
  </sheetData>
  <mergeCells count="20"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L8"/>
    <mergeCell ref="E79:I79"/>
    <mergeCell ref="J79:M79"/>
    <mergeCell ref="J88:M88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13" sqref="I13"/>
    </sheetView>
  </sheetViews>
  <sheetFormatPr defaultRowHeight="14.25"/>
  <cols>
    <col min="1" max="1" width="4.42578125" style="345" customWidth="1"/>
    <col min="2" max="2" width="9.140625" style="345"/>
    <col min="3" max="3" width="9.140625" style="404" customWidth="1"/>
    <col min="4" max="4" width="10.85546875" style="404" customWidth="1"/>
    <col min="5" max="5" width="39.42578125" style="405" customWidth="1"/>
    <col min="6" max="6" width="10.85546875" style="406" customWidth="1"/>
    <col min="7" max="7" width="9" style="407" customWidth="1"/>
    <col min="8" max="8" width="9.5703125" style="407" customWidth="1"/>
    <col min="9" max="9" width="10" style="407" customWidth="1"/>
    <col min="10" max="10" width="8" style="345" customWidth="1"/>
    <col min="11" max="11" width="2.42578125" style="345" customWidth="1"/>
    <col min="12" max="12" width="6.5703125" style="345" customWidth="1"/>
    <col min="13" max="16384" width="9.140625" style="345"/>
  </cols>
  <sheetData>
    <row r="1" spans="1:12" ht="15" customHeight="1">
      <c r="A1" s="342" t="str">
        <f>TH!A1</f>
        <v>Đơn vị: CÔNG TY TNHH SX TM KIM DUNG PHÁT</v>
      </c>
      <c r="B1" s="343"/>
      <c r="C1" s="343"/>
      <c r="D1" s="343"/>
      <c r="E1" s="344"/>
      <c r="F1" s="1097" t="s">
        <v>225</v>
      </c>
      <c r="G1" s="1097"/>
      <c r="H1" s="1097"/>
      <c r="I1" s="1097"/>
      <c r="J1" s="1097"/>
      <c r="K1" s="346"/>
      <c r="L1" s="347"/>
    </row>
    <row r="2" spans="1:12" ht="15" customHeight="1">
      <c r="A2" s="578" t="str">
        <f>TH!A2</f>
        <v>Địa chỉ: 1A227/1 Ấp 1, Phạm Văn Hai, Bình Chánh, TPHCM</v>
      </c>
      <c r="B2" s="348"/>
      <c r="C2" s="348"/>
      <c r="D2" s="348"/>
      <c r="E2" s="349"/>
      <c r="F2" s="1096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96"/>
      <c r="H2" s="1096"/>
      <c r="I2" s="1096"/>
      <c r="J2" s="1096"/>
      <c r="K2" s="346"/>
    </row>
    <row r="3" spans="1:12" ht="15">
      <c r="A3" s="348"/>
      <c r="B3" s="348"/>
      <c r="C3" s="348"/>
      <c r="D3" s="348"/>
      <c r="E3" s="349"/>
      <c r="F3" s="1096"/>
      <c r="G3" s="1096"/>
      <c r="H3" s="1096"/>
      <c r="I3" s="1096"/>
      <c r="J3" s="1096"/>
      <c r="K3" s="346"/>
    </row>
    <row r="4" spans="1:12" ht="18.75" customHeight="1">
      <c r="A4" s="351"/>
      <c r="B4" s="351"/>
      <c r="C4" s="351"/>
      <c r="D4" s="351"/>
      <c r="E4" s="352" t="s">
        <v>226</v>
      </c>
      <c r="F4" s="351"/>
      <c r="G4" s="351"/>
      <c r="H4" s="351"/>
      <c r="I4" s="351"/>
      <c r="J4" s="346"/>
      <c r="K4" s="346"/>
    </row>
    <row r="5" spans="1:12" ht="15">
      <c r="A5" s="353"/>
      <c r="B5" s="353"/>
      <c r="C5" s="353"/>
      <c r="D5" s="353"/>
      <c r="E5" s="354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3"/>
      <c r="G5" s="353"/>
      <c r="H5" s="353"/>
      <c r="I5" s="353"/>
      <c r="J5" s="346"/>
      <c r="K5" s="346"/>
    </row>
    <row r="6" spans="1:12" ht="15">
      <c r="A6" s="353"/>
      <c r="B6" s="353"/>
      <c r="C6" s="353"/>
      <c r="D6" s="353"/>
      <c r="E6" s="354" t="s">
        <v>227</v>
      </c>
      <c r="F6" s="353"/>
      <c r="G6" s="353"/>
      <c r="H6" s="353"/>
      <c r="I6" s="353"/>
      <c r="J6" s="346"/>
      <c r="K6" s="346"/>
    </row>
    <row r="7" spans="1:12" ht="15">
      <c r="A7" s="340" t="s">
        <v>228</v>
      </c>
      <c r="B7" s="340"/>
      <c r="C7" s="355"/>
      <c r="D7" s="355"/>
      <c r="E7" s="356" t="s">
        <v>353</v>
      </c>
      <c r="F7" s="350"/>
      <c r="G7" s="357"/>
      <c r="H7" s="357"/>
      <c r="I7" s="357"/>
      <c r="J7" s="346"/>
      <c r="K7" s="346"/>
    </row>
    <row r="8" spans="1:12" ht="15">
      <c r="A8" s="340" t="s">
        <v>229</v>
      </c>
      <c r="B8" s="340"/>
      <c r="C8" s="346" t="e">
        <f>VLOOKUP($E$7,NXT!$C$12:$L$412,2,0)</f>
        <v>#N/A</v>
      </c>
      <c r="D8" s="340"/>
      <c r="E8" s="356"/>
      <c r="F8" s="350"/>
      <c r="G8" s="357"/>
      <c r="H8" s="357"/>
      <c r="I8" s="357"/>
      <c r="J8" s="346"/>
      <c r="K8" s="346"/>
    </row>
    <row r="9" spans="1:12" ht="15">
      <c r="A9" s="1098" t="s">
        <v>230</v>
      </c>
      <c r="B9" s="1099"/>
      <c r="C9" s="1099"/>
      <c r="D9" s="1099"/>
      <c r="E9" s="356"/>
      <c r="F9" s="350"/>
      <c r="G9" s="357"/>
      <c r="H9" s="357"/>
      <c r="I9" s="357"/>
      <c r="J9" s="358"/>
      <c r="K9" s="358"/>
    </row>
    <row r="10" spans="1:12" ht="19.5" customHeight="1">
      <c r="A10" s="1100" t="s">
        <v>231</v>
      </c>
      <c r="B10" s="1101" t="s">
        <v>232</v>
      </c>
      <c r="C10" s="1103" t="s">
        <v>15</v>
      </c>
      <c r="D10" s="1104"/>
      <c r="E10" s="1105" t="s">
        <v>0</v>
      </c>
      <c r="F10" s="1114" t="s">
        <v>233</v>
      </c>
      <c r="G10" s="1108" t="s">
        <v>202</v>
      </c>
      <c r="H10" s="1108"/>
      <c r="I10" s="1104"/>
      <c r="J10" s="1109" t="s">
        <v>234</v>
      </c>
      <c r="K10" s="359"/>
      <c r="L10" s="360" t="s">
        <v>219</v>
      </c>
    </row>
    <row r="11" spans="1:12" ht="19.5" customHeight="1">
      <c r="A11" s="1100"/>
      <c r="B11" s="1102"/>
      <c r="C11" s="361" t="s">
        <v>216</v>
      </c>
      <c r="D11" s="361" t="s">
        <v>217</v>
      </c>
      <c r="E11" s="1106"/>
      <c r="F11" s="1115"/>
      <c r="G11" s="362" t="s">
        <v>216</v>
      </c>
      <c r="H11" s="362" t="s">
        <v>217</v>
      </c>
      <c r="I11" s="362" t="s">
        <v>218</v>
      </c>
      <c r="J11" s="1110"/>
      <c r="K11" s="359"/>
    </row>
    <row r="12" spans="1:12" ht="15">
      <c r="A12" s="363" t="s">
        <v>2</v>
      </c>
      <c r="B12" s="364" t="s">
        <v>3</v>
      </c>
      <c r="C12" s="365" t="s">
        <v>4</v>
      </c>
      <c r="D12" s="365" t="s">
        <v>5</v>
      </c>
      <c r="E12" s="366" t="s">
        <v>6</v>
      </c>
      <c r="F12" s="364" t="s">
        <v>130</v>
      </c>
      <c r="G12" s="367">
        <v>1</v>
      </c>
      <c r="H12" s="367">
        <v>2</v>
      </c>
      <c r="I12" s="367">
        <v>3</v>
      </c>
      <c r="J12" s="365" t="s">
        <v>131</v>
      </c>
      <c r="K12" s="368"/>
    </row>
    <row r="13" spans="1:12" ht="16.5" customHeight="1">
      <c r="A13" s="369"/>
      <c r="B13" s="370"/>
      <c r="C13" s="371"/>
      <c r="D13" s="371"/>
      <c r="E13" s="372" t="s">
        <v>193</v>
      </c>
      <c r="F13" s="370"/>
      <c r="G13" s="373"/>
      <c r="H13" s="373"/>
      <c r="I13" s="374" t="e">
        <f>VLOOKUP($E$7,NXT!$C$12:$L$412,3,0)</f>
        <v>#N/A</v>
      </c>
      <c r="J13" s="369"/>
      <c r="K13" s="375"/>
    </row>
    <row r="14" spans="1:12" ht="16.5" customHeight="1">
      <c r="A14" s="376" t="str">
        <f ca="1">IF(B14&lt;&gt;"",ROW()-(ROW()-1),"")</f>
        <v/>
      </c>
      <c r="B14" s="377" t="str">
        <f ca="1">IF(ROWS($1:1)&gt;COUNT(Dong12),"",OFFSET(TH!E$1,SMALL(Dong12,ROWS($1:1)),))</f>
        <v/>
      </c>
      <c r="C14" s="429" t="str">
        <f ca="1">IF(ROWS($1:1)&gt;COUNT(Dong12),"",IF(MID(OFFSET(TH!D$1,SMALL(Dong12,ROWS($1:1)),),4,1)="N",OFFSET(TH!D$1,SMALL(Dong12,ROWS($1:1)),),""))</f>
        <v/>
      </c>
      <c r="D14" s="377" t="str">
        <f ca="1">IF(ROWS($1:1)&gt;COUNT(Dong12),"",IF(MID(OFFSET(TH!D$1,SMALL(Dong12,ROWS($1:1)),),4,1)="X",OFFSET(TH!D$1,SMALL(Dong12,ROWS($1:1)),),""))</f>
        <v/>
      </c>
      <c r="E14" s="622" t="str">
        <f ca="1">IF(ROWS($1:1)&gt;COUNT(Dong12),"",OFFSET(TH!H$1,SMALL(Dong12,ROWS($1:1)),))</f>
        <v/>
      </c>
      <c r="F14" s="377" t="str">
        <f ca="1">B14</f>
        <v/>
      </c>
      <c r="G14" s="378">
        <f ca="1">IF(ROWS($1:1)&gt;COUNT(Dong12),0,IF(MID(OFFSET(TH!D$1,SMALL(Dong12,ROWS($1:1)),),4,1)="N",OFFSET(TH!I$1,SMALL(Dong12,ROWS($1:1)),),0))</f>
        <v>0</v>
      </c>
      <c r="H14" s="378">
        <f ca="1">IF(ROWS($1:1)&gt;COUNT(Dong12),0,IF(MID(OFFSET(TH!D$1,SMALL(Dong12,ROWS($1:1)),),4,1)="X",OFFSET(TH!I$1,SMALL(Dong12,ROWS($1:1)),),0))</f>
        <v>0</v>
      </c>
      <c r="I14" s="379">
        <f ca="1">IF(E14&lt;&gt;"",I13+G14-H14,0)</f>
        <v>0</v>
      </c>
      <c r="J14" s="380"/>
      <c r="K14" s="381"/>
    </row>
    <row r="15" spans="1:12" ht="16.5" customHeight="1">
      <c r="A15" s="382" t="str">
        <f ca="1">IF(B15&lt;&gt;"",A14+1,"")</f>
        <v/>
      </c>
      <c r="B15" s="377" t="str">
        <f ca="1">IF(ROWS($1:2)&gt;COUNT(Dong12),"",OFFSET(TH!E$1,SMALL(Dong12,ROWS($1:2)),))</f>
        <v/>
      </c>
      <c r="C15" s="429" t="str">
        <f ca="1">IF(ROWS($1:2)&gt;COUNT(Dong12),"",IF(MID(OFFSET(TH!D$1,SMALL(Dong12,ROWS($1:2)),),4,1)="N",OFFSET(TH!D$1,SMALL(Dong12,ROWS($1:2)),),""))</f>
        <v/>
      </c>
      <c r="D15" s="377" t="str">
        <f ca="1">IF(ROWS($1:2)&gt;COUNT(Dong12),"",IF(MID(OFFSET(TH!D$1,SMALL(Dong12,ROWS($1:2)),),4,1)="X",OFFSET(TH!D$1,SMALL(Dong12,ROWS($1:2)),),""))</f>
        <v/>
      </c>
      <c r="E15" s="622" t="str">
        <f ca="1">IF(ROWS($1:2)&gt;COUNT(Dong12),"",OFFSET(TH!H$1,SMALL(Dong12,ROWS($1:2)),))</f>
        <v/>
      </c>
      <c r="F15" s="377" t="str">
        <f t="shared" ref="F15:F30" ca="1" si="0">B15</f>
        <v/>
      </c>
      <c r="G15" s="378">
        <f ca="1">IF(ROWS($1:2)&gt;COUNT(Dong12),0,IF(MID(OFFSET(TH!D$1,SMALL(Dong12,ROWS($1:2)),),4,1)="N",OFFSET(TH!I$1,SMALL(Dong12,ROWS($1:2)),),0))</f>
        <v>0</v>
      </c>
      <c r="H15" s="378">
        <f ca="1">IF(ROWS($1:2)&gt;COUNT(Dong12),0,IF(MID(OFFSET(TH!D$1,SMALL(Dong12,ROWS($1:2)),),4,1)="X",OFFSET(TH!I$1,SMALL(Dong12,ROWS($1:2)),),0))</f>
        <v>0</v>
      </c>
      <c r="I15" s="379">
        <f t="shared" ref="I15:I30" ca="1" si="1">IF(E15&lt;&gt;"",I14+G15-H15,0)</f>
        <v>0</v>
      </c>
      <c r="J15" s="380"/>
      <c r="K15" s="381"/>
    </row>
    <row r="16" spans="1:12" ht="16.5" customHeight="1">
      <c r="A16" s="382" t="str">
        <f t="shared" ref="A16:A30" ca="1" si="2">IF(B16&lt;&gt;"",A15+1,"")</f>
        <v/>
      </c>
      <c r="B16" s="377" t="str">
        <f ca="1">IF(ROWS($1:3)&gt;COUNT(Dong12),"",OFFSET(TH!E$1,SMALL(Dong12,ROWS($1:3)),))</f>
        <v/>
      </c>
      <c r="C16" s="429" t="str">
        <f ca="1">IF(ROWS($1:3)&gt;COUNT(Dong12),"",IF(MID(OFFSET(TH!D$1,SMALL(Dong12,ROWS($1:3)),),4,1)="N",OFFSET(TH!D$1,SMALL(Dong12,ROWS($1:3)),),""))</f>
        <v/>
      </c>
      <c r="D16" s="377" t="str">
        <f ca="1">IF(ROWS($1:3)&gt;COUNT(Dong12),"",IF(MID(OFFSET(TH!D$1,SMALL(Dong12,ROWS($1:3)),),4,1)="X",OFFSET(TH!D$1,SMALL(Dong12,ROWS($1:3)),),""))</f>
        <v/>
      </c>
      <c r="E16" s="622" t="str">
        <f ca="1">IF(ROWS($1:3)&gt;COUNT(Dong12),"",OFFSET(TH!H$1,SMALL(Dong12,ROWS($1:3)),))</f>
        <v/>
      </c>
      <c r="F16" s="377" t="str">
        <f t="shared" ca="1" si="0"/>
        <v/>
      </c>
      <c r="G16" s="378">
        <f ca="1">IF(ROWS($1:3)&gt;COUNT(Dong12),0,IF(MID(OFFSET(TH!D$1,SMALL(Dong12,ROWS($1:3)),),4,1)="N",OFFSET(TH!I$1,SMALL(Dong12,ROWS($1:3)),),0))</f>
        <v>0</v>
      </c>
      <c r="H16" s="378">
        <f ca="1">IF(ROWS($1:3)&gt;COUNT(Dong12),0,IF(MID(OFFSET(TH!D$1,SMALL(Dong12,ROWS($1:3)),),4,1)="X",OFFSET(TH!I$1,SMALL(Dong12,ROWS($1:3)),),0))</f>
        <v>0</v>
      </c>
      <c r="I16" s="379">
        <f t="shared" ca="1" si="1"/>
        <v>0</v>
      </c>
      <c r="J16" s="380"/>
      <c r="K16" s="381"/>
    </row>
    <row r="17" spans="1:11" ht="16.5" customHeight="1">
      <c r="A17" s="382" t="str">
        <f t="shared" ca="1" si="2"/>
        <v/>
      </c>
      <c r="B17" s="377" t="str">
        <f ca="1">IF(ROWS($1:4)&gt;COUNT(Dong12),"",OFFSET(TH!E$1,SMALL(Dong12,ROWS($1:4)),))</f>
        <v/>
      </c>
      <c r="C17" s="429" t="str">
        <f ca="1">IF(ROWS($1:4)&gt;COUNT(Dong12),"",IF(MID(OFFSET(TH!D$1,SMALL(Dong12,ROWS($1:4)),),4,1)="N",OFFSET(TH!D$1,SMALL(Dong12,ROWS($1:4)),),""))</f>
        <v/>
      </c>
      <c r="D17" s="377" t="str">
        <f ca="1">IF(ROWS($1:4)&gt;COUNT(Dong12),"",IF(MID(OFFSET(TH!D$1,SMALL(Dong12,ROWS($1:4)),),4,1)="X",OFFSET(TH!D$1,SMALL(Dong12,ROWS($1:4)),),""))</f>
        <v/>
      </c>
      <c r="E17" s="622" t="str">
        <f ca="1">IF(ROWS($1:4)&gt;COUNT(Dong12),"",OFFSET(TH!H$1,SMALL(Dong12,ROWS($1:4)),))</f>
        <v/>
      </c>
      <c r="F17" s="377" t="str">
        <f t="shared" ca="1" si="0"/>
        <v/>
      </c>
      <c r="G17" s="378">
        <f ca="1">IF(ROWS($1:4)&gt;COUNT(Dong12),0,IF(MID(OFFSET(TH!D$1,SMALL(Dong12,ROWS($1:4)),),4,1)="N",OFFSET(TH!I$1,SMALL(Dong12,ROWS($1:4)),),0))</f>
        <v>0</v>
      </c>
      <c r="H17" s="378">
        <f ca="1">IF(ROWS($1:4)&gt;COUNT(Dong12),0,IF(MID(OFFSET(TH!D$1,SMALL(Dong12,ROWS($1:4)),),4,1)="X",OFFSET(TH!I$1,SMALL(Dong12,ROWS($1:4)),),0))</f>
        <v>0</v>
      </c>
      <c r="I17" s="379">
        <f t="shared" ca="1" si="1"/>
        <v>0</v>
      </c>
      <c r="J17" s="380"/>
      <c r="K17" s="381"/>
    </row>
    <row r="18" spans="1:11" ht="16.5" customHeight="1">
      <c r="A18" s="382" t="str">
        <f t="shared" ca="1" si="2"/>
        <v/>
      </c>
      <c r="B18" s="377" t="str">
        <f ca="1">IF(ROWS($1:5)&gt;COUNT(Dong12),"",OFFSET(TH!E$1,SMALL(Dong12,ROWS($1:5)),))</f>
        <v/>
      </c>
      <c r="C18" s="429" t="str">
        <f ca="1">IF(ROWS($1:5)&gt;COUNT(Dong12),"",IF(MID(OFFSET(TH!D$1,SMALL(Dong12,ROWS($1:5)),),4,1)="N",OFFSET(TH!D$1,SMALL(Dong12,ROWS($1:5)),),""))</f>
        <v/>
      </c>
      <c r="D18" s="377" t="str">
        <f ca="1">IF(ROWS($1:5)&gt;COUNT(Dong12),"",IF(MID(OFFSET(TH!D$1,SMALL(Dong12,ROWS($1:5)),),4,1)="X",OFFSET(TH!D$1,SMALL(Dong12,ROWS($1:5)),),""))</f>
        <v/>
      </c>
      <c r="E18" s="622" t="str">
        <f ca="1">IF(ROWS($1:5)&gt;COUNT(Dong12),"",OFFSET(TH!H$1,SMALL(Dong12,ROWS($1:5)),))</f>
        <v/>
      </c>
      <c r="F18" s="377" t="str">
        <f t="shared" ca="1" si="0"/>
        <v/>
      </c>
      <c r="G18" s="378">
        <f ca="1">IF(ROWS($1:5)&gt;COUNT(Dong12),0,IF(MID(OFFSET(TH!D$1,SMALL(Dong12,ROWS($1:5)),),4,1)="N",OFFSET(TH!I$1,SMALL(Dong12,ROWS($1:5)),),0))</f>
        <v>0</v>
      </c>
      <c r="H18" s="378">
        <f ca="1">IF(ROWS($1:5)&gt;COUNT(Dong12),0,IF(MID(OFFSET(TH!D$1,SMALL(Dong12,ROWS($1:5)),),4,1)="X",OFFSET(TH!I$1,SMALL(Dong12,ROWS($1:5)),),0))</f>
        <v>0</v>
      </c>
      <c r="I18" s="379">
        <f t="shared" ca="1" si="1"/>
        <v>0</v>
      </c>
      <c r="J18" s="380"/>
      <c r="K18" s="381"/>
    </row>
    <row r="19" spans="1:11" ht="16.5" customHeight="1">
      <c r="A19" s="382" t="str">
        <f t="shared" ca="1" si="2"/>
        <v/>
      </c>
      <c r="B19" s="377" t="str">
        <f ca="1">IF(ROWS($1:6)&gt;COUNT(Dong12),"",OFFSET(TH!E$1,SMALL(Dong12,ROWS($1:6)),))</f>
        <v/>
      </c>
      <c r="C19" s="429" t="str">
        <f ca="1">IF(ROWS($1:6)&gt;COUNT(Dong12),"",IF(MID(OFFSET(TH!D$1,SMALL(Dong12,ROWS($1:6)),),4,1)="N",OFFSET(TH!D$1,SMALL(Dong12,ROWS($1:6)),),""))</f>
        <v/>
      </c>
      <c r="D19" s="377" t="str">
        <f ca="1">IF(ROWS($1:6)&gt;COUNT(Dong12),"",IF(MID(OFFSET(TH!D$1,SMALL(Dong12,ROWS($1:6)),),4,1)="X",OFFSET(TH!D$1,SMALL(Dong12,ROWS($1:6)),),""))</f>
        <v/>
      </c>
      <c r="E19" s="622" t="str">
        <f ca="1">IF(ROWS($1:6)&gt;COUNT(Dong12),"",OFFSET(TH!H$1,SMALL(Dong12,ROWS($1:6)),))</f>
        <v/>
      </c>
      <c r="F19" s="377" t="str">
        <f t="shared" ca="1" si="0"/>
        <v/>
      </c>
      <c r="G19" s="378">
        <f ca="1">IF(ROWS($1:6)&gt;COUNT(Dong12),0,IF(MID(OFFSET(TH!D$1,SMALL(Dong12,ROWS($1:6)),),4,1)="N",OFFSET(TH!I$1,SMALL(Dong12,ROWS($1:6)),),0))</f>
        <v>0</v>
      </c>
      <c r="H19" s="378">
        <f ca="1">IF(ROWS($1:6)&gt;COUNT(Dong12),0,IF(MID(OFFSET(TH!D$1,SMALL(Dong12,ROWS($1:6)),),4,1)="X",OFFSET(TH!I$1,SMALL(Dong12,ROWS($1:6)),),0))</f>
        <v>0</v>
      </c>
      <c r="I19" s="379">
        <f t="shared" ca="1" si="1"/>
        <v>0</v>
      </c>
      <c r="J19" s="380"/>
      <c r="K19" s="381"/>
    </row>
    <row r="20" spans="1:11" ht="16.5" customHeight="1">
      <c r="A20" s="382" t="str">
        <f t="shared" ca="1" si="2"/>
        <v/>
      </c>
      <c r="B20" s="377" t="str">
        <f ca="1">IF(ROWS($1:7)&gt;COUNT(Dong12),"",OFFSET(TH!E$1,SMALL(Dong12,ROWS($1:7)),))</f>
        <v/>
      </c>
      <c r="C20" s="429" t="str">
        <f ca="1">IF(ROWS($1:7)&gt;COUNT(Dong12),"",IF(MID(OFFSET(TH!D$1,SMALL(Dong12,ROWS($1:7)),),4,1)="N",OFFSET(TH!D$1,SMALL(Dong12,ROWS($1:7)),),""))</f>
        <v/>
      </c>
      <c r="D20" s="377" t="str">
        <f ca="1">IF(ROWS($1:7)&gt;COUNT(Dong12),"",IF(MID(OFFSET(TH!D$1,SMALL(Dong12,ROWS($1:7)),),4,1)="X",OFFSET(TH!D$1,SMALL(Dong12,ROWS($1:7)),),""))</f>
        <v/>
      </c>
      <c r="E20" s="622" t="str">
        <f ca="1">IF(ROWS($1:7)&gt;COUNT(Dong12),"",OFFSET(TH!H$1,SMALL(Dong12,ROWS($1:7)),))</f>
        <v/>
      </c>
      <c r="F20" s="377" t="str">
        <f t="shared" ca="1" si="0"/>
        <v/>
      </c>
      <c r="G20" s="378">
        <f ca="1">IF(ROWS($1:7)&gt;COUNT(Dong12),0,IF(MID(OFFSET(TH!D$1,SMALL(Dong12,ROWS($1:7)),),4,1)="N",OFFSET(TH!I$1,SMALL(Dong12,ROWS($1:7)),),0))</f>
        <v>0</v>
      </c>
      <c r="H20" s="378">
        <f ca="1">IF(ROWS($1:7)&gt;COUNT(Dong12),0,IF(MID(OFFSET(TH!D$1,SMALL(Dong12,ROWS($1:7)),),4,1)="X",OFFSET(TH!I$1,SMALL(Dong12,ROWS($1:7)),),0))</f>
        <v>0</v>
      </c>
      <c r="I20" s="379">
        <f t="shared" ca="1" si="1"/>
        <v>0</v>
      </c>
      <c r="J20" s="380"/>
      <c r="K20" s="381"/>
    </row>
    <row r="21" spans="1:11" ht="16.5" customHeight="1">
      <c r="A21" s="382" t="str">
        <f t="shared" ca="1" si="2"/>
        <v/>
      </c>
      <c r="B21" s="377" t="str">
        <f ca="1">IF(ROWS($1:8)&gt;COUNT(Dong12),"",OFFSET(TH!E$1,SMALL(Dong12,ROWS($1:8)),))</f>
        <v/>
      </c>
      <c r="C21" s="429" t="str">
        <f ca="1">IF(ROWS($1:8)&gt;COUNT(Dong12),"",IF(MID(OFFSET(TH!D$1,SMALL(Dong12,ROWS($1:8)),),4,1)="N",OFFSET(TH!D$1,SMALL(Dong12,ROWS($1:8)),),""))</f>
        <v/>
      </c>
      <c r="D21" s="377" t="str">
        <f ca="1">IF(ROWS($1:8)&gt;COUNT(Dong12),"",IF(MID(OFFSET(TH!D$1,SMALL(Dong12,ROWS($1:8)),),4,1)="X",OFFSET(TH!D$1,SMALL(Dong12,ROWS($1:8)),),""))</f>
        <v/>
      </c>
      <c r="E21" s="622" t="str">
        <f ca="1">IF(ROWS($1:8)&gt;COUNT(Dong12),"",OFFSET(TH!H$1,SMALL(Dong12,ROWS($1:8)),))</f>
        <v/>
      </c>
      <c r="F21" s="377" t="str">
        <f t="shared" ca="1" si="0"/>
        <v/>
      </c>
      <c r="G21" s="378">
        <f ca="1">IF(ROWS($1:8)&gt;COUNT(Dong12),0,IF(MID(OFFSET(TH!D$1,SMALL(Dong12,ROWS($1:8)),),4,1)="N",OFFSET(TH!I$1,SMALL(Dong12,ROWS($1:8)),),0))</f>
        <v>0</v>
      </c>
      <c r="H21" s="378">
        <f ca="1">IF(ROWS($1:8)&gt;COUNT(Dong12),0,IF(MID(OFFSET(TH!D$1,SMALL(Dong12,ROWS($1:8)),),4,1)="X",OFFSET(TH!I$1,SMALL(Dong12,ROWS($1:8)),),0))</f>
        <v>0</v>
      </c>
      <c r="I21" s="379">
        <f t="shared" ca="1" si="1"/>
        <v>0</v>
      </c>
      <c r="J21" s="380"/>
      <c r="K21" s="381"/>
    </row>
    <row r="22" spans="1:11" ht="16.5" customHeight="1">
      <c r="A22" s="382" t="str">
        <f t="shared" ca="1" si="2"/>
        <v/>
      </c>
      <c r="B22" s="377" t="str">
        <f ca="1">IF(ROWS($1:9)&gt;COUNT(Dong12),"",OFFSET(TH!E$1,SMALL(Dong12,ROWS($1:9)),))</f>
        <v/>
      </c>
      <c r="C22" s="429" t="str">
        <f ca="1">IF(ROWS($1:9)&gt;COUNT(Dong12),"",IF(MID(OFFSET(TH!D$1,SMALL(Dong12,ROWS($1:9)),),4,1)="N",OFFSET(TH!D$1,SMALL(Dong12,ROWS($1:9)),),""))</f>
        <v/>
      </c>
      <c r="D22" s="377" t="str">
        <f ca="1">IF(ROWS($1:9)&gt;COUNT(Dong12),"",IF(MID(OFFSET(TH!D$1,SMALL(Dong12,ROWS($1:9)),),4,1)="X",OFFSET(TH!D$1,SMALL(Dong12,ROWS($1:9)),),""))</f>
        <v/>
      </c>
      <c r="E22" s="622" t="str">
        <f ca="1">IF(ROWS($1:9)&gt;COUNT(Dong12),"",OFFSET(TH!H$1,SMALL(Dong12,ROWS($1:9)),))</f>
        <v/>
      </c>
      <c r="F22" s="377" t="str">
        <f t="shared" ca="1" si="0"/>
        <v/>
      </c>
      <c r="G22" s="378">
        <f ca="1">IF(ROWS($1:9)&gt;COUNT(Dong12),0,IF(MID(OFFSET(TH!D$1,SMALL(Dong12,ROWS($1:9)),),4,1)="N",OFFSET(TH!I$1,SMALL(Dong12,ROWS($1:9)),),0))</f>
        <v>0</v>
      </c>
      <c r="H22" s="378">
        <f ca="1">IF(ROWS($1:9)&gt;COUNT(Dong12),0,IF(MID(OFFSET(TH!D$1,SMALL(Dong12,ROWS($1:9)),),4,1)="X",OFFSET(TH!I$1,SMALL(Dong12,ROWS($1:9)),),0))</f>
        <v>0</v>
      </c>
      <c r="I22" s="379">
        <f t="shared" ca="1" si="1"/>
        <v>0</v>
      </c>
      <c r="J22" s="380"/>
      <c r="K22" s="381"/>
    </row>
    <row r="23" spans="1:11" ht="16.5" customHeight="1">
      <c r="A23" s="382" t="str">
        <f t="shared" ca="1" si="2"/>
        <v/>
      </c>
      <c r="B23" s="377" t="str">
        <f ca="1">IF(ROWS($1:10)&gt;COUNT(Dong12),"",OFFSET(TH!E$1,SMALL(Dong12,ROWS($1:10)),))</f>
        <v/>
      </c>
      <c r="C23" s="429" t="str">
        <f ca="1">IF(ROWS($1:10)&gt;COUNT(Dong12),"",IF(MID(OFFSET(TH!D$1,SMALL(Dong12,ROWS($1:10)),),4,1)="N",OFFSET(TH!D$1,SMALL(Dong12,ROWS($1:10)),),""))</f>
        <v/>
      </c>
      <c r="D23" s="377" t="str">
        <f ca="1">IF(ROWS($1:10)&gt;COUNT(Dong12),"",IF(MID(OFFSET(TH!D$1,SMALL(Dong12,ROWS($1:10)),),4,1)="X",OFFSET(TH!D$1,SMALL(Dong12,ROWS($1:10)),),""))</f>
        <v/>
      </c>
      <c r="E23" s="622" t="str">
        <f ca="1">IF(ROWS($1:10)&gt;COUNT(Dong12),"",OFFSET(TH!H$1,SMALL(Dong12,ROWS($1:10)),))</f>
        <v/>
      </c>
      <c r="F23" s="377" t="str">
        <f t="shared" ca="1" si="0"/>
        <v/>
      </c>
      <c r="G23" s="378">
        <f ca="1">IF(ROWS($1:10)&gt;COUNT(Dong12),0,IF(MID(OFFSET(TH!D$1,SMALL(Dong12,ROWS($1:10)),),4,1)="N",OFFSET(TH!I$1,SMALL(Dong12,ROWS($1:10)),),0))</f>
        <v>0</v>
      </c>
      <c r="H23" s="378">
        <f ca="1">IF(ROWS($1:10)&gt;COUNT(Dong12),0,IF(MID(OFFSET(TH!D$1,SMALL(Dong12,ROWS($1:10)),),4,1)="X",OFFSET(TH!I$1,SMALL(Dong12,ROWS($1:10)),),0))</f>
        <v>0</v>
      </c>
      <c r="I23" s="379">
        <f t="shared" ca="1" si="1"/>
        <v>0</v>
      </c>
      <c r="J23" s="380"/>
      <c r="K23" s="381"/>
    </row>
    <row r="24" spans="1:11" ht="16.5" customHeight="1">
      <c r="A24" s="382" t="str">
        <f t="shared" ca="1" si="2"/>
        <v/>
      </c>
      <c r="B24" s="377" t="str">
        <f ca="1">IF(ROWS($1:11)&gt;COUNT(Dong12),"",OFFSET(TH!E$1,SMALL(Dong12,ROWS($1:11)),))</f>
        <v/>
      </c>
      <c r="C24" s="429" t="str">
        <f ca="1">IF(ROWS($1:11)&gt;COUNT(Dong12),"",IF(MID(OFFSET(TH!D$1,SMALL(Dong12,ROWS($1:11)),),4,1)="N",OFFSET(TH!D$1,SMALL(Dong12,ROWS($1:11)),),""))</f>
        <v/>
      </c>
      <c r="D24" s="377" t="str">
        <f ca="1">IF(ROWS($1:11)&gt;COUNT(Dong12),"",IF(MID(OFFSET(TH!D$1,SMALL(Dong12,ROWS($1:11)),),4,1)="X",OFFSET(TH!D$1,SMALL(Dong12,ROWS($1:11)),),""))</f>
        <v/>
      </c>
      <c r="E24" s="622" t="str">
        <f ca="1">IF(ROWS($1:11)&gt;COUNT(Dong12),"",OFFSET(TH!H$1,SMALL(Dong12,ROWS($1:11)),))</f>
        <v/>
      </c>
      <c r="F24" s="377" t="str">
        <f t="shared" ca="1" si="0"/>
        <v/>
      </c>
      <c r="G24" s="378">
        <f ca="1">IF(ROWS($1:11)&gt;COUNT(Dong12),0,IF(MID(OFFSET(TH!D$1,SMALL(Dong12,ROWS($1:11)),),4,1)="N",OFFSET(TH!I$1,SMALL(Dong12,ROWS($1:11)),),0))</f>
        <v>0</v>
      </c>
      <c r="H24" s="378">
        <f ca="1">IF(ROWS($1:11)&gt;COUNT(Dong12),0,IF(MID(OFFSET(TH!D$1,SMALL(Dong12,ROWS($1:11)),),4,1)="X",OFFSET(TH!I$1,SMALL(Dong12,ROWS($1:11)),),0))</f>
        <v>0</v>
      </c>
      <c r="I24" s="379">
        <f t="shared" ca="1" si="1"/>
        <v>0</v>
      </c>
      <c r="J24" s="380"/>
      <c r="K24" s="381"/>
    </row>
    <row r="25" spans="1:11" ht="16.5" customHeight="1">
      <c r="A25" s="382" t="str">
        <f t="shared" ca="1" si="2"/>
        <v/>
      </c>
      <c r="B25" s="377" t="str">
        <f ca="1">IF(ROWS($1:12)&gt;COUNT(Dong12),"",OFFSET(TH!E$1,SMALL(Dong12,ROWS($1:12)),))</f>
        <v/>
      </c>
      <c r="C25" s="429" t="str">
        <f ca="1">IF(ROWS($1:12)&gt;COUNT(Dong12),"",IF(MID(OFFSET(TH!D$1,SMALL(Dong12,ROWS($1:12)),),4,1)="N",OFFSET(TH!D$1,SMALL(Dong12,ROWS($1:12)),),""))</f>
        <v/>
      </c>
      <c r="D25" s="377" t="str">
        <f ca="1">IF(ROWS($1:12)&gt;COUNT(Dong12),"",IF(MID(OFFSET(TH!D$1,SMALL(Dong12,ROWS($1:12)),),4,1)="X",OFFSET(TH!D$1,SMALL(Dong12,ROWS($1:12)),),""))</f>
        <v/>
      </c>
      <c r="E25" s="622" t="str">
        <f ca="1">IF(ROWS($1:12)&gt;COUNT(Dong12),"",OFFSET(TH!H$1,SMALL(Dong12,ROWS($1:12)),))</f>
        <v/>
      </c>
      <c r="F25" s="377" t="str">
        <f t="shared" ca="1" si="0"/>
        <v/>
      </c>
      <c r="G25" s="378">
        <f ca="1">IF(ROWS($1:12)&gt;COUNT(Dong12),0,IF(MID(OFFSET(TH!D$1,SMALL(Dong12,ROWS($1:12)),),4,1)="N",OFFSET(TH!I$1,SMALL(Dong12,ROWS($1:12)),),0))</f>
        <v>0</v>
      </c>
      <c r="H25" s="378">
        <f ca="1">IF(ROWS($1:12)&gt;COUNT(Dong12),0,IF(MID(OFFSET(TH!D$1,SMALL(Dong12,ROWS($1:12)),),4,1)="X",OFFSET(TH!I$1,SMALL(Dong12,ROWS($1:12)),),0))</f>
        <v>0</v>
      </c>
      <c r="I25" s="379">
        <f t="shared" ca="1" si="1"/>
        <v>0</v>
      </c>
      <c r="J25" s="380"/>
      <c r="K25" s="381"/>
    </row>
    <row r="26" spans="1:11" ht="16.5" customHeight="1">
      <c r="A26" s="382" t="str">
        <f t="shared" ca="1" si="2"/>
        <v/>
      </c>
      <c r="B26" s="377" t="str">
        <f ca="1">IF(ROWS($1:13)&gt;COUNT(Dong12),"",OFFSET(TH!E$1,SMALL(Dong12,ROWS($1:13)),))</f>
        <v/>
      </c>
      <c r="C26" s="429" t="str">
        <f ca="1">IF(ROWS($1:13)&gt;COUNT(Dong12),"",IF(MID(OFFSET(TH!D$1,SMALL(Dong12,ROWS($1:13)),),4,1)="N",OFFSET(TH!D$1,SMALL(Dong12,ROWS($1:13)),),""))</f>
        <v/>
      </c>
      <c r="D26" s="377" t="str">
        <f ca="1">IF(ROWS($1:13)&gt;COUNT(Dong12),"",IF(MID(OFFSET(TH!D$1,SMALL(Dong12,ROWS($1:13)),),4,1)="X",OFFSET(TH!D$1,SMALL(Dong12,ROWS($1:13)),),""))</f>
        <v/>
      </c>
      <c r="E26" s="622" t="str">
        <f ca="1">IF(ROWS($1:13)&gt;COUNT(Dong12),"",OFFSET(TH!H$1,SMALL(Dong12,ROWS($1:13)),))</f>
        <v/>
      </c>
      <c r="F26" s="377" t="str">
        <f t="shared" ca="1" si="0"/>
        <v/>
      </c>
      <c r="G26" s="378">
        <f ca="1">IF(ROWS($1:13)&gt;COUNT(Dong12),0,IF(MID(OFFSET(TH!D$1,SMALL(Dong12,ROWS($1:13)),),4,1)="N",OFFSET(TH!I$1,SMALL(Dong12,ROWS($1:13)),),0))</f>
        <v>0</v>
      </c>
      <c r="H26" s="378">
        <f ca="1">IF(ROWS($1:13)&gt;COUNT(Dong12),0,IF(MID(OFFSET(TH!D$1,SMALL(Dong12,ROWS($1:13)),),4,1)="X",OFFSET(TH!I$1,SMALL(Dong12,ROWS($1:13)),),0))</f>
        <v>0</v>
      </c>
      <c r="I26" s="379">
        <f t="shared" ca="1" si="1"/>
        <v>0</v>
      </c>
      <c r="J26" s="380"/>
      <c r="K26" s="381"/>
    </row>
    <row r="27" spans="1:11" ht="16.5" customHeight="1">
      <c r="A27" s="382" t="str">
        <f t="shared" ca="1" si="2"/>
        <v/>
      </c>
      <c r="B27" s="377" t="str">
        <f ca="1">IF(ROWS($1:14)&gt;COUNT(Dong12),"",OFFSET(TH!E$1,SMALL(Dong12,ROWS($1:14)),))</f>
        <v/>
      </c>
      <c r="C27" s="429" t="str">
        <f ca="1">IF(ROWS($1:14)&gt;COUNT(Dong12),"",IF(MID(OFFSET(TH!D$1,SMALL(Dong12,ROWS($1:14)),),4,1)="N",OFFSET(TH!D$1,SMALL(Dong12,ROWS($1:14)),),""))</f>
        <v/>
      </c>
      <c r="D27" s="377" t="str">
        <f ca="1">IF(ROWS($1:14)&gt;COUNT(Dong12),"",IF(MID(OFFSET(TH!D$1,SMALL(Dong12,ROWS($1:14)),),4,1)="X",OFFSET(TH!D$1,SMALL(Dong12,ROWS($1:14)),),""))</f>
        <v/>
      </c>
      <c r="E27" s="622" t="str">
        <f ca="1">IF(ROWS($1:14)&gt;COUNT(Dong12),"",OFFSET(TH!H$1,SMALL(Dong12,ROWS($1:14)),))</f>
        <v/>
      </c>
      <c r="F27" s="377" t="str">
        <f t="shared" ca="1" si="0"/>
        <v/>
      </c>
      <c r="G27" s="378">
        <f ca="1">IF(ROWS($1:14)&gt;COUNT(Dong12),0,IF(MID(OFFSET(TH!D$1,SMALL(Dong12,ROWS($1:14)),),4,1)="N",OFFSET(TH!I$1,SMALL(Dong12,ROWS($1:14)),),0))</f>
        <v>0</v>
      </c>
      <c r="H27" s="378">
        <f ca="1">IF(ROWS($1:14)&gt;COUNT(Dong12),0,IF(MID(OFFSET(TH!D$1,SMALL(Dong12,ROWS($1:14)),),4,1)="X",OFFSET(TH!I$1,SMALL(Dong12,ROWS($1:14)),),0))</f>
        <v>0</v>
      </c>
      <c r="I27" s="379">
        <f t="shared" ca="1" si="1"/>
        <v>0</v>
      </c>
      <c r="J27" s="380"/>
      <c r="K27" s="381"/>
    </row>
    <row r="28" spans="1:11" ht="16.5" customHeight="1">
      <c r="A28" s="382" t="str">
        <f t="shared" ca="1" si="2"/>
        <v/>
      </c>
      <c r="B28" s="377" t="str">
        <f ca="1">IF(ROWS($1:15)&gt;COUNT(Dong12),"",OFFSET(TH!E$1,SMALL(Dong12,ROWS($1:15)),))</f>
        <v/>
      </c>
      <c r="C28" s="429" t="str">
        <f ca="1">IF(ROWS($1:15)&gt;COUNT(Dong12),"",IF(MID(OFFSET(TH!D$1,SMALL(Dong12,ROWS($1:15)),),4,1)="N",OFFSET(TH!D$1,SMALL(Dong12,ROWS($1:15)),),""))</f>
        <v/>
      </c>
      <c r="D28" s="377" t="str">
        <f ca="1">IF(ROWS($1:15)&gt;COUNT(Dong12),"",IF(MID(OFFSET(TH!D$1,SMALL(Dong12,ROWS($1:15)),),4,1)="X",OFFSET(TH!D$1,SMALL(Dong12,ROWS($1:15)),),""))</f>
        <v/>
      </c>
      <c r="E28" s="622" t="str">
        <f ca="1">IF(ROWS($1:15)&gt;COUNT(Dong12),"",OFFSET(TH!H$1,SMALL(Dong12,ROWS($1:15)),))</f>
        <v/>
      </c>
      <c r="F28" s="377" t="str">
        <f t="shared" ca="1" si="0"/>
        <v/>
      </c>
      <c r="G28" s="378">
        <f ca="1">IF(ROWS($1:15)&gt;COUNT(Dong12),0,IF(MID(OFFSET(TH!D$1,SMALL(Dong12,ROWS($1:15)),),4,1)="N",OFFSET(TH!I$1,SMALL(Dong12,ROWS($1:15)),),0))</f>
        <v>0</v>
      </c>
      <c r="H28" s="378">
        <f ca="1">IF(ROWS($1:15)&gt;COUNT(Dong12),0,IF(MID(OFFSET(TH!D$1,SMALL(Dong12,ROWS($1:15)),),4,1)="X",OFFSET(TH!I$1,SMALL(Dong12,ROWS($1:15)),),0))</f>
        <v>0</v>
      </c>
      <c r="I28" s="379">
        <f t="shared" ca="1" si="1"/>
        <v>0</v>
      </c>
      <c r="J28" s="380"/>
      <c r="K28" s="381"/>
    </row>
    <row r="29" spans="1:11" ht="16.5" customHeight="1">
      <c r="A29" s="382" t="str">
        <f t="shared" ca="1" si="2"/>
        <v/>
      </c>
      <c r="B29" s="377" t="str">
        <f ca="1">IF(ROWS($1:16)&gt;COUNT(Dong12),"",OFFSET(TH!E$1,SMALL(Dong12,ROWS($1:16)),))</f>
        <v/>
      </c>
      <c r="C29" s="429" t="str">
        <f ca="1">IF(ROWS($1:16)&gt;COUNT(Dong12),"",IF(MID(OFFSET(TH!D$1,SMALL(Dong12,ROWS($1:16)),),4,1)="N",OFFSET(TH!D$1,SMALL(Dong12,ROWS($1:16)),),""))</f>
        <v/>
      </c>
      <c r="D29" s="377" t="str">
        <f ca="1">IF(ROWS($1:16)&gt;COUNT(Dong12),"",IF(MID(OFFSET(TH!D$1,SMALL(Dong12,ROWS($1:16)),),4,1)="X",OFFSET(TH!D$1,SMALL(Dong12,ROWS($1:16)),),""))</f>
        <v/>
      </c>
      <c r="E29" s="622" t="str">
        <f ca="1">IF(ROWS($1:16)&gt;COUNT(Dong12),"",OFFSET(TH!H$1,SMALL(Dong12,ROWS($1:16)),))</f>
        <v/>
      </c>
      <c r="F29" s="377" t="str">
        <f t="shared" ca="1" si="0"/>
        <v/>
      </c>
      <c r="G29" s="378">
        <f ca="1">IF(ROWS($1:16)&gt;COUNT(Dong12),0,IF(MID(OFFSET(TH!D$1,SMALL(Dong12,ROWS($1:16)),),4,1)="N",OFFSET(TH!I$1,SMALL(Dong12,ROWS($1:16)),),0))</f>
        <v>0</v>
      </c>
      <c r="H29" s="378">
        <f ca="1">IF(ROWS($1:16)&gt;COUNT(Dong12),0,IF(MID(OFFSET(TH!D$1,SMALL(Dong12,ROWS($1:16)),),4,1)="X",OFFSET(TH!I$1,SMALL(Dong12,ROWS($1:16)),),0))</f>
        <v>0</v>
      </c>
      <c r="I29" s="379">
        <f t="shared" ca="1" si="1"/>
        <v>0</v>
      </c>
      <c r="J29" s="380"/>
      <c r="K29" s="381"/>
    </row>
    <row r="30" spans="1:11" ht="16.5" customHeight="1">
      <c r="A30" s="382" t="str">
        <f t="shared" ca="1" si="2"/>
        <v/>
      </c>
      <c r="B30" s="377" t="str">
        <f ca="1">IF(ROWS($1:17)&gt;COUNT(Dong12),"",OFFSET(TH!E$1,SMALL(Dong12,ROWS($1:17)),))</f>
        <v/>
      </c>
      <c r="C30" s="429" t="str">
        <f ca="1">IF(ROWS($1:17)&gt;COUNT(Dong12),"",IF(MID(OFFSET(TH!D$1,SMALL(Dong12,ROWS($1:17)),),4,1)="N",OFFSET(TH!D$1,SMALL(Dong12,ROWS($1:17)),),""))</f>
        <v/>
      </c>
      <c r="D30" s="377" t="str">
        <f ca="1">IF(ROWS($1:17)&gt;COUNT(Dong12),"",IF(MID(OFFSET(TH!D$1,SMALL(Dong12,ROWS($1:17)),),4,1)="X",OFFSET(TH!D$1,SMALL(Dong12,ROWS($1:17)),),""))</f>
        <v/>
      </c>
      <c r="E30" s="622" t="str">
        <f ca="1">IF(ROWS($1:17)&gt;COUNT(Dong12),"",OFFSET(TH!H$1,SMALL(Dong12,ROWS($1:17)),))</f>
        <v/>
      </c>
      <c r="F30" s="377" t="str">
        <f t="shared" ca="1" si="0"/>
        <v/>
      </c>
      <c r="G30" s="378">
        <f ca="1">IF(ROWS($1:17)&gt;COUNT(Dong12),0,IF(MID(OFFSET(TH!D$1,SMALL(Dong12,ROWS($1:17)),),4,1)="N",OFFSET(TH!I$1,SMALL(Dong12,ROWS($1:17)),),0))</f>
        <v>0</v>
      </c>
      <c r="H30" s="378">
        <f ca="1">IF(ROWS($1:17)&gt;COUNT(Dong12),0,IF(MID(OFFSET(TH!D$1,SMALL(Dong12,ROWS($1:17)),),4,1)="X",OFFSET(TH!I$1,SMALL(Dong12,ROWS($1:17)),),0))</f>
        <v>0</v>
      </c>
      <c r="I30" s="379">
        <f t="shared" ca="1" si="1"/>
        <v>0</v>
      </c>
      <c r="J30" s="380"/>
      <c r="K30" s="381"/>
    </row>
    <row r="31" spans="1:11" ht="16.5" customHeight="1">
      <c r="A31" s="383" t="str">
        <f>IF(D31&lt;&gt;"",A21+1,"")</f>
        <v/>
      </c>
      <c r="B31" s="384"/>
      <c r="C31" s="385"/>
      <c r="D31" s="385"/>
      <c r="E31" s="623"/>
      <c r="F31" s="384"/>
      <c r="G31" s="386"/>
      <c r="H31" s="386"/>
      <c r="I31" s="386"/>
      <c r="J31" s="387"/>
      <c r="K31" s="381"/>
    </row>
    <row r="32" spans="1:11" ht="16.5" customHeight="1">
      <c r="A32" s="371"/>
      <c r="B32" s="388"/>
      <c r="C32" s="371"/>
      <c r="D32" s="371"/>
      <c r="E32" s="372" t="s">
        <v>235</v>
      </c>
      <c r="F32" s="389" t="s">
        <v>19</v>
      </c>
      <c r="G32" s="390">
        <f ca="1">SUM(G14:G31)</f>
        <v>0</v>
      </c>
      <c r="H32" s="390">
        <f ca="1">SUM(H14:H31)</f>
        <v>0</v>
      </c>
      <c r="I32" s="390" t="e">
        <f ca="1">I13+G32-H32</f>
        <v>#N/A</v>
      </c>
      <c r="J32" s="371" t="s">
        <v>19</v>
      </c>
      <c r="K32" s="391"/>
    </row>
    <row r="33" spans="1:11" ht="12.75" customHeight="1">
      <c r="A33" s="392"/>
      <c r="B33" s="350"/>
      <c r="C33" s="392"/>
      <c r="D33" s="392"/>
      <c r="E33" s="356"/>
      <c r="F33" s="350"/>
      <c r="G33" s="357"/>
      <c r="H33" s="357"/>
      <c r="I33" s="357"/>
      <c r="J33" s="346"/>
      <c r="K33" s="346"/>
    </row>
    <row r="34" spans="1:11" ht="15">
      <c r="A34" s="393" t="s">
        <v>236</v>
      </c>
      <c r="B34" s="393"/>
      <c r="C34" s="394"/>
      <c r="D34" s="394"/>
      <c r="E34" s="356"/>
      <c r="F34" s="350"/>
      <c r="G34" s="357"/>
      <c r="H34" s="357"/>
      <c r="I34" s="357"/>
      <c r="J34" s="346"/>
      <c r="K34" s="346"/>
    </row>
    <row r="35" spans="1:11" ht="15">
      <c r="A35" s="111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12"/>
      <c r="C35" s="1112"/>
      <c r="D35" s="1112"/>
      <c r="E35" s="1112"/>
      <c r="F35" s="350"/>
      <c r="G35" s="357"/>
      <c r="H35" s="357"/>
      <c r="I35" s="357"/>
      <c r="J35" s="346"/>
      <c r="K35" s="346"/>
    </row>
    <row r="36" spans="1:11" ht="15">
      <c r="A36" s="395"/>
      <c r="B36" s="396"/>
      <c r="C36" s="397"/>
      <c r="D36" s="392"/>
      <c r="E36" s="356"/>
      <c r="F36" s="350"/>
      <c r="H36" s="298"/>
      <c r="I36" s="520" t="e">
        <f ca="1">"Ngày 31 tháng  12  năm  "&amp;YEAR($B$14)</f>
        <v>#VALUE!</v>
      </c>
      <c r="J36" s="298"/>
      <c r="K36" s="299"/>
    </row>
    <row r="37" spans="1:11" ht="15" customHeight="1">
      <c r="A37" s="395"/>
      <c r="C37" s="398" t="s">
        <v>237</v>
      </c>
      <c r="D37" s="392"/>
      <c r="E37" s="1113" t="s">
        <v>12</v>
      </c>
      <c r="F37" s="1113"/>
      <c r="G37" s="357"/>
      <c r="I37" s="549" t="s">
        <v>109</v>
      </c>
      <c r="J37" s="348"/>
      <c r="K37" s="395"/>
    </row>
    <row r="38" spans="1:11" ht="15" customHeight="1">
      <c r="A38" s="399"/>
      <c r="C38" s="400" t="s">
        <v>13</v>
      </c>
      <c r="D38" s="401"/>
      <c r="E38" s="1107" t="s">
        <v>13</v>
      </c>
      <c r="F38" s="1107"/>
      <c r="G38" s="357"/>
      <c r="I38" s="550" t="s">
        <v>136</v>
      </c>
      <c r="J38" s="548"/>
      <c r="K38" s="399"/>
    </row>
    <row r="39" spans="1:11" ht="15">
      <c r="A39" s="399"/>
      <c r="C39" s="400"/>
      <c r="D39" s="392"/>
      <c r="E39" s="402"/>
      <c r="F39" s="403"/>
      <c r="G39" s="357"/>
      <c r="H39" s="399"/>
      <c r="I39" s="399"/>
      <c r="J39" s="399"/>
      <c r="K39" s="399"/>
    </row>
    <row r="40" spans="1:11" ht="15">
      <c r="A40" s="399"/>
      <c r="B40" s="400"/>
      <c r="C40" s="399"/>
      <c r="D40" s="392"/>
      <c r="E40" s="402"/>
      <c r="F40" s="403"/>
      <c r="G40" s="357"/>
      <c r="H40" s="399"/>
      <c r="I40" s="399"/>
      <c r="J40" s="399"/>
      <c r="K40" s="399"/>
    </row>
    <row r="41" spans="1:11" ht="15">
      <c r="A41" s="399"/>
      <c r="B41" s="400"/>
      <c r="C41" s="399"/>
      <c r="D41" s="392"/>
      <c r="E41" s="402"/>
      <c r="F41" s="403"/>
      <c r="G41" s="357"/>
      <c r="H41" s="399"/>
      <c r="I41" s="399"/>
      <c r="J41" s="399"/>
      <c r="K41" s="399"/>
    </row>
    <row r="46" spans="1:11" ht="15">
      <c r="C46" s="551" t="s">
        <v>325</v>
      </c>
      <c r="H46" s="547"/>
      <c r="I46" s="546" t="s">
        <v>103</v>
      </c>
      <c r="J46" s="547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717"/>
  <sheetViews>
    <sheetView topLeftCell="A559" workbookViewId="0">
      <selection activeCell="S718" sqref="S718"/>
    </sheetView>
  </sheetViews>
  <sheetFormatPr defaultColWidth="10.28515625" defaultRowHeight="12.75"/>
  <cols>
    <col min="1" max="1" width="4.7109375" style="669" customWidth="1"/>
    <col min="2" max="2" width="27.5703125" style="669" customWidth="1"/>
    <col min="3" max="3" width="10.140625" style="682" customWidth="1"/>
    <col min="4" max="4" width="9.5703125" style="683" customWidth="1"/>
    <col min="5" max="7" width="7.140625" style="715" customWidth="1"/>
    <col min="8" max="8" width="8.5703125" style="669" customWidth="1"/>
    <col min="9" max="10" width="8.42578125" style="669" customWidth="1"/>
    <col min="11" max="11" width="8" style="669" customWidth="1"/>
    <col min="12" max="12" width="7.85546875" style="684" customWidth="1"/>
    <col min="13" max="13" width="2" style="681" customWidth="1"/>
    <col min="14" max="14" width="28.140625" style="669" customWidth="1"/>
    <col min="15" max="15" width="10.140625" style="682" customWidth="1"/>
    <col min="16" max="16" width="8.140625" style="715" customWidth="1"/>
    <col min="17" max="17" width="7.5703125" style="282" customWidth="1"/>
    <col min="18" max="18" width="13.28515625" style="669" customWidth="1"/>
    <col min="19" max="19" width="14.28515625" style="669" customWidth="1"/>
    <col min="20" max="20" width="16.7109375" style="669" customWidth="1"/>
    <col min="21" max="16384" width="10.28515625" style="669"/>
  </cols>
  <sheetData>
    <row r="1" spans="1:20" ht="18" hidden="1" customHeight="1">
      <c r="A1" s="530" t="str">
        <f>TH!$A$1</f>
        <v>Đơn vị: CÔNG TY TNHH SX TM KIM DUNG PHÁT</v>
      </c>
      <c r="B1" s="670"/>
      <c r="C1" s="665"/>
      <c r="H1" s="282"/>
      <c r="I1" s="558"/>
      <c r="J1" s="558"/>
      <c r="K1" s="282"/>
      <c r="M1" s="684"/>
      <c r="N1" s="282"/>
      <c r="O1" s="665"/>
    </row>
    <row r="2" spans="1:20" ht="18.75" customHeight="1">
      <c r="A2" s="671" t="s">
        <v>1271</v>
      </c>
      <c r="B2" s="671"/>
      <c r="C2" s="665"/>
      <c r="E2" s="761"/>
      <c r="F2" s="761"/>
      <c r="G2" s="761"/>
      <c r="H2" s="671"/>
      <c r="I2" s="671"/>
      <c r="J2" s="671"/>
      <c r="K2" s="671"/>
      <c r="M2" s="684"/>
      <c r="N2" s="282"/>
      <c r="O2" s="665"/>
    </row>
    <row r="3" spans="1:20" ht="12.75" customHeight="1">
      <c r="A3" s="710"/>
      <c r="B3" s="707"/>
      <c r="C3" s="710"/>
      <c r="D3" s="710"/>
      <c r="E3" s="762"/>
      <c r="F3" s="762"/>
      <c r="G3" s="762"/>
      <c r="H3" s="707"/>
      <c r="I3" s="686"/>
      <c r="J3" s="686"/>
      <c r="K3" s="707"/>
      <c r="M3" s="684"/>
      <c r="N3" s="679"/>
      <c r="O3" s="710"/>
      <c r="P3" s="716"/>
      <c r="Q3" s="687"/>
      <c r="R3" s="710"/>
      <c r="S3" s="679"/>
    </row>
    <row r="4" spans="1:20" s="412" customFormat="1" ht="21" customHeight="1">
      <c r="A4" s="1116" t="s">
        <v>35</v>
      </c>
      <c r="B4" s="1116" t="s">
        <v>238</v>
      </c>
      <c r="C4" s="1116" t="s">
        <v>723</v>
      </c>
      <c r="D4" s="1116" t="s">
        <v>724</v>
      </c>
      <c r="E4" s="1117" t="s">
        <v>725</v>
      </c>
      <c r="F4" s="1118"/>
      <c r="G4" s="1118"/>
      <c r="H4" s="1119"/>
      <c r="I4" s="1116" t="s">
        <v>239</v>
      </c>
      <c r="J4" s="1123" t="s">
        <v>735</v>
      </c>
      <c r="K4" s="1116" t="s">
        <v>729</v>
      </c>
      <c r="L4" s="411"/>
      <c r="M4" s="411"/>
      <c r="N4" s="1116" t="s">
        <v>238</v>
      </c>
      <c r="O4" s="1116" t="s">
        <v>730</v>
      </c>
      <c r="P4" s="1116" t="s">
        <v>197</v>
      </c>
      <c r="Q4" s="1116" t="s">
        <v>240</v>
      </c>
      <c r="R4" s="1116" t="s">
        <v>241</v>
      </c>
    </row>
    <row r="5" spans="1:20" s="412" customFormat="1" ht="21" customHeight="1">
      <c r="A5" s="1116"/>
      <c r="B5" s="1116"/>
      <c r="C5" s="1116"/>
      <c r="D5" s="1116"/>
      <c r="E5" s="717" t="s">
        <v>726</v>
      </c>
      <c r="F5" s="717" t="s">
        <v>727</v>
      </c>
      <c r="G5" s="717" t="s">
        <v>728</v>
      </c>
      <c r="H5" s="410" t="s">
        <v>733</v>
      </c>
      <c r="I5" s="1116"/>
      <c r="J5" s="1124"/>
      <c r="K5" s="1116"/>
      <c r="L5" s="411"/>
      <c r="M5" s="411"/>
      <c r="N5" s="1116"/>
      <c r="O5" s="1116"/>
      <c r="P5" s="1116"/>
      <c r="Q5" s="1116"/>
      <c r="R5" s="1116"/>
    </row>
    <row r="6" spans="1:20" ht="16.5" customHeight="1">
      <c r="A6" s="673">
        <f>IF(B6&lt;&gt;"",ROW()-(ROW()-1),"")</f>
        <v>1</v>
      </c>
      <c r="B6" s="284" t="s">
        <v>482</v>
      </c>
      <c r="C6" s="689">
        <v>42373</v>
      </c>
      <c r="D6" s="690" t="s">
        <v>828</v>
      </c>
      <c r="E6" s="763">
        <v>46</v>
      </c>
      <c r="F6" s="763">
        <v>42</v>
      </c>
      <c r="G6" s="763">
        <v>24.5</v>
      </c>
      <c r="H6" s="759">
        <f>IF(G6&lt;&gt;"",ROUND(((E6+F6)*2+5)*(F6+G6+3)/10000,2),ROUND(E6*F6/10000,2))</f>
        <v>1.26</v>
      </c>
      <c r="I6" s="674">
        <v>695</v>
      </c>
      <c r="J6" s="674">
        <f>H6*I6</f>
        <v>875.7</v>
      </c>
      <c r="K6" s="674">
        <f t="shared" ref="K6:K69" si="0">H6*$R$43</f>
        <v>10512.108116819038</v>
      </c>
      <c r="L6" s="621">
        <v>8500</v>
      </c>
      <c r="M6" s="688"/>
      <c r="N6" s="413" t="s">
        <v>676</v>
      </c>
      <c r="O6" s="689">
        <v>42371</v>
      </c>
      <c r="P6" s="294">
        <v>5441</v>
      </c>
      <c r="Q6" s="709">
        <v>7300</v>
      </c>
      <c r="R6" s="8">
        <f t="shared" ref="R6:R25" si="1">ROUND(P6*Q6,0)</f>
        <v>39719300</v>
      </c>
      <c r="S6" s="669">
        <f>I6*L6</f>
        <v>5907500</v>
      </c>
      <c r="T6" s="669">
        <f>I6*K6</f>
        <v>7305915.1411892315</v>
      </c>
    </row>
    <row r="7" spans="1:20" ht="16.5" customHeight="1">
      <c r="A7" s="673">
        <f>IF(B7&lt;&gt;"",A6+1,"")</f>
        <v>2</v>
      </c>
      <c r="B7" s="286" t="s">
        <v>404</v>
      </c>
      <c r="C7" s="691">
        <v>42373</v>
      </c>
      <c r="D7" s="692" t="s">
        <v>828</v>
      </c>
      <c r="E7" s="764">
        <v>46</v>
      </c>
      <c r="F7" s="763">
        <v>42</v>
      </c>
      <c r="G7" s="763">
        <v>13</v>
      </c>
      <c r="H7" s="759">
        <f t="shared" ref="H7:H70" si="2">IF(G7&lt;&gt;"",ROUND(((E7+F7)*2+5)*(F7+G7+3)/10000,2),ROUND(E7*F7/10000,2))</f>
        <v>1.05</v>
      </c>
      <c r="I7" s="252">
        <v>2840</v>
      </c>
      <c r="J7" s="674">
        <f t="shared" ref="J7:J54" si="3">H7*I7</f>
        <v>2982</v>
      </c>
      <c r="K7" s="674">
        <f t="shared" si="0"/>
        <v>8760.0900973491971</v>
      </c>
      <c r="L7" s="621">
        <v>6900</v>
      </c>
      <c r="M7" s="688"/>
      <c r="N7" s="286" t="s">
        <v>682</v>
      </c>
      <c r="O7" s="689">
        <v>42379</v>
      </c>
      <c r="P7" s="718">
        <v>12500</v>
      </c>
      <c r="Q7" s="708">
        <v>7600</v>
      </c>
      <c r="R7" s="8">
        <f t="shared" si="1"/>
        <v>95000000</v>
      </c>
      <c r="S7" s="669">
        <f t="shared" ref="S7:S70" si="4">I7*L7</f>
        <v>19596000</v>
      </c>
      <c r="T7" s="669">
        <f t="shared" ref="T7:T70" si="5">I7*K7</f>
        <v>24878655.876471721</v>
      </c>
    </row>
    <row r="8" spans="1:20" ht="16.5" customHeight="1">
      <c r="A8" s="673">
        <f t="shared" ref="A8:A60" si="6">IF(B8&lt;&gt;"",A7+1,"")</f>
        <v>3</v>
      </c>
      <c r="B8" s="286" t="s">
        <v>863</v>
      </c>
      <c r="C8" s="691">
        <v>42373</v>
      </c>
      <c r="D8" s="692" t="s">
        <v>864</v>
      </c>
      <c r="E8" s="764">
        <v>37.5</v>
      </c>
      <c r="F8" s="763">
        <v>30.5</v>
      </c>
      <c r="G8" s="763">
        <v>29.5</v>
      </c>
      <c r="H8" s="759">
        <f t="shared" si="2"/>
        <v>0.89</v>
      </c>
      <c r="I8" s="252">
        <v>500</v>
      </c>
      <c r="J8" s="674">
        <f t="shared" si="3"/>
        <v>445</v>
      </c>
      <c r="K8" s="674">
        <f t="shared" si="0"/>
        <v>7425.2192253721769</v>
      </c>
      <c r="L8" s="621">
        <v>11000</v>
      </c>
      <c r="M8" s="688"/>
      <c r="N8" s="414" t="s">
        <v>676</v>
      </c>
      <c r="O8" s="689">
        <v>42419</v>
      </c>
      <c r="P8" s="718">
        <v>1510</v>
      </c>
      <c r="Q8" s="708">
        <v>7300</v>
      </c>
      <c r="R8" s="8">
        <f t="shared" si="1"/>
        <v>11023000</v>
      </c>
      <c r="S8" s="669">
        <f t="shared" si="4"/>
        <v>5500000</v>
      </c>
      <c r="T8" s="669">
        <f t="shared" si="5"/>
        <v>3712609.6126860883</v>
      </c>
    </row>
    <row r="9" spans="1:20" ht="16.5" customHeight="1">
      <c r="A9" s="673">
        <f t="shared" si="6"/>
        <v>4</v>
      </c>
      <c r="B9" s="286" t="s">
        <v>1443</v>
      </c>
      <c r="C9" s="691">
        <v>42374</v>
      </c>
      <c r="D9" s="692" t="s">
        <v>865</v>
      </c>
      <c r="E9" s="764">
        <v>49</v>
      </c>
      <c r="F9" s="763">
        <v>38</v>
      </c>
      <c r="G9" s="763">
        <v>12</v>
      </c>
      <c r="H9" s="759">
        <f t="shared" si="2"/>
        <v>0.95</v>
      </c>
      <c r="I9" s="252">
        <v>716</v>
      </c>
      <c r="J9" s="674">
        <f t="shared" si="3"/>
        <v>680.19999999999993</v>
      </c>
      <c r="K9" s="674">
        <f t="shared" si="0"/>
        <v>7925.7958023635592</v>
      </c>
      <c r="L9" s="621">
        <v>10500</v>
      </c>
      <c r="M9" s="688"/>
      <c r="N9" s="414" t="s">
        <v>676</v>
      </c>
      <c r="O9" s="689">
        <v>42419</v>
      </c>
      <c r="P9" s="718">
        <v>940</v>
      </c>
      <c r="Q9" s="708">
        <v>7200</v>
      </c>
      <c r="R9" s="8">
        <f t="shared" si="1"/>
        <v>6768000</v>
      </c>
      <c r="S9" s="669">
        <f t="shared" si="4"/>
        <v>7518000</v>
      </c>
      <c r="T9" s="669">
        <f t="shared" si="5"/>
        <v>5674869.7944923081</v>
      </c>
    </row>
    <row r="10" spans="1:20" ht="16.5" customHeight="1">
      <c r="A10" s="673">
        <f t="shared" si="6"/>
        <v>5</v>
      </c>
      <c r="B10" s="286" t="s">
        <v>1443</v>
      </c>
      <c r="C10" s="691">
        <v>42374</v>
      </c>
      <c r="D10" s="692" t="s">
        <v>865</v>
      </c>
      <c r="E10" s="764">
        <v>49</v>
      </c>
      <c r="F10" s="763">
        <v>38</v>
      </c>
      <c r="G10" s="763">
        <v>13</v>
      </c>
      <c r="H10" s="759">
        <f t="shared" si="2"/>
        <v>0.97</v>
      </c>
      <c r="I10" s="252">
        <v>732</v>
      </c>
      <c r="J10" s="674">
        <f t="shared" si="3"/>
        <v>710.04</v>
      </c>
      <c r="K10" s="674">
        <f t="shared" si="0"/>
        <v>8092.654661360687</v>
      </c>
      <c r="L10" s="621">
        <v>10500</v>
      </c>
      <c r="M10" s="688"/>
      <c r="N10" s="414" t="s">
        <v>676</v>
      </c>
      <c r="O10" s="689">
        <v>42420</v>
      </c>
      <c r="P10" s="718">
        <v>2510</v>
      </c>
      <c r="Q10" s="708">
        <v>7200</v>
      </c>
      <c r="R10" s="8">
        <f t="shared" si="1"/>
        <v>18072000</v>
      </c>
      <c r="S10" s="669">
        <f t="shared" si="4"/>
        <v>7686000</v>
      </c>
      <c r="T10" s="669">
        <f t="shared" si="5"/>
        <v>5923823.2121160226</v>
      </c>
    </row>
    <row r="11" spans="1:20" ht="16.5" customHeight="1">
      <c r="A11" s="673">
        <f t="shared" si="6"/>
        <v>6</v>
      </c>
      <c r="B11" s="286" t="s">
        <v>389</v>
      </c>
      <c r="C11" s="691">
        <v>42374</v>
      </c>
      <c r="D11" s="692" t="s">
        <v>866</v>
      </c>
      <c r="E11" s="764">
        <v>52</v>
      </c>
      <c r="F11" s="763">
        <v>24.5</v>
      </c>
      <c r="G11" s="763">
        <v>24.5</v>
      </c>
      <c r="H11" s="759">
        <f t="shared" si="2"/>
        <v>0.82</v>
      </c>
      <c r="I11" s="252">
        <v>626</v>
      </c>
      <c r="J11" s="674">
        <f t="shared" si="3"/>
        <v>513.31999999999994</v>
      </c>
      <c r="K11" s="674">
        <f t="shared" si="0"/>
        <v>6841.2132188822297</v>
      </c>
      <c r="L11" s="621">
        <v>5000</v>
      </c>
      <c r="M11" s="688"/>
      <c r="N11" s="286" t="s">
        <v>682</v>
      </c>
      <c r="O11" s="689">
        <v>42422</v>
      </c>
      <c r="P11" s="718">
        <f>25567-P7</f>
        <v>13067</v>
      </c>
      <c r="Q11" s="708">
        <v>7600</v>
      </c>
      <c r="R11" s="8">
        <f t="shared" si="1"/>
        <v>99309200</v>
      </c>
      <c r="S11" s="669">
        <f t="shared" si="4"/>
        <v>3130000</v>
      </c>
      <c r="T11" s="669">
        <f t="shared" si="5"/>
        <v>4282599.4750202755</v>
      </c>
    </row>
    <row r="12" spans="1:20" ht="16.5" customHeight="1">
      <c r="A12" s="673">
        <f t="shared" si="6"/>
        <v>7</v>
      </c>
      <c r="B12" s="286" t="s">
        <v>392</v>
      </c>
      <c r="C12" s="691">
        <v>42374</v>
      </c>
      <c r="D12" s="692" t="s">
        <v>866</v>
      </c>
      <c r="E12" s="764">
        <v>52</v>
      </c>
      <c r="F12" s="763">
        <v>32</v>
      </c>
      <c r="G12" s="763">
        <v>21</v>
      </c>
      <c r="H12" s="759">
        <f t="shared" si="2"/>
        <v>0.97</v>
      </c>
      <c r="I12" s="252">
        <v>613</v>
      </c>
      <c r="J12" s="674">
        <f t="shared" si="3"/>
        <v>594.61</v>
      </c>
      <c r="K12" s="674">
        <f t="shared" si="0"/>
        <v>8092.654661360687</v>
      </c>
      <c r="L12" s="621">
        <v>5800</v>
      </c>
      <c r="M12" s="688"/>
      <c r="N12" s="414" t="s">
        <v>676</v>
      </c>
      <c r="O12" s="689">
        <v>42423</v>
      </c>
      <c r="P12" s="718">
        <v>2510</v>
      </c>
      <c r="Q12" s="708">
        <v>7200</v>
      </c>
      <c r="R12" s="8">
        <f t="shared" si="1"/>
        <v>18072000</v>
      </c>
      <c r="S12" s="669">
        <f t="shared" si="4"/>
        <v>3555400</v>
      </c>
      <c r="T12" s="669">
        <f t="shared" si="5"/>
        <v>4960797.3074141014</v>
      </c>
    </row>
    <row r="13" spans="1:20" ht="16.5" customHeight="1">
      <c r="A13" s="673">
        <f t="shared" si="6"/>
        <v>8</v>
      </c>
      <c r="B13" s="286" t="s">
        <v>594</v>
      </c>
      <c r="C13" s="691">
        <v>42374</v>
      </c>
      <c r="D13" s="692" t="s">
        <v>866</v>
      </c>
      <c r="E13" s="764">
        <v>50</v>
      </c>
      <c r="F13" s="763">
        <v>25</v>
      </c>
      <c r="G13" s="763">
        <v>30</v>
      </c>
      <c r="H13" s="759">
        <f t="shared" si="2"/>
        <v>0.9</v>
      </c>
      <c r="I13" s="252">
        <v>612</v>
      </c>
      <c r="J13" s="674">
        <f t="shared" si="3"/>
        <v>550.80000000000007</v>
      </c>
      <c r="K13" s="674">
        <f t="shared" si="0"/>
        <v>7508.6486548707408</v>
      </c>
      <c r="L13" s="621">
        <v>5600</v>
      </c>
      <c r="M13" s="688"/>
      <c r="N13" s="414" t="s">
        <v>676</v>
      </c>
      <c r="O13" s="689">
        <v>42424</v>
      </c>
      <c r="P13" s="718">
        <v>2510</v>
      </c>
      <c r="Q13" s="708">
        <v>7200</v>
      </c>
      <c r="R13" s="8">
        <f t="shared" si="1"/>
        <v>18072000</v>
      </c>
      <c r="S13" s="669">
        <f t="shared" si="4"/>
        <v>3427200</v>
      </c>
      <c r="T13" s="669">
        <f t="shared" si="5"/>
        <v>4595292.9767808933</v>
      </c>
    </row>
    <row r="14" spans="1:20" ht="16.5" customHeight="1">
      <c r="A14" s="673">
        <f t="shared" si="6"/>
        <v>9</v>
      </c>
      <c r="B14" s="286" t="s">
        <v>389</v>
      </c>
      <c r="C14" s="691">
        <v>42374</v>
      </c>
      <c r="D14" s="692" t="s">
        <v>866</v>
      </c>
      <c r="E14" s="764">
        <v>52</v>
      </c>
      <c r="F14" s="763">
        <v>24.5</v>
      </c>
      <c r="G14" s="763">
        <v>24.5</v>
      </c>
      <c r="H14" s="759">
        <f t="shared" si="2"/>
        <v>0.82</v>
      </c>
      <c r="I14" s="252">
        <v>905</v>
      </c>
      <c r="J14" s="674">
        <f t="shared" si="3"/>
        <v>742.09999999999991</v>
      </c>
      <c r="K14" s="674">
        <f t="shared" si="0"/>
        <v>6841.2132188822297</v>
      </c>
      <c r="L14" s="621">
        <v>5000</v>
      </c>
      <c r="M14" s="688"/>
      <c r="N14" s="414" t="s">
        <v>676</v>
      </c>
      <c r="O14" s="689">
        <v>42430</v>
      </c>
      <c r="P14" s="718">
        <v>2267</v>
      </c>
      <c r="Q14" s="708">
        <v>7200</v>
      </c>
      <c r="R14" s="8">
        <f t="shared" si="1"/>
        <v>16322400</v>
      </c>
      <c r="S14" s="669">
        <f t="shared" si="4"/>
        <v>4525000</v>
      </c>
      <c r="T14" s="669">
        <f t="shared" si="5"/>
        <v>6191297.9630884184</v>
      </c>
    </row>
    <row r="15" spans="1:20" ht="16.5" customHeight="1">
      <c r="A15" s="673">
        <f t="shared" si="6"/>
        <v>10</v>
      </c>
      <c r="B15" s="286" t="s">
        <v>414</v>
      </c>
      <c r="C15" s="691">
        <v>42374</v>
      </c>
      <c r="D15" s="692" t="s">
        <v>866</v>
      </c>
      <c r="E15" s="764">
        <v>52</v>
      </c>
      <c r="F15" s="763">
        <v>26.5</v>
      </c>
      <c r="G15" s="763">
        <v>26.5</v>
      </c>
      <c r="H15" s="759">
        <f t="shared" si="2"/>
        <v>0.91</v>
      </c>
      <c r="I15" s="252">
        <v>642</v>
      </c>
      <c r="J15" s="674">
        <f t="shared" si="3"/>
        <v>584.22</v>
      </c>
      <c r="K15" s="674">
        <f t="shared" si="0"/>
        <v>7592.0780843693046</v>
      </c>
      <c r="L15" s="621">
        <v>5550</v>
      </c>
      <c r="M15" s="688"/>
      <c r="N15" s="414" t="s">
        <v>676</v>
      </c>
      <c r="O15" s="689">
        <v>42432</v>
      </c>
      <c r="P15" s="718">
        <v>2186</v>
      </c>
      <c r="Q15" s="708">
        <v>7200</v>
      </c>
      <c r="R15" s="8">
        <f t="shared" si="1"/>
        <v>15739200</v>
      </c>
      <c r="S15" s="669">
        <f t="shared" si="4"/>
        <v>3563100</v>
      </c>
      <c r="T15" s="669">
        <f t="shared" si="5"/>
        <v>4874114.1301650936</v>
      </c>
    </row>
    <row r="16" spans="1:20" ht="16.5" customHeight="1">
      <c r="A16" s="673">
        <f t="shared" si="6"/>
        <v>11</v>
      </c>
      <c r="B16" s="286" t="s">
        <v>436</v>
      </c>
      <c r="C16" s="691">
        <v>42375</v>
      </c>
      <c r="D16" s="692" t="s">
        <v>867</v>
      </c>
      <c r="E16" s="764">
        <v>37.5</v>
      </c>
      <c r="F16" s="763">
        <v>25.3</v>
      </c>
      <c r="G16" s="763">
        <v>23.9</v>
      </c>
      <c r="H16" s="759">
        <f t="shared" si="2"/>
        <v>0.68</v>
      </c>
      <c r="I16" s="252">
        <v>1580</v>
      </c>
      <c r="J16" s="674">
        <f t="shared" si="3"/>
        <v>1074.4000000000001</v>
      </c>
      <c r="K16" s="674">
        <f t="shared" si="0"/>
        <v>5673.2012059023382</v>
      </c>
      <c r="L16" s="621">
        <v>5900</v>
      </c>
      <c r="M16" s="688"/>
      <c r="N16" s="414" t="s">
        <v>676</v>
      </c>
      <c r="O16" s="689">
        <v>42438</v>
      </c>
      <c r="P16" s="718">
        <v>2409</v>
      </c>
      <c r="Q16" s="708">
        <v>7200</v>
      </c>
      <c r="R16" s="8">
        <f t="shared" si="1"/>
        <v>17344800</v>
      </c>
      <c r="S16" s="669">
        <f t="shared" si="4"/>
        <v>9322000</v>
      </c>
      <c r="T16" s="669">
        <f t="shared" si="5"/>
        <v>8963657.905325694</v>
      </c>
    </row>
    <row r="17" spans="1:20" ht="16.5" customHeight="1">
      <c r="A17" s="673">
        <f t="shared" si="6"/>
        <v>12</v>
      </c>
      <c r="B17" s="286" t="s">
        <v>512</v>
      </c>
      <c r="C17" s="691">
        <v>42376</v>
      </c>
      <c r="D17" s="692" t="s">
        <v>868</v>
      </c>
      <c r="E17" s="764">
        <v>33.700000000000003</v>
      </c>
      <c r="F17" s="763">
        <v>22.7</v>
      </c>
      <c r="G17" s="763">
        <v>19.3</v>
      </c>
      <c r="H17" s="759">
        <f t="shared" si="2"/>
        <v>0.53</v>
      </c>
      <c r="I17" s="252">
        <v>358</v>
      </c>
      <c r="J17" s="674">
        <f t="shared" si="3"/>
        <v>189.74</v>
      </c>
      <c r="K17" s="674">
        <f t="shared" si="0"/>
        <v>4421.7597634238809</v>
      </c>
      <c r="L17" s="621">
        <v>4900</v>
      </c>
      <c r="M17" s="688"/>
      <c r="N17" s="286" t="s">
        <v>682</v>
      </c>
      <c r="O17" s="689">
        <v>42439</v>
      </c>
      <c r="P17" s="718">
        <v>18000</v>
      </c>
      <c r="Q17" s="708">
        <v>8800</v>
      </c>
      <c r="R17" s="8">
        <f t="shared" si="1"/>
        <v>158400000</v>
      </c>
      <c r="S17" s="669">
        <f t="shared" si="4"/>
        <v>1754200</v>
      </c>
      <c r="T17" s="669">
        <f t="shared" si="5"/>
        <v>1582989.9953057494</v>
      </c>
    </row>
    <row r="18" spans="1:20" ht="16.5" customHeight="1">
      <c r="A18" s="673">
        <f t="shared" si="6"/>
        <v>13</v>
      </c>
      <c r="B18" s="286" t="s">
        <v>649</v>
      </c>
      <c r="C18" s="691">
        <v>42376</v>
      </c>
      <c r="D18" s="692" t="s">
        <v>869</v>
      </c>
      <c r="E18" s="764">
        <v>61</v>
      </c>
      <c r="F18" s="763">
        <v>36</v>
      </c>
      <c r="G18" s="763">
        <v>43</v>
      </c>
      <c r="H18" s="759">
        <f t="shared" si="2"/>
        <v>1.63</v>
      </c>
      <c r="I18" s="252">
        <v>203</v>
      </c>
      <c r="J18" s="674">
        <f t="shared" si="3"/>
        <v>330.89</v>
      </c>
      <c r="K18" s="674">
        <f t="shared" si="0"/>
        <v>13598.997008265897</v>
      </c>
      <c r="L18" s="621">
        <v>8900</v>
      </c>
      <c r="M18" s="688"/>
      <c r="N18" s="414" t="s">
        <v>676</v>
      </c>
      <c r="O18" s="689">
        <v>42440</v>
      </c>
      <c r="P18" s="718">
        <v>2428</v>
      </c>
      <c r="Q18" s="708">
        <v>7200</v>
      </c>
      <c r="R18" s="8">
        <f t="shared" si="1"/>
        <v>17481600</v>
      </c>
      <c r="S18" s="669">
        <f t="shared" si="4"/>
        <v>1806700</v>
      </c>
      <c r="T18" s="669">
        <f t="shared" si="5"/>
        <v>2760596.3926779772</v>
      </c>
    </row>
    <row r="19" spans="1:20" ht="16.5" customHeight="1">
      <c r="A19" s="673">
        <f t="shared" si="6"/>
        <v>14</v>
      </c>
      <c r="B19" s="286" t="s">
        <v>650</v>
      </c>
      <c r="C19" s="691">
        <v>42376</v>
      </c>
      <c r="D19" s="692" t="s">
        <v>869</v>
      </c>
      <c r="E19" s="764">
        <v>61</v>
      </c>
      <c r="F19" s="763">
        <v>49.5</v>
      </c>
      <c r="G19" s="763">
        <v>46</v>
      </c>
      <c r="H19" s="759">
        <f t="shared" si="2"/>
        <v>2.23</v>
      </c>
      <c r="I19" s="252">
        <v>104</v>
      </c>
      <c r="J19" s="674">
        <f t="shared" si="3"/>
        <v>231.92</v>
      </c>
      <c r="K19" s="674">
        <f t="shared" si="0"/>
        <v>18604.762778179724</v>
      </c>
      <c r="L19" s="621">
        <v>11500</v>
      </c>
      <c r="M19" s="688"/>
      <c r="N19" s="414" t="s">
        <v>676</v>
      </c>
      <c r="O19" s="689">
        <v>42441</v>
      </c>
      <c r="P19" s="718">
        <v>2260</v>
      </c>
      <c r="Q19" s="708">
        <v>7200</v>
      </c>
      <c r="R19" s="8">
        <f t="shared" si="1"/>
        <v>16272000</v>
      </c>
      <c r="S19" s="669">
        <f t="shared" si="4"/>
        <v>1196000</v>
      </c>
      <c r="T19" s="669">
        <f t="shared" si="5"/>
        <v>1934895.3289306914</v>
      </c>
    </row>
    <row r="20" spans="1:20" ht="16.5" customHeight="1">
      <c r="A20" s="673">
        <f t="shared" si="6"/>
        <v>15</v>
      </c>
      <c r="B20" s="286" t="s">
        <v>870</v>
      </c>
      <c r="C20" s="691">
        <v>42376</v>
      </c>
      <c r="D20" s="692" t="s">
        <v>869</v>
      </c>
      <c r="E20" s="764">
        <v>46</v>
      </c>
      <c r="F20" s="763">
        <v>36</v>
      </c>
      <c r="G20" s="763">
        <v>47</v>
      </c>
      <c r="H20" s="759">
        <f t="shared" si="2"/>
        <v>1.45</v>
      </c>
      <c r="I20" s="252">
        <v>20</v>
      </c>
      <c r="J20" s="674">
        <f t="shared" si="3"/>
        <v>29</v>
      </c>
      <c r="K20" s="674">
        <f t="shared" si="0"/>
        <v>12097.267277291749</v>
      </c>
      <c r="L20" s="621">
        <v>15000</v>
      </c>
      <c r="M20" s="688"/>
      <c r="N20" s="414" t="s">
        <v>676</v>
      </c>
      <c r="O20" s="689">
        <v>42443</v>
      </c>
      <c r="P20" s="718">
        <v>1923</v>
      </c>
      <c r="Q20" s="708">
        <v>7200</v>
      </c>
      <c r="R20" s="8">
        <f t="shared" si="1"/>
        <v>13845600</v>
      </c>
      <c r="S20" s="669">
        <f t="shared" si="4"/>
        <v>300000</v>
      </c>
      <c r="T20" s="669">
        <f t="shared" si="5"/>
        <v>241945.34554583498</v>
      </c>
    </row>
    <row r="21" spans="1:20" ht="16.5" customHeight="1">
      <c r="A21" s="673">
        <f t="shared" si="6"/>
        <v>16</v>
      </c>
      <c r="B21" s="286" t="s">
        <v>871</v>
      </c>
      <c r="C21" s="691">
        <v>42376</v>
      </c>
      <c r="D21" s="692" t="s">
        <v>869</v>
      </c>
      <c r="E21" s="764">
        <v>39</v>
      </c>
      <c r="F21" s="763">
        <v>45</v>
      </c>
      <c r="G21" s="763">
        <v>46</v>
      </c>
      <c r="H21" s="759">
        <f t="shared" si="2"/>
        <v>1.63</v>
      </c>
      <c r="I21" s="252">
        <v>23</v>
      </c>
      <c r="J21" s="674">
        <f t="shared" si="3"/>
        <v>37.489999999999995</v>
      </c>
      <c r="K21" s="674">
        <f t="shared" si="0"/>
        <v>13598.997008265897</v>
      </c>
      <c r="L21" s="621">
        <v>17000</v>
      </c>
      <c r="M21" s="688"/>
      <c r="N21" s="414" t="s">
        <v>676</v>
      </c>
      <c r="O21" s="689">
        <v>42444</v>
      </c>
      <c r="P21" s="718">
        <v>2406</v>
      </c>
      <c r="Q21" s="708">
        <v>7200</v>
      </c>
      <c r="R21" s="8">
        <f t="shared" si="1"/>
        <v>17323200</v>
      </c>
      <c r="S21" s="669">
        <f t="shared" si="4"/>
        <v>391000</v>
      </c>
      <c r="T21" s="669">
        <f t="shared" si="5"/>
        <v>312776.93119011563</v>
      </c>
    </row>
    <row r="22" spans="1:20" ht="16.5" customHeight="1">
      <c r="A22" s="673">
        <f t="shared" si="6"/>
        <v>17</v>
      </c>
      <c r="B22" s="286" t="s">
        <v>872</v>
      </c>
      <c r="C22" s="691">
        <v>42376</v>
      </c>
      <c r="D22" s="692" t="s">
        <v>869</v>
      </c>
      <c r="E22" s="764">
        <v>42</v>
      </c>
      <c r="F22" s="763">
        <v>48</v>
      </c>
      <c r="G22" s="763">
        <v>51</v>
      </c>
      <c r="H22" s="759">
        <f t="shared" si="2"/>
        <v>1.89</v>
      </c>
      <c r="I22" s="252">
        <v>22</v>
      </c>
      <c r="J22" s="674">
        <f t="shared" si="3"/>
        <v>41.58</v>
      </c>
      <c r="K22" s="674">
        <f t="shared" si="0"/>
        <v>15768.162175228555</v>
      </c>
      <c r="L22" s="621">
        <v>20000</v>
      </c>
      <c r="M22" s="688"/>
      <c r="N22" s="286" t="s">
        <v>682</v>
      </c>
      <c r="O22" s="689">
        <v>42445</v>
      </c>
      <c r="P22" s="718">
        <f>39846-P17</f>
        <v>21846</v>
      </c>
      <c r="Q22" s="708">
        <v>8800</v>
      </c>
      <c r="R22" s="8">
        <f t="shared" si="1"/>
        <v>192244800</v>
      </c>
      <c r="S22" s="669">
        <f t="shared" si="4"/>
        <v>440000</v>
      </c>
      <c r="T22" s="669">
        <f t="shared" si="5"/>
        <v>346899.5678550282</v>
      </c>
    </row>
    <row r="23" spans="1:20" ht="16.5" customHeight="1">
      <c r="A23" s="673">
        <f t="shared" si="6"/>
        <v>18</v>
      </c>
      <c r="B23" s="286" t="s">
        <v>873</v>
      </c>
      <c r="C23" s="691">
        <v>42376</v>
      </c>
      <c r="D23" s="692" t="s">
        <v>869</v>
      </c>
      <c r="E23" s="764">
        <v>46</v>
      </c>
      <c r="F23" s="763">
        <v>53</v>
      </c>
      <c r="G23" s="763">
        <v>55</v>
      </c>
      <c r="H23" s="759">
        <f t="shared" si="2"/>
        <v>2.25</v>
      </c>
      <c r="I23" s="252">
        <v>22</v>
      </c>
      <c r="J23" s="674">
        <f t="shared" si="3"/>
        <v>49.5</v>
      </c>
      <c r="K23" s="674">
        <f t="shared" si="0"/>
        <v>18771.621637176853</v>
      </c>
      <c r="L23" s="621">
        <v>22000</v>
      </c>
      <c r="M23" s="688"/>
      <c r="N23" s="414" t="s">
        <v>676</v>
      </c>
      <c r="O23" s="689">
        <v>42455</v>
      </c>
      <c r="P23" s="718">
        <v>1603</v>
      </c>
      <c r="Q23" s="708">
        <v>7200</v>
      </c>
      <c r="R23" s="8">
        <f t="shared" si="1"/>
        <v>11541600</v>
      </c>
      <c r="S23" s="669">
        <f t="shared" si="4"/>
        <v>484000</v>
      </c>
      <c r="T23" s="669">
        <f t="shared" si="5"/>
        <v>412975.6760178908</v>
      </c>
    </row>
    <row r="24" spans="1:20" ht="16.5" customHeight="1">
      <c r="A24" s="673">
        <f t="shared" si="6"/>
        <v>19</v>
      </c>
      <c r="B24" s="286" t="s">
        <v>874</v>
      </c>
      <c r="C24" s="691">
        <v>42376</v>
      </c>
      <c r="D24" s="692" t="s">
        <v>869</v>
      </c>
      <c r="E24" s="764">
        <v>51</v>
      </c>
      <c r="F24" s="763">
        <v>62</v>
      </c>
      <c r="G24" s="763">
        <v>55</v>
      </c>
      <c r="H24" s="759">
        <f t="shared" si="2"/>
        <v>2.77</v>
      </c>
      <c r="I24" s="252">
        <v>21</v>
      </c>
      <c r="J24" s="674">
        <f t="shared" si="3"/>
        <v>58.17</v>
      </c>
      <c r="K24" s="674">
        <f t="shared" si="0"/>
        <v>23109.951971102168</v>
      </c>
      <c r="L24" s="621">
        <v>24300</v>
      </c>
      <c r="M24" s="688"/>
      <c r="N24" s="190" t="s">
        <v>680</v>
      </c>
      <c r="O24" s="689">
        <v>42430</v>
      </c>
      <c r="P24" s="25">
        <v>2295</v>
      </c>
      <c r="Q24" s="282">
        <v>9000</v>
      </c>
      <c r="R24" s="8">
        <f t="shared" si="1"/>
        <v>20655000</v>
      </c>
      <c r="S24" s="669">
        <f t="shared" si="4"/>
        <v>510300</v>
      </c>
      <c r="T24" s="669">
        <f t="shared" si="5"/>
        <v>485308.99139314552</v>
      </c>
    </row>
    <row r="25" spans="1:20" ht="16.5" customHeight="1">
      <c r="A25" s="673">
        <f t="shared" si="6"/>
        <v>20</v>
      </c>
      <c r="B25" s="286" t="s">
        <v>875</v>
      </c>
      <c r="C25" s="691">
        <v>42376</v>
      </c>
      <c r="D25" s="692" t="s">
        <v>869</v>
      </c>
      <c r="E25" s="764">
        <v>51</v>
      </c>
      <c r="F25" s="763">
        <v>69</v>
      </c>
      <c r="G25" s="763">
        <v>55</v>
      </c>
      <c r="H25" s="759">
        <f t="shared" si="2"/>
        <v>3.11</v>
      </c>
      <c r="I25" s="252">
        <v>22</v>
      </c>
      <c r="J25" s="674">
        <f t="shared" si="3"/>
        <v>68.42</v>
      </c>
      <c r="K25" s="674">
        <f t="shared" si="0"/>
        <v>25946.552574053338</v>
      </c>
      <c r="L25" s="621">
        <v>26000</v>
      </c>
      <c r="M25" s="688"/>
      <c r="N25" s="414" t="s">
        <v>676</v>
      </c>
      <c r="O25" s="689">
        <v>42445</v>
      </c>
      <c r="P25" s="718">
        <v>6902</v>
      </c>
      <c r="Q25" s="708">
        <v>7200</v>
      </c>
      <c r="R25" s="8">
        <f t="shared" si="1"/>
        <v>49694400</v>
      </c>
      <c r="S25" s="669">
        <f t="shared" si="4"/>
        <v>572000</v>
      </c>
      <c r="T25" s="669">
        <f t="shared" si="5"/>
        <v>570824.15662917343</v>
      </c>
    </row>
    <row r="26" spans="1:20" ht="16.5" customHeight="1">
      <c r="A26" s="673">
        <f t="shared" si="6"/>
        <v>21</v>
      </c>
      <c r="B26" s="286" t="s">
        <v>876</v>
      </c>
      <c r="C26" s="691">
        <v>42376</v>
      </c>
      <c r="D26" s="692" t="s">
        <v>869</v>
      </c>
      <c r="E26" s="764">
        <v>51</v>
      </c>
      <c r="F26" s="763">
        <v>72</v>
      </c>
      <c r="G26" s="763">
        <v>55</v>
      </c>
      <c r="H26" s="759">
        <f t="shared" si="2"/>
        <v>3.26</v>
      </c>
      <c r="I26" s="252">
        <v>21</v>
      </c>
      <c r="J26" s="674">
        <f t="shared" si="3"/>
        <v>68.459999999999994</v>
      </c>
      <c r="K26" s="674">
        <f t="shared" si="0"/>
        <v>27197.994016531793</v>
      </c>
      <c r="L26" s="621">
        <v>27800</v>
      </c>
      <c r="M26" s="688"/>
      <c r="N26" s="414"/>
      <c r="O26" s="689"/>
      <c r="P26" s="718"/>
      <c r="Q26" s="708"/>
      <c r="R26" s="8"/>
      <c r="S26" s="669">
        <f t="shared" si="4"/>
        <v>583800</v>
      </c>
      <c r="T26" s="669">
        <f t="shared" si="5"/>
        <v>571157.87434716767</v>
      </c>
    </row>
    <row r="27" spans="1:20" ht="16.5" customHeight="1">
      <c r="A27" s="673">
        <f t="shared" si="6"/>
        <v>22</v>
      </c>
      <c r="B27" s="286" t="s">
        <v>877</v>
      </c>
      <c r="C27" s="691">
        <v>42376</v>
      </c>
      <c r="D27" s="692" t="s">
        <v>869</v>
      </c>
      <c r="E27" s="764">
        <v>59</v>
      </c>
      <c r="F27" s="763">
        <v>80</v>
      </c>
      <c r="G27" s="763">
        <v>61</v>
      </c>
      <c r="H27" s="759">
        <f t="shared" si="2"/>
        <v>4.08</v>
      </c>
      <c r="I27" s="252">
        <v>24</v>
      </c>
      <c r="J27" s="674">
        <f t="shared" si="3"/>
        <v>97.92</v>
      </c>
      <c r="K27" s="674">
        <f t="shared" si="0"/>
        <v>34039.207235414025</v>
      </c>
      <c r="L27" s="621">
        <v>31000</v>
      </c>
      <c r="M27" s="688"/>
      <c r="N27" s="755" t="s">
        <v>717</v>
      </c>
      <c r="O27" s="756"/>
      <c r="P27" s="757"/>
      <c r="Q27" s="498"/>
      <c r="R27" s="498">
        <f>SUM(R6:R26)</f>
        <v>852900100</v>
      </c>
      <c r="S27" s="669">
        <f t="shared" si="4"/>
        <v>744000</v>
      </c>
      <c r="T27" s="669">
        <f t="shared" si="5"/>
        <v>816940.97364993661</v>
      </c>
    </row>
    <row r="28" spans="1:20" ht="16.5" customHeight="1">
      <c r="A28" s="673">
        <f t="shared" si="6"/>
        <v>23</v>
      </c>
      <c r="B28" s="286" t="s">
        <v>1205</v>
      </c>
      <c r="C28" s="691">
        <v>42376</v>
      </c>
      <c r="D28" s="692" t="s">
        <v>878</v>
      </c>
      <c r="E28" s="764">
        <v>95</v>
      </c>
      <c r="F28" s="763">
        <v>165</v>
      </c>
      <c r="G28" s="763"/>
      <c r="H28" s="759">
        <f t="shared" si="2"/>
        <v>1.57</v>
      </c>
      <c r="I28" s="252">
        <v>320</v>
      </c>
      <c r="J28" s="674">
        <f t="shared" si="3"/>
        <v>502.40000000000003</v>
      </c>
      <c r="K28" s="674">
        <f t="shared" si="0"/>
        <v>13098.420431274515</v>
      </c>
      <c r="L28" s="621">
        <v>14264</v>
      </c>
      <c r="M28" s="688"/>
      <c r="N28" s="187" t="s">
        <v>335</v>
      </c>
      <c r="O28" s="691">
        <v>42396</v>
      </c>
      <c r="P28" s="708">
        <v>24</v>
      </c>
      <c r="Q28" s="708">
        <v>40000</v>
      </c>
      <c r="R28" s="8">
        <f t="shared" ref="R28" si="7">ROUND(P28*Q28,0)</f>
        <v>960000</v>
      </c>
      <c r="S28" s="669">
        <f t="shared" si="4"/>
        <v>4564480</v>
      </c>
      <c r="T28" s="669">
        <f t="shared" si="5"/>
        <v>4191494.5380078447</v>
      </c>
    </row>
    <row r="29" spans="1:20" ht="16.5" customHeight="1">
      <c r="A29" s="673">
        <f t="shared" si="6"/>
        <v>24</v>
      </c>
      <c r="B29" s="286" t="s">
        <v>1206</v>
      </c>
      <c r="C29" s="691">
        <v>42376</v>
      </c>
      <c r="D29" s="692" t="s">
        <v>878</v>
      </c>
      <c r="E29" s="764">
        <v>115</v>
      </c>
      <c r="F29" s="763">
        <v>74</v>
      </c>
      <c r="G29" s="763"/>
      <c r="H29" s="759">
        <f t="shared" si="2"/>
        <v>0.85</v>
      </c>
      <c r="I29" s="252">
        <v>280</v>
      </c>
      <c r="J29" s="674">
        <f t="shared" si="3"/>
        <v>238</v>
      </c>
      <c r="K29" s="674">
        <f t="shared" si="0"/>
        <v>7091.5015073779214</v>
      </c>
      <c r="L29" s="621">
        <v>5191</v>
      </c>
      <c r="M29" s="688"/>
      <c r="N29" s="187" t="s">
        <v>813</v>
      </c>
      <c r="O29" s="189">
        <v>42399</v>
      </c>
      <c r="P29" s="251">
        <v>700</v>
      </c>
      <c r="Q29" s="251">
        <v>18181</v>
      </c>
      <c r="R29" s="8">
        <f t="shared" ref="R29:R30" si="8">ROUND(P29*Q29,0)</f>
        <v>12726700</v>
      </c>
      <c r="S29" s="669">
        <f t="shared" si="4"/>
        <v>1453480</v>
      </c>
      <c r="T29" s="669">
        <f t="shared" si="5"/>
        <v>1985620.422065818</v>
      </c>
    </row>
    <row r="30" spans="1:20" ht="16.5" customHeight="1">
      <c r="A30" s="673">
        <f t="shared" si="6"/>
        <v>25</v>
      </c>
      <c r="B30" s="286" t="s">
        <v>1207</v>
      </c>
      <c r="C30" s="691">
        <v>42376</v>
      </c>
      <c r="D30" s="692" t="s">
        <v>878</v>
      </c>
      <c r="E30" s="764">
        <v>115</v>
      </c>
      <c r="F30" s="763">
        <v>82</v>
      </c>
      <c r="G30" s="763"/>
      <c r="H30" s="759">
        <f t="shared" si="2"/>
        <v>0.94</v>
      </c>
      <c r="I30" s="252">
        <v>211</v>
      </c>
      <c r="J30" s="674">
        <f t="shared" si="3"/>
        <v>198.33999999999997</v>
      </c>
      <c r="K30" s="674">
        <f t="shared" si="0"/>
        <v>7842.3663728649954</v>
      </c>
      <c r="L30" s="621">
        <v>5752</v>
      </c>
      <c r="M30" s="688"/>
      <c r="N30" s="187" t="s">
        <v>335</v>
      </c>
      <c r="O30" s="691">
        <v>42458</v>
      </c>
      <c r="P30" s="251">
        <v>48</v>
      </c>
      <c r="Q30" s="251">
        <v>41000</v>
      </c>
      <c r="R30" s="8">
        <f t="shared" si="8"/>
        <v>1968000</v>
      </c>
      <c r="S30" s="669">
        <f t="shared" si="4"/>
        <v>1213672</v>
      </c>
      <c r="T30" s="669">
        <f t="shared" si="5"/>
        <v>1654739.3046745141</v>
      </c>
    </row>
    <row r="31" spans="1:20" ht="16.5" customHeight="1">
      <c r="A31" s="673">
        <f t="shared" si="6"/>
        <v>26</v>
      </c>
      <c r="B31" s="286" t="s">
        <v>1208</v>
      </c>
      <c r="C31" s="691">
        <v>42376</v>
      </c>
      <c r="D31" s="692" t="s">
        <v>878</v>
      </c>
      <c r="E31" s="764">
        <v>110</v>
      </c>
      <c r="F31" s="763">
        <v>90</v>
      </c>
      <c r="G31" s="763"/>
      <c r="H31" s="759">
        <f t="shared" si="2"/>
        <v>0.99</v>
      </c>
      <c r="I31" s="252">
        <v>75</v>
      </c>
      <c r="J31" s="674">
        <f t="shared" si="3"/>
        <v>74.25</v>
      </c>
      <c r="K31" s="674">
        <f t="shared" si="0"/>
        <v>8259.5135203578157</v>
      </c>
      <c r="L31" s="621">
        <v>5544</v>
      </c>
      <c r="M31" s="688"/>
      <c r="N31" s="187"/>
      <c r="O31" s="691"/>
      <c r="P31" s="251"/>
      <c r="Q31" s="251"/>
      <c r="R31" s="8">
        <f t="shared" ref="R31" si="9">ROUND(P31*Q31,0)</f>
        <v>0</v>
      </c>
      <c r="S31" s="669">
        <f t="shared" si="4"/>
        <v>415800</v>
      </c>
      <c r="T31" s="669">
        <f t="shared" si="5"/>
        <v>619463.51402683614</v>
      </c>
    </row>
    <row r="32" spans="1:20" ht="16.5" customHeight="1">
      <c r="A32" s="673">
        <f t="shared" si="6"/>
        <v>27</v>
      </c>
      <c r="B32" s="286" t="s">
        <v>1209</v>
      </c>
      <c r="C32" s="691">
        <v>42376</v>
      </c>
      <c r="D32" s="692" t="s">
        <v>878</v>
      </c>
      <c r="E32" s="764">
        <v>90</v>
      </c>
      <c r="F32" s="763">
        <v>78</v>
      </c>
      <c r="G32" s="763"/>
      <c r="H32" s="759">
        <f t="shared" si="2"/>
        <v>0.7</v>
      </c>
      <c r="I32" s="252">
        <v>70</v>
      </c>
      <c r="J32" s="674">
        <f t="shared" si="3"/>
        <v>49</v>
      </c>
      <c r="K32" s="674">
        <f t="shared" si="0"/>
        <v>5840.060064899465</v>
      </c>
      <c r="L32" s="621">
        <v>3931</v>
      </c>
      <c r="M32" s="688"/>
      <c r="N32" s="414"/>
      <c r="O32" s="689"/>
      <c r="P32" s="718"/>
      <c r="Q32" s="708"/>
      <c r="R32" s="8"/>
      <c r="S32" s="669">
        <f t="shared" si="4"/>
        <v>275170</v>
      </c>
      <c r="T32" s="669">
        <f t="shared" si="5"/>
        <v>408804.20454296254</v>
      </c>
    </row>
    <row r="33" spans="1:20" ht="16.5" customHeight="1">
      <c r="A33" s="673">
        <f t="shared" si="6"/>
        <v>28</v>
      </c>
      <c r="B33" s="286" t="s">
        <v>1210</v>
      </c>
      <c r="C33" s="691">
        <v>42376</v>
      </c>
      <c r="D33" s="692" t="s">
        <v>878</v>
      </c>
      <c r="E33" s="764">
        <v>95</v>
      </c>
      <c r="F33" s="763">
        <v>114</v>
      </c>
      <c r="G33" s="763"/>
      <c r="H33" s="759">
        <f t="shared" si="2"/>
        <v>1.08</v>
      </c>
      <c r="I33" s="252">
        <v>120</v>
      </c>
      <c r="J33" s="674">
        <f t="shared" si="3"/>
        <v>129.60000000000002</v>
      </c>
      <c r="K33" s="674">
        <f t="shared" si="0"/>
        <v>9010.3783858448896</v>
      </c>
      <c r="L33" s="621">
        <v>9855</v>
      </c>
      <c r="M33" s="688"/>
      <c r="N33" s="755" t="s">
        <v>718</v>
      </c>
      <c r="O33" s="756"/>
      <c r="P33" s="757"/>
      <c r="Q33" s="498"/>
      <c r="R33" s="498">
        <f>SUM(R28:R32)</f>
        <v>15654700</v>
      </c>
      <c r="S33" s="669">
        <f t="shared" si="4"/>
        <v>1182600</v>
      </c>
      <c r="T33" s="669">
        <f t="shared" si="5"/>
        <v>1081245.4063013867</v>
      </c>
    </row>
    <row r="34" spans="1:20" ht="16.5" customHeight="1">
      <c r="A34" s="673">
        <f t="shared" si="6"/>
        <v>29</v>
      </c>
      <c r="B34" s="286" t="s">
        <v>1211</v>
      </c>
      <c r="C34" s="691">
        <v>42376</v>
      </c>
      <c r="D34" s="692" t="s">
        <v>878</v>
      </c>
      <c r="E34" s="764">
        <v>155</v>
      </c>
      <c r="F34" s="763">
        <v>115</v>
      </c>
      <c r="G34" s="763"/>
      <c r="H34" s="759">
        <f t="shared" si="2"/>
        <v>1.78</v>
      </c>
      <c r="I34" s="252">
        <v>110</v>
      </c>
      <c r="J34" s="674">
        <f t="shared" si="3"/>
        <v>195.8</v>
      </c>
      <c r="K34" s="674">
        <f t="shared" si="0"/>
        <v>14850.438450744354</v>
      </c>
      <c r="L34" s="621">
        <v>16577</v>
      </c>
      <c r="M34" s="688"/>
      <c r="N34" s="414" t="s">
        <v>719</v>
      </c>
      <c r="O34" s="689"/>
      <c r="P34" s="718"/>
      <c r="Q34" s="708"/>
      <c r="R34" s="8">
        <f>R27</f>
        <v>852900100</v>
      </c>
      <c r="S34" s="669">
        <f t="shared" si="4"/>
        <v>1823470</v>
      </c>
      <c r="T34" s="669">
        <f t="shared" si="5"/>
        <v>1633548.229581879</v>
      </c>
    </row>
    <row r="35" spans="1:20" ht="16.5" customHeight="1">
      <c r="A35" s="673">
        <f t="shared" si="6"/>
        <v>30</v>
      </c>
      <c r="B35" s="286" t="s">
        <v>1212</v>
      </c>
      <c r="C35" s="691">
        <v>42376</v>
      </c>
      <c r="D35" s="692" t="s">
        <v>878</v>
      </c>
      <c r="E35" s="764">
        <v>155</v>
      </c>
      <c r="F35" s="763">
        <v>114</v>
      </c>
      <c r="G35" s="763"/>
      <c r="H35" s="759">
        <f t="shared" si="2"/>
        <v>1.77</v>
      </c>
      <c r="I35" s="252">
        <v>96</v>
      </c>
      <c r="J35" s="674">
        <f t="shared" si="3"/>
        <v>169.92000000000002</v>
      </c>
      <c r="K35" s="674">
        <f t="shared" si="0"/>
        <v>14767.009021245791</v>
      </c>
      <c r="L35" s="621">
        <v>16433</v>
      </c>
      <c r="M35" s="688"/>
      <c r="N35" s="414" t="s">
        <v>720</v>
      </c>
      <c r="O35" s="689"/>
      <c r="P35" s="718"/>
      <c r="Q35" s="708"/>
      <c r="R35" s="8">
        <f>R33</f>
        <v>15654700</v>
      </c>
      <c r="S35" s="669">
        <f t="shared" si="4"/>
        <v>1577568</v>
      </c>
      <c r="T35" s="669">
        <f t="shared" si="5"/>
        <v>1417632.866039596</v>
      </c>
    </row>
    <row r="36" spans="1:20" ht="16.5" customHeight="1">
      <c r="A36" s="673">
        <f t="shared" si="6"/>
        <v>31</v>
      </c>
      <c r="B36" s="286" t="s">
        <v>1213</v>
      </c>
      <c r="C36" s="691">
        <v>42376</v>
      </c>
      <c r="D36" s="692" t="s">
        <v>878</v>
      </c>
      <c r="E36" s="764">
        <v>130</v>
      </c>
      <c r="F36" s="763">
        <v>127</v>
      </c>
      <c r="G36" s="763"/>
      <c r="H36" s="759">
        <f t="shared" si="2"/>
        <v>1.65</v>
      </c>
      <c r="I36" s="252">
        <v>500</v>
      </c>
      <c r="J36" s="674">
        <f t="shared" si="3"/>
        <v>825</v>
      </c>
      <c r="K36" s="674">
        <f t="shared" si="0"/>
        <v>13765.855867263024</v>
      </c>
      <c r="L36" s="621">
        <v>8915</v>
      </c>
      <c r="M36" s="688"/>
      <c r="N36" s="414" t="s">
        <v>722</v>
      </c>
      <c r="O36" s="689"/>
      <c r="P36" s="718"/>
      <c r="Q36" s="708"/>
      <c r="R36" s="8">
        <v>18130000</v>
      </c>
      <c r="S36" s="669">
        <f t="shared" si="4"/>
        <v>4457500</v>
      </c>
      <c r="T36" s="669">
        <f t="shared" si="5"/>
        <v>6882927.9336315123</v>
      </c>
    </row>
    <row r="37" spans="1:20" ht="16.5" customHeight="1">
      <c r="A37" s="673">
        <f t="shared" si="6"/>
        <v>32</v>
      </c>
      <c r="B37" s="286" t="s">
        <v>1214</v>
      </c>
      <c r="C37" s="691">
        <v>42376</v>
      </c>
      <c r="D37" s="692" t="s">
        <v>878</v>
      </c>
      <c r="E37" s="764">
        <v>130</v>
      </c>
      <c r="F37" s="763">
        <v>84</v>
      </c>
      <c r="G37" s="763"/>
      <c r="H37" s="759">
        <f t="shared" si="2"/>
        <v>1.0900000000000001</v>
      </c>
      <c r="I37" s="252">
        <v>86</v>
      </c>
      <c r="J37" s="674">
        <f t="shared" si="3"/>
        <v>93.740000000000009</v>
      </c>
      <c r="K37" s="674">
        <f t="shared" si="0"/>
        <v>9093.8078153434526</v>
      </c>
      <c r="L37" s="621">
        <v>6334</v>
      </c>
      <c r="M37" s="688"/>
      <c r="N37" s="414" t="s">
        <v>721</v>
      </c>
      <c r="O37" s="689"/>
      <c r="P37" s="718"/>
      <c r="Q37" s="708"/>
      <c r="R37" s="8">
        <v>30750000</v>
      </c>
      <c r="S37" s="669">
        <f t="shared" si="4"/>
        <v>544724</v>
      </c>
      <c r="T37" s="669">
        <f t="shared" si="5"/>
        <v>782067.47211953695</v>
      </c>
    </row>
    <row r="38" spans="1:20" ht="16.5" customHeight="1">
      <c r="A38" s="673">
        <f t="shared" si="6"/>
        <v>33</v>
      </c>
      <c r="B38" s="286" t="s">
        <v>879</v>
      </c>
      <c r="C38" s="691">
        <v>42376</v>
      </c>
      <c r="D38" s="692" t="s">
        <v>880</v>
      </c>
      <c r="E38" s="764">
        <v>59</v>
      </c>
      <c r="F38" s="763">
        <v>89</v>
      </c>
      <c r="G38" s="763">
        <v>61</v>
      </c>
      <c r="H38" s="759">
        <f t="shared" si="2"/>
        <v>4.6100000000000003</v>
      </c>
      <c r="I38" s="252">
        <v>22</v>
      </c>
      <c r="J38" s="674">
        <f t="shared" si="3"/>
        <v>101.42</v>
      </c>
      <c r="K38" s="674">
        <f t="shared" si="0"/>
        <v>38460.96699883791</v>
      </c>
      <c r="L38" s="621">
        <v>33000</v>
      </c>
      <c r="M38" s="688"/>
      <c r="N38" s="414" t="s">
        <v>734</v>
      </c>
      <c r="O38" s="689"/>
      <c r="P38" s="718"/>
      <c r="Q38" s="708"/>
      <c r="R38" s="8">
        <v>75525000</v>
      </c>
      <c r="S38" s="669">
        <f t="shared" si="4"/>
        <v>726000</v>
      </c>
      <c r="T38" s="669">
        <f t="shared" si="5"/>
        <v>846141.27397443401</v>
      </c>
    </row>
    <row r="39" spans="1:20" ht="16.5" customHeight="1">
      <c r="A39" s="673">
        <f t="shared" si="6"/>
        <v>34</v>
      </c>
      <c r="B39" s="286" t="s">
        <v>881</v>
      </c>
      <c r="C39" s="691">
        <v>42376</v>
      </c>
      <c r="D39" s="692" t="s">
        <v>880</v>
      </c>
      <c r="E39" s="764">
        <v>59</v>
      </c>
      <c r="F39" s="763">
        <v>94</v>
      </c>
      <c r="G39" s="763">
        <v>61</v>
      </c>
      <c r="H39" s="759">
        <f t="shared" si="2"/>
        <v>4.91</v>
      </c>
      <c r="I39" s="252">
        <v>10</v>
      </c>
      <c r="J39" s="674">
        <f t="shared" si="3"/>
        <v>49.1</v>
      </c>
      <c r="K39" s="674">
        <f t="shared" si="0"/>
        <v>40963.849883794821</v>
      </c>
      <c r="L39" s="621">
        <v>35000</v>
      </c>
      <c r="M39" s="688"/>
      <c r="N39" s="414"/>
      <c r="O39" s="689"/>
      <c r="P39" s="718"/>
      <c r="Q39" s="708"/>
      <c r="R39" s="8"/>
      <c r="S39" s="669">
        <f t="shared" si="4"/>
        <v>350000</v>
      </c>
      <c r="T39" s="669">
        <f t="shared" si="5"/>
        <v>409638.49883794819</v>
      </c>
    </row>
    <row r="40" spans="1:20" ht="16.5" customHeight="1">
      <c r="A40" s="673">
        <f t="shared" si="6"/>
        <v>35</v>
      </c>
      <c r="B40" s="286" t="s">
        <v>882</v>
      </c>
      <c r="C40" s="691">
        <v>42376</v>
      </c>
      <c r="D40" s="692" t="s">
        <v>880</v>
      </c>
      <c r="E40" s="764">
        <v>64</v>
      </c>
      <c r="F40" s="763">
        <v>114</v>
      </c>
      <c r="G40" s="763">
        <v>63</v>
      </c>
      <c r="H40" s="759">
        <f t="shared" si="2"/>
        <v>6.5</v>
      </c>
      <c r="I40" s="252">
        <v>10</v>
      </c>
      <c r="J40" s="674">
        <f t="shared" si="3"/>
        <v>65</v>
      </c>
      <c r="K40" s="674">
        <f t="shared" si="0"/>
        <v>54229.12917406646</v>
      </c>
      <c r="L40" s="621">
        <v>60000</v>
      </c>
      <c r="M40" s="688"/>
      <c r="N40" s="755" t="s">
        <v>731</v>
      </c>
      <c r="O40" s="756"/>
      <c r="P40" s="757"/>
      <c r="Q40" s="498"/>
      <c r="R40" s="498">
        <f>SUM(R34:R39)</f>
        <v>992959800</v>
      </c>
      <c r="S40" s="669">
        <f t="shared" si="4"/>
        <v>600000</v>
      </c>
      <c r="T40" s="669">
        <f t="shared" si="5"/>
        <v>542291.29174066463</v>
      </c>
    </row>
    <row r="41" spans="1:20" ht="16.5" customHeight="1">
      <c r="A41" s="673">
        <f t="shared" si="6"/>
        <v>36</v>
      </c>
      <c r="B41" s="286" t="s">
        <v>610</v>
      </c>
      <c r="C41" s="691">
        <v>42377</v>
      </c>
      <c r="D41" s="692" t="s">
        <v>884</v>
      </c>
      <c r="E41" s="764">
        <v>80</v>
      </c>
      <c r="F41" s="763">
        <v>60</v>
      </c>
      <c r="G41" s="763">
        <v>50</v>
      </c>
      <c r="H41" s="759">
        <f t="shared" si="2"/>
        <v>3.22</v>
      </c>
      <c r="I41" s="252">
        <v>153</v>
      </c>
      <c r="J41" s="674">
        <f t="shared" si="3"/>
        <v>492.66</v>
      </c>
      <c r="K41" s="674">
        <f t="shared" si="0"/>
        <v>26864.276298537541</v>
      </c>
      <c r="L41" s="621">
        <v>22750</v>
      </c>
      <c r="M41" s="688"/>
      <c r="N41" s="415"/>
      <c r="O41" s="697"/>
      <c r="P41" s="719"/>
      <c r="Q41" s="687"/>
      <c r="R41" s="699"/>
      <c r="S41" s="669">
        <f t="shared" si="4"/>
        <v>3480750</v>
      </c>
      <c r="T41" s="669">
        <f t="shared" si="5"/>
        <v>4110234.2736762436</v>
      </c>
    </row>
    <row r="42" spans="1:20" ht="16.5" customHeight="1">
      <c r="A42" s="673">
        <f t="shared" si="6"/>
        <v>37</v>
      </c>
      <c r="B42" s="286" t="s">
        <v>454</v>
      </c>
      <c r="C42" s="691">
        <v>42381</v>
      </c>
      <c r="D42" s="692" t="s">
        <v>885</v>
      </c>
      <c r="E42" s="764">
        <v>61</v>
      </c>
      <c r="F42" s="763">
        <v>51</v>
      </c>
      <c r="G42" s="763">
        <v>30</v>
      </c>
      <c r="H42" s="759">
        <f t="shared" si="2"/>
        <v>1.92</v>
      </c>
      <c r="I42" s="252">
        <v>287</v>
      </c>
      <c r="J42" s="674">
        <f t="shared" si="3"/>
        <v>551.04</v>
      </c>
      <c r="K42" s="674">
        <f t="shared" si="0"/>
        <v>16018.450463724246</v>
      </c>
      <c r="L42" s="621">
        <v>10670</v>
      </c>
      <c r="M42" s="688"/>
      <c r="N42" s="415"/>
      <c r="O42" s="697"/>
      <c r="P42" s="719"/>
      <c r="Q42" s="687"/>
      <c r="R42" s="699"/>
      <c r="S42" s="669">
        <f t="shared" si="4"/>
        <v>3062290</v>
      </c>
      <c r="T42" s="669">
        <f t="shared" si="5"/>
        <v>4597295.2830888582</v>
      </c>
    </row>
    <row r="43" spans="1:20" ht="16.5" customHeight="1">
      <c r="A43" s="673">
        <f t="shared" si="6"/>
        <v>38</v>
      </c>
      <c r="B43" s="286" t="s">
        <v>540</v>
      </c>
      <c r="C43" s="691">
        <v>42382</v>
      </c>
      <c r="D43" s="692" t="s">
        <v>886</v>
      </c>
      <c r="E43" s="764">
        <v>52</v>
      </c>
      <c r="F43" s="763">
        <v>28</v>
      </c>
      <c r="G43" s="763">
        <v>28</v>
      </c>
      <c r="H43" s="759">
        <f t="shared" si="2"/>
        <v>0.97</v>
      </c>
      <c r="I43" s="252">
        <v>504</v>
      </c>
      <c r="J43" s="674">
        <f t="shared" si="3"/>
        <v>488.88</v>
      </c>
      <c r="K43" s="674">
        <f t="shared" si="0"/>
        <v>8092.654661360687</v>
      </c>
      <c r="L43" s="621">
        <v>6400</v>
      </c>
      <c r="M43" s="688"/>
      <c r="N43" s="1120" t="s">
        <v>732</v>
      </c>
      <c r="O43" s="1121"/>
      <c r="P43" s="1121"/>
      <c r="Q43" s="1122"/>
      <c r="R43" s="760">
        <f>R40/J273</f>
        <v>8342.9429498563786</v>
      </c>
      <c r="S43" s="669">
        <f t="shared" si="4"/>
        <v>3225600</v>
      </c>
      <c r="T43" s="669">
        <f t="shared" si="5"/>
        <v>4078697.9493257864</v>
      </c>
    </row>
    <row r="44" spans="1:20" ht="16.5" customHeight="1">
      <c r="A44" s="673">
        <f t="shared" si="6"/>
        <v>39</v>
      </c>
      <c r="B44" s="286" t="s">
        <v>415</v>
      </c>
      <c r="C44" s="691">
        <v>42382</v>
      </c>
      <c r="D44" s="692" t="s">
        <v>887</v>
      </c>
      <c r="E44" s="764">
        <v>49.5</v>
      </c>
      <c r="F44" s="763">
        <v>38.5</v>
      </c>
      <c r="G44" s="763">
        <v>32.5</v>
      </c>
      <c r="H44" s="759">
        <f t="shared" si="2"/>
        <v>1.34</v>
      </c>
      <c r="I44" s="252">
        <v>132</v>
      </c>
      <c r="J44" s="674">
        <f t="shared" si="3"/>
        <v>176.88000000000002</v>
      </c>
      <c r="K44" s="674">
        <f t="shared" si="0"/>
        <v>11179.543552807549</v>
      </c>
      <c r="L44" s="621">
        <v>12900</v>
      </c>
      <c r="M44" s="688"/>
      <c r="N44" s="415"/>
      <c r="O44" s="697"/>
      <c r="P44" s="719"/>
      <c r="Q44" s="687"/>
      <c r="R44" s="699"/>
      <c r="S44" s="669">
        <f t="shared" si="4"/>
        <v>1702800</v>
      </c>
      <c r="T44" s="669">
        <f t="shared" si="5"/>
        <v>1475699.7489705964</v>
      </c>
    </row>
    <row r="45" spans="1:20" ht="16.5" customHeight="1">
      <c r="A45" s="673">
        <f t="shared" si="6"/>
        <v>40</v>
      </c>
      <c r="B45" s="286" t="s">
        <v>477</v>
      </c>
      <c r="C45" s="691">
        <v>42382</v>
      </c>
      <c r="D45" s="692" t="s">
        <v>887</v>
      </c>
      <c r="E45" s="764">
        <v>43</v>
      </c>
      <c r="F45" s="763">
        <v>27.5</v>
      </c>
      <c r="G45" s="763">
        <v>33</v>
      </c>
      <c r="H45" s="759">
        <f t="shared" si="2"/>
        <v>0.93</v>
      </c>
      <c r="I45" s="252">
        <v>222</v>
      </c>
      <c r="J45" s="674">
        <f t="shared" si="3"/>
        <v>206.46</v>
      </c>
      <c r="K45" s="674">
        <f t="shared" si="0"/>
        <v>7758.9369433664324</v>
      </c>
      <c r="L45" s="621">
        <v>6400</v>
      </c>
      <c r="M45" s="688"/>
      <c r="N45" s="415"/>
      <c r="O45" s="697"/>
      <c r="P45" s="719"/>
      <c r="Q45" s="687"/>
      <c r="R45" s="699"/>
      <c r="S45" s="669">
        <f t="shared" si="4"/>
        <v>1420800</v>
      </c>
      <c r="T45" s="669">
        <f t="shared" si="5"/>
        <v>1722484.001427348</v>
      </c>
    </row>
    <row r="46" spans="1:20" ht="16.5" customHeight="1">
      <c r="A46" s="673">
        <f t="shared" si="6"/>
        <v>41</v>
      </c>
      <c r="B46" s="286" t="s">
        <v>415</v>
      </c>
      <c r="C46" s="691">
        <v>42383</v>
      </c>
      <c r="D46" s="692" t="s">
        <v>832</v>
      </c>
      <c r="E46" s="764">
        <v>49</v>
      </c>
      <c r="F46" s="763">
        <v>38.5</v>
      </c>
      <c r="G46" s="763">
        <v>32.5</v>
      </c>
      <c r="H46" s="759">
        <f t="shared" si="2"/>
        <v>1.33</v>
      </c>
      <c r="I46" s="252">
        <v>273</v>
      </c>
      <c r="J46" s="674">
        <f t="shared" si="3"/>
        <v>363.09000000000003</v>
      </c>
      <c r="K46" s="674">
        <f t="shared" si="0"/>
        <v>11096.114123308984</v>
      </c>
      <c r="L46" s="621">
        <v>12900</v>
      </c>
      <c r="M46" s="688"/>
      <c r="N46" s="415"/>
      <c r="O46" s="697"/>
      <c r="P46" s="719"/>
      <c r="Q46" s="687"/>
      <c r="R46" s="699"/>
      <c r="S46" s="669">
        <f t="shared" si="4"/>
        <v>3521700</v>
      </c>
      <c r="T46" s="669">
        <f t="shared" si="5"/>
        <v>3029239.1556633525</v>
      </c>
    </row>
    <row r="47" spans="1:20" ht="16.5" customHeight="1">
      <c r="A47" s="673">
        <f t="shared" si="6"/>
        <v>42</v>
      </c>
      <c r="B47" s="286" t="s">
        <v>962</v>
      </c>
      <c r="C47" s="691">
        <v>42383</v>
      </c>
      <c r="D47" s="692" t="s">
        <v>832</v>
      </c>
      <c r="E47" s="764">
        <v>72</v>
      </c>
      <c r="F47" s="763">
        <v>51.5</v>
      </c>
      <c r="G47" s="763">
        <v>40</v>
      </c>
      <c r="H47" s="759">
        <f t="shared" si="2"/>
        <v>2.38</v>
      </c>
      <c r="I47" s="252">
        <v>500</v>
      </c>
      <c r="J47" s="674">
        <f t="shared" si="3"/>
        <v>1190</v>
      </c>
      <c r="K47" s="674">
        <f t="shared" si="0"/>
        <v>19856.204220658179</v>
      </c>
      <c r="L47" s="621">
        <v>7900</v>
      </c>
      <c r="M47" s="688"/>
      <c r="N47" s="415"/>
      <c r="O47" s="697"/>
      <c r="P47" s="719"/>
      <c r="Q47" s="687"/>
      <c r="R47" s="699"/>
      <c r="S47" s="669">
        <f t="shared" si="4"/>
        <v>3950000</v>
      </c>
      <c r="T47" s="669">
        <f t="shared" si="5"/>
        <v>9928102.1103290897</v>
      </c>
    </row>
    <row r="48" spans="1:20" ht="16.5" customHeight="1">
      <c r="A48" s="673">
        <f t="shared" si="6"/>
        <v>43</v>
      </c>
      <c r="B48" s="286" t="s">
        <v>646</v>
      </c>
      <c r="C48" s="691">
        <v>42383</v>
      </c>
      <c r="D48" s="692" t="s">
        <v>833</v>
      </c>
      <c r="E48" s="764">
        <v>33.5</v>
      </c>
      <c r="F48" s="763">
        <v>31.5</v>
      </c>
      <c r="G48" s="763">
        <v>24</v>
      </c>
      <c r="H48" s="759">
        <f t="shared" si="2"/>
        <v>0.79</v>
      </c>
      <c r="I48" s="252">
        <v>1000</v>
      </c>
      <c r="J48" s="674">
        <f t="shared" si="3"/>
        <v>790</v>
      </c>
      <c r="K48" s="674">
        <f t="shared" si="0"/>
        <v>6590.924930386539</v>
      </c>
      <c r="L48" s="621">
        <v>6950</v>
      </c>
      <c r="M48" s="688"/>
      <c r="N48" s="415"/>
      <c r="O48" s="697"/>
      <c r="P48" s="719"/>
      <c r="Q48" s="687"/>
      <c r="R48" s="699"/>
      <c r="S48" s="669">
        <f t="shared" si="4"/>
        <v>6950000</v>
      </c>
      <c r="T48" s="669">
        <f t="shared" si="5"/>
        <v>6590924.9303865386</v>
      </c>
    </row>
    <row r="49" spans="1:20" ht="16.5" customHeight="1">
      <c r="A49" s="673">
        <f t="shared" si="6"/>
        <v>44</v>
      </c>
      <c r="B49" s="286" t="s">
        <v>1434</v>
      </c>
      <c r="C49" s="691">
        <v>42383</v>
      </c>
      <c r="D49" s="692" t="s">
        <v>888</v>
      </c>
      <c r="E49" s="764">
        <v>41</v>
      </c>
      <c r="F49" s="763">
        <v>39</v>
      </c>
      <c r="G49" s="763">
        <v>20</v>
      </c>
      <c r="H49" s="759">
        <f t="shared" si="2"/>
        <v>1.02</v>
      </c>
      <c r="I49" s="252">
        <v>100</v>
      </c>
      <c r="J49" s="674">
        <f t="shared" si="3"/>
        <v>102</v>
      </c>
      <c r="K49" s="674">
        <f t="shared" si="0"/>
        <v>8509.8018088535064</v>
      </c>
      <c r="L49" s="621">
        <v>10900</v>
      </c>
      <c r="M49" s="688"/>
      <c r="N49" s="415"/>
      <c r="O49" s="697"/>
      <c r="P49" s="719"/>
      <c r="Q49" s="687"/>
      <c r="R49" s="699"/>
      <c r="S49" s="669">
        <f t="shared" si="4"/>
        <v>1090000</v>
      </c>
      <c r="T49" s="669">
        <f t="shared" si="5"/>
        <v>850980.18088535068</v>
      </c>
    </row>
    <row r="50" spans="1:20" ht="16.5" customHeight="1">
      <c r="A50" s="673">
        <f t="shared" si="6"/>
        <v>45</v>
      </c>
      <c r="B50" s="286" t="s">
        <v>1435</v>
      </c>
      <c r="C50" s="691">
        <v>42383</v>
      </c>
      <c r="D50" s="692" t="s">
        <v>888</v>
      </c>
      <c r="E50" s="764">
        <v>41</v>
      </c>
      <c r="F50" s="763">
        <v>41</v>
      </c>
      <c r="G50" s="763">
        <v>25</v>
      </c>
      <c r="H50" s="759">
        <f t="shared" si="2"/>
        <v>1.17</v>
      </c>
      <c r="I50" s="252">
        <v>20</v>
      </c>
      <c r="J50" s="674">
        <f t="shared" si="3"/>
        <v>23.4</v>
      </c>
      <c r="K50" s="674">
        <f t="shared" si="0"/>
        <v>9761.2432513319618</v>
      </c>
      <c r="L50" s="621">
        <v>11700</v>
      </c>
      <c r="M50" s="688"/>
      <c r="N50" s="415"/>
      <c r="O50" s="697"/>
      <c r="P50" s="719"/>
      <c r="Q50" s="687"/>
      <c r="R50" s="699"/>
      <c r="S50" s="669">
        <f t="shared" si="4"/>
        <v>234000</v>
      </c>
      <c r="T50" s="669">
        <f t="shared" si="5"/>
        <v>195224.86502663925</v>
      </c>
    </row>
    <row r="51" spans="1:20" ht="16.5" customHeight="1">
      <c r="A51" s="673">
        <f t="shared" si="6"/>
        <v>46</v>
      </c>
      <c r="B51" s="286" t="s">
        <v>1306</v>
      </c>
      <c r="C51" s="691">
        <v>42383</v>
      </c>
      <c r="D51" s="692" t="s">
        <v>888</v>
      </c>
      <c r="E51" s="764">
        <v>43</v>
      </c>
      <c r="F51" s="763">
        <v>42</v>
      </c>
      <c r="G51" s="763">
        <v>26</v>
      </c>
      <c r="H51" s="759">
        <f t="shared" si="2"/>
        <v>1.24</v>
      </c>
      <c r="I51" s="252">
        <v>20</v>
      </c>
      <c r="J51" s="674">
        <f t="shared" si="3"/>
        <v>24.8</v>
      </c>
      <c r="K51" s="674">
        <f t="shared" si="0"/>
        <v>10345.24925782191</v>
      </c>
      <c r="L51" s="621">
        <v>12400</v>
      </c>
      <c r="M51" s="688"/>
      <c r="N51" s="415"/>
      <c r="O51" s="697"/>
      <c r="P51" s="719"/>
      <c r="Q51" s="687"/>
      <c r="R51" s="699"/>
      <c r="S51" s="669">
        <f t="shared" si="4"/>
        <v>248000</v>
      </c>
      <c r="T51" s="669">
        <f t="shared" si="5"/>
        <v>206904.9851564382</v>
      </c>
    </row>
    <row r="52" spans="1:20" ht="16.5" customHeight="1">
      <c r="A52" s="673">
        <f t="shared" si="6"/>
        <v>47</v>
      </c>
      <c r="B52" s="286" t="s">
        <v>1310</v>
      </c>
      <c r="C52" s="691">
        <v>42383</v>
      </c>
      <c r="D52" s="692" t="s">
        <v>888</v>
      </c>
      <c r="E52" s="764">
        <v>38</v>
      </c>
      <c r="F52" s="763">
        <v>37</v>
      </c>
      <c r="G52" s="763">
        <v>30</v>
      </c>
      <c r="H52" s="759">
        <f t="shared" si="2"/>
        <v>1.0900000000000001</v>
      </c>
      <c r="I52" s="252">
        <v>20</v>
      </c>
      <c r="J52" s="674">
        <f t="shared" si="3"/>
        <v>21.8</v>
      </c>
      <c r="K52" s="674">
        <f t="shared" si="0"/>
        <v>9093.8078153434526</v>
      </c>
      <c r="L52" s="621">
        <v>15300</v>
      </c>
      <c r="M52" s="688"/>
      <c r="N52" s="415"/>
      <c r="O52" s="697"/>
      <c r="P52" s="719"/>
      <c r="Q52" s="687"/>
      <c r="R52" s="699"/>
      <c r="S52" s="669">
        <f t="shared" si="4"/>
        <v>306000</v>
      </c>
      <c r="T52" s="669">
        <f t="shared" si="5"/>
        <v>181876.15630686906</v>
      </c>
    </row>
    <row r="53" spans="1:20" ht="16.5" customHeight="1">
      <c r="A53" s="673">
        <f t="shared" si="6"/>
        <v>48</v>
      </c>
      <c r="B53" s="286" t="s">
        <v>1443</v>
      </c>
      <c r="C53" s="691">
        <v>42383</v>
      </c>
      <c r="D53" s="692" t="s">
        <v>889</v>
      </c>
      <c r="E53" s="764">
        <v>49</v>
      </c>
      <c r="F53" s="763">
        <v>38</v>
      </c>
      <c r="G53" s="763">
        <v>33</v>
      </c>
      <c r="H53" s="759">
        <f t="shared" si="2"/>
        <v>1.32</v>
      </c>
      <c r="I53" s="252">
        <v>314</v>
      </c>
      <c r="J53" s="674">
        <f t="shared" si="3"/>
        <v>414.48</v>
      </c>
      <c r="K53" s="674">
        <f t="shared" si="0"/>
        <v>11012.684693810421</v>
      </c>
      <c r="L53" s="621">
        <v>10500</v>
      </c>
      <c r="M53" s="688"/>
      <c r="N53" s="415"/>
      <c r="O53" s="697"/>
      <c r="P53" s="719"/>
      <c r="Q53" s="687"/>
      <c r="R53" s="699"/>
      <c r="S53" s="669">
        <f t="shared" si="4"/>
        <v>3297000</v>
      </c>
      <c r="T53" s="669">
        <f t="shared" si="5"/>
        <v>3457982.993856472</v>
      </c>
    </row>
    <row r="54" spans="1:20" ht="16.5" customHeight="1">
      <c r="A54" s="673">
        <f t="shared" si="6"/>
        <v>49</v>
      </c>
      <c r="B54" s="286" t="s">
        <v>659</v>
      </c>
      <c r="C54" s="691">
        <v>42383</v>
      </c>
      <c r="D54" s="692" t="s">
        <v>890</v>
      </c>
      <c r="E54" s="764">
        <v>57</v>
      </c>
      <c r="F54" s="763">
        <v>38</v>
      </c>
      <c r="G54" s="763">
        <v>33</v>
      </c>
      <c r="H54" s="759">
        <f t="shared" si="2"/>
        <v>1.44</v>
      </c>
      <c r="I54" s="252">
        <v>214</v>
      </c>
      <c r="J54" s="674">
        <f t="shared" si="3"/>
        <v>308.15999999999997</v>
      </c>
      <c r="K54" s="674">
        <f t="shared" si="0"/>
        <v>12013.837847793186</v>
      </c>
      <c r="L54" s="621">
        <v>10920</v>
      </c>
      <c r="M54" s="688"/>
      <c r="N54" s="415"/>
      <c r="O54" s="697"/>
      <c r="P54" s="719"/>
      <c r="Q54" s="687"/>
      <c r="R54" s="699"/>
      <c r="S54" s="669">
        <f t="shared" si="4"/>
        <v>2336880</v>
      </c>
      <c r="T54" s="669">
        <f t="shared" si="5"/>
        <v>2570961.2994277417</v>
      </c>
    </row>
    <row r="55" spans="1:20" ht="16.5" customHeight="1">
      <c r="A55" s="673">
        <f t="shared" si="6"/>
        <v>50</v>
      </c>
      <c r="B55" s="286" t="s">
        <v>658</v>
      </c>
      <c r="C55" s="691">
        <v>42383</v>
      </c>
      <c r="D55" s="692" t="s">
        <v>890</v>
      </c>
      <c r="E55" s="764">
        <v>43</v>
      </c>
      <c r="F55" s="763">
        <v>29</v>
      </c>
      <c r="G55" s="763">
        <v>20</v>
      </c>
      <c r="H55" s="759">
        <f t="shared" si="2"/>
        <v>0.77</v>
      </c>
      <c r="I55" s="252">
        <v>621</v>
      </c>
      <c r="J55" s="674">
        <f t="shared" ref="J55:J118" si="10">H55*I55</f>
        <v>478.17</v>
      </c>
      <c r="K55" s="674">
        <f t="shared" si="0"/>
        <v>6424.0660713894113</v>
      </c>
      <c r="L55" s="621">
        <v>6450</v>
      </c>
      <c r="M55" s="688"/>
      <c r="O55" s="669"/>
      <c r="P55" s="669"/>
      <c r="Q55" s="669"/>
      <c r="S55" s="669">
        <f t="shared" si="4"/>
        <v>4005450</v>
      </c>
      <c r="T55" s="669">
        <f t="shared" si="5"/>
        <v>3989345.0303328242</v>
      </c>
    </row>
    <row r="56" spans="1:20" ht="16.5" customHeight="1">
      <c r="A56" s="673">
        <f t="shared" si="6"/>
        <v>51</v>
      </c>
      <c r="B56" s="286" t="s">
        <v>698</v>
      </c>
      <c r="C56" s="691">
        <v>42383</v>
      </c>
      <c r="D56" s="692" t="s">
        <v>891</v>
      </c>
      <c r="E56" s="764">
        <v>105</v>
      </c>
      <c r="F56" s="763">
        <v>126</v>
      </c>
      <c r="G56" s="763"/>
      <c r="H56" s="759">
        <f t="shared" si="2"/>
        <v>1.32</v>
      </c>
      <c r="I56" s="252">
        <v>170</v>
      </c>
      <c r="J56" s="674">
        <f t="shared" si="10"/>
        <v>224.4</v>
      </c>
      <c r="K56" s="674">
        <f t="shared" si="0"/>
        <v>11012.684693810421</v>
      </c>
      <c r="L56" s="621">
        <v>12039</v>
      </c>
      <c r="M56" s="688"/>
      <c r="O56" s="669"/>
      <c r="P56" s="669"/>
      <c r="Q56" s="669"/>
      <c r="S56" s="669">
        <f t="shared" si="4"/>
        <v>2046630</v>
      </c>
      <c r="T56" s="669">
        <f t="shared" si="5"/>
        <v>1872156.3979477715</v>
      </c>
    </row>
    <row r="57" spans="1:20" ht="16.5" customHeight="1">
      <c r="A57" s="673">
        <f t="shared" si="6"/>
        <v>52</v>
      </c>
      <c r="B57" s="286" t="s">
        <v>706</v>
      </c>
      <c r="C57" s="691">
        <v>42383</v>
      </c>
      <c r="D57" s="692" t="s">
        <v>891</v>
      </c>
      <c r="E57" s="764">
        <v>85</v>
      </c>
      <c r="F57" s="763">
        <v>114</v>
      </c>
      <c r="G57" s="763"/>
      <c r="H57" s="759">
        <f t="shared" si="2"/>
        <v>0.97</v>
      </c>
      <c r="I57" s="252">
        <v>40</v>
      </c>
      <c r="J57" s="674">
        <f t="shared" si="10"/>
        <v>38.799999999999997</v>
      </c>
      <c r="K57" s="674">
        <f t="shared" si="0"/>
        <v>8092.654661360687</v>
      </c>
      <c r="L57" s="621">
        <v>8818</v>
      </c>
      <c r="M57" s="688"/>
      <c r="O57" s="669"/>
      <c r="P57" s="669"/>
      <c r="Q57" s="669"/>
      <c r="S57" s="669">
        <f t="shared" si="4"/>
        <v>352720</v>
      </c>
      <c r="T57" s="669">
        <f t="shared" si="5"/>
        <v>323706.18645442749</v>
      </c>
    </row>
    <row r="58" spans="1:20" ht="16.5" customHeight="1">
      <c r="A58" s="673">
        <f t="shared" si="6"/>
        <v>53</v>
      </c>
      <c r="B58" s="286" t="s">
        <v>1215</v>
      </c>
      <c r="C58" s="691">
        <v>42383</v>
      </c>
      <c r="D58" s="692" t="s">
        <v>891</v>
      </c>
      <c r="E58" s="764">
        <v>80</v>
      </c>
      <c r="F58" s="763">
        <v>108</v>
      </c>
      <c r="G58" s="763"/>
      <c r="H58" s="759">
        <f t="shared" si="2"/>
        <v>0.86</v>
      </c>
      <c r="I58" s="252">
        <v>25</v>
      </c>
      <c r="J58" s="674">
        <f t="shared" si="10"/>
        <v>21.5</v>
      </c>
      <c r="K58" s="674">
        <f t="shared" si="0"/>
        <v>7174.9309368764852</v>
      </c>
      <c r="L58" s="621">
        <v>7862</v>
      </c>
      <c r="M58" s="688"/>
      <c r="O58" s="669"/>
      <c r="P58" s="669"/>
      <c r="Q58" s="669"/>
      <c r="S58" s="669">
        <f t="shared" si="4"/>
        <v>196550</v>
      </c>
      <c r="T58" s="669">
        <f t="shared" si="5"/>
        <v>179373.27342191213</v>
      </c>
    </row>
    <row r="59" spans="1:20" ht="16.5" customHeight="1">
      <c r="A59" s="673">
        <f t="shared" si="6"/>
        <v>54</v>
      </c>
      <c r="B59" s="286" t="s">
        <v>1216</v>
      </c>
      <c r="C59" s="691">
        <v>42383</v>
      </c>
      <c r="D59" s="692" t="s">
        <v>891</v>
      </c>
      <c r="E59" s="764">
        <v>90</v>
      </c>
      <c r="F59" s="763">
        <v>124</v>
      </c>
      <c r="G59" s="763"/>
      <c r="H59" s="759">
        <f t="shared" si="2"/>
        <v>1.1200000000000001</v>
      </c>
      <c r="I59" s="252">
        <v>10</v>
      </c>
      <c r="J59" s="674">
        <f t="shared" si="10"/>
        <v>11.200000000000001</v>
      </c>
      <c r="K59" s="674">
        <f t="shared" si="0"/>
        <v>9344.0961038391451</v>
      </c>
      <c r="L59" s="621">
        <v>10156</v>
      </c>
      <c r="M59" s="688"/>
      <c r="O59" s="669"/>
      <c r="P59" s="669"/>
      <c r="Q59" s="669"/>
      <c r="S59" s="669">
        <f t="shared" si="4"/>
        <v>101560</v>
      </c>
      <c r="T59" s="669">
        <f t="shared" si="5"/>
        <v>93440.961038391455</v>
      </c>
    </row>
    <row r="60" spans="1:20" ht="16.5" customHeight="1">
      <c r="A60" s="673">
        <f t="shared" si="6"/>
        <v>55</v>
      </c>
      <c r="B60" s="286" t="s">
        <v>1217</v>
      </c>
      <c r="C60" s="691">
        <v>42383</v>
      </c>
      <c r="D60" s="692" t="s">
        <v>891</v>
      </c>
      <c r="E60" s="764">
        <v>95</v>
      </c>
      <c r="F60" s="763">
        <v>112</v>
      </c>
      <c r="G60" s="763"/>
      <c r="H60" s="759">
        <f t="shared" si="2"/>
        <v>1.06</v>
      </c>
      <c r="I60" s="252">
        <v>580</v>
      </c>
      <c r="J60" s="674">
        <f t="shared" si="10"/>
        <v>614.80000000000007</v>
      </c>
      <c r="K60" s="674">
        <f t="shared" si="0"/>
        <v>8843.5195268477619</v>
      </c>
      <c r="L60" s="621">
        <v>8938</v>
      </c>
      <c r="M60" s="688"/>
      <c r="O60" s="669"/>
      <c r="P60" s="669"/>
      <c r="Q60" s="669"/>
      <c r="S60" s="669">
        <f t="shared" si="4"/>
        <v>5184040</v>
      </c>
      <c r="T60" s="669">
        <f t="shared" si="5"/>
        <v>5129241.3255717019</v>
      </c>
    </row>
    <row r="61" spans="1:20" ht="16.5" customHeight="1">
      <c r="A61" s="673">
        <f t="shared" ref="A61:A92" si="11">IF(B59&lt;&gt;"",A60+1,"")</f>
        <v>56</v>
      </c>
      <c r="B61" s="286" t="s">
        <v>1218</v>
      </c>
      <c r="C61" s="691">
        <v>42383</v>
      </c>
      <c r="D61" s="692" t="s">
        <v>891</v>
      </c>
      <c r="E61" s="764">
        <v>75</v>
      </c>
      <c r="F61" s="763">
        <v>127</v>
      </c>
      <c r="G61" s="763"/>
      <c r="H61" s="759">
        <f t="shared" si="2"/>
        <v>0.95</v>
      </c>
      <c r="I61" s="252">
        <v>900</v>
      </c>
      <c r="J61" s="674">
        <f t="shared" si="10"/>
        <v>855</v>
      </c>
      <c r="K61" s="674">
        <f t="shared" si="0"/>
        <v>7925.7958023635592</v>
      </c>
      <c r="L61" s="621">
        <v>8287</v>
      </c>
      <c r="M61" s="688"/>
      <c r="O61" s="669"/>
      <c r="P61" s="669"/>
      <c r="Q61" s="669"/>
      <c r="S61" s="669">
        <f t="shared" si="4"/>
        <v>7458300</v>
      </c>
      <c r="T61" s="669">
        <f t="shared" si="5"/>
        <v>7133216.2221272029</v>
      </c>
    </row>
    <row r="62" spans="1:20" ht="16.5" customHeight="1">
      <c r="A62" s="673">
        <f t="shared" si="11"/>
        <v>57</v>
      </c>
      <c r="B62" s="286" t="s">
        <v>1219</v>
      </c>
      <c r="C62" s="691">
        <v>42383</v>
      </c>
      <c r="D62" s="692" t="s">
        <v>891</v>
      </c>
      <c r="E62" s="764">
        <v>68</v>
      </c>
      <c r="F62" s="763">
        <v>106</v>
      </c>
      <c r="G62" s="763"/>
      <c r="H62" s="759">
        <f t="shared" si="2"/>
        <v>0.72</v>
      </c>
      <c r="I62" s="252">
        <v>12</v>
      </c>
      <c r="J62" s="674">
        <f t="shared" si="10"/>
        <v>8.64</v>
      </c>
      <c r="K62" s="674">
        <f t="shared" si="0"/>
        <v>6006.9189238965928</v>
      </c>
      <c r="L62" s="621">
        <v>13653</v>
      </c>
      <c r="M62" s="688"/>
      <c r="O62" s="669"/>
      <c r="P62" s="669"/>
      <c r="Q62" s="669"/>
      <c r="S62" s="669">
        <f t="shared" si="4"/>
        <v>163836</v>
      </c>
      <c r="T62" s="669">
        <f t="shared" si="5"/>
        <v>72083.027086759117</v>
      </c>
    </row>
    <row r="63" spans="1:20" ht="16.5" customHeight="1">
      <c r="A63" s="673">
        <f t="shared" si="11"/>
        <v>58</v>
      </c>
      <c r="B63" s="286" t="s">
        <v>1220</v>
      </c>
      <c r="C63" s="691">
        <v>42383</v>
      </c>
      <c r="D63" s="692" t="s">
        <v>891</v>
      </c>
      <c r="E63" s="764">
        <v>72</v>
      </c>
      <c r="F63" s="763">
        <v>128</v>
      </c>
      <c r="G63" s="763"/>
      <c r="H63" s="759">
        <f t="shared" si="2"/>
        <v>0.92</v>
      </c>
      <c r="I63" s="252">
        <v>13</v>
      </c>
      <c r="J63" s="674">
        <f t="shared" si="10"/>
        <v>11.96</v>
      </c>
      <c r="K63" s="674">
        <f t="shared" si="0"/>
        <v>7675.5075138678685</v>
      </c>
      <c r="L63" s="621">
        <v>8832</v>
      </c>
      <c r="M63" s="688"/>
      <c r="O63" s="669"/>
      <c r="P63" s="669"/>
      <c r="Q63" s="669"/>
      <c r="S63" s="669">
        <f t="shared" si="4"/>
        <v>114816</v>
      </c>
      <c r="T63" s="669">
        <f t="shared" si="5"/>
        <v>99781.597680282284</v>
      </c>
    </row>
    <row r="64" spans="1:20" ht="16.5" customHeight="1">
      <c r="A64" s="673">
        <f t="shared" si="11"/>
        <v>59</v>
      </c>
      <c r="B64" s="286" t="s">
        <v>441</v>
      </c>
      <c r="C64" s="691">
        <v>42385</v>
      </c>
      <c r="D64" s="692" t="s">
        <v>892</v>
      </c>
      <c r="E64" s="764">
        <v>55</v>
      </c>
      <c r="F64" s="763">
        <v>45</v>
      </c>
      <c r="G64" s="763">
        <v>29</v>
      </c>
      <c r="H64" s="759">
        <f t="shared" si="2"/>
        <v>1.58</v>
      </c>
      <c r="I64" s="252">
        <v>619</v>
      </c>
      <c r="J64" s="674">
        <f t="shared" si="10"/>
        <v>978.0200000000001</v>
      </c>
      <c r="K64" s="674">
        <f t="shared" si="0"/>
        <v>13181.849860773078</v>
      </c>
      <c r="L64" s="621">
        <v>9700</v>
      </c>
      <c r="M64" s="688"/>
      <c r="O64" s="669"/>
      <c r="P64" s="669"/>
      <c r="Q64" s="669"/>
      <c r="S64" s="669">
        <f t="shared" si="4"/>
        <v>6004300</v>
      </c>
      <c r="T64" s="669">
        <f t="shared" si="5"/>
        <v>8159565.0638185358</v>
      </c>
    </row>
    <row r="65" spans="1:20" ht="16.5" customHeight="1">
      <c r="A65" s="673">
        <f t="shared" si="11"/>
        <v>60</v>
      </c>
      <c r="B65" s="286" t="s">
        <v>893</v>
      </c>
      <c r="C65" s="691">
        <v>42385</v>
      </c>
      <c r="D65" s="692" t="s">
        <v>894</v>
      </c>
      <c r="E65" s="764">
        <v>36.5</v>
      </c>
      <c r="F65" s="763">
        <v>25.5</v>
      </c>
      <c r="G65" s="763">
        <v>20</v>
      </c>
      <c r="H65" s="759">
        <f t="shared" si="2"/>
        <v>0.63</v>
      </c>
      <c r="I65" s="252">
        <v>200</v>
      </c>
      <c r="J65" s="674">
        <f t="shared" si="10"/>
        <v>126</v>
      </c>
      <c r="K65" s="674">
        <f t="shared" si="0"/>
        <v>5256.0540584095188</v>
      </c>
      <c r="L65" s="621">
        <v>6000</v>
      </c>
      <c r="M65" s="688"/>
      <c r="O65" s="669"/>
      <c r="P65" s="669"/>
      <c r="Q65" s="669"/>
      <c r="S65" s="669">
        <f t="shared" si="4"/>
        <v>1200000</v>
      </c>
      <c r="T65" s="669">
        <f t="shared" si="5"/>
        <v>1051210.8116819037</v>
      </c>
    </row>
    <row r="66" spans="1:20" ht="16.5" customHeight="1">
      <c r="A66" s="673">
        <f t="shared" si="11"/>
        <v>61</v>
      </c>
      <c r="B66" s="286" t="s">
        <v>895</v>
      </c>
      <c r="C66" s="691">
        <v>42385</v>
      </c>
      <c r="D66" s="692" t="s">
        <v>894</v>
      </c>
      <c r="E66" s="764">
        <v>33.5</v>
      </c>
      <c r="F66" s="763">
        <v>25</v>
      </c>
      <c r="G66" s="763">
        <v>26</v>
      </c>
      <c r="H66" s="759">
        <f t="shared" si="2"/>
        <v>0.66</v>
      </c>
      <c r="I66" s="252">
        <v>200</v>
      </c>
      <c r="J66" s="674">
        <f t="shared" si="10"/>
        <v>132</v>
      </c>
      <c r="K66" s="674">
        <f t="shared" si="0"/>
        <v>5506.3423469052104</v>
      </c>
      <c r="L66" s="621">
        <v>5900</v>
      </c>
      <c r="M66" s="688"/>
      <c r="O66" s="669"/>
      <c r="P66" s="669"/>
      <c r="Q66" s="669"/>
      <c r="S66" s="669">
        <f t="shared" si="4"/>
        <v>1180000</v>
      </c>
      <c r="T66" s="669">
        <f t="shared" si="5"/>
        <v>1101268.4693810421</v>
      </c>
    </row>
    <row r="67" spans="1:20" ht="16.5" customHeight="1">
      <c r="A67" s="673">
        <f t="shared" si="11"/>
        <v>62</v>
      </c>
      <c r="B67" s="286" t="s">
        <v>896</v>
      </c>
      <c r="C67" s="691">
        <v>42385</v>
      </c>
      <c r="D67" s="692" t="s">
        <v>894</v>
      </c>
      <c r="E67" s="764">
        <v>30.5</v>
      </c>
      <c r="F67" s="763">
        <v>23</v>
      </c>
      <c r="G67" s="763">
        <v>31</v>
      </c>
      <c r="H67" s="759">
        <f t="shared" si="2"/>
        <v>0.64</v>
      </c>
      <c r="I67" s="252">
        <v>200</v>
      </c>
      <c r="J67" s="674">
        <f t="shared" si="10"/>
        <v>128</v>
      </c>
      <c r="K67" s="674">
        <f t="shared" si="0"/>
        <v>5339.4834879080827</v>
      </c>
      <c r="L67" s="621">
        <v>6000</v>
      </c>
      <c r="M67" s="688"/>
      <c r="O67" s="669"/>
      <c r="P67" s="669"/>
      <c r="Q67" s="669"/>
      <c r="S67" s="669">
        <f t="shared" si="4"/>
        <v>1200000</v>
      </c>
      <c r="T67" s="669">
        <f t="shared" si="5"/>
        <v>1067896.6975816165</v>
      </c>
    </row>
    <row r="68" spans="1:20" ht="16.5" customHeight="1">
      <c r="A68" s="673">
        <f t="shared" si="11"/>
        <v>63</v>
      </c>
      <c r="B68" s="286" t="s">
        <v>897</v>
      </c>
      <c r="C68" s="691">
        <v>42388</v>
      </c>
      <c r="D68" s="692" t="s">
        <v>898</v>
      </c>
      <c r="E68" s="764">
        <v>56</v>
      </c>
      <c r="F68" s="763">
        <v>42</v>
      </c>
      <c r="G68" s="763">
        <v>27</v>
      </c>
      <c r="H68" s="759">
        <f t="shared" si="2"/>
        <v>1.45</v>
      </c>
      <c r="I68" s="252">
        <v>35</v>
      </c>
      <c r="J68" s="674">
        <f t="shared" si="10"/>
        <v>50.75</v>
      </c>
      <c r="K68" s="674">
        <f t="shared" si="0"/>
        <v>12097.267277291749</v>
      </c>
      <c r="L68" s="621">
        <v>14600</v>
      </c>
      <c r="M68" s="688"/>
      <c r="O68" s="669"/>
      <c r="P68" s="669"/>
      <c r="Q68" s="669"/>
      <c r="S68" s="669">
        <f t="shared" si="4"/>
        <v>511000</v>
      </c>
      <c r="T68" s="669">
        <f t="shared" si="5"/>
        <v>423404.35470521118</v>
      </c>
    </row>
    <row r="69" spans="1:20" ht="16.5" customHeight="1">
      <c r="A69" s="673">
        <f t="shared" si="11"/>
        <v>64</v>
      </c>
      <c r="B69" s="286" t="s">
        <v>899</v>
      </c>
      <c r="C69" s="691">
        <v>42388</v>
      </c>
      <c r="D69" s="692" t="s">
        <v>898</v>
      </c>
      <c r="E69" s="764">
        <v>73</v>
      </c>
      <c r="F69" s="763">
        <v>27</v>
      </c>
      <c r="G69" s="763">
        <v>32</v>
      </c>
      <c r="H69" s="759">
        <f t="shared" si="2"/>
        <v>1.27</v>
      </c>
      <c r="I69" s="252">
        <v>55</v>
      </c>
      <c r="J69" s="674">
        <f t="shared" si="10"/>
        <v>69.849999999999994</v>
      </c>
      <c r="K69" s="674">
        <f t="shared" si="0"/>
        <v>10595.537546317601</v>
      </c>
      <c r="L69" s="621">
        <v>9000</v>
      </c>
      <c r="M69" s="688"/>
      <c r="O69" s="669"/>
      <c r="P69" s="669"/>
      <c r="Q69" s="669"/>
      <c r="S69" s="669">
        <f t="shared" si="4"/>
        <v>495000</v>
      </c>
      <c r="T69" s="669">
        <f t="shared" si="5"/>
        <v>582754.56504746806</v>
      </c>
    </row>
    <row r="70" spans="1:20" ht="16.5" customHeight="1">
      <c r="A70" s="673">
        <f t="shared" si="11"/>
        <v>65</v>
      </c>
      <c r="B70" s="286" t="s">
        <v>900</v>
      </c>
      <c r="C70" s="691">
        <v>42388</v>
      </c>
      <c r="D70" s="692" t="s">
        <v>898</v>
      </c>
      <c r="E70" s="764">
        <v>48</v>
      </c>
      <c r="F70" s="763">
        <v>42</v>
      </c>
      <c r="G70" s="763">
        <v>29</v>
      </c>
      <c r="H70" s="759">
        <f t="shared" si="2"/>
        <v>1.37</v>
      </c>
      <c r="I70" s="252">
        <v>50</v>
      </c>
      <c r="J70" s="674">
        <f t="shared" si="10"/>
        <v>68.5</v>
      </c>
      <c r="K70" s="674">
        <f t="shared" ref="K70:K133" si="12">H70*$R$43</f>
        <v>11429.831841303239</v>
      </c>
      <c r="L70" s="621">
        <v>13900</v>
      </c>
      <c r="M70" s="688"/>
      <c r="O70" s="669"/>
      <c r="P70" s="669"/>
      <c r="Q70" s="669"/>
      <c r="S70" s="669">
        <f t="shared" si="4"/>
        <v>695000</v>
      </c>
      <c r="T70" s="669">
        <f t="shared" si="5"/>
        <v>571491.59206516203</v>
      </c>
    </row>
    <row r="71" spans="1:20" ht="16.5" customHeight="1">
      <c r="A71" s="673">
        <f t="shared" si="11"/>
        <v>66</v>
      </c>
      <c r="B71" s="286" t="s">
        <v>480</v>
      </c>
      <c r="C71" s="691">
        <v>42388</v>
      </c>
      <c r="D71" s="692" t="s">
        <v>898</v>
      </c>
      <c r="E71" s="764">
        <v>47</v>
      </c>
      <c r="F71" s="763">
        <v>42</v>
      </c>
      <c r="G71" s="763">
        <v>24.5</v>
      </c>
      <c r="H71" s="759">
        <f t="shared" ref="H71:H134" si="13">IF(G71&lt;&gt;"",ROUND(((E71+F71)*2+5)*(F71+G71+3)/10000,2),ROUND(E71*F71/10000,2))</f>
        <v>1.27</v>
      </c>
      <c r="I71" s="252">
        <v>510</v>
      </c>
      <c r="J71" s="674">
        <f t="shared" si="10"/>
        <v>647.70000000000005</v>
      </c>
      <c r="K71" s="674">
        <f t="shared" si="12"/>
        <v>10595.537546317601</v>
      </c>
      <c r="L71" s="621">
        <v>8950</v>
      </c>
      <c r="M71" s="688"/>
      <c r="O71" s="669"/>
      <c r="P71" s="669"/>
      <c r="Q71" s="669"/>
      <c r="S71" s="669">
        <f t="shared" ref="S71:S134" si="14">I71*L71</f>
        <v>4564500</v>
      </c>
      <c r="T71" s="669">
        <f t="shared" ref="T71:T134" si="15">I71*K71</f>
        <v>5403724.1486219764</v>
      </c>
    </row>
    <row r="72" spans="1:20" ht="16.5" customHeight="1">
      <c r="A72" s="673">
        <f t="shared" si="11"/>
        <v>67</v>
      </c>
      <c r="B72" s="286" t="s">
        <v>901</v>
      </c>
      <c r="C72" s="691">
        <v>42388</v>
      </c>
      <c r="D72" s="692" t="s">
        <v>898</v>
      </c>
      <c r="E72" s="764">
        <v>61</v>
      </c>
      <c r="F72" s="763">
        <v>40</v>
      </c>
      <c r="G72" s="763">
        <v>16</v>
      </c>
      <c r="H72" s="759">
        <f t="shared" si="13"/>
        <v>1.22</v>
      </c>
      <c r="I72" s="252">
        <v>235</v>
      </c>
      <c r="J72" s="674">
        <f t="shared" si="10"/>
        <v>286.7</v>
      </c>
      <c r="K72" s="674">
        <f t="shared" si="12"/>
        <v>10178.390398824782</v>
      </c>
      <c r="L72" s="621">
        <v>8800</v>
      </c>
      <c r="M72" s="688"/>
      <c r="O72" s="669"/>
      <c r="P72" s="669"/>
      <c r="Q72" s="669"/>
      <c r="S72" s="669">
        <f t="shared" si="14"/>
        <v>2068000</v>
      </c>
      <c r="T72" s="669">
        <f t="shared" si="15"/>
        <v>2391921.7437238237</v>
      </c>
    </row>
    <row r="73" spans="1:20" ht="16.5" customHeight="1">
      <c r="A73" s="673">
        <f t="shared" si="11"/>
        <v>68</v>
      </c>
      <c r="B73" s="286" t="s">
        <v>481</v>
      </c>
      <c r="C73" s="691">
        <v>42388</v>
      </c>
      <c r="D73" s="692" t="s">
        <v>898</v>
      </c>
      <c r="E73" s="764">
        <v>28</v>
      </c>
      <c r="F73" s="763">
        <v>28</v>
      </c>
      <c r="G73" s="763">
        <v>40</v>
      </c>
      <c r="H73" s="759">
        <f t="shared" si="13"/>
        <v>0.83</v>
      </c>
      <c r="I73" s="252">
        <v>110</v>
      </c>
      <c r="J73" s="674">
        <f t="shared" si="10"/>
        <v>91.3</v>
      </c>
      <c r="K73" s="674">
        <f t="shared" si="12"/>
        <v>6924.6426483807936</v>
      </c>
      <c r="L73" s="621">
        <v>6300</v>
      </c>
      <c r="M73" s="688"/>
      <c r="O73" s="669"/>
      <c r="P73" s="669"/>
      <c r="Q73" s="669"/>
      <c r="S73" s="669">
        <f t="shared" si="14"/>
        <v>693000</v>
      </c>
      <c r="T73" s="669">
        <f t="shared" si="15"/>
        <v>761710.69132188731</v>
      </c>
    </row>
    <row r="74" spans="1:20" ht="16.5" customHeight="1">
      <c r="A74" s="673">
        <f t="shared" si="11"/>
        <v>69</v>
      </c>
      <c r="B74" s="286" t="s">
        <v>902</v>
      </c>
      <c r="C74" s="691">
        <v>42388</v>
      </c>
      <c r="D74" s="692" t="s">
        <v>898</v>
      </c>
      <c r="E74" s="764">
        <v>38</v>
      </c>
      <c r="F74" s="763">
        <v>38</v>
      </c>
      <c r="G74" s="763">
        <v>27</v>
      </c>
      <c r="H74" s="759">
        <f t="shared" si="13"/>
        <v>1.07</v>
      </c>
      <c r="I74" s="252">
        <v>24</v>
      </c>
      <c r="J74" s="674">
        <f t="shared" si="10"/>
        <v>25.68</v>
      </c>
      <c r="K74" s="674">
        <f t="shared" si="12"/>
        <v>8926.9489563463248</v>
      </c>
      <c r="L74" s="621">
        <v>11100</v>
      </c>
      <c r="M74" s="688"/>
      <c r="O74" s="669"/>
      <c r="P74" s="669"/>
      <c r="Q74" s="669"/>
      <c r="S74" s="669">
        <f t="shared" si="14"/>
        <v>266400</v>
      </c>
      <c r="T74" s="669">
        <f t="shared" si="15"/>
        <v>214246.7749523118</v>
      </c>
    </row>
    <row r="75" spans="1:20" ht="16.5" customHeight="1">
      <c r="A75" s="673">
        <f t="shared" si="11"/>
        <v>70</v>
      </c>
      <c r="B75" s="286" t="s">
        <v>473</v>
      </c>
      <c r="C75" s="691">
        <v>42388</v>
      </c>
      <c r="D75" s="692" t="s">
        <v>898</v>
      </c>
      <c r="E75" s="764">
        <v>37</v>
      </c>
      <c r="F75" s="763">
        <v>37</v>
      </c>
      <c r="G75" s="763">
        <v>25</v>
      </c>
      <c r="H75" s="759">
        <f t="shared" si="13"/>
        <v>0.99</v>
      </c>
      <c r="I75" s="252">
        <v>55</v>
      </c>
      <c r="J75" s="674">
        <f t="shared" si="10"/>
        <v>54.45</v>
      </c>
      <c r="K75" s="674">
        <f t="shared" si="12"/>
        <v>8259.5135203578157</v>
      </c>
      <c r="L75" s="621">
        <v>7300</v>
      </c>
      <c r="M75" s="688"/>
      <c r="O75" s="669"/>
      <c r="P75" s="669"/>
      <c r="Q75" s="669"/>
      <c r="S75" s="669">
        <f t="shared" si="14"/>
        <v>401500</v>
      </c>
      <c r="T75" s="669">
        <f t="shared" si="15"/>
        <v>454273.24361967988</v>
      </c>
    </row>
    <row r="76" spans="1:20" ht="16.5" customHeight="1">
      <c r="A76" s="673">
        <f t="shared" si="11"/>
        <v>71</v>
      </c>
      <c r="B76" s="286" t="s">
        <v>1435</v>
      </c>
      <c r="C76" s="691">
        <v>42388</v>
      </c>
      <c r="D76" s="692" t="s">
        <v>903</v>
      </c>
      <c r="E76" s="764">
        <v>41</v>
      </c>
      <c r="F76" s="763">
        <v>41</v>
      </c>
      <c r="G76" s="763">
        <v>25</v>
      </c>
      <c r="H76" s="759">
        <f t="shared" si="13"/>
        <v>1.17</v>
      </c>
      <c r="I76" s="252">
        <v>2000</v>
      </c>
      <c r="J76" s="674">
        <f t="shared" si="10"/>
        <v>2340</v>
      </c>
      <c r="K76" s="674">
        <f t="shared" si="12"/>
        <v>9761.2432513319618</v>
      </c>
      <c r="L76" s="621">
        <v>11300</v>
      </c>
      <c r="M76" s="688"/>
      <c r="O76" s="669"/>
      <c r="P76" s="669"/>
      <c r="Q76" s="669"/>
      <c r="S76" s="669">
        <f t="shared" si="14"/>
        <v>22600000</v>
      </c>
      <c r="T76" s="669">
        <f t="shared" si="15"/>
        <v>19522486.502663925</v>
      </c>
    </row>
    <row r="77" spans="1:20" ht="16.5" customHeight="1">
      <c r="A77" s="673">
        <f t="shared" si="11"/>
        <v>72</v>
      </c>
      <c r="B77" s="286" t="s">
        <v>870</v>
      </c>
      <c r="C77" s="691">
        <v>42388</v>
      </c>
      <c r="D77" s="692" t="s">
        <v>904</v>
      </c>
      <c r="E77" s="764">
        <v>46</v>
      </c>
      <c r="F77" s="763">
        <v>36</v>
      </c>
      <c r="G77" s="763">
        <v>47</v>
      </c>
      <c r="H77" s="759">
        <f t="shared" si="13"/>
        <v>1.45</v>
      </c>
      <c r="I77" s="252">
        <v>2539</v>
      </c>
      <c r="J77" s="674">
        <f t="shared" si="10"/>
        <v>3681.5499999999997</v>
      </c>
      <c r="K77" s="674">
        <f t="shared" si="12"/>
        <v>12097.267277291749</v>
      </c>
      <c r="L77" s="621">
        <v>15000</v>
      </c>
      <c r="M77" s="688"/>
      <c r="O77" s="669"/>
      <c r="P77" s="669"/>
      <c r="Q77" s="669"/>
      <c r="S77" s="669">
        <f t="shared" si="14"/>
        <v>38085000</v>
      </c>
      <c r="T77" s="669">
        <f t="shared" si="15"/>
        <v>30714961.617043748</v>
      </c>
    </row>
    <row r="78" spans="1:20" ht="16.5" customHeight="1">
      <c r="A78" s="673">
        <f t="shared" si="11"/>
        <v>73</v>
      </c>
      <c r="B78" s="286" t="s">
        <v>627</v>
      </c>
      <c r="C78" s="691">
        <v>42389</v>
      </c>
      <c r="D78" s="692" t="s">
        <v>906</v>
      </c>
      <c r="E78" s="764">
        <v>40</v>
      </c>
      <c r="F78" s="763">
        <v>30</v>
      </c>
      <c r="G78" s="763">
        <v>18.5</v>
      </c>
      <c r="H78" s="759">
        <f t="shared" si="13"/>
        <v>0.75</v>
      </c>
      <c r="I78" s="252">
        <v>313</v>
      </c>
      <c r="J78" s="674">
        <f t="shared" si="10"/>
        <v>234.75</v>
      </c>
      <c r="K78" s="674">
        <f t="shared" si="12"/>
        <v>6257.2072123922844</v>
      </c>
      <c r="L78" s="621">
        <v>6400</v>
      </c>
      <c r="M78" s="688"/>
      <c r="O78" s="669"/>
      <c r="P78" s="669"/>
      <c r="Q78" s="669"/>
      <c r="S78" s="669">
        <f t="shared" si="14"/>
        <v>2003200</v>
      </c>
      <c r="T78" s="669">
        <f t="shared" si="15"/>
        <v>1958505.8574787851</v>
      </c>
    </row>
    <row r="79" spans="1:20" ht="16.5" customHeight="1">
      <c r="A79" s="673">
        <f t="shared" si="11"/>
        <v>74</v>
      </c>
      <c r="B79" s="286" t="s">
        <v>1443</v>
      </c>
      <c r="C79" s="691">
        <v>42389</v>
      </c>
      <c r="D79" s="692" t="s">
        <v>906</v>
      </c>
      <c r="E79" s="764">
        <v>49</v>
      </c>
      <c r="F79" s="763">
        <v>38</v>
      </c>
      <c r="G79" s="763">
        <v>12</v>
      </c>
      <c r="H79" s="759">
        <f t="shared" si="13"/>
        <v>0.95</v>
      </c>
      <c r="I79" s="252">
        <v>321</v>
      </c>
      <c r="J79" s="674">
        <f t="shared" si="10"/>
        <v>304.95</v>
      </c>
      <c r="K79" s="674">
        <f t="shared" si="12"/>
        <v>7925.7958023635592</v>
      </c>
      <c r="L79" s="621">
        <v>10500</v>
      </c>
      <c r="M79" s="688"/>
      <c r="O79" s="669"/>
      <c r="P79" s="669"/>
      <c r="Q79" s="669"/>
      <c r="S79" s="669">
        <f t="shared" si="14"/>
        <v>3370500</v>
      </c>
      <c r="T79" s="669">
        <f t="shared" si="15"/>
        <v>2544180.4525587023</v>
      </c>
    </row>
    <row r="80" spans="1:20" ht="16.5" customHeight="1">
      <c r="A80" s="673">
        <f t="shared" si="11"/>
        <v>75</v>
      </c>
      <c r="B80" s="286" t="s">
        <v>1443</v>
      </c>
      <c r="C80" s="691">
        <v>42389</v>
      </c>
      <c r="D80" s="692" t="s">
        <v>906</v>
      </c>
      <c r="E80" s="764">
        <v>49</v>
      </c>
      <c r="F80" s="763">
        <v>38</v>
      </c>
      <c r="G80" s="763">
        <v>12</v>
      </c>
      <c r="H80" s="759">
        <f t="shared" si="13"/>
        <v>0.95</v>
      </c>
      <c r="I80" s="252">
        <v>105</v>
      </c>
      <c r="J80" s="674">
        <f t="shared" si="10"/>
        <v>99.75</v>
      </c>
      <c r="K80" s="674">
        <f t="shared" si="12"/>
        <v>7925.7958023635592</v>
      </c>
      <c r="L80" s="621">
        <v>10500</v>
      </c>
      <c r="M80" s="688"/>
      <c r="O80" s="669"/>
      <c r="P80" s="669"/>
      <c r="Q80" s="669"/>
      <c r="S80" s="669">
        <f t="shared" si="14"/>
        <v>1102500</v>
      </c>
      <c r="T80" s="669">
        <f t="shared" si="15"/>
        <v>832208.55924817373</v>
      </c>
    </row>
    <row r="81" spans="1:20" ht="16.5" customHeight="1">
      <c r="A81" s="673">
        <f t="shared" si="11"/>
        <v>76</v>
      </c>
      <c r="B81" s="286" t="s">
        <v>1443</v>
      </c>
      <c r="C81" s="691">
        <v>42389</v>
      </c>
      <c r="D81" s="692" t="s">
        <v>906</v>
      </c>
      <c r="E81" s="764">
        <v>49</v>
      </c>
      <c r="F81" s="763">
        <v>38</v>
      </c>
      <c r="G81" s="763">
        <v>13</v>
      </c>
      <c r="H81" s="759">
        <f t="shared" si="13"/>
        <v>0.97</v>
      </c>
      <c r="I81" s="252">
        <v>203</v>
      </c>
      <c r="J81" s="674">
        <f t="shared" si="10"/>
        <v>196.91</v>
      </c>
      <c r="K81" s="674">
        <f t="shared" si="12"/>
        <v>8092.654661360687</v>
      </c>
      <c r="L81" s="621">
        <v>10500</v>
      </c>
      <c r="M81" s="688"/>
      <c r="O81" s="669"/>
      <c r="P81" s="669"/>
      <c r="Q81" s="669"/>
      <c r="S81" s="669">
        <f t="shared" si="14"/>
        <v>2131500</v>
      </c>
      <c r="T81" s="669">
        <f t="shared" si="15"/>
        <v>1642808.8962562194</v>
      </c>
    </row>
    <row r="82" spans="1:20" ht="16.5" customHeight="1">
      <c r="A82" s="673">
        <f t="shared" si="11"/>
        <v>77</v>
      </c>
      <c r="B82" s="286" t="s">
        <v>1309</v>
      </c>
      <c r="C82" s="691">
        <v>42389</v>
      </c>
      <c r="D82" s="692" t="s">
        <v>390</v>
      </c>
      <c r="E82" s="764">
        <v>42</v>
      </c>
      <c r="F82" s="763">
        <v>41</v>
      </c>
      <c r="G82" s="763">
        <v>34</v>
      </c>
      <c r="H82" s="759">
        <f t="shared" si="13"/>
        <v>1.33</v>
      </c>
      <c r="I82" s="252">
        <v>100</v>
      </c>
      <c r="J82" s="674">
        <f t="shared" si="10"/>
        <v>133</v>
      </c>
      <c r="K82" s="674">
        <f t="shared" si="12"/>
        <v>11096.114123308984</v>
      </c>
      <c r="L82" s="621">
        <v>19940</v>
      </c>
      <c r="M82" s="688"/>
      <c r="O82" s="669"/>
      <c r="P82" s="669"/>
      <c r="Q82" s="669"/>
      <c r="S82" s="669">
        <f t="shared" si="14"/>
        <v>1994000</v>
      </c>
      <c r="T82" s="669">
        <f t="shared" si="15"/>
        <v>1109611.4123308985</v>
      </c>
    </row>
    <row r="83" spans="1:20" ht="16.5" customHeight="1">
      <c r="A83" s="673">
        <f t="shared" si="11"/>
        <v>78</v>
      </c>
      <c r="B83" s="286" t="s">
        <v>389</v>
      </c>
      <c r="C83" s="691">
        <v>42390</v>
      </c>
      <c r="D83" s="692" t="s">
        <v>394</v>
      </c>
      <c r="E83" s="764">
        <v>52</v>
      </c>
      <c r="F83" s="763">
        <v>24.5</v>
      </c>
      <c r="G83" s="763">
        <v>24.5</v>
      </c>
      <c r="H83" s="759">
        <f t="shared" si="13"/>
        <v>0.82</v>
      </c>
      <c r="I83" s="252">
        <v>951</v>
      </c>
      <c r="J83" s="674">
        <f t="shared" si="10"/>
        <v>779.81999999999994</v>
      </c>
      <c r="K83" s="674">
        <f t="shared" si="12"/>
        <v>6841.2132188822297</v>
      </c>
      <c r="L83" s="621">
        <v>5000</v>
      </c>
      <c r="M83" s="688"/>
      <c r="O83" s="669"/>
      <c r="P83" s="669"/>
      <c r="Q83" s="669"/>
      <c r="S83" s="669">
        <f t="shared" si="14"/>
        <v>4755000</v>
      </c>
      <c r="T83" s="669">
        <f t="shared" si="15"/>
        <v>6505993.7711570002</v>
      </c>
    </row>
    <row r="84" spans="1:20" ht="16.5" customHeight="1">
      <c r="A84" s="673">
        <f t="shared" si="11"/>
        <v>79</v>
      </c>
      <c r="B84" s="286" t="s">
        <v>660</v>
      </c>
      <c r="C84" s="691">
        <v>42391</v>
      </c>
      <c r="D84" s="692" t="s">
        <v>395</v>
      </c>
      <c r="E84" s="764">
        <v>33</v>
      </c>
      <c r="F84" s="763">
        <v>31</v>
      </c>
      <c r="G84" s="763">
        <v>8.5</v>
      </c>
      <c r="H84" s="759">
        <f t="shared" si="13"/>
        <v>0.56999999999999995</v>
      </c>
      <c r="I84" s="252">
        <v>312</v>
      </c>
      <c r="J84" s="674">
        <f t="shared" si="10"/>
        <v>177.83999999999997</v>
      </c>
      <c r="K84" s="674">
        <f t="shared" si="12"/>
        <v>4755.4774814181355</v>
      </c>
      <c r="L84" s="621">
        <v>6400</v>
      </c>
      <c r="M84" s="688"/>
      <c r="O84" s="669"/>
      <c r="P84" s="669"/>
      <c r="Q84" s="669"/>
      <c r="S84" s="669">
        <f t="shared" si="14"/>
        <v>1996800</v>
      </c>
      <c r="T84" s="669">
        <f t="shared" si="15"/>
        <v>1483708.9742024583</v>
      </c>
    </row>
    <row r="85" spans="1:20" ht="16.5" customHeight="1">
      <c r="A85" s="673">
        <f t="shared" si="11"/>
        <v>80</v>
      </c>
      <c r="B85" s="286" t="s">
        <v>907</v>
      </c>
      <c r="C85" s="691">
        <v>42391</v>
      </c>
      <c r="D85" s="692" t="s">
        <v>395</v>
      </c>
      <c r="E85" s="764">
        <v>52</v>
      </c>
      <c r="F85" s="763">
        <v>29</v>
      </c>
      <c r="G85" s="763">
        <v>8.1999999999999993</v>
      </c>
      <c r="H85" s="759">
        <f t="shared" si="13"/>
        <v>0.67</v>
      </c>
      <c r="I85" s="252">
        <v>500</v>
      </c>
      <c r="J85" s="674">
        <f t="shared" si="10"/>
        <v>335</v>
      </c>
      <c r="K85" s="674">
        <f t="shared" si="12"/>
        <v>5589.7717764037743</v>
      </c>
      <c r="L85" s="621">
        <v>7700</v>
      </c>
      <c r="M85" s="688"/>
      <c r="O85" s="669"/>
      <c r="P85" s="669"/>
      <c r="Q85" s="669"/>
      <c r="S85" s="669">
        <f t="shared" si="14"/>
        <v>3850000</v>
      </c>
      <c r="T85" s="669">
        <f t="shared" si="15"/>
        <v>2794885.8882018873</v>
      </c>
    </row>
    <row r="86" spans="1:20" ht="16.5" customHeight="1">
      <c r="A86" s="673">
        <f t="shared" si="11"/>
        <v>81</v>
      </c>
      <c r="B86" s="286" t="s">
        <v>908</v>
      </c>
      <c r="C86" s="691">
        <v>42391</v>
      </c>
      <c r="D86" s="692" t="s">
        <v>395</v>
      </c>
      <c r="E86" s="764">
        <v>33</v>
      </c>
      <c r="F86" s="763">
        <v>23.5</v>
      </c>
      <c r="G86" s="763">
        <v>12.5</v>
      </c>
      <c r="H86" s="759">
        <f t="shared" si="13"/>
        <v>0.46</v>
      </c>
      <c r="I86" s="252">
        <v>348</v>
      </c>
      <c r="J86" s="674">
        <f t="shared" si="10"/>
        <v>160.08000000000001</v>
      </c>
      <c r="K86" s="674">
        <f t="shared" si="12"/>
        <v>3837.7537569339343</v>
      </c>
      <c r="L86" s="621">
        <v>5000</v>
      </c>
      <c r="M86" s="688"/>
      <c r="O86" s="669"/>
      <c r="P86" s="669"/>
      <c r="Q86" s="669"/>
      <c r="S86" s="669">
        <f t="shared" si="14"/>
        <v>1740000</v>
      </c>
      <c r="T86" s="669">
        <f t="shared" si="15"/>
        <v>1335538.3074130092</v>
      </c>
    </row>
    <row r="87" spans="1:20" ht="16.5" customHeight="1">
      <c r="A87" s="673">
        <f t="shared" si="11"/>
        <v>82</v>
      </c>
      <c r="B87" s="286" t="s">
        <v>1221</v>
      </c>
      <c r="C87" s="691">
        <v>42391</v>
      </c>
      <c r="D87" s="692" t="s">
        <v>397</v>
      </c>
      <c r="E87" s="764">
        <v>115</v>
      </c>
      <c r="F87" s="763">
        <v>114</v>
      </c>
      <c r="G87" s="763"/>
      <c r="H87" s="759">
        <f t="shared" si="13"/>
        <v>1.31</v>
      </c>
      <c r="I87" s="252">
        <v>22</v>
      </c>
      <c r="J87" s="674">
        <f t="shared" si="10"/>
        <v>28.82</v>
      </c>
      <c r="K87" s="674">
        <f t="shared" si="12"/>
        <v>10929.255264311856</v>
      </c>
      <c r="L87" s="621">
        <v>11799</v>
      </c>
      <c r="M87" s="688"/>
      <c r="O87" s="669"/>
      <c r="P87" s="669"/>
      <c r="Q87" s="669"/>
      <c r="S87" s="669">
        <f t="shared" si="14"/>
        <v>259578</v>
      </c>
      <c r="T87" s="669">
        <f t="shared" si="15"/>
        <v>240443.61581486082</v>
      </c>
    </row>
    <row r="88" spans="1:20" ht="16.5" customHeight="1">
      <c r="A88" s="673">
        <f t="shared" si="11"/>
        <v>83</v>
      </c>
      <c r="B88" s="286" t="s">
        <v>1222</v>
      </c>
      <c r="C88" s="691">
        <v>42391</v>
      </c>
      <c r="D88" s="692" t="s">
        <v>397</v>
      </c>
      <c r="E88" s="764">
        <v>100</v>
      </c>
      <c r="F88" s="763">
        <v>94</v>
      </c>
      <c r="G88" s="763"/>
      <c r="H88" s="759">
        <f t="shared" si="13"/>
        <v>0.94</v>
      </c>
      <c r="I88" s="252">
        <v>50</v>
      </c>
      <c r="J88" s="674">
        <f t="shared" si="10"/>
        <v>47</v>
      </c>
      <c r="K88" s="674">
        <f t="shared" si="12"/>
        <v>7842.3663728649954</v>
      </c>
      <c r="L88" s="621">
        <v>8272</v>
      </c>
      <c r="M88" s="688"/>
      <c r="O88" s="669"/>
      <c r="P88" s="669"/>
      <c r="Q88" s="669"/>
      <c r="S88" s="669">
        <f t="shared" si="14"/>
        <v>413600</v>
      </c>
      <c r="T88" s="669">
        <f t="shared" si="15"/>
        <v>392118.31864324975</v>
      </c>
    </row>
    <row r="89" spans="1:20" ht="16.5" customHeight="1">
      <c r="A89" s="673">
        <f t="shared" si="11"/>
        <v>84</v>
      </c>
      <c r="B89" s="286" t="s">
        <v>1207</v>
      </c>
      <c r="C89" s="691">
        <v>42391</v>
      </c>
      <c r="D89" s="692" t="s">
        <v>397</v>
      </c>
      <c r="E89" s="764">
        <v>115</v>
      </c>
      <c r="F89" s="763">
        <v>82</v>
      </c>
      <c r="G89" s="763"/>
      <c r="H89" s="759">
        <f t="shared" si="13"/>
        <v>0.94</v>
      </c>
      <c r="I89" s="252">
        <v>70</v>
      </c>
      <c r="J89" s="674">
        <f t="shared" si="10"/>
        <v>65.8</v>
      </c>
      <c r="K89" s="674">
        <f t="shared" si="12"/>
        <v>7842.3663728649954</v>
      </c>
      <c r="L89" s="621">
        <v>5752</v>
      </c>
      <c r="M89" s="688"/>
      <c r="O89" s="669"/>
      <c r="P89" s="669"/>
      <c r="Q89" s="669"/>
      <c r="S89" s="669">
        <f t="shared" si="14"/>
        <v>402640</v>
      </c>
      <c r="T89" s="669">
        <f t="shared" si="15"/>
        <v>548965.64610054973</v>
      </c>
    </row>
    <row r="90" spans="1:20" ht="16.5" customHeight="1">
      <c r="A90" s="673">
        <f t="shared" si="11"/>
        <v>85</v>
      </c>
      <c r="B90" s="286" t="s">
        <v>711</v>
      </c>
      <c r="C90" s="691">
        <v>42391</v>
      </c>
      <c r="D90" s="692" t="s">
        <v>397</v>
      </c>
      <c r="E90" s="764">
        <v>110</v>
      </c>
      <c r="F90" s="763">
        <v>76</v>
      </c>
      <c r="G90" s="763"/>
      <c r="H90" s="759">
        <f t="shared" si="13"/>
        <v>0.84</v>
      </c>
      <c r="I90" s="252">
        <v>297</v>
      </c>
      <c r="J90" s="674">
        <f t="shared" si="10"/>
        <v>249.48</v>
      </c>
      <c r="K90" s="674">
        <f t="shared" si="12"/>
        <v>7008.0720778793575</v>
      </c>
      <c r="L90" s="621">
        <v>4682</v>
      </c>
      <c r="M90" s="688"/>
      <c r="O90" s="669"/>
      <c r="P90" s="669"/>
      <c r="Q90" s="669"/>
      <c r="S90" s="669">
        <f t="shared" si="14"/>
        <v>1390554</v>
      </c>
      <c r="T90" s="669">
        <f t="shared" si="15"/>
        <v>2081397.4071301692</v>
      </c>
    </row>
    <row r="91" spans="1:20" ht="16.5" customHeight="1">
      <c r="A91" s="673">
        <f t="shared" si="11"/>
        <v>86</v>
      </c>
      <c r="B91" s="286" t="s">
        <v>1223</v>
      </c>
      <c r="C91" s="691">
        <v>42391</v>
      </c>
      <c r="D91" s="692" t="s">
        <v>397</v>
      </c>
      <c r="E91" s="764">
        <v>75</v>
      </c>
      <c r="F91" s="763">
        <v>128</v>
      </c>
      <c r="G91" s="763"/>
      <c r="H91" s="759">
        <f t="shared" si="13"/>
        <v>0.96</v>
      </c>
      <c r="I91" s="252">
        <v>900</v>
      </c>
      <c r="J91" s="674">
        <f t="shared" si="10"/>
        <v>864</v>
      </c>
      <c r="K91" s="674">
        <f t="shared" si="12"/>
        <v>8009.2252318621231</v>
      </c>
      <c r="L91" s="621">
        <v>8352</v>
      </c>
      <c r="M91" s="688"/>
      <c r="O91" s="669"/>
      <c r="P91" s="669"/>
      <c r="Q91" s="669"/>
      <c r="S91" s="669">
        <f t="shared" si="14"/>
        <v>7516800</v>
      </c>
      <c r="T91" s="669">
        <f t="shared" si="15"/>
        <v>7208302.7086759107</v>
      </c>
    </row>
    <row r="92" spans="1:20" ht="16.5" customHeight="1">
      <c r="A92" s="673">
        <f t="shared" si="11"/>
        <v>87</v>
      </c>
      <c r="B92" s="286" t="s">
        <v>709</v>
      </c>
      <c r="C92" s="691">
        <v>42391</v>
      </c>
      <c r="D92" s="692" t="s">
        <v>397</v>
      </c>
      <c r="E92" s="764">
        <v>85</v>
      </c>
      <c r="F92" s="763">
        <v>186</v>
      </c>
      <c r="G92" s="763"/>
      <c r="H92" s="759">
        <f t="shared" si="13"/>
        <v>1.58</v>
      </c>
      <c r="I92" s="252">
        <v>300</v>
      </c>
      <c r="J92" s="674">
        <f t="shared" si="10"/>
        <v>474</v>
      </c>
      <c r="K92" s="674">
        <f t="shared" si="12"/>
        <v>13181.849860773078</v>
      </c>
      <c r="L92" s="621">
        <v>13913</v>
      </c>
      <c r="M92" s="688"/>
      <c r="O92" s="669"/>
      <c r="P92" s="669"/>
      <c r="Q92" s="669"/>
      <c r="S92" s="669">
        <f t="shared" si="14"/>
        <v>4173900</v>
      </c>
      <c r="T92" s="669">
        <f t="shared" si="15"/>
        <v>3954554.9582319236</v>
      </c>
    </row>
    <row r="93" spans="1:20" ht="16.5" customHeight="1">
      <c r="A93" s="673">
        <f t="shared" ref="A93:A124" si="16">IF(B91&lt;&gt;"",A92+1,"")</f>
        <v>88</v>
      </c>
      <c r="B93" s="286" t="s">
        <v>713</v>
      </c>
      <c r="C93" s="691">
        <v>42391</v>
      </c>
      <c r="D93" s="692" t="s">
        <v>397</v>
      </c>
      <c r="E93" s="764">
        <v>125</v>
      </c>
      <c r="F93" s="763">
        <v>160</v>
      </c>
      <c r="G93" s="763"/>
      <c r="H93" s="759">
        <f t="shared" si="13"/>
        <v>2</v>
      </c>
      <c r="I93" s="252">
        <v>10</v>
      </c>
      <c r="J93" s="674">
        <f t="shared" si="10"/>
        <v>20</v>
      </c>
      <c r="K93" s="674">
        <f t="shared" si="12"/>
        <v>16685.885899712757</v>
      </c>
      <c r="L93" s="621">
        <v>18200</v>
      </c>
      <c r="M93" s="688"/>
      <c r="O93" s="669"/>
      <c r="P93" s="669"/>
      <c r="Q93" s="669"/>
      <c r="S93" s="669">
        <f t="shared" si="14"/>
        <v>182000</v>
      </c>
      <c r="T93" s="669">
        <f t="shared" si="15"/>
        <v>166858.85899712757</v>
      </c>
    </row>
    <row r="94" spans="1:20" ht="16.5" customHeight="1">
      <c r="A94" s="673">
        <f t="shared" si="16"/>
        <v>89</v>
      </c>
      <c r="B94" s="286" t="s">
        <v>1224</v>
      </c>
      <c r="C94" s="691">
        <v>42391</v>
      </c>
      <c r="D94" s="692" t="s">
        <v>397</v>
      </c>
      <c r="E94" s="764">
        <v>95</v>
      </c>
      <c r="F94" s="763">
        <v>184</v>
      </c>
      <c r="G94" s="763"/>
      <c r="H94" s="759">
        <f t="shared" si="13"/>
        <v>1.75</v>
      </c>
      <c r="I94" s="252">
        <v>10</v>
      </c>
      <c r="J94" s="674">
        <f t="shared" si="10"/>
        <v>17.5</v>
      </c>
      <c r="K94" s="674">
        <f t="shared" si="12"/>
        <v>14600.150162248663</v>
      </c>
      <c r="L94" s="621">
        <v>15907</v>
      </c>
      <c r="M94" s="688"/>
      <c r="O94" s="669"/>
      <c r="P94" s="669"/>
      <c r="Q94" s="669"/>
      <c r="S94" s="669">
        <f t="shared" si="14"/>
        <v>159070</v>
      </c>
      <c r="T94" s="669">
        <f t="shared" si="15"/>
        <v>146001.50162248663</v>
      </c>
    </row>
    <row r="95" spans="1:20" ht="16.5" customHeight="1">
      <c r="A95" s="673">
        <f t="shared" si="16"/>
        <v>90</v>
      </c>
      <c r="B95" s="286" t="s">
        <v>712</v>
      </c>
      <c r="C95" s="691">
        <v>42391</v>
      </c>
      <c r="D95" s="692" t="s">
        <v>397</v>
      </c>
      <c r="E95" s="764">
        <v>100</v>
      </c>
      <c r="F95" s="763">
        <v>98</v>
      </c>
      <c r="G95" s="763"/>
      <c r="H95" s="759">
        <f t="shared" si="13"/>
        <v>0.98</v>
      </c>
      <c r="I95" s="252">
        <v>10</v>
      </c>
      <c r="J95" s="674">
        <f t="shared" si="10"/>
        <v>9.8000000000000007</v>
      </c>
      <c r="K95" s="674">
        <f t="shared" si="12"/>
        <v>8176.0840908592509</v>
      </c>
      <c r="L95" s="621">
        <v>8918</v>
      </c>
      <c r="M95" s="688"/>
      <c r="O95" s="669"/>
      <c r="P95" s="669"/>
      <c r="Q95" s="669"/>
      <c r="S95" s="669">
        <f t="shared" si="14"/>
        <v>89180</v>
      </c>
      <c r="T95" s="669">
        <f t="shared" si="15"/>
        <v>81760.840908592509</v>
      </c>
    </row>
    <row r="96" spans="1:20" ht="16.5" customHeight="1">
      <c r="A96" s="673">
        <f t="shared" si="16"/>
        <v>91</v>
      </c>
      <c r="B96" s="286" t="s">
        <v>1210</v>
      </c>
      <c r="C96" s="691">
        <v>42391</v>
      </c>
      <c r="D96" s="692" t="s">
        <v>397</v>
      </c>
      <c r="E96" s="764">
        <v>95</v>
      </c>
      <c r="F96" s="763">
        <v>114</v>
      </c>
      <c r="G96" s="763"/>
      <c r="H96" s="759">
        <f t="shared" si="13"/>
        <v>1.08</v>
      </c>
      <c r="I96" s="252">
        <v>10</v>
      </c>
      <c r="J96" s="674">
        <f t="shared" si="10"/>
        <v>10.8</v>
      </c>
      <c r="K96" s="674">
        <f t="shared" si="12"/>
        <v>9010.3783858448896</v>
      </c>
      <c r="L96" s="621">
        <v>9855</v>
      </c>
      <c r="M96" s="688"/>
      <c r="O96" s="669"/>
      <c r="P96" s="669"/>
      <c r="Q96" s="669"/>
      <c r="S96" s="669">
        <f t="shared" si="14"/>
        <v>98550</v>
      </c>
      <c r="T96" s="669">
        <f t="shared" si="15"/>
        <v>90103.783858448893</v>
      </c>
    </row>
    <row r="97" spans="1:20" ht="16.5" customHeight="1">
      <c r="A97" s="673">
        <f t="shared" si="16"/>
        <v>92</v>
      </c>
      <c r="B97" s="286" t="s">
        <v>1309</v>
      </c>
      <c r="C97" s="691">
        <v>42394</v>
      </c>
      <c r="D97" s="692" t="s">
        <v>398</v>
      </c>
      <c r="E97" s="764">
        <v>42</v>
      </c>
      <c r="F97" s="763">
        <v>41</v>
      </c>
      <c r="G97" s="763">
        <v>34</v>
      </c>
      <c r="H97" s="759">
        <f t="shared" si="13"/>
        <v>1.33</v>
      </c>
      <c r="I97" s="252">
        <v>100</v>
      </c>
      <c r="J97" s="674">
        <f t="shared" si="10"/>
        <v>133</v>
      </c>
      <c r="K97" s="674">
        <f t="shared" si="12"/>
        <v>11096.114123308984</v>
      </c>
      <c r="L97" s="621">
        <v>19940</v>
      </c>
      <c r="M97" s="688"/>
      <c r="O97" s="669"/>
      <c r="P97" s="669"/>
      <c r="Q97" s="669"/>
      <c r="S97" s="669">
        <f t="shared" si="14"/>
        <v>1994000</v>
      </c>
      <c r="T97" s="669">
        <f t="shared" si="15"/>
        <v>1109611.4123308985</v>
      </c>
    </row>
    <row r="98" spans="1:20" ht="16.5" customHeight="1">
      <c r="A98" s="673">
        <f t="shared" si="16"/>
        <v>93</v>
      </c>
      <c r="B98" s="286" t="s">
        <v>1435</v>
      </c>
      <c r="C98" s="691">
        <v>42395</v>
      </c>
      <c r="D98" s="692" t="s">
        <v>909</v>
      </c>
      <c r="E98" s="764">
        <v>41</v>
      </c>
      <c r="F98" s="763">
        <v>41</v>
      </c>
      <c r="G98" s="763">
        <v>25</v>
      </c>
      <c r="H98" s="759">
        <f t="shared" si="13"/>
        <v>1.17</v>
      </c>
      <c r="I98" s="252">
        <v>1500</v>
      </c>
      <c r="J98" s="674">
        <f t="shared" si="10"/>
        <v>1755</v>
      </c>
      <c r="K98" s="674">
        <f t="shared" si="12"/>
        <v>9761.2432513319618</v>
      </c>
      <c r="L98" s="621">
        <v>11300</v>
      </c>
      <c r="M98" s="688"/>
      <c r="O98" s="669"/>
      <c r="P98" s="669"/>
      <c r="Q98" s="669"/>
      <c r="S98" s="669">
        <f t="shared" si="14"/>
        <v>16950000</v>
      </c>
      <c r="T98" s="669">
        <f t="shared" si="15"/>
        <v>14641864.876997942</v>
      </c>
    </row>
    <row r="99" spans="1:20" ht="16.5" customHeight="1">
      <c r="A99" s="673">
        <f t="shared" si="16"/>
        <v>94</v>
      </c>
      <c r="B99" s="286" t="s">
        <v>1306</v>
      </c>
      <c r="C99" s="691">
        <v>42395</v>
      </c>
      <c r="D99" s="692" t="s">
        <v>909</v>
      </c>
      <c r="E99" s="764">
        <v>43</v>
      </c>
      <c r="F99" s="763">
        <v>42</v>
      </c>
      <c r="G99" s="763">
        <v>26</v>
      </c>
      <c r="H99" s="759">
        <f t="shared" si="13"/>
        <v>1.24</v>
      </c>
      <c r="I99" s="252">
        <v>1300</v>
      </c>
      <c r="J99" s="674">
        <f t="shared" si="10"/>
        <v>1612</v>
      </c>
      <c r="K99" s="674">
        <f t="shared" si="12"/>
        <v>10345.24925782191</v>
      </c>
      <c r="L99" s="621">
        <v>11800</v>
      </c>
      <c r="M99" s="688"/>
      <c r="O99" s="669"/>
      <c r="P99" s="669"/>
      <c r="Q99" s="669"/>
      <c r="S99" s="669">
        <f t="shared" si="14"/>
        <v>15340000</v>
      </c>
      <c r="T99" s="669">
        <f t="shared" si="15"/>
        <v>13448824.035168482</v>
      </c>
    </row>
    <row r="100" spans="1:20" ht="16.5" customHeight="1">
      <c r="A100" s="673">
        <f t="shared" si="16"/>
        <v>95</v>
      </c>
      <c r="B100" s="286" t="s">
        <v>653</v>
      </c>
      <c r="C100" s="691">
        <v>42395</v>
      </c>
      <c r="D100" s="692" t="s">
        <v>401</v>
      </c>
      <c r="E100" s="764">
        <v>68</v>
      </c>
      <c r="F100" s="763">
        <v>68</v>
      </c>
      <c r="G100" s="763">
        <v>29</v>
      </c>
      <c r="H100" s="759">
        <f t="shared" si="13"/>
        <v>2.77</v>
      </c>
      <c r="I100" s="252">
        <v>50</v>
      </c>
      <c r="J100" s="674">
        <f t="shared" si="10"/>
        <v>138.5</v>
      </c>
      <c r="K100" s="674">
        <f t="shared" si="12"/>
        <v>23109.951971102168</v>
      </c>
      <c r="L100" s="621">
        <v>36036</v>
      </c>
      <c r="M100" s="688"/>
      <c r="O100" s="669"/>
      <c r="P100" s="669"/>
      <c r="Q100" s="669"/>
      <c r="S100" s="669">
        <f t="shared" si="14"/>
        <v>1801800</v>
      </c>
      <c r="T100" s="669">
        <f t="shared" si="15"/>
        <v>1155497.5985551083</v>
      </c>
    </row>
    <row r="101" spans="1:20" ht="16.5" customHeight="1">
      <c r="A101" s="673">
        <f t="shared" si="16"/>
        <v>96</v>
      </c>
      <c r="B101" s="286" t="s">
        <v>656</v>
      </c>
      <c r="C101" s="691">
        <v>42395</v>
      </c>
      <c r="D101" s="692" t="s">
        <v>401</v>
      </c>
      <c r="E101" s="764">
        <v>78</v>
      </c>
      <c r="F101" s="763">
        <v>45</v>
      </c>
      <c r="G101" s="763">
        <v>42</v>
      </c>
      <c r="H101" s="759">
        <f t="shared" si="13"/>
        <v>2.2599999999999998</v>
      </c>
      <c r="I101" s="252">
        <v>98</v>
      </c>
      <c r="J101" s="674">
        <f t="shared" si="10"/>
        <v>221.48</v>
      </c>
      <c r="K101" s="674">
        <f t="shared" si="12"/>
        <v>18855.051066675413</v>
      </c>
      <c r="L101" s="621">
        <v>29388</v>
      </c>
      <c r="M101" s="688"/>
      <c r="O101" s="669"/>
      <c r="P101" s="669"/>
      <c r="Q101" s="669"/>
      <c r="S101" s="669">
        <f t="shared" si="14"/>
        <v>2880024</v>
      </c>
      <c r="T101" s="669">
        <f t="shared" si="15"/>
        <v>1847795.0045341905</v>
      </c>
    </row>
    <row r="102" spans="1:20" ht="16.5" customHeight="1">
      <c r="A102" s="673">
        <f t="shared" si="16"/>
        <v>97</v>
      </c>
      <c r="B102" s="286" t="s">
        <v>655</v>
      </c>
      <c r="C102" s="691">
        <v>42395</v>
      </c>
      <c r="D102" s="692" t="s">
        <v>401</v>
      </c>
      <c r="E102" s="764">
        <v>78</v>
      </c>
      <c r="F102" s="763">
        <v>63</v>
      </c>
      <c r="G102" s="763">
        <v>31</v>
      </c>
      <c r="H102" s="759">
        <f t="shared" si="13"/>
        <v>2.78</v>
      </c>
      <c r="I102" s="252">
        <v>55</v>
      </c>
      <c r="J102" s="674">
        <f t="shared" si="10"/>
        <v>152.89999999999998</v>
      </c>
      <c r="K102" s="674">
        <f t="shared" si="12"/>
        <v>23193.381400600731</v>
      </c>
      <c r="L102" s="621">
        <v>36192</v>
      </c>
      <c r="M102" s="688"/>
      <c r="O102" s="669"/>
      <c r="P102" s="669"/>
      <c r="Q102" s="669"/>
      <c r="S102" s="669">
        <f t="shared" si="14"/>
        <v>1990560</v>
      </c>
      <c r="T102" s="669">
        <f t="shared" si="15"/>
        <v>1275635.9770330403</v>
      </c>
    </row>
    <row r="103" spans="1:20" ht="16.5" customHeight="1">
      <c r="A103" s="673">
        <f t="shared" si="16"/>
        <v>98</v>
      </c>
      <c r="B103" s="286" t="s">
        <v>1233</v>
      </c>
      <c r="C103" s="691">
        <v>42395</v>
      </c>
      <c r="D103" s="692" t="s">
        <v>402</v>
      </c>
      <c r="E103" s="764">
        <v>75</v>
      </c>
      <c r="F103" s="763">
        <v>42</v>
      </c>
      <c r="G103" s="763"/>
      <c r="H103" s="759">
        <f t="shared" si="13"/>
        <v>0.32</v>
      </c>
      <c r="I103" s="252">
        <v>196</v>
      </c>
      <c r="J103" s="674">
        <f t="shared" si="10"/>
        <v>62.72</v>
      </c>
      <c r="K103" s="674">
        <f t="shared" si="12"/>
        <v>2669.7417439540413</v>
      </c>
      <c r="L103" s="621">
        <v>2205</v>
      </c>
      <c r="M103" s="688"/>
      <c r="O103" s="669"/>
      <c r="P103" s="669"/>
      <c r="Q103" s="669"/>
      <c r="S103" s="669">
        <f t="shared" si="14"/>
        <v>432180</v>
      </c>
      <c r="T103" s="669">
        <f t="shared" si="15"/>
        <v>523269.38181499211</v>
      </c>
    </row>
    <row r="104" spans="1:20" ht="16.5" customHeight="1">
      <c r="A104" s="673">
        <f t="shared" si="16"/>
        <v>99</v>
      </c>
      <c r="B104" s="286" t="s">
        <v>1234</v>
      </c>
      <c r="C104" s="691">
        <v>42395</v>
      </c>
      <c r="D104" s="692" t="s">
        <v>402</v>
      </c>
      <c r="E104" s="764">
        <v>42</v>
      </c>
      <c r="F104" s="763">
        <v>39</v>
      </c>
      <c r="G104" s="763"/>
      <c r="H104" s="759">
        <f t="shared" si="13"/>
        <v>0.16</v>
      </c>
      <c r="I104" s="252">
        <v>500</v>
      </c>
      <c r="J104" s="674">
        <f t="shared" si="10"/>
        <v>80</v>
      </c>
      <c r="K104" s="674">
        <f t="shared" si="12"/>
        <v>1334.8708719770207</v>
      </c>
      <c r="L104" s="621">
        <v>1147</v>
      </c>
      <c r="M104" s="688"/>
      <c r="O104" s="669"/>
      <c r="P104" s="669"/>
      <c r="Q104" s="669"/>
      <c r="S104" s="669">
        <f t="shared" si="14"/>
        <v>573500</v>
      </c>
      <c r="T104" s="669">
        <f t="shared" si="15"/>
        <v>667435.43598851038</v>
      </c>
    </row>
    <row r="105" spans="1:20" ht="16.5" customHeight="1">
      <c r="A105" s="673">
        <f t="shared" si="16"/>
        <v>100</v>
      </c>
      <c r="B105" s="286" t="s">
        <v>1235</v>
      </c>
      <c r="C105" s="691">
        <v>42395</v>
      </c>
      <c r="D105" s="692" t="s">
        <v>402</v>
      </c>
      <c r="E105" s="764">
        <v>65</v>
      </c>
      <c r="F105" s="763">
        <v>65</v>
      </c>
      <c r="G105" s="763"/>
      <c r="H105" s="759">
        <f t="shared" si="13"/>
        <v>0.42</v>
      </c>
      <c r="I105" s="252">
        <v>100</v>
      </c>
      <c r="J105" s="674">
        <f t="shared" si="10"/>
        <v>42</v>
      </c>
      <c r="K105" s="674">
        <f t="shared" si="12"/>
        <v>3504.0360389396787</v>
      </c>
      <c r="L105" s="621">
        <v>2958</v>
      </c>
      <c r="M105" s="688"/>
      <c r="O105" s="669"/>
      <c r="P105" s="669"/>
      <c r="Q105" s="669"/>
      <c r="S105" s="669">
        <f t="shared" si="14"/>
        <v>295800</v>
      </c>
      <c r="T105" s="669">
        <f t="shared" si="15"/>
        <v>350403.60389396787</v>
      </c>
    </row>
    <row r="106" spans="1:20" ht="16.5" customHeight="1">
      <c r="A106" s="673">
        <f t="shared" si="16"/>
        <v>101</v>
      </c>
      <c r="B106" s="286" t="s">
        <v>1236</v>
      </c>
      <c r="C106" s="691">
        <v>42395</v>
      </c>
      <c r="D106" s="692" t="s">
        <v>402</v>
      </c>
      <c r="E106" s="764">
        <v>65</v>
      </c>
      <c r="F106" s="763">
        <v>26</v>
      </c>
      <c r="G106" s="763"/>
      <c r="H106" s="759">
        <f t="shared" si="13"/>
        <v>0.17</v>
      </c>
      <c r="I106" s="252">
        <v>50</v>
      </c>
      <c r="J106" s="674">
        <f t="shared" si="10"/>
        <v>8.5</v>
      </c>
      <c r="K106" s="674">
        <f t="shared" si="12"/>
        <v>1418.3003014755845</v>
      </c>
      <c r="L106" s="621">
        <v>1183</v>
      </c>
      <c r="M106" s="688"/>
      <c r="O106" s="669"/>
      <c r="P106" s="669"/>
      <c r="Q106" s="669"/>
      <c r="S106" s="669">
        <f t="shared" si="14"/>
        <v>59150</v>
      </c>
      <c r="T106" s="669">
        <f t="shared" si="15"/>
        <v>70915.015073779228</v>
      </c>
    </row>
    <row r="107" spans="1:20" ht="16.5" customHeight="1">
      <c r="A107" s="673">
        <f t="shared" si="16"/>
        <v>102</v>
      </c>
      <c r="B107" s="286" t="s">
        <v>1237</v>
      </c>
      <c r="C107" s="691">
        <v>42395</v>
      </c>
      <c r="D107" s="692" t="s">
        <v>402</v>
      </c>
      <c r="E107" s="764">
        <v>32</v>
      </c>
      <c r="F107" s="763">
        <v>27</v>
      </c>
      <c r="G107" s="763"/>
      <c r="H107" s="759">
        <f t="shared" si="13"/>
        <v>0.09</v>
      </c>
      <c r="I107" s="252">
        <v>400</v>
      </c>
      <c r="J107" s="674">
        <f t="shared" si="10"/>
        <v>36</v>
      </c>
      <c r="K107" s="674">
        <f t="shared" si="12"/>
        <v>750.8648654870741</v>
      </c>
      <c r="L107" s="621">
        <v>605</v>
      </c>
      <c r="M107" s="688"/>
      <c r="O107" s="669"/>
      <c r="P107" s="669"/>
      <c r="Q107" s="669"/>
      <c r="S107" s="669">
        <f t="shared" si="14"/>
        <v>242000</v>
      </c>
      <c r="T107" s="669">
        <f t="shared" si="15"/>
        <v>300345.94619482965</v>
      </c>
    </row>
    <row r="108" spans="1:20" ht="16.5" customHeight="1">
      <c r="A108" s="673">
        <f t="shared" si="16"/>
        <v>103</v>
      </c>
      <c r="B108" s="286" t="s">
        <v>1238</v>
      </c>
      <c r="C108" s="691">
        <v>42395</v>
      </c>
      <c r="D108" s="692" t="s">
        <v>402</v>
      </c>
      <c r="E108" s="764">
        <v>75</v>
      </c>
      <c r="F108" s="763">
        <v>60</v>
      </c>
      <c r="G108" s="763"/>
      <c r="H108" s="759">
        <f t="shared" si="13"/>
        <v>0.45</v>
      </c>
      <c r="I108" s="252">
        <v>110</v>
      </c>
      <c r="J108" s="674">
        <f t="shared" si="10"/>
        <v>49.5</v>
      </c>
      <c r="K108" s="674">
        <f t="shared" si="12"/>
        <v>3754.3243274353704</v>
      </c>
      <c r="L108" s="621">
        <v>3150</v>
      </c>
      <c r="M108" s="688"/>
      <c r="O108" s="669"/>
      <c r="P108" s="669"/>
      <c r="Q108" s="669"/>
      <c r="S108" s="669">
        <f t="shared" si="14"/>
        <v>346500</v>
      </c>
      <c r="T108" s="669">
        <f t="shared" si="15"/>
        <v>412975.67601789074</v>
      </c>
    </row>
    <row r="109" spans="1:20" ht="16.5" customHeight="1">
      <c r="A109" s="673">
        <f t="shared" si="16"/>
        <v>104</v>
      </c>
      <c r="B109" s="286" t="s">
        <v>1239</v>
      </c>
      <c r="C109" s="691">
        <v>42395</v>
      </c>
      <c r="D109" s="692" t="s">
        <v>402</v>
      </c>
      <c r="E109" s="764">
        <v>60</v>
      </c>
      <c r="F109" s="763">
        <v>28</v>
      </c>
      <c r="G109" s="763"/>
      <c r="H109" s="759">
        <f t="shared" si="13"/>
        <v>0.17</v>
      </c>
      <c r="I109" s="252">
        <v>55</v>
      </c>
      <c r="J109" s="674">
        <f t="shared" si="10"/>
        <v>9.3500000000000014</v>
      </c>
      <c r="K109" s="674">
        <f t="shared" si="12"/>
        <v>1418.3003014755845</v>
      </c>
      <c r="L109" s="621">
        <v>1176</v>
      </c>
      <c r="M109" s="688"/>
      <c r="O109" s="669"/>
      <c r="P109" s="669"/>
      <c r="Q109" s="669"/>
      <c r="S109" s="669">
        <f t="shared" si="14"/>
        <v>64680</v>
      </c>
      <c r="T109" s="669">
        <f t="shared" si="15"/>
        <v>78006.51658115715</v>
      </c>
    </row>
    <row r="110" spans="1:20" ht="16.5" customHeight="1">
      <c r="A110" s="673">
        <f t="shared" si="16"/>
        <v>105</v>
      </c>
      <c r="B110" s="286" t="s">
        <v>1240</v>
      </c>
      <c r="C110" s="691">
        <v>42395</v>
      </c>
      <c r="D110" s="692" t="s">
        <v>402</v>
      </c>
      <c r="E110" s="764">
        <v>37</v>
      </c>
      <c r="F110" s="763">
        <v>29</v>
      </c>
      <c r="G110" s="763"/>
      <c r="H110" s="759">
        <f t="shared" si="13"/>
        <v>0.11</v>
      </c>
      <c r="I110" s="252">
        <v>440</v>
      </c>
      <c r="J110" s="674">
        <f t="shared" si="10"/>
        <v>48.4</v>
      </c>
      <c r="K110" s="674">
        <f t="shared" si="12"/>
        <v>917.72372448420163</v>
      </c>
      <c r="L110" s="621">
        <v>751</v>
      </c>
      <c r="M110" s="688"/>
      <c r="O110" s="669"/>
      <c r="P110" s="669"/>
      <c r="Q110" s="669"/>
      <c r="S110" s="669">
        <f t="shared" si="14"/>
        <v>330440</v>
      </c>
      <c r="T110" s="669">
        <f t="shared" si="15"/>
        <v>403798.43877304869</v>
      </c>
    </row>
    <row r="111" spans="1:20" ht="16.5" customHeight="1">
      <c r="A111" s="673">
        <f t="shared" si="16"/>
        <v>106</v>
      </c>
      <c r="B111" s="286" t="s">
        <v>708</v>
      </c>
      <c r="C111" s="691">
        <v>42395</v>
      </c>
      <c r="D111" s="692" t="s">
        <v>403</v>
      </c>
      <c r="E111" s="764">
        <v>80</v>
      </c>
      <c r="F111" s="763">
        <v>182</v>
      </c>
      <c r="G111" s="763"/>
      <c r="H111" s="759">
        <f t="shared" si="13"/>
        <v>1.46</v>
      </c>
      <c r="I111" s="252">
        <v>50</v>
      </c>
      <c r="J111" s="674">
        <f t="shared" si="10"/>
        <v>73</v>
      </c>
      <c r="K111" s="674">
        <f t="shared" si="12"/>
        <v>12180.696706790313</v>
      </c>
      <c r="L111" s="621">
        <v>13250</v>
      </c>
      <c r="M111" s="688"/>
      <c r="O111" s="669"/>
      <c r="P111" s="669"/>
      <c r="Q111" s="669"/>
      <c r="S111" s="669">
        <f t="shared" si="14"/>
        <v>662500</v>
      </c>
      <c r="T111" s="669">
        <f t="shared" si="15"/>
        <v>609034.8353395157</v>
      </c>
    </row>
    <row r="112" spans="1:20" ht="16.5" customHeight="1">
      <c r="A112" s="673">
        <f t="shared" si="16"/>
        <v>107</v>
      </c>
      <c r="B112" s="286" t="s">
        <v>1225</v>
      </c>
      <c r="C112" s="691">
        <v>42395</v>
      </c>
      <c r="D112" s="692" t="s">
        <v>403</v>
      </c>
      <c r="E112" s="764">
        <v>110</v>
      </c>
      <c r="F112" s="763">
        <v>71</v>
      </c>
      <c r="G112" s="763"/>
      <c r="H112" s="759">
        <f t="shared" si="13"/>
        <v>0.78</v>
      </c>
      <c r="I112" s="252">
        <v>100</v>
      </c>
      <c r="J112" s="674">
        <f t="shared" si="10"/>
        <v>78</v>
      </c>
      <c r="K112" s="674">
        <f t="shared" si="12"/>
        <v>6507.4955008879751</v>
      </c>
      <c r="L112" s="621">
        <v>4764</v>
      </c>
      <c r="M112" s="688"/>
      <c r="O112" s="669"/>
      <c r="P112" s="669"/>
      <c r="Q112" s="669"/>
      <c r="S112" s="669">
        <f t="shared" si="14"/>
        <v>476400</v>
      </c>
      <c r="T112" s="669">
        <f t="shared" si="15"/>
        <v>650749.55008879746</v>
      </c>
    </row>
    <row r="113" spans="1:20" ht="16.5" customHeight="1">
      <c r="A113" s="673">
        <f t="shared" si="16"/>
        <v>108</v>
      </c>
      <c r="B113" s="286" t="s">
        <v>1226</v>
      </c>
      <c r="C113" s="691">
        <v>42395</v>
      </c>
      <c r="D113" s="692" t="s">
        <v>403</v>
      </c>
      <c r="E113" s="764">
        <v>35</v>
      </c>
      <c r="F113" s="763">
        <v>46</v>
      </c>
      <c r="G113" s="763"/>
      <c r="H113" s="759">
        <f t="shared" si="13"/>
        <v>0.16</v>
      </c>
      <c r="I113" s="252">
        <v>1000</v>
      </c>
      <c r="J113" s="674">
        <f t="shared" si="10"/>
        <v>160</v>
      </c>
      <c r="K113" s="674">
        <f t="shared" si="12"/>
        <v>1334.8708719770207</v>
      </c>
      <c r="L113" s="621">
        <v>1288</v>
      </c>
      <c r="M113" s="688"/>
      <c r="O113" s="669"/>
      <c r="P113" s="669"/>
      <c r="Q113" s="669"/>
      <c r="S113" s="669">
        <f t="shared" si="14"/>
        <v>1288000</v>
      </c>
      <c r="T113" s="669">
        <f t="shared" si="15"/>
        <v>1334870.8719770208</v>
      </c>
    </row>
    <row r="114" spans="1:20" ht="16.5" customHeight="1">
      <c r="A114" s="673">
        <f t="shared" si="16"/>
        <v>109</v>
      </c>
      <c r="B114" s="286" t="s">
        <v>700</v>
      </c>
      <c r="C114" s="691">
        <v>42395</v>
      </c>
      <c r="D114" s="692" t="s">
        <v>403</v>
      </c>
      <c r="E114" s="764">
        <v>100</v>
      </c>
      <c r="F114" s="763">
        <v>86</v>
      </c>
      <c r="G114" s="763"/>
      <c r="H114" s="759">
        <f t="shared" si="13"/>
        <v>0.86</v>
      </c>
      <c r="I114" s="252">
        <v>190</v>
      </c>
      <c r="J114" s="674">
        <f t="shared" si="10"/>
        <v>163.4</v>
      </c>
      <c r="K114" s="674">
        <f t="shared" si="12"/>
        <v>7174.9309368764852</v>
      </c>
      <c r="L114" s="621">
        <v>7826</v>
      </c>
      <c r="M114" s="688"/>
      <c r="O114" s="669"/>
      <c r="P114" s="669"/>
      <c r="Q114" s="669"/>
      <c r="S114" s="669">
        <f t="shared" si="14"/>
        <v>1486940</v>
      </c>
      <c r="T114" s="669">
        <f t="shared" si="15"/>
        <v>1363236.8780065321</v>
      </c>
    </row>
    <row r="115" spans="1:20" ht="16.5" customHeight="1">
      <c r="A115" s="673">
        <f t="shared" si="16"/>
        <v>110</v>
      </c>
      <c r="B115" s="286" t="s">
        <v>701</v>
      </c>
      <c r="C115" s="691">
        <v>42395</v>
      </c>
      <c r="D115" s="692" t="s">
        <v>403</v>
      </c>
      <c r="E115" s="764">
        <v>95</v>
      </c>
      <c r="F115" s="763">
        <v>83</v>
      </c>
      <c r="G115" s="763"/>
      <c r="H115" s="759">
        <f t="shared" si="13"/>
        <v>0.79</v>
      </c>
      <c r="I115" s="252">
        <v>195</v>
      </c>
      <c r="J115" s="674">
        <f t="shared" si="10"/>
        <v>154.05000000000001</v>
      </c>
      <c r="K115" s="674">
        <f t="shared" si="12"/>
        <v>6590.924930386539</v>
      </c>
      <c r="L115" s="621">
        <v>7175</v>
      </c>
      <c r="M115" s="688"/>
      <c r="O115" s="669"/>
      <c r="P115" s="669"/>
      <c r="Q115" s="669"/>
      <c r="S115" s="669">
        <f t="shared" si="14"/>
        <v>1399125</v>
      </c>
      <c r="T115" s="669">
        <f t="shared" si="15"/>
        <v>1285230.3614253751</v>
      </c>
    </row>
    <row r="116" spans="1:20" ht="16.5" customHeight="1">
      <c r="A116" s="673">
        <f t="shared" si="16"/>
        <v>111</v>
      </c>
      <c r="B116" s="286" t="s">
        <v>702</v>
      </c>
      <c r="C116" s="691">
        <v>42395</v>
      </c>
      <c r="D116" s="692" t="s">
        <v>403</v>
      </c>
      <c r="E116" s="764">
        <v>100</v>
      </c>
      <c r="F116" s="763">
        <v>116</v>
      </c>
      <c r="G116" s="763"/>
      <c r="H116" s="759">
        <f t="shared" si="13"/>
        <v>1.1599999999999999</v>
      </c>
      <c r="I116" s="252">
        <v>125</v>
      </c>
      <c r="J116" s="674">
        <f t="shared" si="10"/>
        <v>145</v>
      </c>
      <c r="K116" s="674">
        <f t="shared" si="12"/>
        <v>9677.8138218333988</v>
      </c>
      <c r="L116" s="621">
        <v>10556</v>
      </c>
      <c r="M116" s="688"/>
      <c r="O116" s="669"/>
      <c r="P116" s="669"/>
      <c r="Q116" s="669"/>
      <c r="S116" s="669">
        <f t="shared" si="14"/>
        <v>1319500</v>
      </c>
      <c r="T116" s="669">
        <f t="shared" si="15"/>
        <v>1209726.7277291748</v>
      </c>
    </row>
    <row r="117" spans="1:20" ht="16.5" customHeight="1">
      <c r="A117" s="673">
        <f t="shared" si="16"/>
        <v>112</v>
      </c>
      <c r="B117" s="286" t="s">
        <v>703</v>
      </c>
      <c r="C117" s="691">
        <v>42395</v>
      </c>
      <c r="D117" s="692" t="s">
        <v>403</v>
      </c>
      <c r="E117" s="764">
        <v>95</v>
      </c>
      <c r="F117" s="763">
        <v>113</v>
      </c>
      <c r="G117" s="763"/>
      <c r="H117" s="759">
        <f t="shared" si="13"/>
        <v>1.07</v>
      </c>
      <c r="I117" s="252">
        <v>125</v>
      </c>
      <c r="J117" s="674">
        <f t="shared" si="10"/>
        <v>133.75</v>
      </c>
      <c r="K117" s="674">
        <f t="shared" si="12"/>
        <v>8926.9489563463248</v>
      </c>
      <c r="L117" s="621">
        <v>9769</v>
      </c>
      <c r="M117" s="688"/>
      <c r="O117" s="669"/>
      <c r="P117" s="669"/>
      <c r="Q117" s="669"/>
      <c r="S117" s="669">
        <f t="shared" si="14"/>
        <v>1221125</v>
      </c>
      <c r="T117" s="669">
        <f t="shared" si="15"/>
        <v>1115868.6195432907</v>
      </c>
    </row>
    <row r="118" spans="1:20" ht="16.5" customHeight="1">
      <c r="A118" s="673">
        <f t="shared" si="16"/>
        <v>113</v>
      </c>
      <c r="B118" s="286" t="s">
        <v>1227</v>
      </c>
      <c r="C118" s="691">
        <v>42395</v>
      </c>
      <c r="D118" s="692" t="s">
        <v>403</v>
      </c>
      <c r="E118" s="764">
        <v>130</v>
      </c>
      <c r="F118" s="763">
        <v>137</v>
      </c>
      <c r="G118" s="763"/>
      <c r="H118" s="759">
        <f t="shared" si="13"/>
        <v>1.78</v>
      </c>
      <c r="I118" s="252">
        <v>390</v>
      </c>
      <c r="J118" s="674">
        <f t="shared" si="10"/>
        <v>694.2</v>
      </c>
      <c r="K118" s="674">
        <f t="shared" si="12"/>
        <v>14850.438450744354</v>
      </c>
      <c r="L118" s="621">
        <v>16207</v>
      </c>
      <c r="M118" s="688"/>
      <c r="O118" s="669"/>
      <c r="P118" s="669"/>
      <c r="Q118" s="669"/>
      <c r="S118" s="669">
        <f t="shared" si="14"/>
        <v>6320730</v>
      </c>
      <c r="T118" s="669">
        <f t="shared" si="15"/>
        <v>5791670.9957902981</v>
      </c>
    </row>
    <row r="119" spans="1:20" ht="16.5" customHeight="1">
      <c r="A119" s="673">
        <f t="shared" si="16"/>
        <v>114</v>
      </c>
      <c r="B119" s="286" t="s">
        <v>1228</v>
      </c>
      <c r="C119" s="691">
        <v>42395</v>
      </c>
      <c r="D119" s="692" t="s">
        <v>403</v>
      </c>
      <c r="E119" s="764">
        <v>90</v>
      </c>
      <c r="F119" s="763">
        <v>117</v>
      </c>
      <c r="G119" s="763"/>
      <c r="H119" s="759">
        <f t="shared" si="13"/>
        <v>1.05</v>
      </c>
      <c r="I119" s="252">
        <v>420</v>
      </c>
      <c r="J119" s="674">
        <f t="shared" ref="J119:J182" si="17">H119*I119</f>
        <v>441</v>
      </c>
      <c r="K119" s="674">
        <f t="shared" si="12"/>
        <v>8760.0900973491971</v>
      </c>
      <c r="L119" s="621">
        <v>8845</v>
      </c>
      <c r="M119" s="688"/>
      <c r="O119" s="669"/>
      <c r="P119" s="669"/>
      <c r="Q119" s="669"/>
      <c r="S119" s="669">
        <f t="shared" si="14"/>
        <v>3714900</v>
      </c>
      <c r="T119" s="669">
        <f t="shared" si="15"/>
        <v>3679237.8408866627</v>
      </c>
    </row>
    <row r="120" spans="1:20" ht="16.5" customHeight="1">
      <c r="A120" s="673">
        <f t="shared" si="16"/>
        <v>115</v>
      </c>
      <c r="B120" s="286" t="s">
        <v>710</v>
      </c>
      <c r="C120" s="691">
        <v>42397</v>
      </c>
      <c r="D120" s="692" t="s">
        <v>405</v>
      </c>
      <c r="E120" s="764">
        <v>85</v>
      </c>
      <c r="F120" s="763">
        <v>220</v>
      </c>
      <c r="G120" s="763"/>
      <c r="H120" s="759">
        <f t="shared" si="13"/>
        <v>1.87</v>
      </c>
      <c r="I120" s="252">
        <v>500</v>
      </c>
      <c r="J120" s="674">
        <f t="shared" si="17"/>
        <v>935</v>
      </c>
      <c r="K120" s="674">
        <f t="shared" si="12"/>
        <v>15601.30331623143</v>
      </c>
      <c r="L120" s="621">
        <v>11968</v>
      </c>
      <c r="M120" s="688"/>
      <c r="O120" s="669"/>
      <c r="P120" s="669"/>
      <c r="Q120" s="669"/>
      <c r="S120" s="669">
        <f t="shared" si="14"/>
        <v>5984000</v>
      </c>
      <c r="T120" s="669">
        <f t="shared" si="15"/>
        <v>7800651.6581157148</v>
      </c>
    </row>
    <row r="121" spans="1:20" ht="16.5" customHeight="1">
      <c r="A121" s="673">
        <f t="shared" si="16"/>
        <v>116</v>
      </c>
      <c r="B121" s="286" t="s">
        <v>533</v>
      </c>
      <c r="C121" s="691">
        <v>42397</v>
      </c>
      <c r="D121" s="692" t="s">
        <v>405</v>
      </c>
      <c r="E121" s="764">
        <v>73</v>
      </c>
      <c r="F121" s="763">
        <v>73</v>
      </c>
      <c r="G121" s="763"/>
      <c r="H121" s="759">
        <f t="shared" si="13"/>
        <v>0.53</v>
      </c>
      <c r="I121" s="252">
        <v>2000</v>
      </c>
      <c r="J121" s="674">
        <f t="shared" si="17"/>
        <v>1060</v>
      </c>
      <c r="K121" s="674">
        <f t="shared" si="12"/>
        <v>4421.7597634238809</v>
      </c>
      <c r="L121" s="621">
        <v>4050</v>
      </c>
      <c r="M121" s="688"/>
      <c r="O121" s="669"/>
      <c r="P121" s="669"/>
      <c r="Q121" s="669"/>
      <c r="S121" s="669">
        <f t="shared" si="14"/>
        <v>8100000</v>
      </c>
      <c r="T121" s="669">
        <f t="shared" si="15"/>
        <v>8843519.5268477611</v>
      </c>
    </row>
    <row r="122" spans="1:20" ht="16.5" customHeight="1">
      <c r="A122" s="673">
        <f t="shared" si="16"/>
        <v>117</v>
      </c>
      <c r="B122" s="286" t="s">
        <v>531</v>
      </c>
      <c r="C122" s="691">
        <v>42397</v>
      </c>
      <c r="D122" s="692" t="s">
        <v>405</v>
      </c>
      <c r="E122" s="764">
        <v>85</v>
      </c>
      <c r="F122" s="763">
        <v>125</v>
      </c>
      <c r="G122" s="763"/>
      <c r="H122" s="759">
        <f t="shared" si="13"/>
        <v>1.06</v>
      </c>
      <c r="I122" s="252">
        <v>300</v>
      </c>
      <c r="J122" s="674">
        <f t="shared" si="17"/>
        <v>318</v>
      </c>
      <c r="K122" s="674">
        <f t="shared" si="12"/>
        <v>8843.5195268477619</v>
      </c>
      <c r="L122" s="621">
        <v>9350</v>
      </c>
      <c r="M122" s="688"/>
      <c r="O122" s="669"/>
      <c r="P122" s="669"/>
      <c r="Q122" s="669"/>
      <c r="S122" s="669">
        <f t="shared" si="14"/>
        <v>2805000</v>
      </c>
      <c r="T122" s="669">
        <f t="shared" si="15"/>
        <v>2653055.8580543287</v>
      </c>
    </row>
    <row r="123" spans="1:20" ht="16.5" customHeight="1">
      <c r="A123" s="673">
        <f t="shared" si="16"/>
        <v>118</v>
      </c>
      <c r="B123" s="286" t="s">
        <v>448</v>
      </c>
      <c r="C123" s="691">
        <v>42397</v>
      </c>
      <c r="D123" s="692" t="s">
        <v>406</v>
      </c>
      <c r="E123" s="764">
        <v>45</v>
      </c>
      <c r="F123" s="763">
        <v>35</v>
      </c>
      <c r="G123" s="763">
        <v>25</v>
      </c>
      <c r="H123" s="759">
        <f t="shared" si="13"/>
        <v>1.04</v>
      </c>
      <c r="I123" s="252">
        <v>1004</v>
      </c>
      <c r="J123" s="674">
        <f t="shared" si="17"/>
        <v>1044.1600000000001</v>
      </c>
      <c r="K123" s="674">
        <f t="shared" si="12"/>
        <v>8676.6606678506341</v>
      </c>
      <c r="L123" s="621">
        <v>8500</v>
      </c>
      <c r="M123" s="688"/>
      <c r="O123" s="669"/>
      <c r="P123" s="669"/>
      <c r="Q123" s="669"/>
      <c r="S123" s="669">
        <f t="shared" si="14"/>
        <v>8534000</v>
      </c>
      <c r="T123" s="669">
        <f t="shared" si="15"/>
        <v>8711367.3105220366</v>
      </c>
    </row>
    <row r="124" spans="1:20" ht="16.5" customHeight="1">
      <c r="A124" s="673">
        <f t="shared" si="16"/>
        <v>119</v>
      </c>
      <c r="B124" s="286" t="s">
        <v>1241</v>
      </c>
      <c r="C124" s="691">
        <v>42397</v>
      </c>
      <c r="D124" s="692" t="s">
        <v>406</v>
      </c>
      <c r="E124" s="764">
        <v>42</v>
      </c>
      <c r="F124" s="763">
        <v>32</v>
      </c>
      <c r="G124" s="763"/>
      <c r="H124" s="759">
        <f t="shared" si="13"/>
        <v>0.13</v>
      </c>
      <c r="I124" s="252">
        <v>1004</v>
      </c>
      <c r="J124" s="674">
        <f t="shared" si="17"/>
        <v>130.52000000000001</v>
      </c>
      <c r="K124" s="674">
        <f t="shared" si="12"/>
        <v>1084.5825834813293</v>
      </c>
      <c r="L124" s="621">
        <v>1020</v>
      </c>
      <c r="M124" s="688"/>
      <c r="O124" s="669"/>
      <c r="P124" s="669"/>
      <c r="Q124" s="669"/>
      <c r="S124" s="669">
        <f t="shared" si="14"/>
        <v>1024080</v>
      </c>
      <c r="T124" s="669">
        <f t="shared" si="15"/>
        <v>1088920.9138152546</v>
      </c>
    </row>
    <row r="125" spans="1:20" ht="16.5" customHeight="1">
      <c r="A125" s="673">
        <f t="shared" ref="A125:A156" si="18">IF(B123&lt;&gt;"",A124+1,"")</f>
        <v>120</v>
      </c>
      <c r="B125" s="286" t="s">
        <v>910</v>
      </c>
      <c r="C125" s="691">
        <v>42397</v>
      </c>
      <c r="D125" s="692" t="s">
        <v>406</v>
      </c>
      <c r="E125" s="764">
        <v>35</v>
      </c>
      <c r="F125" s="763">
        <v>30</v>
      </c>
      <c r="G125" s="763">
        <v>25</v>
      </c>
      <c r="H125" s="759">
        <f t="shared" si="13"/>
        <v>0.78</v>
      </c>
      <c r="I125" s="252">
        <v>502</v>
      </c>
      <c r="J125" s="674">
        <f t="shared" si="17"/>
        <v>391.56</v>
      </c>
      <c r="K125" s="674">
        <f t="shared" si="12"/>
        <v>6507.4955008879751</v>
      </c>
      <c r="L125" s="621">
        <v>9700</v>
      </c>
      <c r="M125" s="688"/>
      <c r="O125" s="669"/>
      <c r="P125" s="669"/>
      <c r="Q125" s="669"/>
      <c r="S125" s="669">
        <f t="shared" si="14"/>
        <v>4869400</v>
      </c>
      <c r="T125" s="669">
        <f t="shared" si="15"/>
        <v>3266762.7414457635</v>
      </c>
    </row>
    <row r="126" spans="1:20" ht="16.5" customHeight="1">
      <c r="A126" s="673">
        <f t="shared" si="18"/>
        <v>121</v>
      </c>
      <c r="B126" s="286" t="s">
        <v>1237</v>
      </c>
      <c r="C126" s="691">
        <v>42397</v>
      </c>
      <c r="D126" s="692" t="s">
        <v>406</v>
      </c>
      <c r="E126" s="764">
        <v>32</v>
      </c>
      <c r="F126" s="763">
        <v>27</v>
      </c>
      <c r="G126" s="763"/>
      <c r="H126" s="759">
        <f t="shared" si="13"/>
        <v>0.09</v>
      </c>
      <c r="I126" s="252">
        <v>502</v>
      </c>
      <c r="J126" s="674">
        <f t="shared" si="17"/>
        <v>45.18</v>
      </c>
      <c r="K126" s="674">
        <f t="shared" si="12"/>
        <v>750.8648654870741</v>
      </c>
      <c r="L126" s="621">
        <v>900</v>
      </c>
      <c r="M126" s="688"/>
      <c r="O126" s="669"/>
      <c r="P126" s="669"/>
      <c r="Q126" s="669"/>
      <c r="S126" s="669">
        <f t="shared" si="14"/>
        <v>451800</v>
      </c>
      <c r="T126" s="669">
        <f t="shared" si="15"/>
        <v>376934.16247451119</v>
      </c>
    </row>
    <row r="127" spans="1:20" ht="16.5" customHeight="1">
      <c r="A127" s="673">
        <f t="shared" si="18"/>
        <v>122</v>
      </c>
      <c r="B127" s="286" t="s">
        <v>638</v>
      </c>
      <c r="C127" s="691">
        <v>42397</v>
      </c>
      <c r="D127" s="692" t="s">
        <v>409</v>
      </c>
      <c r="E127" s="764">
        <v>52</v>
      </c>
      <c r="F127" s="763">
        <v>24</v>
      </c>
      <c r="G127" s="763">
        <v>24</v>
      </c>
      <c r="H127" s="759">
        <f t="shared" si="13"/>
        <v>0.8</v>
      </c>
      <c r="I127" s="252">
        <v>210</v>
      </c>
      <c r="J127" s="674">
        <f t="shared" si="17"/>
        <v>168</v>
      </c>
      <c r="K127" s="674">
        <f t="shared" si="12"/>
        <v>6674.3543598851029</v>
      </c>
      <c r="L127" s="621">
        <v>6000</v>
      </c>
      <c r="M127" s="688"/>
      <c r="O127" s="669"/>
      <c r="P127" s="669"/>
      <c r="Q127" s="669"/>
      <c r="S127" s="669">
        <f t="shared" si="14"/>
        <v>1260000</v>
      </c>
      <c r="T127" s="669">
        <f t="shared" si="15"/>
        <v>1401614.4155758717</v>
      </c>
    </row>
    <row r="128" spans="1:20" ht="16.5" customHeight="1">
      <c r="A128" s="673">
        <f t="shared" si="18"/>
        <v>123</v>
      </c>
      <c r="B128" s="286" t="s">
        <v>639</v>
      </c>
      <c r="C128" s="691">
        <v>42397</v>
      </c>
      <c r="D128" s="692" t="s">
        <v>409</v>
      </c>
      <c r="E128" s="764">
        <v>52</v>
      </c>
      <c r="F128" s="763">
        <v>27</v>
      </c>
      <c r="G128" s="763">
        <v>27</v>
      </c>
      <c r="H128" s="759">
        <f t="shared" si="13"/>
        <v>0.93</v>
      </c>
      <c r="I128" s="252">
        <v>309</v>
      </c>
      <c r="J128" s="674">
        <f t="shared" si="17"/>
        <v>287.37</v>
      </c>
      <c r="K128" s="674">
        <f t="shared" si="12"/>
        <v>7758.9369433664324</v>
      </c>
      <c r="L128" s="621">
        <v>6600</v>
      </c>
      <c r="M128" s="688"/>
      <c r="O128" s="669"/>
      <c r="P128" s="669"/>
      <c r="Q128" s="669"/>
      <c r="S128" s="669">
        <f t="shared" si="14"/>
        <v>2039400</v>
      </c>
      <c r="T128" s="669">
        <f t="shared" si="15"/>
        <v>2397511.5155002275</v>
      </c>
    </row>
    <row r="129" spans="1:20" ht="16.5" customHeight="1">
      <c r="A129" s="673">
        <f t="shared" si="18"/>
        <v>124</v>
      </c>
      <c r="B129" s="286" t="s">
        <v>911</v>
      </c>
      <c r="C129" s="691">
        <v>42397</v>
      </c>
      <c r="D129" s="692" t="s">
        <v>412</v>
      </c>
      <c r="E129" s="764">
        <v>70</v>
      </c>
      <c r="F129" s="763">
        <v>45</v>
      </c>
      <c r="G129" s="763">
        <v>50</v>
      </c>
      <c r="H129" s="759">
        <f t="shared" si="13"/>
        <v>2.2999999999999998</v>
      </c>
      <c r="I129" s="252">
        <v>206</v>
      </c>
      <c r="J129" s="674">
        <f t="shared" si="17"/>
        <v>473.79999999999995</v>
      </c>
      <c r="K129" s="674">
        <f t="shared" si="12"/>
        <v>19188.768784669668</v>
      </c>
      <c r="L129" s="621">
        <v>23200</v>
      </c>
      <c r="M129" s="688"/>
      <c r="O129" s="669"/>
      <c r="P129" s="669"/>
      <c r="Q129" s="669"/>
      <c r="S129" s="669">
        <f t="shared" si="14"/>
        <v>4779200</v>
      </c>
      <c r="T129" s="669">
        <f t="shared" si="15"/>
        <v>3952886.3696419518</v>
      </c>
    </row>
    <row r="130" spans="1:20" ht="16.5" customHeight="1">
      <c r="A130" s="673">
        <f t="shared" si="18"/>
        <v>125</v>
      </c>
      <c r="B130" s="286" t="s">
        <v>1242</v>
      </c>
      <c r="C130" s="691">
        <v>42397</v>
      </c>
      <c r="D130" s="692" t="s">
        <v>412</v>
      </c>
      <c r="E130" s="764">
        <v>55</v>
      </c>
      <c r="F130" s="763">
        <v>40</v>
      </c>
      <c r="G130" s="763"/>
      <c r="H130" s="759">
        <f t="shared" si="13"/>
        <v>0.22</v>
      </c>
      <c r="I130" s="252">
        <v>500</v>
      </c>
      <c r="J130" s="674">
        <f t="shared" si="17"/>
        <v>110</v>
      </c>
      <c r="K130" s="674">
        <f t="shared" si="12"/>
        <v>1835.4474489684033</v>
      </c>
      <c r="L130" s="621">
        <v>2200</v>
      </c>
      <c r="M130" s="688"/>
      <c r="O130" s="669"/>
      <c r="P130" s="669"/>
      <c r="Q130" s="669"/>
      <c r="S130" s="669">
        <f t="shared" si="14"/>
        <v>1100000</v>
      </c>
      <c r="T130" s="669">
        <f t="shared" si="15"/>
        <v>917723.72448420164</v>
      </c>
    </row>
    <row r="131" spans="1:20" ht="16.5" customHeight="1">
      <c r="A131" s="673">
        <f t="shared" si="18"/>
        <v>126</v>
      </c>
      <c r="B131" s="286" t="s">
        <v>1243</v>
      </c>
      <c r="C131" s="691">
        <v>42397</v>
      </c>
      <c r="D131" s="692" t="s">
        <v>412</v>
      </c>
      <c r="E131" s="764">
        <v>70</v>
      </c>
      <c r="F131" s="763">
        <v>45</v>
      </c>
      <c r="G131" s="763"/>
      <c r="H131" s="759">
        <f t="shared" si="13"/>
        <v>0.32</v>
      </c>
      <c r="I131" s="252">
        <v>1500</v>
      </c>
      <c r="J131" s="674">
        <f t="shared" si="17"/>
        <v>480</v>
      </c>
      <c r="K131" s="674">
        <f t="shared" si="12"/>
        <v>2669.7417439540413</v>
      </c>
      <c r="L131" s="621">
        <v>3300</v>
      </c>
      <c r="M131" s="688"/>
      <c r="O131" s="669"/>
      <c r="P131" s="669"/>
      <c r="Q131" s="669"/>
      <c r="S131" s="669">
        <f t="shared" si="14"/>
        <v>4950000</v>
      </c>
      <c r="T131" s="669">
        <f t="shared" si="15"/>
        <v>4004612.615931062</v>
      </c>
    </row>
    <row r="132" spans="1:20" ht="16.5" customHeight="1">
      <c r="A132" s="673">
        <f t="shared" si="18"/>
        <v>127</v>
      </c>
      <c r="B132" s="286" t="s">
        <v>1237</v>
      </c>
      <c r="C132" s="691">
        <v>42397</v>
      </c>
      <c r="D132" s="692" t="s">
        <v>413</v>
      </c>
      <c r="E132" s="764">
        <v>32</v>
      </c>
      <c r="F132" s="763">
        <v>27</v>
      </c>
      <c r="G132" s="763"/>
      <c r="H132" s="759">
        <f t="shared" si="13"/>
        <v>0.09</v>
      </c>
      <c r="I132" s="252">
        <v>502</v>
      </c>
      <c r="J132" s="674">
        <f t="shared" si="17"/>
        <v>45.18</v>
      </c>
      <c r="K132" s="674">
        <f t="shared" si="12"/>
        <v>750.8648654870741</v>
      </c>
      <c r="L132" s="621">
        <v>900</v>
      </c>
      <c r="M132" s="688"/>
      <c r="O132" s="669"/>
      <c r="P132" s="669"/>
      <c r="Q132" s="669"/>
      <c r="S132" s="669">
        <f t="shared" si="14"/>
        <v>451800</v>
      </c>
      <c r="T132" s="669">
        <f t="shared" si="15"/>
        <v>376934.16247451119</v>
      </c>
    </row>
    <row r="133" spans="1:20" ht="16.5" customHeight="1">
      <c r="A133" s="673">
        <f t="shared" si="18"/>
        <v>128</v>
      </c>
      <c r="B133" s="286" t="s">
        <v>1308</v>
      </c>
      <c r="C133" s="691">
        <v>42397</v>
      </c>
      <c r="D133" s="692" t="s">
        <v>416</v>
      </c>
      <c r="E133" s="764">
        <v>40</v>
      </c>
      <c r="F133" s="763">
        <v>39</v>
      </c>
      <c r="G133" s="763">
        <v>32</v>
      </c>
      <c r="H133" s="759">
        <f t="shared" si="13"/>
        <v>1.21</v>
      </c>
      <c r="I133" s="252">
        <v>50</v>
      </c>
      <c r="J133" s="674">
        <f t="shared" si="17"/>
        <v>60.5</v>
      </c>
      <c r="K133" s="674">
        <f t="shared" si="12"/>
        <v>10094.960969326217</v>
      </c>
      <c r="L133" s="621">
        <v>16500</v>
      </c>
      <c r="M133" s="688"/>
      <c r="O133" s="669"/>
      <c r="P133" s="669"/>
      <c r="Q133" s="669"/>
      <c r="S133" s="669">
        <f t="shared" si="14"/>
        <v>825000</v>
      </c>
      <c r="T133" s="669">
        <f t="shared" si="15"/>
        <v>504748.04846631084</v>
      </c>
    </row>
    <row r="134" spans="1:20" ht="16.5" customHeight="1">
      <c r="A134" s="673">
        <f t="shared" si="18"/>
        <v>129</v>
      </c>
      <c r="B134" s="286" t="s">
        <v>912</v>
      </c>
      <c r="C134" s="691">
        <v>42397</v>
      </c>
      <c r="D134" s="692" t="s">
        <v>689</v>
      </c>
      <c r="E134" s="764">
        <v>103</v>
      </c>
      <c r="F134" s="763">
        <v>54</v>
      </c>
      <c r="G134" s="763">
        <v>180</v>
      </c>
      <c r="H134" s="759">
        <f t="shared" si="13"/>
        <v>7.56</v>
      </c>
      <c r="I134" s="252">
        <v>59</v>
      </c>
      <c r="J134" s="674">
        <f t="shared" si="17"/>
        <v>446.03999999999996</v>
      </c>
      <c r="K134" s="674">
        <f t="shared" ref="K134:K197" si="19">H134*$R$43</f>
        <v>63072.648700914222</v>
      </c>
      <c r="L134" s="621">
        <v>73100</v>
      </c>
      <c r="M134" s="688"/>
      <c r="O134" s="669"/>
      <c r="P134" s="669"/>
      <c r="Q134" s="669"/>
      <c r="S134" s="669">
        <f t="shared" si="14"/>
        <v>4312900</v>
      </c>
      <c r="T134" s="669">
        <f t="shared" si="15"/>
        <v>3721286.2733539389</v>
      </c>
    </row>
    <row r="135" spans="1:20" ht="16.5" customHeight="1">
      <c r="A135" s="673">
        <f t="shared" si="18"/>
        <v>130</v>
      </c>
      <c r="B135" s="286" t="s">
        <v>663</v>
      </c>
      <c r="C135" s="691">
        <v>42397</v>
      </c>
      <c r="D135" s="692" t="s">
        <v>689</v>
      </c>
      <c r="E135" s="764">
        <v>161</v>
      </c>
      <c r="F135" s="763">
        <v>81</v>
      </c>
      <c r="G135" s="763">
        <v>5</v>
      </c>
      <c r="H135" s="759">
        <f t="shared" ref="H135:H198" si="20">IF(G135&lt;&gt;"",ROUND(((E135+F135)*2+5)*(F135+G135+3)/10000,2),ROUND(E135*F135/10000,2))</f>
        <v>4.3499999999999996</v>
      </c>
      <c r="I135" s="252">
        <v>100</v>
      </c>
      <c r="J135" s="674">
        <f t="shared" si="17"/>
        <v>434.99999999999994</v>
      </c>
      <c r="K135" s="674">
        <f t="shared" si="19"/>
        <v>36291.801831875244</v>
      </c>
      <c r="L135" s="621">
        <v>11534</v>
      </c>
      <c r="M135" s="688"/>
      <c r="O135" s="669"/>
      <c r="P135" s="669"/>
      <c r="Q135" s="669"/>
      <c r="S135" s="669">
        <f t="shared" ref="S135:S198" si="21">I135*L135</f>
        <v>1153400</v>
      </c>
      <c r="T135" s="669">
        <f t="shared" ref="T135:T198" si="22">I135*K135</f>
        <v>3629180.1831875243</v>
      </c>
    </row>
    <row r="136" spans="1:20" ht="16.5" customHeight="1">
      <c r="A136" s="673">
        <f t="shared" si="18"/>
        <v>131</v>
      </c>
      <c r="B136" s="286" t="s">
        <v>913</v>
      </c>
      <c r="C136" s="691">
        <v>42397</v>
      </c>
      <c r="D136" s="692" t="s">
        <v>689</v>
      </c>
      <c r="E136" s="764">
        <v>55</v>
      </c>
      <c r="F136" s="763">
        <v>52</v>
      </c>
      <c r="G136" s="763">
        <v>68</v>
      </c>
      <c r="H136" s="759">
        <f t="shared" si="20"/>
        <v>2.69</v>
      </c>
      <c r="I136" s="252">
        <v>37</v>
      </c>
      <c r="J136" s="674">
        <f t="shared" si="17"/>
        <v>99.53</v>
      </c>
      <c r="K136" s="674">
        <f t="shared" si="19"/>
        <v>22442.516535113657</v>
      </c>
      <c r="L136" s="621">
        <v>22367</v>
      </c>
      <c r="M136" s="688"/>
      <c r="O136" s="669"/>
      <c r="P136" s="669"/>
      <c r="Q136" s="669"/>
      <c r="S136" s="669">
        <f t="shared" si="21"/>
        <v>827579</v>
      </c>
      <c r="T136" s="669">
        <f t="shared" si="22"/>
        <v>830373.1117992053</v>
      </c>
    </row>
    <row r="137" spans="1:20" ht="16.5" customHeight="1">
      <c r="A137" s="673">
        <f t="shared" si="18"/>
        <v>132</v>
      </c>
      <c r="B137" s="286" t="s">
        <v>418</v>
      </c>
      <c r="C137" s="691">
        <v>42397</v>
      </c>
      <c r="D137" s="692" t="s">
        <v>689</v>
      </c>
      <c r="E137" s="764">
        <v>103</v>
      </c>
      <c r="F137" s="763">
        <v>50</v>
      </c>
      <c r="G137" s="763">
        <v>180</v>
      </c>
      <c r="H137" s="759">
        <f t="shared" si="20"/>
        <v>7.25</v>
      </c>
      <c r="I137" s="252">
        <v>131</v>
      </c>
      <c r="J137" s="674">
        <f t="shared" si="17"/>
        <v>949.75</v>
      </c>
      <c r="K137" s="674">
        <f t="shared" si="19"/>
        <v>60486.336386458745</v>
      </c>
      <c r="L137" s="621">
        <v>47449</v>
      </c>
      <c r="M137" s="688"/>
      <c r="O137" s="669"/>
      <c r="P137" s="669"/>
      <c r="Q137" s="669"/>
      <c r="S137" s="669">
        <f t="shared" si="21"/>
        <v>6215819</v>
      </c>
      <c r="T137" s="669">
        <f t="shared" si="22"/>
        <v>7923710.0666260952</v>
      </c>
    </row>
    <row r="138" spans="1:20" ht="16.5" customHeight="1">
      <c r="A138" s="673">
        <f t="shared" si="18"/>
        <v>133</v>
      </c>
      <c r="B138" s="286" t="s">
        <v>914</v>
      </c>
      <c r="C138" s="691">
        <v>42399</v>
      </c>
      <c r="D138" s="692" t="s">
        <v>419</v>
      </c>
      <c r="E138" s="764">
        <v>37</v>
      </c>
      <c r="F138" s="763">
        <v>29</v>
      </c>
      <c r="G138" s="763">
        <v>29</v>
      </c>
      <c r="H138" s="759">
        <f t="shared" si="20"/>
        <v>0.84</v>
      </c>
      <c r="I138" s="252">
        <v>51</v>
      </c>
      <c r="J138" s="674">
        <f t="shared" si="17"/>
        <v>42.839999999999996</v>
      </c>
      <c r="K138" s="674">
        <f t="shared" si="19"/>
        <v>7008.0720778793575</v>
      </c>
      <c r="L138" s="621">
        <v>6400</v>
      </c>
      <c r="M138" s="688"/>
      <c r="O138" s="669"/>
      <c r="P138" s="669"/>
      <c r="Q138" s="669"/>
      <c r="S138" s="669">
        <f t="shared" si="21"/>
        <v>326400</v>
      </c>
      <c r="T138" s="669">
        <f t="shared" si="22"/>
        <v>357411.67597184726</v>
      </c>
    </row>
    <row r="139" spans="1:20" ht="16.5" customHeight="1">
      <c r="A139" s="673">
        <f t="shared" si="18"/>
        <v>134</v>
      </c>
      <c r="B139" s="286" t="s">
        <v>480</v>
      </c>
      <c r="C139" s="691">
        <v>42399</v>
      </c>
      <c r="D139" s="692" t="s">
        <v>419</v>
      </c>
      <c r="E139" s="764">
        <v>47</v>
      </c>
      <c r="F139" s="763">
        <v>42</v>
      </c>
      <c r="G139" s="763">
        <v>24.5</v>
      </c>
      <c r="H139" s="759">
        <f t="shared" si="20"/>
        <v>1.27</v>
      </c>
      <c r="I139" s="252">
        <v>978</v>
      </c>
      <c r="J139" s="674">
        <f t="shared" si="17"/>
        <v>1242.06</v>
      </c>
      <c r="K139" s="674">
        <f t="shared" si="19"/>
        <v>10595.537546317601</v>
      </c>
      <c r="L139" s="621">
        <v>8950</v>
      </c>
      <c r="M139" s="688"/>
      <c r="O139" s="669"/>
      <c r="P139" s="669"/>
      <c r="Q139" s="669"/>
      <c r="S139" s="669">
        <f t="shared" si="21"/>
        <v>8753100</v>
      </c>
      <c r="T139" s="669">
        <f t="shared" si="22"/>
        <v>10362435.720298612</v>
      </c>
    </row>
    <row r="140" spans="1:20" ht="16.5" customHeight="1">
      <c r="A140" s="673">
        <f t="shared" si="18"/>
        <v>135</v>
      </c>
      <c r="B140" s="286" t="s">
        <v>408</v>
      </c>
      <c r="C140" s="691">
        <v>42399</v>
      </c>
      <c r="D140" s="692" t="s">
        <v>419</v>
      </c>
      <c r="E140" s="764">
        <v>47</v>
      </c>
      <c r="F140" s="763">
        <v>42</v>
      </c>
      <c r="G140" s="763">
        <v>27</v>
      </c>
      <c r="H140" s="759">
        <f t="shared" si="20"/>
        <v>1.32</v>
      </c>
      <c r="I140" s="252">
        <v>53</v>
      </c>
      <c r="J140" s="674">
        <f t="shared" si="17"/>
        <v>69.960000000000008</v>
      </c>
      <c r="K140" s="674">
        <f t="shared" si="19"/>
        <v>11012.684693810421</v>
      </c>
      <c r="L140" s="621">
        <v>10000</v>
      </c>
      <c r="M140" s="688"/>
      <c r="O140" s="669"/>
      <c r="P140" s="669"/>
      <c r="Q140" s="669"/>
      <c r="S140" s="669">
        <f t="shared" si="21"/>
        <v>530000</v>
      </c>
      <c r="T140" s="669">
        <f t="shared" si="22"/>
        <v>583672.28877195227</v>
      </c>
    </row>
    <row r="141" spans="1:20" ht="16.5" customHeight="1">
      <c r="A141" s="673">
        <f t="shared" si="18"/>
        <v>136</v>
      </c>
      <c r="B141" s="286" t="s">
        <v>897</v>
      </c>
      <c r="C141" s="691">
        <v>42399</v>
      </c>
      <c r="D141" s="692" t="s">
        <v>419</v>
      </c>
      <c r="E141" s="764">
        <v>56</v>
      </c>
      <c r="F141" s="763">
        <v>42</v>
      </c>
      <c r="G141" s="763">
        <v>27</v>
      </c>
      <c r="H141" s="759">
        <f t="shared" si="20"/>
        <v>1.45</v>
      </c>
      <c r="I141" s="252">
        <v>1570</v>
      </c>
      <c r="J141" s="674">
        <f t="shared" si="17"/>
        <v>2276.5</v>
      </c>
      <c r="K141" s="674">
        <f t="shared" si="19"/>
        <v>12097.267277291749</v>
      </c>
      <c r="L141" s="621">
        <v>14600</v>
      </c>
      <c r="M141" s="688"/>
      <c r="O141" s="669"/>
      <c r="P141" s="669"/>
      <c r="Q141" s="669"/>
      <c r="S141" s="669">
        <f t="shared" si="21"/>
        <v>22922000</v>
      </c>
      <c r="T141" s="669">
        <f t="shared" si="22"/>
        <v>18992709.625348046</v>
      </c>
    </row>
    <row r="142" spans="1:20" ht="16.5" customHeight="1">
      <c r="A142" s="673">
        <f t="shared" si="18"/>
        <v>137</v>
      </c>
      <c r="B142" s="286" t="s">
        <v>480</v>
      </c>
      <c r="C142" s="691">
        <v>42399</v>
      </c>
      <c r="D142" s="692" t="s">
        <v>915</v>
      </c>
      <c r="E142" s="764">
        <v>47</v>
      </c>
      <c r="F142" s="763">
        <v>42</v>
      </c>
      <c r="G142" s="763">
        <v>24.5</v>
      </c>
      <c r="H142" s="759">
        <f t="shared" si="20"/>
        <v>1.27</v>
      </c>
      <c r="I142" s="252">
        <v>834</v>
      </c>
      <c r="J142" s="674">
        <f t="shared" si="17"/>
        <v>1059.18</v>
      </c>
      <c r="K142" s="674">
        <f t="shared" si="19"/>
        <v>10595.537546317601</v>
      </c>
      <c r="L142" s="621">
        <v>9300</v>
      </c>
      <c r="M142" s="688"/>
      <c r="O142" s="669"/>
      <c r="P142" s="669"/>
      <c r="Q142" s="669"/>
      <c r="S142" s="669">
        <f t="shared" si="21"/>
        <v>7756200</v>
      </c>
      <c r="T142" s="669">
        <f t="shared" si="22"/>
        <v>8836678.3136288784</v>
      </c>
    </row>
    <row r="143" spans="1:20" ht="16.5" customHeight="1">
      <c r="A143" s="673">
        <f t="shared" si="18"/>
        <v>138</v>
      </c>
      <c r="B143" s="286" t="s">
        <v>916</v>
      </c>
      <c r="C143" s="691">
        <v>42399</v>
      </c>
      <c r="D143" s="692" t="s">
        <v>915</v>
      </c>
      <c r="E143" s="764">
        <v>48</v>
      </c>
      <c r="F143" s="763">
        <v>41</v>
      </c>
      <c r="G143" s="763">
        <v>18</v>
      </c>
      <c r="H143" s="759">
        <f t="shared" si="20"/>
        <v>1.1299999999999999</v>
      </c>
      <c r="I143" s="252">
        <v>106</v>
      </c>
      <c r="J143" s="674">
        <f t="shared" si="17"/>
        <v>119.77999999999999</v>
      </c>
      <c r="K143" s="674">
        <f t="shared" si="19"/>
        <v>9427.5255333377063</v>
      </c>
      <c r="L143" s="621">
        <v>9600</v>
      </c>
      <c r="M143" s="688"/>
      <c r="O143" s="669"/>
      <c r="P143" s="669"/>
      <c r="Q143" s="669"/>
      <c r="S143" s="669">
        <f t="shared" si="21"/>
        <v>1017600</v>
      </c>
      <c r="T143" s="669">
        <f t="shared" si="22"/>
        <v>999317.70653379685</v>
      </c>
    </row>
    <row r="144" spans="1:20" ht="16.5" customHeight="1">
      <c r="A144" s="673">
        <f t="shared" si="18"/>
        <v>139</v>
      </c>
      <c r="B144" s="286" t="s">
        <v>917</v>
      </c>
      <c r="C144" s="691">
        <v>42399</v>
      </c>
      <c r="D144" s="692" t="s">
        <v>915</v>
      </c>
      <c r="E144" s="764">
        <v>51</v>
      </c>
      <c r="F144" s="763">
        <v>42</v>
      </c>
      <c r="G144" s="763">
        <v>25</v>
      </c>
      <c r="H144" s="759">
        <f t="shared" si="20"/>
        <v>1.34</v>
      </c>
      <c r="I144" s="252">
        <v>70</v>
      </c>
      <c r="J144" s="674">
        <f t="shared" si="17"/>
        <v>93.800000000000011</v>
      </c>
      <c r="K144" s="674">
        <f t="shared" si="19"/>
        <v>11179.543552807549</v>
      </c>
      <c r="L144" s="621">
        <v>9700</v>
      </c>
      <c r="M144" s="688"/>
      <c r="O144" s="669"/>
      <c r="P144" s="669"/>
      <c r="Q144" s="669"/>
      <c r="S144" s="669">
        <f t="shared" si="21"/>
        <v>679000</v>
      </c>
      <c r="T144" s="669">
        <f t="shared" si="22"/>
        <v>782568.04869652842</v>
      </c>
    </row>
    <row r="145" spans="1:20" ht="16.5" customHeight="1">
      <c r="A145" s="673">
        <f t="shared" si="18"/>
        <v>140</v>
      </c>
      <c r="B145" s="286" t="s">
        <v>918</v>
      </c>
      <c r="C145" s="691">
        <v>42399</v>
      </c>
      <c r="D145" s="692" t="s">
        <v>915</v>
      </c>
      <c r="E145" s="764">
        <v>41</v>
      </c>
      <c r="F145" s="763">
        <v>42</v>
      </c>
      <c r="G145" s="763">
        <v>25</v>
      </c>
      <c r="H145" s="759">
        <f t="shared" si="20"/>
        <v>1.2</v>
      </c>
      <c r="I145" s="252">
        <v>23</v>
      </c>
      <c r="J145" s="674">
        <f t="shared" si="17"/>
        <v>27.599999999999998</v>
      </c>
      <c r="K145" s="674">
        <f t="shared" si="19"/>
        <v>10011.531539827654</v>
      </c>
      <c r="L145" s="621">
        <v>9000</v>
      </c>
      <c r="M145" s="688"/>
      <c r="O145" s="669"/>
      <c r="P145" s="669"/>
      <c r="Q145" s="669"/>
      <c r="S145" s="669">
        <f t="shared" si="21"/>
        <v>207000</v>
      </c>
      <c r="T145" s="669">
        <f t="shared" si="22"/>
        <v>230265.22541603606</v>
      </c>
    </row>
    <row r="146" spans="1:20" ht="16.5" customHeight="1">
      <c r="A146" s="673">
        <f t="shared" si="18"/>
        <v>141</v>
      </c>
      <c r="B146" s="286" t="s">
        <v>919</v>
      </c>
      <c r="C146" s="691">
        <v>42399</v>
      </c>
      <c r="D146" s="692" t="s">
        <v>915</v>
      </c>
      <c r="E146" s="764">
        <v>48</v>
      </c>
      <c r="F146" s="763">
        <v>37</v>
      </c>
      <c r="G146" s="763">
        <v>32</v>
      </c>
      <c r="H146" s="759">
        <f t="shared" si="20"/>
        <v>1.26</v>
      </c>
      <c r="I146" s="252">
        <v>55</v>
      </c>
      <c r="J146" s="674">
        <f t="shared" si="17"/>
        <v>69.3</v>
      </c>
      <c r="K146" s="674">
        <f t="shared" si="19"/>
        <v>10512.108116819038</v>
      </c>
      <c r="L146" s="621">
        <v>13000</v>
      </c>
      <c r="M146" s="688"/>
      <c r="O146" s="669"/>
      <c r="P146" s="669"/>
      <c r="Q146" s="669"/>
      <c r="S146" s="669">
        <f t="shared" si="21"/>
        <v>715000</v>
      </c>
      <c r="T146" s="669">
        <f t="shared" si="22"/>
        <v>578165.94642504712</v>
      </c>
    </row>
    <row r="147" spans="1:20" ht="16.5" customHeight="1">
      <c r="A147" s="673">
        <f t="shared" si="18"/>
        <v>142</v>
      </c>
      <c r="B147" s="286" t="s">
        <v>920</v>
      </c>
      <c r="C147" s="691">
        <v>42399</v>
      </c>
      <c r="D147" s="692" t="s">
        <v>420</v>
      </c>
      <c r="E147" s="764">
        <v>35</v>
      </c>
      <c r="F147" s="763">
        <v>28.5</v>
      </c>
      <c r="G147" s="763">
        <v>33</v>
      </c>
      <c r="H147" s="759">
        <f t="shared" si="20"/>
        <v>0.85</v>
      </c>
      <c r="I147" s="252">
        <v>209</v>
      </c>
      <c r="J147" s="674">
        <f t="shared" si="17"/>
        <v>177.65</v>
      </c>
      <c r="K147" s="674">
        <f t="shared" si="19"/>
        <v>7091.5015073779214</v>
      </c>
      <c r="L147" s="621">
        <v>7500</v>
      </c>
      <c r="M147" s="688"/>
      <c r="O147" s="669"/>
      <c r="P147" s="669"/>
      <c r="Q147" s="669"/>
      <c r="S147" s="669">
        <f t="shared" si="21"/>
        <v>1567500</v>
      </c>
      <c r="T147" s="669">
        <f t="shared" si="22"/>
        <v>1482123.8150419856</v>
      </c>
    </row>
    <row r="148" spans="1:20" ht="16.5" customHeight="1">
      <c r="A148" s="673">
        <f t="shared" si="18"/>
        <v>143</v>
      </c>
      <c r="B148" s="286" t="s">
        <v>921</v>
      </c>
      <c r="C148" s="691">
        <v>42399</v>
      </c>
      <c r="D148" s="692" t="s">
        <v>420</v>
      </c>
      <c r="E148" s="764">
        <v>29</v>
      </c>
      <c r="F148" s="763">
        <v>29</v>
      </c>
      <c r="G148" s="763">
        <v>36.5</v>
      </c>
      <c r="H148" s="759">
        <f t="shared" si="20"/>
        <v>0.83</v>
      </c>
      <c r="I148" s="252">
        <v>10</v>
      </c>
      <c r="J148" s="674">
        <f t="shared" si="17"/>
        <v>8.2999999999999989</v>
      </c>
      <c r="K148" s="674">
        <f t="shared" si="19"/>
        <v>6924.6426483807936</v>
      </c>
      <c r="L148" s="621">
        <v>7400</v>
      </c>
      <c r="M148" s="688"/>
      <c r="O148" s="669"/>
      <c r="P148" s="669"/>
      <c r="Q148" s="669"/>
      <c r="S148" s="669">
        <f t="shared" si="21"/>
        <v>74000</v>
      </c>
      <c r="T148" s="669">
        <f t="shared" si="22"/>
        <v>69246.42648380794</v>
      </c>
    </row>
    <row r="149" spans="1:20" ht="16.5" customHeight="1">
      <c r="A149" s="673">
        <f t="shared" si="18"/>
        <v>144</v>
      </c>
      <c r="B149" s="286" t="s">
        <v>922</v>
      </c>
      <c r="C149" s="691">
        <v>42399</v>
      </c>
      <c r="D149" s="692" t="s">
        <v>421</v>
      </c>
      <c r="E149" s="764">
        <v>70</v>
      </c>
      <c r="F149" s="763">
        <v>70</v>
      </c>
      <c r="G149" s="763">
        <v>38</v>
      </c>
      <c r="H149" s="759">
        <f t="shared" si="20"/>
        <v>3.16</v>
      </c>
      <c r="I149" s="252">
        <v>50</v>
      </c>
      <c r="J149" s="674">
        <f t="shared" si="17"/>
        <v>158</v>
      </c>
      <c r="K149" s="674">
        <f t="shared" si="19"/>
        <v>26363.699721546156</v>
      </c>
      <c r="L149" s="621">
        <v>30500</v>
      </c>
      <c r="M149" s="688"/>
      <c r="O149" s="669"/>
      <c r="P149" s="669"/>
      <c r="Q149" s="669"/>
      <c r="S149" s="669">
        <f t="shared" si="21"/>
        <v>1525000</v>
      </c>
      <c r="T149" s="669">
        <f t="shared" si="22"/>
        <v>1318184.9860773077</v>
      </c>
    </row>
    <row r="150" spans="1:20" ht="16.5" customHeight="1">
      <c r="A150" s="673">
        <f t="shared" si="18"/>
        <v>145</v>
      </c>
      <c r="B150" s="286" t="s">
        <v>923</v>
      </c>
      <c r="C150" s="691">
        <v>42401</v>
      </c>
      <c r="D150" s="692" t="s">
        <v>422</v>
      </c>
      <c r="E150" s="764">
        <v>50</v>
      </c>
      <c r="F150" s="763">
        <v>39</v>
      </c>
      <c r="G150" s="763">
        <v>31</v>
      </c>
      <c r="H150" s="759">
        <f t="shared" si="20"/>
        <v>1.34</v>
      </c>
      <c r="I150" s="252">
        <v>103</v>
      </c>
      <c r="J150" s="674">
        <f t="shared" si="17"/>
        <v>138.02000000000001</v>
      </c>
      <c r="K150" s="674">
        <f t="shared" si="19"/>
        <v>11179.543552807549</v>
      </c>
      <c r="L150" s="621">
        <v>19700</v>
      </c>
      <c r="M150" s="688"/>
      <c r="O150" s="669"/>
      <c r="P150" s="669"/>
      <c r="Q150" s="669"/>
      <c r="S150" s="669">
        <f t="shared" si="21"/>
        <v>2029100</v>
      </c>
      <c r="T150" s="669">
        <f t="shared" si="22"/>
        <v>1151492.9859391775</v>
      </c>
    </row>
    <row r="151" spans="1:20" ht="16.5" customHeight="1">
      <c r="A151" s="673">
        <f t="shared" si="18"/>
        <v>146</v>
      </c>
      <c r="B151" s="286" t="s">
        <v>962</v>
      </c>
      <c r="C151" s="691">
        <v>42401</v>
      </c>
      <c r="D151" s="692" t="s">
        <v>423</v>
      </c>
      <c r="E151" s="764">
        <v>72</v>
      </c>
      <c r="F151" s="763">
        <v>51.5</v>
      </c>
      <c r="G151" s="763">
        <v>40</v>
      </c>
      <c r="H151" s="759">
        <f t="shared" si="20"/>
        <v>2.38</v>
      </c>
      <c r="I151" s="252">
        <v>141</v>
      </c>
      <c r="J151" s="674">
        <f t="shared" si="17"/>
        <v>335.58</v>
      </c>
      <c r="K151" s="674">
        <f t="shared" si="19"/>
        <v>19856.204220658179</v>
      </c>
      <c r="L151" s="621">
        <v>7900</v>
      </c>
      <c r="M151" s="688"/>
      <c r="O151" s="669"/>
      <c r="P151" s="669"/>
      <c r="Q151" s="669"/>
      <c r="S151" s="669">
        <f t="shared" si="21"/>
        <v>1113900</v>
      </c>
      <c r="T151" s="669">
        <f t="shared" si="22"/>
        <v>2799724.7951128031</v>
      </c>
    </row>
    <row r="152" spans="1:20" ht="16.5" customHeight="1">
      <c r="A152" s="673">
        <f t="shared" si="18"/>
        <v>147</v>
      </c>
      <c r="B152" s="286" t="s">
        <v>636</v>
      </c>
      <c r="C152" s="691">
        <v>42401</v>
      </c>
      <c r="D152" s="692" t="s">
        <v>924</v>
      </c>
      <c r="E152" s="764">
        <v>50</v>
      </c>
      <c r="F152" s="763">
        <v>39</v>
      </c>
      <c r="G152" s="763">
        <v>18</v>
      </c>
      <c r="H152" s="759">
        <f t="shared" si="20"/>
        <v>1.1000000000000001</v>
      </c>
      <c r="I152" s="252">
        <v>250</v>
      </c>
      <c r="J152" s="674">
        <f t="shared" si="17"/>
        <v>275</v>
      </c>
      <c r="K152" s="674">
        <f t="shared" si="19"/>
        <v>9177.2372448420174</v>
      </c>
      <c r="L152" s="621">
        <v>8300</v>
      </c>
      <c r="M152" s="688"/>
      <c r="O152" s="669"/>
      <c r="P152" s="669"/>
      <c r="Q152" s="669"/>
      <c r="S152" s="669">
        <f t="shared" si="21"/>
        <v>2075000</v>
      </c>
      <c r="T152" s="669">
        <f t="shared" si="22"/>
        <v>2294309.3112105043</v>
      </c>
    </row>
    <row r="153" spans="1:20" ht="16.5" customHeight="1">
      <c r="A153" s="673">
        <f t="shared" si="18"/>
        <v>148</v>
      </c>
      <c r="B153" s="286" t="s">
        <v>659</v>
      </c>
      <c r="C153" s="691">
        <v>42402</v>
      </c>
      <c r="D153" s="692" t="s">
        <v>925</v>
      </c>
      <c r="E153" s="764">
        <v>57</v>
      </c>
      <c r="F153" s="763">
        <v>38</v>
      </c>
      <c r="G153" s="763">
        <v>33</v>
      </c>
      <c r="H153" s="759">
        <f t="shared" si="20"/>
        <v>1.44</v>
      </c>
      <c r="I153" s="252">
        <v>100</v>
      </c>
      <c r="J153" s="674">
        <f t="shared" si="17"/>
        <v>144</v>
      </c>
      <c r="K153" s="674">
        <f t="shared" si="19"/>
        <v>12013.837847793186</v>
      </c>
      <c r="L153" s="621">
        <v>10920</v>
      </c>
      <c r="M153" s="688"/>
      <c r="O153" s="669"/>
      <c r="P153" s="669"/>
      <c r="Q153" s="669"/>
      <c r="S153" s="669">
        <f t="shared" si="21"/>
        <v>1092000</v>
      </c>
      <c r="T153" s="669">
        <f t="shared" si="22"/>
        <v>1201383.7847793186</v>
      </c>
    </row>
    <row r="154" spans="1:20" ht="16.5" customHeight="1">
      <c r="A154" s="673">
        <f t="shared" si="18"/>
        <v>149</v>
      </c>
      <c r="B154" s="286" t="s">
        <v>658</v>
      </c>
      <c r="C154" s="691">
        <v>42402</v>
      </c>
      <c r="D154" s="692" t="s">
        <v>925</v>
      </c>
      <c r="E154" s="764">
        <v>43</v>
      </c>
      <c r="F154" s="763">
        <v>29</v>
      </c>
      <c r="G154" s="763">
        <v>20</v>
      </c>
      <c r="H154" s="759">
        <f t="shared" si="20"/>
        <v>0.77</v>
      </c>
      <c r="I154" s="252">
        <v>505</v>
      </c>
      <c r="J154" s="674">
        <f t="shared" si="17"/>
        <v>388.85</v>
      </c>
      <c r="K154" s="674">
        <f t="shared" si="19"/>
        <v>6424.0660713894113</v>
      </c>
      <c r="L154" s="621">
        <v>6450</v>
      </c>
      <c r="M154" s="688"/>
      <c r="O154" s="669"/>
      <c r="P154" s="669"/>
      <c r="Q154" s="669"/>
      <c r="S154" s="669">
        <f t="shared" si="21"/>
        <v>3257250</v>
      </c>
      <c r="T154" s="669">
        <f t="shared" si="22"/>
        <v>3244153.3660516525</v>
      </c>
    </row>
    <row r="155" spans="1:20" ht="16.5" customHeight="1">
      <c r="A155" s="673">
        <f t="shared" si="18"/>
        <v>150</v>
      </c>
      <c r="B155" s="286" t="s">
        <v>389</v>
      </c>
      <c r="C155" s="691">
        <v>42402</v>
      </c>
      <c r="D155" s="692" t="s">
        <v>425</v>
      </c>
      <c r="E155" s="764">
        <v>52</v>
      </c>
      <c r="F155" s="763">
        <v>24.5</v>
      </c>
      <c r="G155" s="763">
        <v>24.5</v>
      </c>
      <c r="H155" s="759">
        <f t="shared" si="20"/>
        <v>0.82</v>
      </c>
      <c r="I155" s="252">
        <v>494</v>
      </c>
      <c r="J155" s="674">
        <f t="shared" si="17"/>
        <v>405.08</v>
      </c>
      <c r="K155" s="674">
        <f t="shared" si="19"/>
        <v>6841.2132188822297</v>
      </c>
      <c r="L155" s="621">
        <v>5000</v>
      </c>
      <c r="M155" s="688"/>
      <c r="O155" s="669"/>
      <c r="P155" s="669"/>
      <c r="Q155" s="669"/>
      <c r="S155" s="669">
        <f t="shared" si="21"/>
        <v>2470000</v>
      </c>
      <c r="T155" s="669">
        <f t="shared" si="22"/>
        <v>3379559.3301278213</v>
      </c>
    </row>
    <row r="156" spans="1:20" ht="16.5" customHeight="1">
      <c r="A156" s="673">
        <f t="shared" si="18"/>
        <v>151</v>
      </c>
      <c r="B156" s="286" t="s">
        <v>1434</v>
      </c>
      <c r="C156" s="691">
        <v>42403</v>
      </c>
      <c r="D156" s="692" t="s">
        <v>926</v>
      </c>
      <c r="E156" s="764">
        <v>41</v>
      </c>
      <c r="F156" s="763">
        <v>39</v>
      </c>
      <c r="G156" s="763">
        <v>20</v>
      </c>
      <c r="H156" s="759">
        <f t="shared" si="20"/>
        <v>1.02</v>
      </c>
      <c r="I156" s="252">
        <v>235</v>
      </c>
      <c r="J156" s="674">
        <f t="shared" si="17"/>
        <v>239.70000000000002</v>
      </c>
      <c r="K156" s="674">
        <f t="shared" si="19"/>
        <v>8509.8018088535064</v>
      </c>
      <c r="L156" s="621">
        <v>10900</v>
      </c>
      <c r="M156" s="688"/>
      <c r="O156" s="669"/>
      <c r="P156" s="669"/>
      <c r="Q156" s="669"/>
      <c r="S156" s="669">
        <f t="shared" si="21"/>
        <v>2561500</v>
      </c>
      <c r="T156" s="669">
        <f t="shared" si="22"/>
        <v>1999803.4250805739</v>
      </c>
    </row>
    <row r="157" spans="1:20" ht="16.5" customHeight="1">
      <c r="A157" s="673">
        <f t="shared" ref="A157:A188" si="23">IF(B155&lt;&gt;"",A156+1,"")</f>
        <v>152</v>
      </c>
      <c r="B157" s="286" t="s">
        <v>1307</v>
      </c>
      <c r="C157" s="691">
        <v>42403</v>
      </c>
      <c r="D157" s="692" t="s">
        <v>926</v>
      </c>
      <c r="E157" s="764">
        <v>49</v>
      </c>
      <c r="F157" s="763">
        <v>47</v>
      </c>
      <c r="G157" s="763">
        <v>27</v>
      </c>
      <c r="H157" s="759">
        <f t="shared" si="20"/>
        <v>1.52</v>
      </c>
      <c r="I157" s="252">
        <v>600</v>
      </c>
      <c r="J157" s="674">
        <f t="shared" si="17"/>
        <v>912</v>
      </c>
      <c r="K157" s="674">
        <f t="shared" si="19"/>
        <v>12681.273283781695</v>
      </c>
      <c r="L157" s="621">
        <v>14200</v>
      </c>
      <c r="M157" s="688"/>
      <c r="O157" s="669"/>
      <c r="P157" s="669"/>
      <c r="Q157" s="669"/>
      <c r="S157" s="669">
        <f t="shared" si="21"/>
        <v>8520000</v>
      </c>
      <c r="T157" s="669">
        <f t="shared" si="22"/>
        <v>7608763.9702690169</v>
      </c>
    </row>
    <row r="158" spans="1:20" ht="16.5" customHeight="1">
      <c r="A158" s="673">
        <f t="shared" si="23"/>
        <v>153</v>
      </c>
      <c r="B158" s="286" t="s">
        <v>1310</v>
      </c>
      <c r="C158" s="691">
        <v>42403</v>
      </c>
      <c r="D158" s="692" t="s">
        <v>926</v>
      </c>
      <c r="E158" s="764">
        <v>38</v>
      </c>
      <c r="F158" s="763">
        <v>37</v>
      </c>
      <c r="G158" s="763">
        <v>30</v>
      </c>
      <c r="H158" s="759">
        <f t="shared" si="20"/>
        <v>1.0900000000000001</v>
      </c>
      <c r="I158" s="252">
        <v>600</v>
      </c>
      <c r="J158" s="674">
        <f t="shared" si="17"/>
        <v>654</v>
      </c>
      <c r="K158" s="674">
        <f t="shared" si="19"/>
        <v>9093.8078153434526</v>
      </c>
      <c r="L158" s="621">
        <v>15300</v>
      </c>
      <c r="M158" s="688"/>
      <c r="O158" s="669"/>
      <c r="P158" s="669"/>
      <c r="Q158" s="669"/>
      <c r="S158" s="669">
        <f t="shared" si="21"/>
        <v>9180000</v>
      </c>
      <c r="T158" s="669">
        <f t="shared" si="22"/>
        <v>5456284.6892060712</v>
      </c>
    </row>
    <row r="159" spans="1:20" ht="16.5" customHeight="1">
      <c r="A159" s="673">
        <f t="shared" si="23"/>
        <v>154</v>
      </c>
      <c r="B159" s="286" t="s">
        <v>1308</v>
      </c>
      <c r="C159" s="691">
        <v>42403</v>
      </c>
      <c r="D159" s="692" t="s">
        <v>926</v>
      </c>
      <c r="E159" s="764">
        <v>40</v>
      </c>
      <c r="F159" s="763">
        <v>39</v>
      </c>
      <c r="G159" s="763">
        <v>32</v>
      </c>
      <c r="H159" s="759">
        <f t="shared" si="20"/>
        <v>1.21</v>
      </c>
      <c r="I159" s="252">
        <v>350</v>
      </c>
      <c r="J159" s="674">
        <f t="shared" si="17"/>
        <v>423.5</v>
      </c>
      <c r="K159" s="674">
        <f t="shared" si="19"/>
        <v>10094.960969326217</v>
      </c>
      <c r="L159" s="621">
        <v>16500</v>
      </c>
      <c r="M159" s="688"/>
      <c r="O159" s="669"/>
      <c r="P159" s="669"/>
      <c r="Q159" s="669"/>
      <c r="S159" s="669">
        <f t="shared" si="21"/>
        <v>5775000</v>
      </c>
      <c r="T159" s="669">
        <f t="shared" si="22"/>
        <v>3533236.3392641759</v>
      </c>
    </row>
    <row r="160" spans="1:20" ht="16.5" customHeight="1">
      <c r="A160" s="673">
        <f t="shared" si="23"/>
        <v>155</v>
      </c>
      <c r="B160" s="286" t="s">
        <v>1309</v>
      </c>
      <c r="C160" s="691">
        <v>42403</v>
      </c>
      <c r="D160" s="692" t="s">
        <v>926</v>
      </c>
      <c r="E160" s="764">
        <v>42</v>
      </c>
      <c r="F160" s="763">
        <v>41</v>
      </c>
      <c r="G160" s="763">
        <v>34</v>
      </c>
      <c r="H160" s="759">
        <f t="shared" si="20"/>
        <v>1.33</v>
      </c>
      <c r="I160" s="252">
        <v>500</v>
      </c>
      <c r="J160" s="674">
        <f t="shared" si="17"/>
        <v>665</v>
      </c>
      <c r="K160" s="674">
        <f t="shared" si="19"/>
        <v>11096.114123308984</v>
      </c>
      <c r="L160" s="621">
        <v>19700</v>
      </c>
      <c r="M160" s="688"/>
      <c r="O160" s="669"/>
      <c r="P160" s="669"/>
      <c r="Q160" s="669"/>
      <c r="S160" s="669">
        <f t="shared" si="21"/>
        <v>9850000</v>
      </c>
      <c r="T160" s="669">
        <f t="shared" si="22"/>
        <v>5548057.0616544923</v>
      </c>
    </row>
    <row r="161" spans="1:20" ht="16.5" customHeight="1">
      <c r="A161" s="673">
        <f t="shared" si="23"/>
        <v>156</v>
      </c>
      <c r="B161" s="286" t="s">
        <v>1436</v>
      </c>
      <c r="C161" s="691">
        <v>42403</v>
      </c>
      <c r="D161" s="692" t="s">
        <v>926</v>
      </c>
      <c r="E161" s="764">
        <v>63</v>
      </c>
      <c r="F161" s="763">
        <v>53</v>
      </c>
      <c r="G161" s="763">
        <v>32</v>
      </c>
      <c r="H161" s="759">
        <f t="shared" si="20"/>
        <v>2.09</v>
      </c>
      <c r="I161" s="252">
        <v>500</v>
      </c>
      <c r="J161" s="674">
        <f t="shared" si="17"/>
        <v>1045</v>
      </c>
      <c r="K161" s="674">
        <f t="shared" si="19"/>
        <v>17436.750765199831</v>
      </c>
      <c r="L161" s="621">
        <v>20100</v>
      </c>
      <c r="M161" s="688"/>
      <c r="O161" s="669"/>
      <c r="P161" s="669"/>
      <c r="Q161" s="669"/>
      <c r="S161" s="669">
        <f t="shared" si="21"/>
        <v>10050000</v>
      </c>
      <c r="T161" s="669">
        <f t="shared" si="22"/>
        <v>8718375.3825999163</v>
      </c>
    </row>
    <row r="162" spans="1:20" ht="16.5" customHeight="1">
      <c r="A162" s="673">
        <f t="shared" si="23"/>
        <v>157</v>
      </c>
      <c r="B162" s="286" t="s">
        <v>389</v>
      </c>
      <c r="C162" s="691">
        <v>42418</v>
      </c>
      <c r="D162" s="692" t="s">
        <v>426</v>
      </c>
      <c r="E162" s="764">
        <v>52</v>
      </c>
      <c r="F162" s="763">
        <v>24.5</v>
      </c>
      <c r="G162" s="763">
        <v>24.5</v>
      </c>
      <c r="H162" s="759">
        <f t="shared" si="20"/>
        <v>0.82</v>
      </c>
      <c r="I162" s="252">
        <v>421</v>
      </c>
      <c r="J162" s="674">
        <f t="shared" si="17"/>
        <v>345.21999999999997</v>
      </c>
      <c r="K162" s="674">
        <f t="shared" si="19"/>
        <v>6841.2132188822297</v>
      </c>
      <c r="L162" s="621">
        <v>5000</v>
      </c>
      <c r="M162" s="688"/>
      <c r="O162" s="669"/>
      <c r="P162" s="669"/>
      <c r="Q162" s="669"/>
      <c r="S162" s="669">
        <f t="shared" si="21"/>
        <v>2105000</v>
      </c>
      <c r="T162" s="669">
        <f t="shared" si="22"/>
        <v>2880150.7651494187</v>
      </c>
    </row>
    <row r="163" spans="1:20" ht="16.5" customHeight="1">
      <c r="A163" s="673">
        <f t="shared" si="23"/>
        <v>158</v>
      </c>
      <c r="B163" s="286" t="s">
        <v>927</v>
      </c>
      <c r="C163" s="691">
        <v>42418</v>
      </c>
      <c r="D163" s="692" t="s">
        <v>426</v>
      </c>
      <c r="E163" s="764">
        <v>52</v>
      </c>
      <c r="F163" s="763">
        <v>27</v>
      </c>
      <c r="G163" s="763">
        <v>26.5</v>
      </c>
      <c r="H163" s="759">
        <f t="shared" si="20"/>
        <v>0.92</v>
      </c>
      <c r="I163" s="252">
        <v>596</v>
      </c>
      <c r="J163" s="674">
        <f t="shared" si="17"/>
        <v>548.32000000000005</v>
      </c>
      <c r="K163" s="674">
        <f t="shared" si="19"/>
        <v>7675.5075138678685</v>
      </c>
      <c r="L163" s="621">
        <v>5550</v>
      </c>
      <c r="M163" s="688"/>
      <c r="O163" s="669"/>
      <c r="P163" s="669"/>
      <c r="Q163" s="669"/>
      <c r="S163" s="669">
        <f t="shared" si="21"/>
        <v>3307800</v>
      </c>
      <c r="T163" s="669">
        <f t="shared" si="22"/>
        <v>4574602.4782652492</v>
      </c>
    </row>
    <row r="164" spans="1:20" ht="16.5" customHeight="1">
      <c r="A164" s="673">
        <f t="shared" si="23"/>
        <v>159</v>
      </c>
      <c r="B164" s="286" t="s">
        <v>626</v>
      </c>
      <c r="C164" s="691">
        <v>42418</v>
      </c>
      <c r="D164" s="692" t="s">
        <v>426</v>
      </c>
      <c r="E164" s="764">
        <v>52</v>
      </c>
      <c r="F164" s="763">
        <v>43</v>
      </c>
      <c r="G164" s="763">
        <v>30</v>
      </c>
      <c r="H164" s="759">
        <f t="shared" si="20"/>
        <v>1.48</v>
      </c>
      <c r="I164" s="252">
        <v>309</v>
      </c>
      <c r="J164" s="674">
        <f t="shared" si="17"/>
        <v>457.32</v>
      </c>
      <c r="K164" s="674">
        <f t="shared" si="19"/>
        <v>12347.555565787441</v>
      </c>
      <c r="L164" s="621">
        <v>9290</v>
      </c>
      <c r="M164" s="688"/>
      <c r="O164" s="669"/>
      <c r="P164" s="669"/>
      <c r="Q164" s="669"/>
      <c r="S164" s="669">
        <f t="shared" si="21"/>
        <v>2870610</v>
      </c>
      <c r="T164" s="669">
        <f t="shared" si="22"/>
        <v>3815394.6698283195</v>
      </c>
    </row>
    <row r="165" spans="1:20" ht="16.5" customHeight="1">
      <c r="A165" s="673">
        <f t="shared" si="23"/>
        <v>160</v>
      </c>
      <c r="B165" s="286" t="s">
        <v>396</v>
      </c>
      <c r="C165" s="691">
        <v>42420</v>
      </c>
      <c r="D165" s="692" t="s">
        <v>427</v>
      </c>
      <c r="E165" s="764">
        <v>36.5</v>
      </c>
      <c r="F165" s="763">
        <v>27.3</v>
      </c>
      <c r="G165" s="763">
        <v>25.5</v>
      </c>
      <c r="H165" s="759">
        <f t="shared" si="20"/>
        <v>0.74</v>
      </c>
      <c r="I165" s="252">
        <v>2259</v>
      </c>
      <c r="J165" s="674">
        <f t="shared" si="17"/>
        <v>1671.66</v>
      </c>
      <c r="K165" s="674">
        <f t="shared" si="19"/>
        <v>6173.7777828937205</v>
      </c>
      <c r="L165" s="621">
        <v>7400</v>
      </c>
      <c r="M165" s="688"/>
      <c r="O165" s="669"/>
      <c r="P165" s="669"/>
      <c r="Q165" s="669"/>
      <c r="S165" s="669">
        <f t="shared" si="21"/>
        <v>16716600</v>
      </c>
      <c r="T165" s="669">
        <f t="shared" si="22"/>
        <v>13946564.011556914</v>
      </c>
    </row>
    <row r="166" spans="1:20" ht="16.5" customHeight="1">
      <c r="A166" s="673">
        <f t="shared" si="23"/>
        <v>161</v>
      </c>
      <c r="B166" s="286" t="s">
        <v>962</v>
      </c>
      <c r="C166" s="691">
        <v>42422</v>
      </c>
      <c r="D166" s="692" t="s">
        <v>430</v>
      </c>
      <c r="E166" s="764">
        <v>72</v>
      </c>
      <c r="F166" s="763">
        <v>51.5</v>
      </c>
      <c r="G166" s="763">
        <v>40</v>
      </c>
      <c r="H166" s="759">
        <f t="shared" si="20"/>
        <v>2.38</v>
      </c>
      <c r="I166" s="252">
        <v>349</v>
      </c>
      <c r="J166" s="674">
        <f t="shared" si="17"/>
        <v>830.62</v>
      </c>
      <c r="K166" s="674">
        <f t="shared" si="19"/>
        <v>19856.204220658179</v>
      </c>
      <c r="L166" s="621">
        <v>7900</v>
      </c>
      <c r="M166" s="688"/>
      <c r="O166" s="669"/>
      <c r="P166" s="669"/>
      <c r="Q166" s="669"/>
      <c r="S166" s="669">
        <f t="shared" si="21"/>
        <v>2757100</v>
      </c>
      <c r="T166" s="669">
        <f t="shared" si="22"/>
        <v>6929815.2730097044</v>
      </c>
    </row>
    <row r="167" spans="1:20" ht="16.5" customHeight="1">
      <c r="A167" s="673">
        <f t="shared" si="23"/>
        <v>162</v>
      </c>
      <c r="B167" s="286" t="s">
        <v>597</v>
      </c>
      <c r="C167" s="691">
        <v>42422</v>
      </c>
      <c r="D167" s="692" t="s">
        <v>430</v>
      </c>
      <c r="E167" s="764">
        <v>35</v>
      </c>
      <c r="F167" s="763">
        <v>35</v>
      </c>
      <c r="G167" s="763">
        <v>29</v>
      </c>
      <c r="H167" s="759">
        <f t="shared" si="20"/>
        <v>0.97</v>
      </c>
      <c r="I167" s="252">
        <v>205</v>
      </c>
      <c r="J167" s="674">
        <f t="shared" si="17"/>
        <v>198.85</v>
      </c>
      <c r="K167" s="674">
        <f t="shared" si="19"/>
        <v>8092.654661360687</v>
      </c>
      <c r="L167" s="621">
        <v>9800</v>
      </c>
      <c r="M167" s="688"/>
      <c r="O167" s="669"/>
      <c r="P167" s="669"/>
      <c r="Q167" s="669"/>
      <c r="S167" s="669">
        <f t="shared" si="21"/>
        <v>2009000</v>
      </c>
      <c r="T167" s="669">
        <f t="shared" si="22"/>
        <v>1658994.2055789409</v>
      </c>
    </row>
    <row r="168" spans="1:20" ht="16.5" customHeight="1">
      <c r="A168" s="673">
        <f t="shared" si="23"/>
        <v>163</v>
      </c>
      <c r="B168" s="286" t="s">
        <v>456</v>
      </c>
      <c r="C168" s="691">
        <v>42422</v>
      </c>
      <c r="D168" s="692" t="s">
        <v>430</v>
      </c>
      <c r="E168" s="764">
        <v>39.5</v>
      </c>
      <c r="F168" s="763">
        <v>32.299999999999997</v>
      </c>
      <c r="G168" s="763">
        <v>27.7</v>
      </c>
      <c r="H168" s="759">
        <f t="shared" si="20"/>
        <v>0.94</v>
      </c>
      <c r="I168" s="252">
        <v>407</v>
      </c>
      <c r="J168" s="674">
        <f t="shared" si="17"/>
        <v>382.58</v>
      </c>
      <c r="K168" s="674">
        <f t="shared" si="19"/>
        <v>7842.3663728649954</v>
      </c>
      <c r="L168" s="621">
        <v>9400</v>
      </c>
      <c r="M168" s="688"/>
      <c r="O168" s="669"/>
      <c r="P168" s="669"/>
      <c r="Q168" s="669"/>
      <c r="S168" s="669">
        <f t="shared" si="21"/>
        <v>3825800</v>
      </c>
      <c r="T168" s="669">
        <f t="shared" si="22"/>
        <v>3191843.1137560531</v>
      </c>
    </row>
    <row r="169" spans="1:20" ht="16.5" customHeight="1">
      <c r="A169" s="673">
        <f t="shared" si="23"/>
        <v>164</v>
      </c>
      <c r="B169" s="286" t="s">
        <v>477</v>
      </c>
      <c r="C169" s="691">
        <v>42422</v>
      </c>
      <c r="D169" s="692" t="s">
        <v>430</v>
      </c>
      <c r="E169" s="764">
        <v>43</v>
      </c>
      <c r="F169" s="763">
        <v>27.5</v>
      </c>
      <c r="G169" s="763">
        <v>33</v>
      </c>
      <c r="H169" s="759">
        <f t="shared" si="20"/>
        <v>0.93</v>
      </c>
      <c r="I169" s="252">
        <v>105</v>
      </c>
      <c r="J169" s="674">
        <f t="shared" si="17"/>
        <v>97.65</v>
      </c>
      <c r="K169" s="674">
        <f t="shared" si="19"/>
        <v>7758.9369433664324</v>
      </c>
      <c r="L169" s="621">
        <v>6400</v>
      </c>
      <c r="M169" s="688"/>
      <c r="O169" s="669"/>
      <c r="P169" s="669"/>
      <c r="Q169" s="669"/>
      <c r="S169" s="669">
        <f t="shared" si="21"/>
        <v>672000</v>
      </c>
      <c r="T169" s="669">
        <f t="shared" si="22"/>
        <v>814688.37905347545</v>
      </c>
    </row>
    <row r="170" spans="1:20" ht="16.5" customHeight="1">
      <c r="A170" s="673">
        <f t="shared" si="23"/>
        <v>165</v>
      </c>
      <c r="B170" s="286" t="s">
        <v>928</v>
      </c>
      <c r="C170" s="691">
        <v>42423</v>
      </c>
      <c r="D170" s="692" t="s">
        <v>431</v>
      </c>
      <c r="E170" s="764">
        <v>60</v>
      </c>
      <c r="F170" s="763">
        <v>37</v>
      </c>
      <c r="G170" s="763">
        <v>27</v>
      </c>
      <c r="H170" s="759">
        <f t="shared" si="20"/>
        <v>1.33</v>
      </c>
      <c r="I170" s="252">
        <v>500</v>
      </c>
      <c r="J170" s="674">
        <f t="shared" si="17"/>
        <v>665</v>
      </c>
      <c r="K170" s="674">
        <f t="shared" si="19"/>
        <v>11096.114123308984</v>
      </c>
      <c r="L170" s="621">
        <v>14800</v>
      </c>
      <c r="M170" s="688"/>
      <c r="O170" s="669"/>
      <c r="P170" s="669"/>
      <c r="Q170" s="669"/>
      <c r="S170" s="669">
        <f t="shared" si="21"/>
        <v>7400000</v>
      </c>
      <c r="T170" s="669">
        <f t="shared" si="22"/>
        <v>5548057.0616544923</v>
      </c>
    </row>
    <row r="171" spans="1:20" ht="16.5" customHeight="1">
      <c r="A171" s="673">
        <f t="shared" si="23"/>
        <v>166</v>
      </c>
      <c r="B171" s="286" t="s">
        <v>415</v>
      </c>
      <c r="C171" s="691">
        <v>42423</v>
      </c>
      <c r="D171" s="692" t="s">
        <v>432</v>
      </c>
      <c r="E171" s="764">
        <v>49.5</v>
      </c>
      <c r="F171" s="763">
        <v>38.5</v>
      </c>
      <c r="G171" s="763">
        <v>32.5</v>
      </c>
      <c r="H171" s="759">
        <f t="shared" si="20"/>
        <v>1.34</v>
      </c>
      <c r="I171" s="252">
        <v>102</v>
      </c>
      <c r="J171" s="674">
        <f t="shared" si="17"/>
        <v>136.68</v>
      </c>
      <c r="K171" s="674">
        <f t="shared" si="19"/>
        <v>11179.543552807549</v>
      </c>
      <c r="L171" s="621">
        <v>12900</v>
      </c>
      <c r="M171" s="688"/>
      <c r="O171" s="669"/>
      <c r="P171" s="669"/>
      <c r="Q171" s="669"/>
      <c r="S171" s="669">
        <f t="shared" si="21"/>
        <v>1315800</v>
      </c>
      <c r="T171" s="669">
        <f t="shared" si="22"/>
        <v>1140313.4423863699</v>
      </c>
    </row>
    <row r="172" spans="1:20" ht="16.5" customHeight="1">
      <c r="A172" s="673">
        <f t="shared" si="23"/>
        <v>167</v>
      </c>
      <c r="B172" s="286" t="s">
        <v>1435</v>
      </c>
      <c r="C172" s="691">
        <v>42423</v>
      </c>
      <c r="D172" s="692" t="s">
        <v>433</v>
      </c>
      <c r="E172" s="764">
        <v>41</v>
      </c>
      <c r="F172" s="763">
        <v>41</v>
      </c>
      <c r="G172" s="763">
        <v>25</v>
      </c>
      <c r="H172" s="759">
        <f t="shared" si="20"/>
        <v>1.17</v>
      </c>
      <c r="I172" s="252">
        <v>1509</v>
      </c>
      <c r="J172" s="674">
        <f t="shared" si="17"/>
        <v>1765.53</v>
      </c>
      <c r="K172" s="674">
        <f t="shared" si="19"/>
        <v>9761.2432513319618</v>
      </c>
      <c r="L172" s="621">
        <v>11300</v>
      </c>
      <c r="M172" s="688"/>
      <c r="O172" s="669"/>
      <c r="P172" s="669"/>
      <c r="Q172" s="669"/>
      <c r="S172" s="669">
        <f t="shared" si="21"/>
        <v>17051700</v>
      </c>
      <c r="T172" s="669">
        <f t="shared" si="22"/>
        <v>14729716.06625993</v>
      </c>
    </row>
    <row r="173" spans="1:20" ht="16.5" customHeight="1">
      <c r="A173" s="673">
        <f t="shared" si="23"/>
        <v>168</v>
      </c>
      <c r="B173" s="286" t="s">
        <v>1306</v>
      </c>
      <c r="C173" s="691">
        <v>42423</v>
      </c>
      <c r="D173" s="692" t="s">
        <v>433</v>
      </c>
      <c r="E173" s="764">
        <v>43</v>
      </c>
      <c r="F173" s="763">
        <v>42</v>
      </c>
      <c r="G173" s="763">
        <v>26</v>
      </c>
      <c r="H173" s="759">
        <f t="shared" si="20"/>
        <v>1.24</v>
      </c>
      <c r="I173" s="252">
        <v>783</v>
      </c>
      <c r="J173" s="674">
        <f t="shared" si="17"/>
        <v>970.92</v>
      </c>
      <c r="K173" s="674">
        <f t="shared" si="19"/>
        <v>10345.24925782191</v>
      </c>
      <c r="L173" s="621">
        <v>11800</v>
      </c>
      <c r="M173" s="688"/>
      <c r="O173" s="669"/>
      <c r="P173" s="669"/>
      <c r="Q173" s="669"/>
      <c r="S173" s="669">
        <f t="shared" si="21"/>
        <v>9239400</v>
      </c>
      <c r="T173" s="669">
        <f t="shared" si="22"/>
        <v>8100330.1688745553</v>
      </c>
    </row>
    <row r="174" spans="1:20" ht="16.5" customHeight="1">
      <c r="A174" s="673">
        <f t="shared" si="23"/>
        <v>169</v>
      </c>
      <c r="B174" s="286" t="s">
        <v>645</v>
      </c>
      <c r="C174" s="691">
        <v>42423</v>
      </c>
      <c r="D174" s="692" t="s">
        <v>434</v>
      </c>
      <c r="E174" s="764">
        <v>45</v>
      </c>
      <c r="F174" s="763">
        <v>37</v>
      </c>
      <c r="G174" s="763">
        <v>27.5</v>
      </c>
      <c r="H174" s="759">
        <f t="shared" si="20"/>
        <v>1.1399999999999999</v>
      </c>
      <c r="I174" s="252">
        <v>1000</v>
      </c>
      <c r="J174" s="674">
        <f t="shared" si="17"/>
        <v>1140</v>
      </c>
      <c r="K174" s="674">
        <f t="shared" si="19"/>
        <v>9510.9549628362711</v>
      </c>
      <c r="L174" s="621">
        <v>12420</v>
      </c>
      <c r="M174" s="688"/>
      <c r="O174" s="669"/>
      <c r="P174" s="669"/>
      <c r="Q174" s="669"/>
      <c r="S174" s="669">
        <f t="shared" si="21"/>
        <v>12420000</v>
      </c>
      <c r="T174" s="669">
        <f t="shared" si="22"/>
        <v>9510954.9628362712</v>
      </c>
    </row>
    <row r="175" spans="1:20" ht="16.5" customHeight="1">
      <c r="A175" s="673">
        <f t="shared" si="23"/>
        <v>170</v>
      </c>
      <c r="B175" s="286" t="s">
        <v>645</v>
      </c>
      <c r="C175" s="691">
        <v>42423</v>
      </c>
      <c r="D175" s="692" t="s">
        <v>434</v>
      </c>
      <c r="E175" s="764">
        <v>45</v>
      </c>
      <c r="F175" s="763">
        <v>37</v>
      </c>
      <c r="G175" s="763">
        <v>27.5</v>
      </c>
      <c r="H175" s="759">
        <f t="shared" si="20"/>
        <v>1.1399999999999999</v>
      </c>
      <c r="I175" s="252">
        <v>50</v>
      </c>
      <c r="J175" s="674">
        <f t="shared" si="17"/>
        <v>56.999999999999993</v>
      </c>
      <c r="K175" s="674">
        <f t="shared" si="19"/>
        <v>9510.9549628362711</v>
      </c>
      <c r="L175" s="621">
        <v>12060</v>
      </c>
      <c r="M175" s="688"/>
      <c r="O175" s="669"/>
      <c r="P175" s="669"/>
      <c r="Q175" s="669"/>
      <c r="S175" s="669">
        <f t="shared" si="21"/>
        <v>603000</v>
      </c>
      <c r="T175" s="669">
        <f t="shared" si="22"/>
        <v>475547.74814181356</v>
      </c>
    </row>
    <row r="176" spans="1:20" ht="16.5" customHeight="1">
      <c r="A176" s="673">
        <f t="shared" si="23"/>
        <v>171</v>
      </c>
      <c r="B176" s="286" t="s">
        <v>693</v>
      </c>
      <c r="C176" s="691">
        <v>42423</v>
      </c>
      <c r="D176" s="692" t="s">
        <v>434</v>
      </c>
      <c r="E176" s="764">
        <v>44</v>
      </c>
      <c r="F176" s="763">
        <v>20</v>
      </c>
      <c r="G176" s="763"/>
      <c r="H176" s="759">
        <f t="shared" si="20"/>
        <v>0.09</v>
      </c>
      <c r="I176" s="252">
        <v>2100</v>
      </c>
      <c r="J176" s="674">
        <f t="shared" si="17"/>
        <v>189</v>
      </c>
      <c r="K176" s="674">
        <f t="shared" si="19"/>
        <v>750.8648654870741</v>
      </c>
      <c r="L176" s="621">
        <v>1182</v>
      </c>
      <c r="M176" s="688"/>
      <c r="O176" s="669"/>
      <c r="P176" s="669"/>
      <c r="Q176" s="669"/>
      <c r="S176" s="669">
        <f t="shared" si="21"/>
        <v>2482200</v>
      </c>
      <c r="T176" s="669">
        <f t="shared" si="22"/>
        <v>1576816.2175228556</v>
      </c>
    </row>
    <row r="177" spans="1:20" ht="16.5" customHeight="1">
      <c r="A177" s="673">
        <f t="shared" si="23"/>
        <v>172</v>
      </c>
      <c r="B177" s="286" t="s">
        <v>929</v>
      </c>
      <c r="C177" s="691">
        <v>42424</v>
      </c>
      <c r="D177" s="692" t="s">
        <v>435</v>
      </c>
      <c r="E177" s="764">
        <v>60</v>
      </c>
      <c r="F177" s="763">
        <v>56</v>
      </c>
      <c r="G177" s="763">
        <v>30</v>
      </c>
      <c r="H177" s="759">
        <f t="shared" si="20"/>
        <v>2.11</v>
      </c>
      <c r="I177" s="252">
        <v>500</v>
      </c>
      <c r="J177" s="674">
        <f t="shared" si="17"/>
        <v>1055</v>
      </c>
      <c r="K177" s="674">
        <f t="shared" si="19"/>
        <v>17603.609624196957</v>
      </c>
      <c r="L177" s="621">
        <v>22000</v>
      </c>
      <c r="M177" s="688"/>
      <c r="O177" s="669"/>
      <c r="P177" s="669"/>
      <c r="Q177" s="669"/>
      <c r="S177" s="669">
        <f t="shared" si="21"/>
        <v>11000000</v>
      </c>
      <c r="T177" s="669">
        <f t="shared" si="22"/>
        <v>8801804.8120984789</v>
      </c>
    </row>
    <row r="178" spans="1:20" ht="16.5" customHeight="1">
      <c r="A178" s="673">
        <f t="shared" si="23"/>
        <v>173</v>
      </c>
      <c r="B178" s="286" t="s">
        <v>628</v>
      </c>
      <c r="C178" s="691">
        <v>42424</v>
      </c>
      <c r="D178" s="692" t="s">
        <v>437</v>
      </c>
      <c r="E178" s="764">
        <v>58</v>
      </c>
      <c r="F178" s="763">
        <v>57</v>
      </c>
      <c r="G178" s="763">
        <v>61</v>
      </c>
      <c r="H178" s="759">
        <f t="shared" si="20"/>
        <v>2.84</v>
      </c>
      <c r="I178" s="252">
        <v>61</v>
      </c>
      <c r="J178" s="674">
        <f t="shared" si="17"/>
        <v>173.23999999999998</v>
      </c>
      <c r="K178" s="674">
        <f t="shared" si="19"/>
        <v>23693.957977592116</v>
      </c>
      <c r="L178" s="621">
        <v>28000</v>
      </c>
      <c r="M178" s="688"/>
      <c r="O178" s="669"/>
      <c r="P178" s="669"/>
      <c r="Q178" s="669"/>
      <c r="S178" s="669">
        <f t="shared" si="21"/>
        <v>1708000</v>
      </c>
      <c r="T178" s="669">
        <f t="shared" si="22"/>
        <v>1445331.4366331191</v>
      </c>
    </row>
    <row r="179" spans="1:20" ht="16.5" customHeight="1">
      <c r="A179" s="673">
        <f t="shared" si="23"/>
        <v>174</v>
      </c>
      <c r="B179" s="286" t="s">
        <v>418</v>
      </c>
      <c r="C179" s="691">
        <v>42424</v>
      </c>
      <c r="D179" s="692" t="s">
        <v>437</v>
      </c>
      <c r="E179" s="764">
        <v>103</v>
      </c>
      <c r="F179" s="763">
        <v>50</v>
      </c>
      <c r="G179" s="763">
        <v>180</v>
      </c>
      <c r="H179" s="759">
        <f t="shared" si="20"/>
        <v>7.25</v>
      </c>
      <c r="I179" s="252">
        <v>147</v>
      </c>
      <c r="J179" s="674">
        <f t="shared" si="17"/>
        <v>1065.75</v>
      </c>
      <c r="K179" s="674">
        <f t="shared" si="19"/>
        <v>60486.336386458745</v>
      </c>
      <c r="L179" s="621">
        <v>47449</v>
      </c>
      <c r="M179" s="688"/>
      <c r="O179" s="669"/>
      <c r="P179" s="669"/>
      <c r="Q179" s="669"/>
      <c r="S179" s="669">
        <f t="shared" si="21"/>
        <v>6975003</v>
      </c>
      <c r="T179" s="669">
        <f t="shared" si="22"/>
        <v>8891491.4488094356</v>
      </c>
    </row>
    <row r="180" spans="1:20" ht="16.5" customHeight="1">
      <c r="A180" s="673">
        <f t="shared" si="23"/>
        <v>175</v>
      </c>
      <c r="B180" s="286" t="s">
        <v>912</v>
      </c>
      <c r="C180" s="691">
        <v>42424</v>
      </c>
      <c r="D180" s="692" t="s">
        <v>437</v>
      </c>
      <c r="E180" s="764">
        <v>103</v>
      </c>
      <c r="F180" s="763">
        <v>54</v>
      </c>
      <c r="G180" s="763">
        <v>180</v>
      </c>
      <c r="H180" s="759">
        <f t="shared" si="20"/>
        <v>7.56</v>
      </c>
      <c r="I180" s="252">
        <v>51</v>
      </c>
      <c r="J180" s="674">
        <f t="shared" si="17"/>
        <v>385.56</v>
      </c>
      <c r="K180" s="674">
        <f t="shared" si="19"/>
        <v>63072.648700914222</v>
      </c>
      <c r="L180" s="621">
        <v>73100</v>
      </c>
      <c r="M180" s="688"/>
      <c r="O180" s="669"/>
      <c r="P180" s="669"/>
      <c r="Q180" s="669"/>
      <c r="S180" s="669">
        <f t="shared" si="21"/>
        <v>3728100</v>
      </c>
      <c r="T180" s="669">
        <f t="shared" si="22"/>
        <v>3216705.0837466251</v>
      </c>
    </row>
    <row r="181" spans="1:20" ht="16.5" customHeight="1">
      <c r="A181" s="673">
        <f t="shared" si="23"/>
        <v>176</v>
      </c>
      <c r="B181" s="286" t="s">
        <v>516</v>
      </c>
      <c r="C181" s="691">
        <v>42424</v>
      </c>
      <c r="D181" s="692" t="s">
        <v>439</v>
      </c>
      <c r="E181" s="764">
        <v>95</v>
      </c>
      <c r="F181" s="763">
        <v>138</v>
      </c>
      <c r="G181" s="763"/>
      <c r="H181" s="759">
        <f t="shared" si="20"/>
        <v>1.31</v>
      </c>
      <c r="I181" s="252">
        <v>200</v>
      </c>
      <c r="J181" s="674">
        <f t="shared" si="17"/>
        <v>262</v>
      </c>
      <c r="K181" s="674">
        <f t="shared" si="19"/>
        <v>10929.255264311856</v>
      </c>
      <c r="L181" s="621">
        <v>11930</v>
      </c>
      <c r="M181" s="688"/>
      <c r="O181" s="669"/>
      <c r="P181" s="669"/>
      <c r="Q181" s="669"/>
      <c r="S181" s="669">
        <f t="shared" si="21"/>
        <v>2386000</v>
      </c>
      <c r="T181" s="669">
        <f t="shared" si="22"/>
        <v>2185851.0528623713</v>
      </c>
    </row>
    <row r="182" spans="1:20" ht="16.5" customHeight="1">
      <c r="A182" s="673">
        <f t="shared" si="23"/>
        <v>177</v>
      </c>
      <c r="B182" s="286" t="s">
        <v>1229</v>
      </c>
      <c r="C182" s="691">
        <v>42424</v>
      </c>
      <c r="D182" s="692" t="s">
        <v>439</v>
      </c>
      <c r="E182" s="764">
        <v>135</v>
      </c>
      <c r="F182" s="763">
        <v>113</v>
      </c>
      <c r="G182" s="763"/>
      <c r="H182" s="759">
        <f t="shared" si="20"/>
        <v>1.53</v>
      </c>
      <c r="I182" s="252">
        <v>40</v>
      </c>
      <c r="J182" s="674">
        <f t="shared" si="17"/>
        <v>61.2</v>
      </c>
      <c r="K182" s="674">
        <f t="shared" si="19"/>
        <v>12764.70271328026</v>
      </c>
      <c r="L182" s="621">
        <v>13882</v>
      </c>
      <c r="M182" s="688"/>
      <c r="O182" s="669"/>
      <c r="P182" s="669"/>
      <c r="Q182" s="669"/>
      <c r="S182" s="669">
        <f t="shared" si="21"/>
        <v>555280</v>
      </c>
      <c r="T182" s="669">
        <f t="shared" si="22"/>
        <v>510588.1085312104</v>
      </c>
    </row>
    <row r="183" spans="1:20" ht="16.5" customHeight="1">
      <c r="A183" s="673">
        <f t="shared" si="23"/>
        <v>178</v>
      </c>
      <c r="B183" s="286" t="s">
        <v>697</v>
      </c>
      <c r="C183" s="691">
        <v>42424</v>
      </c>
      <c r="D183" s="692" t="s">
        <v>439</v>
      </c>
      <c r="E183" s="764">
        <v>110</v>
      </c>
      <c r="F183" s="763">
        <v>156</v>
      </c>
      <c r="G183" s="763"/>
      <c r="H183" s="759">
        <f t="shared" si="20"/>
        <v>1.72</v>
      </c>
      <c r="I183" s="252">
        <v>5</v>
      </c>
      <c r="J183" s="674">
        <f t="shared" ref="J183:J246" si="24">H183*I183</f>
        <v>8.6</v>
      </c>
      <c r="K183" s="674">
        <f t="shared" si="19"/>
        <v>14349.86187375297</v>
      </c>
      <c r="L183" s="621">
        <v>15616</v>
      </c>
      <c r="M183" s="688"/>
      <c r="O183" s="669"/>
      <c r="P183" s="669"/>
      <c r="Q183" s="669"/>
      <c r="S183" s="669">
        <f t="shared" si="21"/>
        <v>78080</v>
      </c>
      <c r="T183" s="669">
        <f t="shared" si="22"/>
        <v>71749.309368764851</v>
      </c>
    </row>
    <row r="184" spans="1:20" ht="16.5" customHeight="1">
      <c r="A184" s="673">
        <f t="shared" si="23"/>
        <v>179</v>
      </c>
      <c r="B184" s="286" t="s">
        <v>695</v>
      </c>
      <c r="C184" s="691">
        <v>42424</v>
      </c>
      <c r="D184" s="692" t="s">
        <v>439</v>
      </c>
      <c r="E184" s="764">
        <v>105</v>
      </c>
      <c r="F184" s="763">
        <v>158</v>
      </c>
      <c r="G184" s="763"/>
      <c r="H184" s="759">
        <f t="shared" si="20"/>
        <v>1.66</v>
      </c>
      <c r="I184" s="252">
        <v>30</v>
      </c>
      <c r="J184" s="674">
        <f t="shared" si="24"/>
        <v>49.8</v>
      </c>
      <c r="K184" s="674">
        <f t="shared" si="19"/>
        <v>13849.285296761587</v>
      </c>
      <c r="L184" s="621">
        <v>15097</v>
      </c>
      <c r="M184" s="688"/>
      <c r="O184" s="669"/>
      <c r="P184" s="669"/>
      <c r="Q184" s="669"/>
      <c r="S184" s="669">
        <f t="shared" si="21"/>
        <v>452910</v>
      </c>
      <c r="T184" s="669">
        <f t="shared" si="22"/>
        <v>415478.55890284764</v>
      </c>
    </row>
    <row r="185" spans="1:20" ht="16.5" customHeight="1">
      <c r="A185" s="673">
        <f t="shared" si="23"/>
        <v>180</v>
      </c>
      <c r="B185" s="286" t="s">
        <v>714</v>
      </c>
      <c r="C185" s="691">
        <v>42424</v>
      </c>
      <c r="D185" s="692" t="s">
        <v>439</v>
      </c>
      <c r="E185" s="764">
        <v>105</v>
      </c>
      <c r="F185" s="763">
        <v>93</v>
      </c>
      <c r="G185" s="763"/>
      <c r="H185" s="759">
        <f t="shared" si="20"/>
        <v>0.98</v>
      </c>
      <c r="I185" s="252">
        <v>550</v>
      </c>
      <c r="J185" s="674">
        <f t="shared" si="24"/>
        <v>539</v>
      </c>
      <c r="K185" s="674">
        <f t="shared" si="19"/>
        <v>8176.0840908592509</v>
      </c>
      <c r="L185" s="621">
        <v>5273</v>
      </c>
      <c r="M185" s="688"/>
      <c r="O185" s="669"/>
      <c r="P185" s="669"/>
      <c r="Q185" s="669"/>
      <c r="S185" s="669">
        <f t="shared" si="21"/>
        <v>2900150</v>
      </c>
      <c r="T185" s="669">
        <f t="shared" si="22"/>
        <v>4496846.2499725884</v>
      </c>
    </row>
    <row r="186" spans="1:20" ht="16.5" customHeight="1">
      <c r="A186" s="673">
        <f t="shared" si="23"/>
        <v>181</v>
      </c>
      <c r="B186" s="286" t="s">
        <v>518</v>
      </c>
      <c r="C186" s="691">
        <v>42424</v>
      </c>
      <c r="D186" s="692" t="s">
        <v>439</v>
      </c>
      <c r="E186" s="764">
        <v>105</v>
      </c>
      <c r="F186" s="763">
        <v>140</v>
      </c>
      <c r="G186" s="763"/>
      <c r="H186" s="759">
        <f t="shared" si="20"/>
        <v>1.47</v>
      </c>
      <c r="I186" s="252">
        <v>45</v>
      </c>
      <c r="J186" s="674">
        <f t="shared" si="24"/>
        <v>66.150000000000006</v>
      </c>
      <c r="K186" s="674">
        <f t="shared" si="19"/>
        <v>12264.126136288876</v>
      </c>
      <c r="L186" s="621">
        <v>13377</v>
      </c>
      <c r="M186" s="688"/>
      <c r="O186" s="669"/>
      <c r="P186" s="669"/>
      <c r="Q186" s="669"/>
      <c r="S186" s="669">
        <f t="shared" si="21"/>
        <v>601965</v>
      </c>
      <c r="T186" s="669">
        <f t="shared" si="22"/>
        <v>551885.67613299948</v>
      </c>
    </row>
    <row r="187" spans="1:20" ht="16.5" customHeight="1">
      <c r="A187" s="673">
        <f t="shared" si="23"/>
        <v>182</v>
      </c>
      <c r="B187" s="286" t="s">
        <v>930</v>
      </c>
      <c r="C187" s="691">
        <v>42425</v>
      </c>
      <c r="D187" s="692" t="s">
        <v>440</v>
      </c>
      <c r="E187" s="764">
        <v>39</v>
      </c>
      <c r="F187" s="763">
        <v>29</v>
      </c>
      <c r="G187" s="763">
        <v>27</v>
      </c>
      <c r="H187" s="759">
        <f t="shared" si="20"/>
        <v>0.83</v>
      </c>
      <c r="I187" s="252">
        <v>110</v>
      </c>
      <c r="J187" s="674">
        <f t="shared" si="24"/>
        <v>91.3</v>
      </c>
      <c r="K187" s="674">
        <f t="shared" si="19"/>
        <v>6924.6426483807936</v>
      </c>
      <c r="L187" s="621">
        <v>6300</v>
      </c>
      <c r="M187" s="688"/>
      <c r="O187" s="669"/>
      <c r="P187" s="669"/>
      <c r="Q187" s="669"/>
      <c r="S187" s="669">
        <f t="shared" si="21"/>
        <v>693000</v>
      </c>
      <c r="T187" s="669">
        <f t="shared" si="22"/>
        <v>761710.69132188731</v>
      </c>
    </row>
    <row r="188" spans="1:20" ht="16.5" customHeight="1">
      <c r="A188" s="673">
        <f t="shared" si="23"/>
        <v>183</v>
      </c>
      <c r="B188" s="286" t="s">
        <v>480</v>
      </c>
      <c r="C188" s="691">
        <v>42425</v>
      </c>
      <c r="D188" s="692" t="s">
        <v>440</v>
      </c>
      <c r="E188" s="764">
        <v>47</v>
      </c>
      <c r="F188" s="763">
        <v>42</v>
      </c>
      <c r="G188" s="763">
        <v>24.5</v>
      </c>
      <c r="H188" s="759">
        <f t="shared" si="20"/>
        <v>1.27</v>
      </c>
      <c r="I188" s="252">
        <v>1172</v>
      </c>
      <c r="J188" s="674">
        <f t="shared" si="24"/>
        <v>1488.44</v>
      </c>
      <c r="K188" s="674">
        <f t="shared" si="19"/>
        <v>10595.537546317601</v>
      </c>
      <c r="L188" s="621">
        <v>9150</v>
      </c>
      <c r="M188" s="688"/>
      <c r="O188" s="669"/>
      <c r="P188" s="669"/>
      <c r="Q188" s="669"/>
      <c r="S188" s="669">
        <f t="shared" si="21"/>
        <v>10723800</v>
      </c>
      <c r="T188" s="669">
        <f t="shared" si="22"/>
        <v>12417970.004284227</v>
      </c>
    </row>
    <row r="189" spans="1:20" ht="16.5" customHeight="1">
      <c r="A189" s="673">
        <f t="shared" ref="A189:A220" si="25">IF(B187&lt;&gt;"",A188+1,"")</f>
        <v>184</v>
      </c>
      <c r="B189" s="286" t="s">
        <v>916</v>
      </c>
      <c r="C189" s="691">
        <v>42425</v>
      </c>
      <c r="D189" s="692" t="s">
        <v>440</v>
      </c>
      <c r="E189" s="764">
        <v>48</v>
      </c>
      <c r="F189" s="763">
        <v>41</v>
      </c>
      <c r="G189" s="763">
        <v>28</v>
      </c>
      <c r="H189" s="759">
        <f t="shared" si="20"/>
        <v>1.32</v>
      </c>
      <c r="I189" s="252">
        <v>110</v>
      </c>
      <c r="J189" s="674">
        <f t="shared" si="24"/>
        <v>145.20000000000002</v>
      </c>
      <c r="K189" s="674">
        <f t="shared" si="19"/>
        <v>11012.684693810421</v>
      </c>
      <c r="L189" s="621">
        <v>9600</v>
      </c>
      <c r="M189" s="688"/>
      <c r="O189" s="669"/>
      <c r="P189" s="669"/>
      <c r="Q189" s="669"/>
      <c r="S189" s="669">
        <f t="shared" si="21"/>
        <v>1056000</v>
      </c>
      <c r="T189" s="669">
        <f t="shared" si="22"/>
        <v>1211395.3163191462</v>
      </c>
    </row>
    <row r="190" spans="1:20" ht="16.5" customHeight="1">
      <c r="A190" s="673">
        <f t="shared" si="25"/>
        <v>185</v>
      </c>
      <c r="B190" s="286" t="s">
        <v>931</v>
      </c>
      <c r="C190" s="691">
        <v>42425</v>
      </c>
      <c r="D190" s="692" t="s">
        <v>440</v>
      </c>
      <c r="E190" s="764">
        <v>61</v>
      </c>
      <c r="F190" s="763">
        <v>42</v>
      </c>
      <c r="G190" s="763">
        <v>29</v>
      </c>
      <c r="H190" s="759">
        <f t="shared" si="20"/>
        <v>1.56</v>
      </c>
      <c r="I190" s="252">
        <v>110</v>
      </c>
      <c r="J190" s="674">
        <f t="shared" si="24"/>
        <v>171.6</v>
      </c>
      <c r="K190" s="674">
        <f t="shared" si="19"/>
        <v>13014.99100177595</v>
      </c>
      <c r="L190" s="621">
        <v>16900</v>
      </c>
      <c r="M190" s="688"/>
      <c r="O190" s="669"/>
      <c r="P190" s="669"/>
      <c r="Q190" s="669"/>
      <c r="S190" s="669">
        <f t="shared" si="21"/>
        <v>1859000</v>
      </c>
      <c r="T190" s="669">
        <f t="shared" si="22"/>
        <v>1431649.0101953545</v>
      </c>
    </row>
    <row r="191" spans="1:20" ht="16.5" customHeight="1">
      <c r="A191" s="673">
        <f t="shared" si="25"/>
        <v>186</v>
      </c>
      <c r="B191" s="286" t="s">
        <v>698</v>
      </c>
      <c r="C191" s="691">
        <v>42425</v>
      </c>
      <c r="D191" s="692" t="s">
        <v>442</v>
      </c>
      <c r="E191" s="764">
        <v>105</v>
      </c>
      <c r="F191" s="763">
        <v>126</v>
      </c>
      <c r="G191" s="763"/>
      <c r="H191" s="759">
        <f t="shared" si="20"/>
        <v>1.32</v>
      </c>
      <c r="I191" s="252">
        <v>20</v>
      </c>
      <c r="J191" s="674">
        <f t="shared" si="24"/>
        <v>26.400000000000002</v>
      </c>
      <c r="K191" s="674">
        <f t="shared" si="19"/>
        <v>11012.684693810421</v>
      </c>
      <c r="L191" s="621">
        <v>12039</v>
      </c>
      <c r="M191" s="688"/>
      <c r="O191" s="669"/>
      <c r="P191" s="669"/>
      <c r="Q191" s="669"/>
      <c r="S191" s="669">
        <f t="shared" si="21"/>
        <v>240780</v>
      </c>
      <c r="T191" s="669">
        <f t="shared" si="22"/>
        <v>220253.69387620842</v>
      </c>
    </row>
    <row r="192" spans="1:20" ht="16.5" customHeight="1">
      <c r="A192" s="673">
        <f t="shared" si="25"/>
        <v>187</v>
      </c>
      <c r="B192" s="286" t="s">
        <v>696</v>
      </c>
      <c r="C192" s="691">
        <v>42425</v>
      </c>
      <c r="D192" s="692" t="s">
        <v>442</v>
      </c>
      <c r="E192" s="764">
        <v>85</v>
      </c>
      <c r="F192" s="763">
        <v>107</v>
      </c>
      <c r="G192" s="763"/>
      <c r="H192" s="759">
        <f t="shared" si="20"/>
        <v>0.91</v>
      </c>
      <c r="I192" s="252">
        <v>40</v>
      </c>
      <c r="J192" s="674">
        <f t="shared" si="24"/>
        <v>36.4</v>
      </c>
      <c r="K192" s="674">
        <f t="shared" si="19"/>
        <v>7592.0780843693046</v>
      </c>
      <c r="L192" s="621">
        <v>8276</v>
      </c>
      <c r="M192" s="688"/>
      <c r="O192" s="669"/>
      <c r="P192" s="669"/>
      <c r="Q192" s="669"/>
      <c r="S192" s="669">
        <f t="shared" si="21"/>
        <v>331040</v>
      </c>
      <c r="T192" s="669">
        <f t="shared" si="22"/>
        <v>303683.1233747722</v>
      </c>
    </row>
    <row r="193" spans="1:20" ht="16.5" customHeight="1">
      <c r="A193" s="673">
        <f t="shared" si="25"/>
        <v>188</v>
      </c>
      <c r="B193" s="286" t="s">
        <v>530</v>
      </c>
      <c r="C193" s="691">
        <v>42425</v>
      </c>
      <c r="D193" s="692" t="s">
        <v>442</v>
      </c>
      <c r="E193" s="764">
        <v>85</v>
      </c>
      <c r="F193" s="763">
        <v>116</v>
      </c>
      <c r="G193" s="763"/>
      <c r="H193" s="759">
        <f t="shared" si="20"/>
        <v>0.99</v>
      </c>
      <c r="I193" s="252">
        <v>100</v>
      </c>
      <c r="J193" s="674">
        <f t="shared" si="24"/>
        <v>99</v>
      </c>
      <c r="K193" s="674">
        <f t="shared" si="19"/>
        <v>8259.5135203578157</v>
      </c>
      <c r="L193" s="621">
        <v>8973</v>
      </c>
      <c r="M193" s="688"/>
      <c r="O193" s="669"/>
      <c r="P193" s="669"/>
      <c r="Q193" s="669"/>
      <c r="S193" s="669">
        <f t="shared" si="21"/>
        <v>897300</v>
      </c>
      <c r="T193" s="669">
        <f t="shared" si="22"/>
        <v>825951.3520357816</v>
      </c>
    </row>
    <row r="194" spans="1:20" ht="16.5" customHeight="1">
      <c r="A194" s="673">
        <f t="shared" si="25"/>
        <v>189</v>
      </c>
      <c r="B194" s="286" t="s">
        <v>517</v>
      </c>
      <c r="C194" s="691">
        <v>42425</v>
      </c>
      <c r="D194" s="692" t="s">
        <v>442</v>
      </c>
      <c r="E194" s="764">
        <v>105</v>
      </c>
      <c r="F194" s="763">
        <v>170</v>
      </c>
      <c r="G194" s="763"/>
      <c r="H194" s="759">
        <f t="shared" si="20"/>
        <v>1.79</v>
      </c>
      <c r="I194" s="252">
        <v>60</v>
      </c>
      <c r="J194" s="674">
        <f t="shared" si="24"/>
        <v>107.4</v>
      </c>
      <c r="K194" s="674">
        <f t="shared" si="19"/>
        <v>14933.867880242919</v>
      </c>
      <c r="L194" s="621">
        <v>16244</v>
      </c>
      <c r="M194" s="688"/>
      <c r="O194" s="669"/>
      <c r="P194" s="669"/>
      <c r="Q194" s="669"/>
      <c r="S194" s="669">
        <f t="shared" si="21"/>
        <v>974640</v>
      </c>
      <c r="T194" s="669">
        <f t="shared" si="22"/>
        <v>896032.07281457516</v>
      </c>
    </row>
    <row r="195" spans="1:20" ht="16.5" customHeight="1">
      <c r="A195" s="673">
        <f t="shared" si="25"/>
        <v>190</v>
      </c>
      <c r="B195" s="286" t="s">
        <v>704</v>
      </c>
      <c r="C195" s="691">
        <v>42425</v>
      </c>
      <c r="D195" s="692" t="s">
        <v>442</v>
      </c>
      <c r="E195" s="764">
        <v>110</v>
      </c>
      <c r="F195" s="763">
        <v>144</v>
      </c>
      <c r="G195" s="763"/>
      <c r="H195" s="759">
        <f t="shared" si="20"/>
        <v>1.58</v>
      </c>
      <c r="I195" s="252">
        <v>45</v>
      </c>
      <c r="J195" s="674">
        <f t="shared" si="24"/>
        <v>71.100000000000009</v>
      </c>
      <c r="K195" s="674">
        <f t="shared" si="19"/>
        <v>13181.849860773078</v>
      </c>
      <c r="L195" s="621">
        <v>14414</v>
      </c>
      <c r="M195" s="688"/>
      <c r="O195" s="669"/>
      <c r="P195" s="669"/>
      <c r="Q195" s="669"/>
      <c r="S195" s="669">
        <f t="shared" si="21"/>
        <v>648630</v>
      </c>
      <c r="T195" s="669">
        <f t="shared" si="22"/>
        <v>593183.2437347885</v>
      </c>
    </row>
    <row r="196" spans="1:20" ht="16.5" customHeight="1">
      <c r="A196" s="673">
        <f t="shared" si="25"/>
        <v>191</v>
      </c>
      <c r="B196" s="286" t="s">
        <v>517</v>
      </c>
      <c r="C196" s="691">
        <v>42425</v>
      </c>
      <c r="D196" s="692" t="s">
        <v>442</v>
      </c>
      <c r="E196" s="764">
        <v>105</v>
      </c>
      <c r="F196" s="763">
        <v>170</v>
      </c>
      <c r="G196" s="763"/>
      <c r="H196" s="759">
        <f t="shared" si="20"/>
        <v>1.79</v>
      </c>
      <c r="I196" s="252">
        <v>15</v>
      </c>
      <c r="J196" s="674">
        <f t="shared" si="24"/>
        <v>26.85</v>
      </c>
      <c r="K196" s="674">
        <f t="shared" si="19"/>
        <v>14933.867880242919</v>
      </c>
      <c r="L196" s="621">
        <v>16244</v>
      </c>
      <c r="M196" s="688"/>
      <c r="O196" s="669"/>
      <c r="P196" s="669"/>
      <c r="Q196" s="669"/>
      <c r="S196" s="669">
        <f t="shared" si="21"/>
        <v>243660</v>
      </c>
      <c r="T196" s="669">
        <f t="shared" si="22"/>
        <v>224008.01820364379</v>
      </c>
    </row>
    <row r="197" spans="1:20" ht="16.5" customHeight="1">
      <c r="A197" s="673">
        <f t="shared" si="25"/>
        <v>192</v>
      </c>
      <c r="B197" s="286" t="s">
        <v>707</v>
      </c>
      <c r="C197" s="691">
        <v>42425</v>
      </c>
      <c r="D197" s="692" t="s">
        <v>442</v>
      </c>
      <c r="E197" s="764">
        <v>100</v>
      </c>
      <c r="F197" s="763">
        <v>156</v>
      </c>
      <c r="G197" s="763"/>
      <c r="H197" s="759">
        <f t="shared" si="20"/>
        <v>1.56</v>
      </c>
      <c r="I197" s="252">
        <v>10</v>
      </c>
      <c r="J197" s="674">
        <f t="shared" si="24"/>
        <v>15.600000000000001</v>
      </c>
      <c r="K197" s="674">
        <f t="shared" si="19"/>
        <v>13014.99100177595</v>
      </c>
      <c r="L197" s="621">
        <v>14196</v>
      </c>
      <c r="M197" s="688"/>
      <c r="O197" s="669"/>
      <c r="P197" s="669"/>
      <c r="Q197" s="669"/>
      <c r="S197" s="669">
        <f t="shared" si="21"/>
        <v>141960</v>
      </c>
      <c r="T197" s="669">
        <f t="shared" si="22"/>
        <v>130149.91001775951</v>
      </c>
    </row>
    <row r="198" spans="1:20" ht="16.5" customHeight="1">
      <c r="A198" s="673">
        <f t="shared" si="25"/>
        <v>193</v>
      </c>
      <c r="B198" s="286" t="s">
        <v>699</v>
      </c>
      <c r="C198" s="691">
        <v>42427</v>
      </c>
      <c r="D198" s="692" t="s">
        <v>932</v>
      </c>
      <c r="E198" s="764">
        <v>85</v>
      </c>
      <c r="F198" s="763">
        <v>130</v>
      </c>
      <c r="G198" s="763"/>
      <c r="H198" s="759">
        <f t="shared" si="20"/>
        <v>1.1100000000000001</v>
      </c>
      <c r="I198" s="252">
        <v>40</v>
      </c>
      <c r="J198" s="674">
        <f t="shared" si="24"/>
        <v>44.400000000000006</v>
      </c>
      <c r="K198" s="674">
        <f t="shared" ref="K198:K261" si="26">H198*$R$43</f>
        <v>9260.6666743405804</v>
      </c>
      <c r="L198" s="621">
        <v>10056</v>
      </c>
      <c r="M198" s="688"/>
      <c r="O198" s="669"/>
      <c r="P198" s="669"/>
      <c r="Q198" s="669"/>
      <c r="S198" s="669">
        <f t="shared" si="21"/>
        <v>402240</v>
      </c>
      <c r="T198" s="669">
        <f t="shared" si="22"/>
        <v>370426.66697362321</v>
      </c>
    </row>
    <row r="199" spans="1:20" ht="16.5" customHeight="1">
      <c r="A199" s="673">
        <f t="shared" si="25"/>
        <v>194</v>
      </c>
      <c r="B199" s="286" t="s">
        <v>708</v>
      </c>
      <c r="C199" s="691">
        <v>42427</v>
      </c>
      <c r="D199" s="692" t="s">
        <v>932</v>
      </c>
      <c r="E199" s="764">
        <v>80</v>
      </c>
      <c r="F199" s="763">
        <v>182</v>
      </c>
      <c r="G199" s="763"/>
      <c r="H199" s="759">
        <f t="shared" ref="H199:H262" si="27">IF(G199&lt;&gt;"",ROUND(((E199+F199)*2+5)*(F199+G199+3)/10000,2),ROUND(E199*F199/10000,2))</f>
        <v>1.46</v>
      </c>
      <c r="I199" s="252">
        <v>20</v>
      </c>
      <c r="J199" s="674">
        <f t="shared" si="24"/>
        <v>29.2</v>
      </c>
      <c r="K199" s="674">
        <f t="shared" si="26"/>
        <v>12180.696706790313</v>
      </c>
      <c r="L199" s="621">
        <v>13250</v>
      </c>
      <c r="M199" s="688"/>
      <c r="O199" s="669"/>
      <c r="P199" s="669"/>
      <c r="Q199" s="669"/>
      <c r="S199" s="669">
        <f t="shared" ref="S199:S262" si="28">I199*L199</f>
        <v>265000</v>
      </c>
      <c r="T199" s="669">
        <f t="shared" ref="T199:T262" si="29">I199*K199</f>
        <v>243613.93413580628</v>
      </c>
    </row>
    <row r="200" spans="1:20" ht="16.5" customHeight="1">
      <c r="A200" s="673">
        <f t="shared" si="25"/>
        <v>195</v>
      </c>
      <c r="B200" s="286" t="s">
        <v>697</v>
      </c>
      <c r="C200" s="691">
        <v>42427</v>
      </c>
      <c r="D200" s="692" t="s">
        <v>932</v>
      </c>
      <c r="E200" s="764">
        <v>110</v>
      </c>
      <c r="F200" s="763">
        <v>156</v>
      </c>
      <c r="G200" s="763"/>
      <c r="H200" s="759">
        <f t="shared" si="27"/>
        <v>1.72</v>
      </c>
      <c r="I200" s="252">
        <v>10</v>
      </c>
      <c r="J200" s="674">
        <f t="shared" si="24"/>
        <v>17.2</v>
      </c>
      <c r="K200" s="674">
        <f t="shared" si="26"/>
        <v>14349.86187375297</v>
      </c>
      <c r="L200" s="621">
        <v>15616</v>
      </c>
      <c r="M200" s="688"/>
      <c r="O200" s="669"/>
      <c r="P200" s="669"/>
      <c r="Q200" s="669"/>
      <c r="S200" s="669">
        <f t="shared" si="28"/>
        <v>156160</v>
      </c>
      <c r="T200" s="669">
        <f t="shared" si="29"/>
        <v>143498.6187375297</v>
      </c>
    </row>
    <row r="201" spans="1:20" ht="16.5" customHeight="1">
      <c r="A201" s="673">
        <f t="shared" si="25"/>
        <v>196</v>
      </c>
      <c r="B201" s="286" t="s">
        <v>1230</v>
      </c>
      <c r="C201" s="691">
        <v>42427</v>
      </c>
      <c r="D201" s="692" t="s">
        <v>932</v>
      </c>
      <c r="E201" s="764">
        <v>95</v>
      </c>
      <c r="F201" s="763">
        <v>158</v>
      </c>
      <c r="G201" s="763"/>
      <c r="H201" s="759">
        <f t="shared" si="27"/>
        <v>1.5</v>
      </c>
      <c r="I201" s="252">
        <v>15</v>
      </c>
      <c r="J201" s="674">
        <f t="shared" si="24"/>
        <v>22.5</v>
      </c>
      <c r="K201" s="674">
        <f t="shared" si="26"/>
        <v>12514.414424784569</v>
      </c>
      <c r="L201" s="621">
        <v>13659</v>
      </c>
      <c r="M201" s="688"/>
      <c r="O201" s="669"/>
      <c r="P201" s="669"/>
      <c r="Q201" s="669"/>
      <c r="S201" s="669">
        <f t="shared" si="28"/>
        <v>204885</v>
      </c>
      <c r="T201" s="669">
        <f t="shared" si="29"/>
        <v>187716.21637176853</v>
      </c>
    </row>
    <row r="202" spans="1:20" ht="16.5" customHeight="1">
      <c r="A202" s="673">
        <f t="shared" si="25"/>
        <v>197</v>
      </c>
      <c r="B202" s="286" t="s">
        <v>1231</v>
      </c>
      <c r="C202" s="691">
        <v>42427</v>
      </c>
      <c r="D202" s="692" t="s">
        <v>932</v>
      </c>
      <c r="E202" s="764">
        <v>115</v>
      </c>
      <c r="F202" s="763">
        <v>194</v>
      </c>
      <c r="G202" s="763"/>
      <c r="H202" s="759">
        <f t="shared" si="27"/>
        <v>2.23</v>
      </c>
      <c r="I202" s="252">
        <v>10</v>
      </c>
      <c r="J202" s="674">
        <f t="shared" si="24"/>
        <v>22.3</v>
      </c>
      <c r="K202" s="674">
        <f t="shared" si="26"/>
        <v>18604.762778179724</v>
      </c>
      <c r="L202" s="621">
        <v>20302</v>
      </c>
      <c r="M202" s="688"/>
      <c r="O202" s="669"/>
      <c r="P202" s="669"/>
      <c r="Q202" s="669"/>
      <c r="S202" s="669">
        <f t="shared" si="28"/>
        <v>203020</v>
      </c>
      <c r="T202" s="669">
        <f t="shared" si="29"/>
        <v>186047.62778179723</v>
      </c>
    </row>
    <row r="203" spans="1:20" ht="16.5" customHeight="1">
      <c r="A203" s="673">
        <f t="shared" si="25"/>
        <v>198</v>
      </c>
      <c r="B203" s="286" t="s">
        <v>705</v>
      </c>
      <c r="C203" s="691">
        <v>42427</v>
      </c>
      <c r="D203" s="692" t="s">
        <v>932</v>
      </c>
      <c r="E203" s="764">
        <v>115</v>
      </c>
      <c r="F203" s="763">
        <v>196</v>
      </c>
      <c r="G203" s="763"/>
      <c r="H203" s="759">
        <f t="shared" si="27"/>
        <v>2.25</v>
      </c>
      <c r="I203" s="252">
        <v>10</v>
      </c>
      <c r="J203" s="674">
        <f t="shared" si="24"/>
        <v>22.5</v>
      </c>
      <c r="K203" s="674">
        <f t="shared" si="26"/>
        <v>18771.621637176853</v>
      </c>
      <c r="L203" s="621">
        <v>20511</v>
      </c>
      <c r="M203" s="688"/>
      <c r="O203" s="669"/>
      <c r="P203" s="669"/>
      <c r="Q203" s="669"/>
      <c r="S203" s="669">
        <f t="shared" si="28"/>
        <v>205110</v>
      </c>
      <c r="T203" s="669">
        <f t="shared" si="29"/>
        <v>187716.21637176853</v>
      </c>
    </row>
    <row r="204" spans="1:20" ht="16.5" customHeight="1">
      <c r="A204" s="673">
        <f t="shared" si="25"/>
        <v>199</v>
      </c>
      <c r="B204" s="286" t="s">
        <v>1232</v>
      </c>
      <c r="C204" s="691">
        <v>42427</v>
      </c>
      <c r="D204" s="692" t="s">
        <v>932</v>
      </c>
      <c r="E204" s="764">
        <v>80</v>
      </c>
      <c r="F204" s="763">
        <v>194</v>
      </c>
      <c r="G204" s="763"/>
      <c r="H204" s="759">
        <f t="shared" si="27"/>
        <v>1.55</v>
      </c>
      <c r="I204" s="252">
        <v>20</v>
      </c>
      <c r="J204" s="674">
        <f t="shared" si="24"/>
        <v>31</v>
      </c>
      <c r="K204" s="674">
        <f t="shared" si="26"/>
        <v>12931.561572277387</v>
      </c>
      <c r="L204" s="621">
        <v>14123</v>
      </c>
      <c r="M204" s="688"/>
      <c r="O204" s="669"/>
      <c r="P204" s="669"/>
      <c r="Q204" s="669"/>
      <c r="S204" s="669">
        <f t="shared" si="28"/>
        <v>282460</v>
      </c>
      <c r="T204" s="669">
        <f t="shared" si="29"/>
        <v>258631.23144554775</v>
      </c>
    </row>
    <row r="205" spans="1:20" ht="16.5" customHeight="1">
      <c r="A205" s="673">
        <f t="shared" si="25"/>
        <v>200</v>
      </c>
      <c r="B205" s="286" t="s">
        <v>404</v>
      </c>
      <c r="C205" s="691">
        <v>42427</v>
      </c>
      <c r="D205" s="692" t="s">
        <v>443</v>
      </c>
      <c r="E205" s="764">
        <v>46</v>
      </c>
      <c r="F205" s="763">
        <v>42</v>
      </c>
      <c r="G205" s="763">
        <v>13</v>
      </c>
      <c r="H205" s="759">
        <f t="shared" si="27"/>
        <v>1.05</v>
      </c>
      <c r="I205" s="252">
        <v>2900</v>
      </c>
      <c r="J205" s="674">
        <f t="shared" si="24"/>
        <v>3045</v>
      </c>
      <c r="K205" s="674">
        <f t="shared" si="26"/>
        <v>8760.0900973491971</v>
      </c>
      <c r="L205" s="621">
        <v>7000</v>
      </c>
      <c r="M205" s="688"/>
      <c r="O205" s="669"/>
      <c r="P205" s="669"/>
      <c r="Q205" s="669"/>
      <c r="S205" s="669">
        <f t="shared" si="28"/>
        <v>20300000</v>
      </c>
      <c r="T205" s="669">
        <f t="shared" si="29"/>
        <v>25404261.282312673</v>
      </c>
    </row>
    <row r="206" spans="1:20" ht="16.5" customHeight="1">
      <c r="A206" s="673">
        <f t="shared" si="25"/>
        <v>201</v>
      </c>
      <c r="B206" s="286" t="s">
        <v>933</v>
      </c>
      <c r="C206" s="691">
        <v>42427</v>
      </c>
      <c r="D206" s="692" t="s">
        <v>443</v>
      </c>
      <c r="E206" s="764">
        <v>48</v>
      </c>
      <c r="F206" s="763">
        <v>42</v>
      </c>
      <c r="G206" s="763">
        <v>31</v>
      </c>
      <c r="H206" s="759">
        <f t="shared" si="27"/>
        <v>1.41</v>
      </c>
      <c r="I206" s="252">
        <v>240</v>
      </c>
      <c r="J206" s="674">
        <f t="shared" si="24"/>
        <v>338.4</v>
      </c>
      <c r="K206" s="674">
        <f t="shared" si="26"/>
        <v>11763.549559297493</v>
      </c>
      <c r="L206" s="621">
        <v>14200</v>
      </c>
      <c r="M206" s="688"/>
      <c r="O206" s="669"/>
      <c r="P206" s="669"/>
      <c r="Q206" s="669"/>
      <c r="S206" s="669">
        <f t="shared" si="28"/>
        <v>3408000</v>
      </c>
      <c r="T206" s="669">
        <f t="shared" si="29"/>
        <v>2823251.8942313981</v>
      </c>
    </row>
    <row r="207" spans="1:20" ht="16.5" customHeight="1">
      <c r="A207" s="673">
        <f t="shared" si="25"/>
        <v>202</v>
      </c>
      <c r="B207" s="286" t="s">
        <v>934</v>
      </c>
      <c r="C207" s="691">
        <v>42427</v>
      </c>
      <c r="D207" s="692" t="s">
        <v>443</v>
      </c>
      <c r="E207" s="764">
        <v>53</v>
      </c>
      <c r="F207" s="763">
        <v>42</v>
      </c>
      <c r="G207" s="763">
        <v>26</v>
      </c>
      <c r="H207" s="759">
        <f t="shared" si="27"/>
        <v>1.38</v>
      </c>
      <c r="I207" s="252">
        <v>23</v>
      </c>
      <c r="J207" s="674">
        <f t="shared" si="24"/>
        <v>31.74</v>
      </c>
      <c r="K207" s="674">
        <f t="shared" si="26"/>
        <v>11513.261270801802</v>
      </c>
      <c r="L207" s="621">
        <v>9800</v>
      </c>
      <c r="M207" s="688"/>
      <c r="O207" s="669"/>
      <c r="P207" s="669"/>
      <c r="Q207" s="669"/>
      <c r="S207" s="669">
        <f t="shared" si="28"/>
        <v>225400</v>
      </c>
      <c r="T207" s="669">
        <f t="shared" si="29"/>
        <v>264805.00922844146</v>
      </c>
    </row>
    <row r="208" spans="1:20" ht="16.5" customHeight="1">
      <c r="A208" s="673">
        <f t="shared" si="25"/>
        <v>203</v>
      </c>
      <c r="B208" s="286" t="s">
        <v>480</v>
      </c>
      <c r="C208" s="691">
        <v>42427</v>
      </c>
      <c r="D208" s="692" t="s">
        <v>443</v>
      </c>
      <c r="E208" s="764">
        <v>47</v>
      </c>
      <c r="F208" s="763">
        <v>42</v>
      </c>
      <c r="G208" s="763">
        <v>24.5</v>
      </c>
      <c r="H208" s="759">
        <f t="shared" si="27"/>
        <v>1.27</v>
      </c>
      <c r="I208" s="252">
        <v>202</v>
      </c>
      <c r="J208" s="674">
        <f t="shared" si="24"/>
        <v>256.54000000000002</v>
      </c>
      <c r="K208" s="674">
        <f t="shared" si="26"/>
        <v>10595.537546317601</v>
      </c>
      <c r="L208" s="621">
        <v>9100</v>
      </c>
      <c r="M208" s="688"/>
      <c r="O208" s="669"/>
      <c r="P208" s="669"/>
      <c r="Q208" s="669"/>
      <c r="S208" s="669">
        <f t="shared" si="28"/>
        <v>1838200</v>
      </c>
      <c r="T208" s="669">
        <f t="shared" si="29"/>
        <v>2140298.5843561552</v>
      </c>
    </row>
    <row r="209" spans="1:20" ht="16.5" customHeight="1">
      <c r="A209" s="673">
        <f t="shared" si="25"/>
        <v>204</v>
      </c>
      <c r="B209" s="286" t="s">
        <v>540</v>
      </c>
      <c r="C209" s="691">
        <v>42427</v>
      </c>
      <c r="D209" s="692" t="s">
        <v>444</v>
      </c>
      <c r="E209" s="764">
        <v>52</v>
      </c>
      <c r="F209" s="763">
        <v>28</v>
      </c>
      <c r="G209" s="763">
        <v>28</v>
      </c>
      <c r="H209" s="759">
        <f t="shared" si="27"/>
        <v>0.97</v>
      </c>
      <c r="I209" s="252">
        <v>507</v>
      </c>
      <c r="J209" s="674">
        <f t="shared" si="24"/>
        <v>491.78999999999996</v>
      </c>
      <c r="K209" s="674">
        <f t="shared" si="26"/>
        <v>8092.654661360687</v>
      </c>
      <c r="L209" s="621">
        <v>6400</v>
      </c>
      <c r="M209" s="688"/>
      <c r="O209" s="669"/>
      <c r="P209" s="669"/>
      <c r="Q209" s="669"/>
      <c r="S209" s="669">
        <f t="shared" si="28"/>
        <v>3244800</v>
      </c>
      <c r="T209" s="669">
        <f t="shared" si="29"/>
        <v>4102975.9133098684</v>
      </c>
    </row>
    <row r="210" spans="1:20" ht="16.5" customHeight="1">
      <c r="A210" s="673">
        <f t="shared" si="25"/>
        <v>205</v>
      </c>
      <c r="B210" s="286" t="s">
        <v>436</v>
      </c>
      <c r="C210" s="691">
        <v>42429</v>
      </c>
      <c r="D210" s="692" t="s">
        <v>446</v>
      </c>
      <c r="E210" s="764">
        <v>37.5</v>
      </c>
      <c r="F210" s="763">
        <v>25.3</v>
      </c>
      <c r="G210" s="763">
        <v>23.9</v>
      </c>
      <c r="H210" s="759">
        <f t="shared" si="27"/>
        <v>0.68</v>
      </c>
      <c r="I210" s="252">
        <v>344</v>
      </c>
      <c r="J210" s="674">
        <f t="shared" si="24"/>
        <v>233.92000000000002</v>
      </c>
      <c r="K210" s="674">
        <f t="shared" si="26"/>
        <v>5673.2012059023382</v>
      </c>
      <c r="L210" s="621">
        <v>6100</v>
      </c>
      <c r="M210" s="688"/>
      <c r="O210" s="669"/>
      <c r="P210" s="669"/>
      <c r="Q210" s="669"/>
      <c r="S210" s="669">
        <f t="shared" si="28"/>
        <v>2098400</v>
      </c>
      <c r="T210" s="669">
        <f t="shared" si="29"/>
        <v>1951581.2148304044</v>
      </c>
    </row>
    <row r="211" spans="1:20" ht="16.5" customHeight="1">
      <c r="A211" s="673">
        <f t="shared" si="25"/>
        <v>206</v>
      </c>
      <c r="B211" s="286" t="s">
        <v>935</v>
      </c>
      <c r="C211" s="691">
        <v>42429</v>
      </c>
      <c r="D211" s="692" t="s">
        <v>447</v>
      </c>
      <c r="E211" s="764">
        <v>38</v>
      </c>
      <c r="F211" s="763">
        <v>30</v>
      </c>
      <c r="G211" s="763">
        <v>27</v>
      </c>
      <c r="H211" s="759">
        <f t="shared" si="27"/>
        <v>0.85</v>
      </c>
      <c r="I211" s="252">
        <v>204</v>
      </c>
      <c r="J211" s="674">
        <f t="shared" si="24"/>
        <v>173.4</v>
      </c>
      <c r="K211" s="674">
        <f t="shared" si="26"/>
        <v>7091.5015073779214</v>
      </c>
      <c r="L211" s="621">
        <v>10500</v>
      </c>
      <c r="M211" s="688"/>
      <c r="O211" s="669"/>
      <c r="P211" s="669"/>
      <c r="Q211" s="669"/>
      <c r="S211" s="669">
        <f t="shared" si="28"/>
        <v>2142000</v>
      </c>
      <c r="T211" s="669">
        <f t="shared" si="29"/>
        <v>1446666.3075050958</v>
      </c>
    </row>
    <row r="212" spans="1:20" ht="16.5" customHeight="1">
      <c r="A212" s="673">
        <f t="shared" si="25"/>
        <v>207</v>
      </c>
      <c r="B212" s="286" t="s">
        <v>936</v>
      </c>
      <c r="C212" s="691">
        <v>42429</v>
      </c>
      <c r="D212" s="692" t="s">
        <v>447</v>
      </c>
      <c r="E212" s="764">
        <v>36</v>
      </c>
      <c r="F212" s="763">
        <v>34</v>
      </c>
      <c r="G212" s="763">
        <v>18</v>
      </c>
      <c r="H212" s="759">
        <f t="shared" si="27"/>
        <v>0.8</v>
      </c>
      <c r="I212" s="252">
        <v>310</v>
      </c>
      <c r="J212" s="674">
        <f t="shared" si="24"/>
        <v>248</v>
      </c>
      <c r="K212" s="674">
        <f t="shared" si="26"/>
        <v>6674.3543598851029</v>
      </c>
      <c r="L212" s="621">
        <v>9700</v>
      </c>
      <c r="M212" s="688"/>
      <c r="O212" s="669"/>
      <c r="P212" s="669"/>
      <c r="Q212" s="669"/>
      <c r="S212" s="669">
        <f t="shared" si="28"/>
        <v>3007000</v>
      </c>
      <c r="T212" s="669">
        <f t="shared" si="29"/>
        <v>2069049.851564382</v>
      </c>
    </row>
    <row r="213" spans="1:20" ht="16.5" customHeight="1">
      <c r="A213" s="673">
        <f t="shared" si="25"/>
        <v>208</v>
      </c>
      <c r="B213" s="286" t="s">
        <v>1437</v>
      </c>
      <c r="C213" s="691">
        <v>42429</v>
      </c>
      <c r="D213" s="692" t="s">
        <v>937</v>
      </c>
      <c r="E213" s="764">
        <v>29</v>
      </c>
      <c r="F213" s="763">
        <v>18</v>
      </c>
      <c r="G213" s="763">
        <v>18.8</v>
      </c>
      <c r="H213" s="759">
        <f t="shared" si="27"/>
        <v>0.39</v>
      </c>
      <c r="I213" s="252">
        <v>2000</v>
      </c>
      <c r="J213" s="674">
        <f t="shared" si="24"/>
        <v>780</v>
      </c>
      <c r="K213" s="674">
        <f t="shared" si="26"/>
        <v>3253.7477504439876</v>
      </c>
      <c r="L213" s="621">
        <v>5200</v>
      </c>
      <c r="M213" s="688"/>
      <c r="O213" s="669"/>
      <c r="P213" s="669"/>
      <c r="Q213" s="669"/>
      <c r="S213" s="669">
        <f t="shared" si="28"/>
        <v>10400000</v>
      </c>
      <c r="T213" s="669">
        <f t="shared" si="29"/>
        <v>6507495.5008879751</v>
      </c>
    </row>
    <row r="214" spans="1:20" ht="16.5" customHeight="1">
      <c r="A214" s="673">
        <f t="shared" si="25"/>
        <v>209</v>
      </c>
      <c r="B214" s="286" t="s">
        <v>938</v>
      </c>
      <c r="C214" s="691">
        <v>42430</v>
      </c>
      <c r="D214" s="692" t="s">
        <v>449</v>
      </c>
      <c r="E214" s="764">
        <v>53.5</v>
      </c>
      <c r="F214" s="763">
        <v>47</v>
      </c>
      <c r="G214" s="763">
        <v>17.5</v>
      </c>
      <c r="H214" s="759">
        <f t="shared" si="27"/>
        <v>1.39</v>
      </c>
      <c r="I214" s="252">
        <v>1600</v>
      </c>
      <c r="J214" s="674">
        <f t="shared" si="24"/>
        <v>2224</v>
      </c>
      <c r="K214" s="674">
        <f t="shared" si="26"/>
        <v>11596.690700300365</v>
      </c>
      <c r="L214" s="621">
        <v>14000</v>
      </c>
      <c r="M214" s="688"/>
      <c r="O214" s="669"/>
      <c r="P214" s="669"/>
      <c r="Q214" s="669"/>
      <c r="S214" s="669">
        <f t="shared" si="28"/>
        <v>22400000</v>
      </c>
      <c r="T214" s="669">
        <f t="shared" si="29"/>
        <v>18554705.120480586</v>
      </c>
    </row>
    <row r="215" spans="1:20" ht="16.5" customHeight="1">
      <c r="A215" s="673">
        <f t="shared" si="25"/>
        <v>210</v>
      </c>
      <c r="B215" s="286" t="s">
        <v>902</v>
      </c>
      <c r="C215" s="691">
        <v>42430</v>
      </c>
      <c r="D215" s="692" t="s">
        <v>449</v>
      </c>
      <c r="E215" s="764">
        <v>38</v>
      </c>
      <c r="F215" s="763">
        <v>38</v>
      </c>
      <c r="G215" s="763">
        <v>27</v>
      </c>
      <c r="H215" s="759">
        <f t="shared" si="27"/>
        <v>1.07</v>
      </c>
      <c r="I215" s="252">
        <v>55</v>
      </c>
      <c r="J215" s="674">
        <f t="shared" si="24"/>
        <v>58.85</v>
      </c>
      <c r="K215" s="674">
        <f t="shared" si="26"/>
        <v>8926.9489563463248</v>
      </c>
      <c r="L215" s="621">
        <v>7700</v>
      </c>
      <c r="M215" s="688"/>
      <c r="O215" s="669"/>
      <c r="P215" s="669"/>
      <c r="Q215" s="669"/>
      <c r="S215" s="669">
        <f t="shared" si="28"/>
        <v>423500</v>
      </c>
      <c r="T215" s="669">
        <f t="shared" si="29"/>
        <v>490982.19259904785</v>
      </c>
    </row>
    <row r="216" spans="1:20" ht="16.5" customHeight="1">
      <c r="A216" s="673">
        <f t="shared" si="25"/>
        <v>211</v>
      </c>
      <c r="B216" s="286" t="s">
        <v>939</v>
      </c>
      <c r="C216" s="691">
        <v>42430</v>
      </c>
      <c r="D216" s="692" t="s">
        <v>449</v>
      </c>
      <c r="E216" s="764">
        <v>43</v>
      </c>
      <c r="F216" s="763">
        <v>31</v>
      </c>
      <c r="G216" s="763">
        <v>28</v>
      </c>
      <c r="H216" s="759">
        <f t="shared" si="27"/>
        <v>0.95</v>
      </c>
      <c r="I216" s="252">
        <v>55</v>
      </c>
      <c r="J216" s="674">
        <f t="shared" si="24"/>
        <v>52.25</v>
      </c>
      <c r="K216" s="674">
        <f t="shared" si="26"/>
        <v>7925.7958023635592</v>
      </c>
      <c r="L216" s="621">
        <v>6900</v>
      </c>
      <c r="M216" s="688"/>
      <c r="O216" s="669"/>
      <c r="P216" s="669"/>
      <c r="Q216" s="669"/>
      <c r="S216" s="669">
        <f t="shared" si="28"/>
        <v>379500</v>
      </c>
      <c r="T216" s="669">
        <f t="shared" si="29"/>
        <v>435918.76912999578</v>
      </c>
    </row>
    <row r="217" spans="1:20" ht="16.5" customHeight="1">
      <c r="A217" s="673">
        <f t="shared" si="25"/>
        <v>212</v>
      </c>
      <c r="B217" s="286" t="s">
        <v>940</v>
      </c>
      <c r="C217" s="691">
        <v>42430</v>
      </c>
      <c r="D217" s="692" t="s">
        <v>449</v>
      </c>
      <c r="E217" s="764">
        <v>47</v>
      </c>
      <c r="F217" s="763">
        <v>42</v>
      </c>
      <c r="G217" s="763">
        <v>13</v>
      </c>
      <c r="H217" s="759">
        <f t="shared" si="27"/>
        <v>1.06</v>
      </c>
      <c r="I217" s="252">
        <v>1993</v>
      </c>
      <c r="J217" s="674">
        <f t="shared" si="24"/>
        <v>2112.58</v>
      </c>
      <c r="K217" s="674">
        <f t="shared" si="26"/>
        <v>8843.5195268477619</v>
      </c>
      <c r="L217" s="621">
        <v>7520</v>
      </c>
      <c r="M217" s="688"/>
      <c r="O217" s="669"/>
      <c r="P217" s="669"/>
      <c r="Q217" s="669"/>
      <c r="S217" s="669">
        <f t="shared" si="28"/>
        <v>14987360</v>
      </c>
      <c r="T217" s="669">
        <f t="shared" si="29"/>
        <v>17625134.417007588</v>
      </c>
    </row>
    <row r="218" spans="1:20" ht="16.5" customHeight="1">
      <c r="A218" s="673">
        <f t="shared" si="25"/>
        <v>213</v>
      </c>
      <c r="B218" s="286" t="s">
        <v>436</v>
      </c>
      <c r="C218" s="691">
        <v>42430</v>
      </c>
      <c r="D218" s="692" t="s">
        <v>450</v>
      </c>
      <c r="E218" s="764">
        <v>37.5</v>
      </c>
      <c r="F218" s="763">
        <v>25.3</v>
      </c>
      <c r="G218" s="763">
        <v>23.9</v>
      </c>
      <c r="H218" s="759">
        <f t="shared" si="27"/>
        <v>0.68</v>
      </c>
      <c r="I218" s="252">
        <v>273</v>
      </c>
      <c r="J218" s="674">
        <f t="shared" si="24"/>
        <v>185.64000000000001</v>
      </c>
      <c r="K218" s="674">
        <f t="shared" si="26"/>
        <v>5673.2012059023382</v>
      </c>
      <c r="L218" s="621">
        <v>5900</v>
      </c>
      <c r="M218" s="688"/>
      <c r="O218" s="669"/>
      <c r="P218" s="669"/>
      <c r="Q218" s="669"/>
      <c r="S218" s="669">
        <f t="shared" si="28"/>
        <v>1610700</v>
      </c>
      <c r="T218" s="669">
        <f t="shared" si="29"/>
        <v>1548783.9292113383</v>
      </c>
    </row>
    <row r="219" spans="1:20" ht="16.5" customHeight="1">
      <c r="A219" s="673">
        <f t="shared" si="25"/>
        <v>214</v>
      </c>
      <c r="B219" s="286" t="s">
        <v>941</v>
      </c>
      <c r="C219" s="691">
        <v>42430</v>
      </c>
      <c r="D219" s="692" t="s">
        <v>451</v>
      </c>
      <c r="E219" s="764">
        <v>50.5</v>
      </c>
      <c r="F219" s="763">
        <v>31.5</v>
      </c>
      <c r="G219" s="763">
        <v>19</v>
      </c>
      <c r="H219" s="759">
        <f t="shared" si="27"/>
        <v>0.9</v>
      </c>
      <c r="I219" s="252">
        <v>78</v>
      </c>
      <c r="J219" s="674">
        <f t="shared" si="24"/>
        <v>70.2</v>
      </c>
      <c r="K219" s="674">
        <f t="shared" si="26"/>
        <v>7508.6486548707408</v>
      </c>
      <c r="L219" s="621">
        <v>7200</v>
      </c>
      <c r="M219" s="688"/>
      <c r="O219" s="669"/>
      <c r="P219" s="669"/>
      <c r="Q219" s="669"/>
      <c r="S219" s="669">
        <f t="shared" si="28"/>
        <v>561600</v>
      </c>
      <c r="T219" s="669">
        <f t="shared" si="29"/>
        <v>585674.59507991781</v>
      </c>
    </row>
    <row r="220" spans="1:20" ht="16.5" customHeight="1">
      <c r="A220" s="673">
        <f t="shared" si="25"/>
        <v>215</v>
      </c>
      <c r="B220" s="286" t="s">
        <v>942</v>
      </c>
      <c r="C220" s="691">
        <v>42430</v>
      </c>
      <c r="D220" s="692" t="s">
        <v>451</v>
      </c>
      <c r="E220" s="764">
        <v>62</v>
      </c>
      <c r="F220" s="763">
        <v>36</v>
      </c>
      <c r="G220" s="763">
        <v>24</v>
      </c>
      <c r="H220" s="759">
        <f t="shared" si="27"/>
        <v>1.27</v>
      </c>
      <c r="I220" s="252">
        <v>85</v>
      </c>
      <c r="J220" s="674">
        <f t="shared" si="24"/>
        <v>107.95</v>
      </c>
      <c r="K220" s="674">
        <f t="shared" si="26"/>
        <v>10595.537546317601</v>
      </c>
      <c r="L220" s="621">
        <v>9600</v>
      </c>
      <c r="M220" s="688"/>
      <c r="O220" s="669"/>
      <c r="P220" s="669"/>
      <c r="Q220" s="669"/>
      <c r="S220" s="669">
        <f t="shared" si="28"/>
        <v>816000</v>
      </c>
      <c r="T220" s="669">
        <f t="shared" si="29"/>
        <v>900620.6914369961</v>
      </c>
    </row>
    <row r="221" spans="1:20" ht="16.5" customHeight="1">
      <c r="A221" s="673">
        <f t="shared" ref="A221:A252" si="30">IF(B219&lt;&gt;"",A220+1,"")</f>
        <v>216</v>
      </c>
      <c r="B221" s="286" t="s">
        <v>943</v>
      </c>
      <c r="C221" s="691">
        <v>42430</v>
      </c>
      <c r="D221" s="692" t="s">
        <v>451</v>
      </c>
      <c r="E221" s="764">
        <v>65.5</v>
      </c>
      <c r="F221" s="763">
        <v>46.5</v>
      </c>
      <c r="G221" s="763">
        <v>31</v>
      </c>
      <c r="H221" s="759">
        <f t="shared" si="27"/>
        <v>1.84</v>
      </c>
      <c r="I221" s="252">
        <v>76</v>
      </c>
      <c r="J221" s="674">
        <f t="shared" si="24"/>
        <v>139.84</v>
      </c>
      <c r="K221" s="674">
        <f t="shared" si="26"/>
        <v>15351.015027735737</v>
      </c>
      <c r="L221" s="621">
        <v>13400</v>
      </c>
      <c r="M221" s="688"/>
      <c r="O221" s="669"/>
      <c r="P221" s="669"/>
      <c r="Q221" s="669"/>
      <c r="S221" s="669">
        <f t="shared" si="28"/>
        <v>1018400</v>
      </c>
      <c r="T221" s="669">
        <f t="shared" si="29"/>
        <v>1166677.1421079161</v>
      </c>
    </row>
    <row r="222" spans="1:20" ht="16.5" customHeight="1">
      <c r="A222" s="673">
        <f t="shared" si="30"/>
        <v>217</v>
      </c>
      <c r="B222" s="286" t="s">
        <v>944</v>
      </c>
      <c r="C222" s="691">
        <v>42430</v>
      </c>
      <c r="D222" s="692" t="s">
        <v>451</v>
      </c>
      <c r="E222" s="764">
        <v>95.5</v>
      </c>
      <c r="F222" s="763">
        <v>53.5</v>
      </c>
      <c r="G222" s="763">
        <v>34</v>
      </c>
      <c r="H222" s="759">
        <f t="shared" si="27"/>
        <v>2.74</v>
      </c>
      <c r="I222" s="252">
        <v>91</v>
      </c>
      <c r="J222" s="674">
        <f t="shared" si="24"/>
        <v>249.34000000000003</v>
      </c>
      <c r="K222" s="674">
        <f t="shared" si="26"/>
        <v>22859.663682606479</v>
      </c>
      <c r="L222" s="621">
        <v>19400</v>
      </c>
      <c r="M222" s="688"/>
      <c r="O222" s="669"/>
      <c r="P222" s="669"/>
      <c r="Q222" s="669"/>
      <c r="S222" s="669">
        <f t="shared" si="28"/>
        <v>1765400</v>
      </c>
      <c r="T222" s="669">
        <f t="shared" si="29"/>
        <v>2080229.3951171895</v>
      </c>
    </row>
    <row r="223" spans="1:20" ht="16.5" customHeight="1">
      <c r="A223" s="673">
        <f t="shared" si="30"/>
        <v>218</v>
      </c>
      <c r="B223" s="286" t="s">
        <v>945</v>
      </c>
      <c r="C223" s="691">
        <v>42430</v>
      </c>
      <c r="D223" s="692" t="s">
        <v>451</v>
      </c>
      <c r="E223" s="764">
        <v>47.5</v>
      </c>
      <c r="F223" s="763">
        <v>18.5</v>
      </c>
      <c r="G223" s="763">
        <v>14</v>
      </c>
      <c r="H223" s="759">
        <f t="shared" si="27"/>
        <v>0.49</v>
      </c>
      <c r="I223" s="252">
        <v>473</v>
      </c>
      <c r="J223" s="674">
        <f t="shared" si="24"/>
        <v>231.76999999999998</v>
      </c>
      <c r="K223" s="674">
        <f t="shared" si="26"/>
        <v>4088.0420454296254</v>
      </c>
      <c r="L223" s="621">
        <v>4400</v>
      </c>
      <c r="M223" s="688"/>
      <c r="O223" s="669"/>
      <c r="P223" s="669"/>
      <c r="Q223" s="669"/>
      <c r="S223" s="669">
        <f t="shared" si="28"/>
        <v>2081200</v>
      </c>
      <c r="T223" s="669">
        <f t="shared" si="29"/>
        <v>1933643.8874882129</v>
      </c>
    </row>
    <row r="224" spans="1:20" ht="16.5" customHeight="1">
      <c r="A224" s="673">
        <f t="shared" si="30"/>
        <v>219</v>
      </c>
      <c r="B224" s="286" t="s">
        <v>946</v>
      </c>
      <c r="C224" s="691">
        <v>42430</v>
      </c>
      <c r="D224" s="692" t="s">
        <v>451</v>
      </c>
      <c r="E224" s="764">
        <v>65</v>
      </c>
      <c r="F224" s="763">
        <v>24.5</v>
      </c>
      <c r="G224" s="763">
        <v>14</v>
      </c>
      <c r="H224" s="759">
        <f t="shared" si="27"/>
        <v>0.76</v>
      </c>
      <c r="I224" s="252">
        <v>470</v>
      </c>
      <c r="J224" s="674">
        <f t="shared" si="24"/>
        <v>357.2</v>
      </c>
      <c r="K224" s="674">
        <f t="shared" si="26"/>
        <v>6340.6366418908474</v>
      </c>
      <c r="L224" s="621">
        <v>6200</v>
      </c>
      <c r="M224" s="688"/>
      <c r="O224" s="669"/>
      <c r="P224" s="669"/>
      <c r="Q224" s="669"/>
      <c r="S224" s="669">
        <f t="shared" si="28"/>
        <v>2914000</v>
      </c>
      <c r="T224" s="669">
        <f t="shared" si="29"/>
        <v>2980099.221688698</v>
      </c>
    </row>
    <row r="225" spans="1:20" ht="16.5" customHeight="1">
      <c r="A225" s="673">
        <f t="shared" si="30"/>
        <v>220</v>
      </c>
      <c r="B225" s="286" t="s">
        <v>947</v>
      </c>
      <c r="C225" s="691">
        <v>42430</v>
      </c>
      <c r="D225" s="692" t="s">
        <v>451</v>
      </c>
      <c r="E225" s="764">
        <v>78</v>
      </c>
      <c r="F225" s="763">
        <v>40</v>
      </c>
      <c r="G225" s="763">
        <v>14</v>
      </c>
      <c r="H225" s="759">
        <f t="shared" si="27"/>
        <v>1.37</v>
      </c>
      <c r="I225" s="252">
        <v>475</v>
      </c>
      <c r="J225" s="674">
        <f t="shared" si="24"/>
        <v>650.75</v>
      </c>
      <c r="K225" s="674">
        <f t="shared" si="26"/>
        <v>11429.831841303239</v>
      </c>
      <c r="L225" s="621">
        <v>10200</v>
      </c>
      <c r="M225" s="688"/>
      <c r="O225" s="669"/>
      <c r="P225" s="669"/>
      <c r="Q225" s="669"/>
      <c r="S225" s="669">
        <f t="shared" si="28"/>
        <v>4845000</v>
      </c>
      <c r="T225" s="669">
        <f t="shared" si="29"/>
        <v>5429170.1246190388</v>
      </c>
    </row>
    <row r="226" spans="1:20" ht="16.5" customHeight="1">
      <c r="A226" s="673">
        <f t="shared" si="30"/>
        <v>221</v>
      </c>
      <c r="B226" s="286" t="s">
        <v>940</v>
      </c>
      <c r="C226" s="691">
        <v>42434</v>
      </c>
      <c r="D226" s="692" t="s">
        <v>452</v>
      </c>
      <c r="E226" s="764">
        <v>47</v>
      </c>
      <c r="F226" s="763">
        <v>42</v>
      </c>
      <c r="G226" s="763">
        <v>13</v>
      </c>
      <c r="H226" s="759">
        <f t="shared" si="27"/>
        <v>1.06</v>
      </c>
      <c r="I226" s="252">
        <v>3383</v>
      </c>
      <c r="J226" s="674">
        <f t="shared" si="24"/>
        <v>3585.98</v>
      </c>
      <c r="K226" s="674">
        <f t="shared" si="26"/>
        <v>8843.5195268477619</v>
      </c>
      <c r="L226" s="621">
        <v>7520</v>
      </c>
      <c r="M226" s="688"/>
      <c r="O226" s="669"/>
      <c r="P226" s="669"/>
      <c r="Q226" s="669"/>
      <c r="S226" s="669">
        <f t="shared" si="28"/>
        <v>25440160</v>
      </c>
      <c r="T226" s="669">
        <f t="shared" si="29"/>
        <v>29917626.559325978</v>
      </c>
    </row>
    <row r="227" spans="1:20" ht="16.5" customHeight="1">
      <c r="A227" s="673">
        <f t="shared" si="30"/>
        <v>222</v>
      </c>
      <c r="B227" s="286" t="s">
        <v>1443</v>
      </c>
      <c r="C227" s="691">
        <v>42434</v>
      </c>
      <c r="D227" s="692" t="s">
        <v>453</v>
      </c>
      <c r="E227" s="764">
        <v>49</v>
      </c>
      <c r="F227" s="763">
        <v>38</v>
      </c>
      <c r="G227" s="763">
        <v>12</v>
      </c>
      <c r="H227" s="759">
        <f t="shared" si="27"/>
        <v>0.95</v>
      </c>
      <c r="I227" s="252">
        <v>527</v>
      </c>
      <c r="J227" s="674">
        <f t="shared" si="24"/>
        <v>500.65</v>
      </c>
      <c r="K227" s="674">
        <f t="shared" si="26"/>
        <v>7925.7958023635592</v>
      </c>
      <c r="L227" s="621">
        <v>10500</v>
      </c>
      <c r="M227" s="688"/>
      <c r="O227" s="669"/>
      <c r="P227" s="669"/>
      <c r="Q227" s="669"/>
      <c r="S227" s="669">
        <f t="shared" si="28"/>
        <v>5533500</v>
      </c>
      <c r="T227" s="669">
        <f t="shared" si="29"/>
        <v>4176894.3878455958</v>
      </c>
    </row>
    <row r="228" spans="1:20" ht="16.5" customHeight="1">
      <c r="A228" s="673">
        <f t="shared" si="30"/>
        <v>223</v>
      </c>
      <c r="B228" s="286" t="s">
        <v>1439</v>
      </c>
      <c r="C228" s="691">
        <v>42436</v>
      </c>
      <c r="D228" s="692" t="s">
        <v>455</v>
      </c>
      <c r="E228" s="764">
        <v>39.5</v>
      </c>
      <c r="F228" s="763">
        <v>28</v>
      </c>
      <c r="G228" s="763">
        <v>28</v>
      </c>
      <c r="H228" s="759">
        <f t="shared" si="27"/>
        <v>0.83</v>
      </c>
      <c r="I228" s="252">
        <v>500</v>
      </c>
      <c r="J228" s="674">
        <f t="shared" si="24"/>
        <v>415</v>
      </c>
      <c r="K228" s="674">
        <f t="shared" si="26"/>
        <v>6924.6426483807936</v>
      </c>
      <c r="L228" s="621">
        <v>17000</v>
      </c>
      <c r="M228" s="688"/>
      <c r="O228" s="669"/>
      <c r="P228" s="669"/>
      <c r="Q228" s="669"/>
      <c r="S228" s="669">
        <f t="shared" si="28"/>
        <v>8500000</v>
      </c>
      <c r="T228" s="669">
        <f t="shared" si="29"/>
        <v>3462321.3241903968</v>
      </c>
    </row>
    <row r="229" spans="1:20" ht="16.5" customHeight="1">
      <c r="A229" s="673">
        <f t="shared" si="30"/>
        <v>224</v>
      </c>
      <c r="B229" s="286" t="s">
        <v>1440</v>
      </c>
      <c r="C229" s="691">
        <v>42436</v>
      </c>
      <c r="D229" s="692" t="s">
        <v>453</v>
      </c>
      <c r="E229" s="764">
        <v>39.5</v>
      </c>
      <c r="F229" s="763">
        <v>28</v>
      </c>
      <c r="G229" s="763">
        <v>28</v>
      </c>
      <c r="H229" s="759">
        <f t="shared" si="27"/>
        <v>0.83</v>
      </c>
      <c r="I229" s="252">
        <v>500</v>
      </c>
      <c r="J229" s="674">
        <f t="shared" si="24"/>
        <v>415</v>
      </c>
      <c r="K229" s="674">
        <f t="shared" si="26"/>
        <v>6924.6426483807936</v>
      </c>
      <c r="L229" s="621">
        <v>17800</v>
      </c>
      <c r="M229" s="688"/>
      <c r="O229" s="669"/>
      <c r="P229" s="669"/>
      <c r="Q229" s="669"/>
      <c r="S229" s="669">
        <f t="shared" si="28"/>
        <v>8900000</v>
      </c>
      <c r="T229" s="669">
        <f t="shared" si="29"/>
        <v>3462321.3241903968</v>
      </c>
    </row>
    <row r="230" spans="1:20" ht="16.5" customHeight="1">
      <c r="A230" s="673">
        <f t="shared" si="30"/>
        <v>225</v>
      </c>
      <c r="B230" s="286" t="s">
        <v>640</v>
      </c>
      <c r="C230" s="691">
        <v>42437</v>
      </c>
      <c r="D230" s="692" t="s">
        <v>457</v>
      </c>
      <c r="E230" s="764">
        <v>57</v>
      </c>
      <c r="F230" s="763">
        <v>46</v>
      </c>
      <c r="G230" s="763">
        <v>30</v>
      </c>
      <c r="H230" s="759">
        <f t="shared" si="27"/>
        <v>1.67</v>
      </c>
      <c r="I230" s="252">
        <v>511</v>
      </c>
      <c r="J230" s="674">
        <f t="shared" si="24"/>
        <v>853.37</v>
      </c>
      <c r="K230" s="674">
        <f t="shared" si="26"/>
        <v>13932.714726260152</v>
      </c>
      <c r="L230" s="621">
        <v>11700</v>
      </c>
      <c r="M230" s="688"/>
      <c r="O230" s="669"/>
      <c r="P230" s="669"/>
      <c r="Q230" s="669"/>
      <c r="S230" s="669">
        <f t="shared" si="28"/>
        <v>5978700</v>
      </c>
      <c r="T230" s="669">
        <f t="shared" si="29"/>
        <v>7119617.2251189379</v>
      </c>
    </row>
    <row r="231" spans="1:20" ht="16.5" customHeight="1">
      <c r="A231" s="673">
        <f t="shared" si="30"/>
        <v>226</v>
      </c>
      <c r="B231" s="286" t="s">
        <v>863</v>
      </c>
      <c r="C231" s="691">
        <v>42437</v>
      </c>
      <c r="D231" s="692" t="s">
        <v>458</v>
      </c>
      <c r="E231" s="764">
        <v>37.5</v>
      </c>
      <c r="F231" s="763">
        <v>30.5</v>
      </c>
      <c r="G231" s="763">
        <v>29.5</v>
      </c>
      <c r="H231" s="759">
        <f t="shared" si="27"/>
        <v>0.89</v>
      </c>
      <c r="I231" s="252">
        <v>500</v>
      </c>
      <c r="J231" s="674">
        <f t="shared" si="24"/>
        <v>445</v>
      </c>
      <c r="K231" s="674">
        <f t="shared" si="26"/>
        <v>7425.2192253721769</v>
      </c>
      <c r="L231" s="621">
        <v>11000</v>
      </c>
      <c r="M231" s="688"/>
      <c r="O231" s="669"/>
      <c r="P231" s="669"/>
      <c r="Q231" s="669"/>
      <c r="S231" s="669">
        <f t="shared" si="28"/>
        <v>5500000</v>
      </c>
      <c r="T231" s="669">
        <f t="shared" si="29"/>
        <v>3712609.6126860883</v>
      </c>
    </row>
    <row r="232" spans="1:20" ht="16.5" customHeight="1">
      <c r="A232" s="673">
        <f t="shared" si="30"/>
        <v>227</v>
      </c>
      <c r="B232" s="286" t="s">
        <v>948</v>
      </c>
      <c r="C232" s="691">
        <v>42439</v>
      </c>
      <c r="D232" s="692" t="s">
        <v>459</v>
      </c>
      <c r="E232" s="764">
        <v>51.5</v>
      </c>
      <c r="F232" s="763">
        <v>28.5</v>
      </c>
      <c r="G232" s="763">
        <v>10.8</v>
      </c>
      <c r="H232" s="759">
        <f t="shared" si="27"/>
        <v>0.7</v>
      </c>
      <c r="I232" s="252">
        <v>214</v>
      </c>
      <c r="J232" s="674">
        <f t="shared" si="24"/>
        <v>149.79999999999998</v>
      </c>
      <c r="K232" s="674">
        <f t="shared" si="26"/>
        <v>5840.060064899465</v>
      </c>
      <c r="L232" s="621">
        <v>8600</v>
      </c>
      <c r="M232" s="688"/>
      <c r="O232" s="669"/>
      <c r="P232" s="669"/>
      <c r="Q232" s="669"/>
      <c r="S232" s="669">
        <f t="shared" si="28"/>
        <v>1840400</v>
      </c>
      <c r="T232" s="669">
        <f t="shared" si="29"/>
        <v>1249772.8538884856</v>
      </c>
    </row>
    <row r="233" spans="1:20" ht="16.5" customHeight="1">
      <c r="A233" s="673">
        <f t="shared" si="30"/>
        <v>228</v>
      </c>
      <c r="B233" s="286" t="s">
        <v>410</v>
      </c>
      <c r="C233" s="691">
        <v>42439</v>
      </c>
      <c r="D233" s="692" t="s">
        <v>459</v>
      </c>
      <c r="E233" s="764">
        <v>51.5</v>
      </c>
      <c r="F233" s="763">
        <v>28.5</v>
      </c>
      <c r="G233" s="763">
        <v>7.2</v>
      </c>
      <c r="H233" s="759">
        <f t="shared" si="27"/>
        <v>0.64</v>
      </c>
      <c r="I233" s="252">
        <v>390</v>
      </c>
      <c r="J233" s="674">
        <f t="shared" si="24"/>
        <v>249.6</v>
      </c>
      <c r="K233" s="674">
        <f t="shared" si="26"/>
        <v>5339.4834879080827</v>
      </c>
      <c r="L233" s="621">
        <v>7700</v>
      </c>
      <c r="M233" s="688"/>
      <c r="O233" s="669"/>
      <c r="P233" s="669"/>
      <c r="Q233" s="669"/>
      <c r="S233" s="669">
        <f t="shared" si="28"/>
        <v>3003000</v>
      </c>
      <c r="T233" s="669">
        <f t="shared" si="29"/>
        <v>2082398.5602841522</v>
      </c>
    </row>
    <row r="234" spans="1:20" ht="16.5" customHeight="1">
      <c r="A234" s="673">
        <f t="shared" si="30"/>
        <v>229</v>
      </c>
      <c r="B234" s="286" t="s">
        <v>949</v>
      </c>
      <c r="C234" s="691">
        <v>42440</v>
      </c>
      <c r="D234" s="692" t="s">
        <v>460</v>
      </c>
      <c r="E234" s="764">
        <v>35</v>
      </c>
      <c r="F234" s="763">
        <v>22</v>
      </c>
      <c r="G234" s="763">
        <v>10.5</v>
      </c>
      <c r="H234" s="759">
        <f t="shared" si="27"/>
        <v>0.42</v>
      </c>
      <c r="I234" s="252">
        <v>744</v>
      </c>
      <c r="J234" s="674">
        <f t="shared" si="24"/>
        <v>312.47999999999996</v>
      </c>
      <c r="K234" s="674">
        <f t="shared" si="26"/>
        <v>3504.0360389396787</v>
      </c>
      <c r="L234" s="621">
        <v>4100</v>
      </c>
      <c r="M234" s="688"/>
      <c r="O234" s="669"/>
      <c r="P234" s="669"/>
      <c r="Q234" s="669"/>
      <c r="S234" s="669">
        <f t="shared" si="28"/>
        <v>3050400</v>
      </c>
      <c r="T234" s="669">
        <f t="shared" si="29"/>
        <v>2607002.8129711212</v>
      </c>
    </row>
    <row r="235" spans="1:20" ht="16.5" customHeight="1">
      <c r="A235" s="673">
        <f t="shared" si="30"/>
        <v>230</v>
      </c>
      <c r="B235" s="286" t="s">
        <v>1201</v>
      </c>
      <c r="C235" s="691">
        <v>42440</v>
      </c>
      <c r="D235" s="692" t="s">
        <v>461</v>
      </c>
      <c r="E235" s="764">
        <v>30</v>
      </c>
      <c r="F235" s="763">
        <v>37</v>
      </c>
      <c r="G235" s="763"/>
      <c r="H235" s="759">
        <f t="shared" si="27"/>
        <v>0.11</v>
      </c>
      <c r="I235" s="252">
        <v>210</v>
      </c>
      <c r="J235" s="674">
        <f t="shared" si="24"/>
        <v>23.1</v>
      </c>
      <c r="K235" s="674">
        <f t="shared" si="26"/>
        <v>917.72372448420163</v>
      </c>
      <c r="L235" s="621">
        <v>5900</v>
      </c>
      <c r="M235" s="688"/>
      <c r="O235" s="669"/>
      <c r="P235" s="669"/>
      <c r="Q235" s="669"/>
      <c r="S235" s="669">
        <f t="shared" si="28"/>
        <v>1239000</v>
      </c>
      <c r="T235" s="669">
        <f t="shared" si="29"/>
        <v>192721.98214168235</v>
      </c>
    </row>
    <row r="236" spans="1:20" ht="16.5" customHeight="1">
      <c r="A236" s="673">
        <f t="shared" si="30"/>
        <v>231</v>
      </c>
      <c r="B236" s="286" t="s">
        <v>658</v>
      </c>
      <c r="C236" s="691">
        <v>42441</v>
      </c>
      <c r="D236" s="692" t="s">
        <v>462</v>
      </c>
      <c r="E236" s="764">
        <v>43</v>
      </c>
      <c r="F236" s="763">
        <v>29</v>
      </c>
      <c r="G236" s="763">
        <v>20</v>
      </c>
      <c r="H236" s="759">
        <f t="shared" si="27"/>
        <v>0.77</v>
      </c>
      <c r="I236" s="252">
        <v>843</v>
      </c>
      <c r="J236" s="674">
        <f t="shared" si="24"/>
        <v>649.11</v>
      </c>
      <c r="K236" s="674">
        <f t="shared" si="26"/>
        <v>6424.0660713894113</v>
      </c>
      <c r="L236" s="621">
        <v>6450</v>
      </c>
      <c r="M236" s="688"/>
      <c r="O236" s="669"/>
      <c r="P236" s="669"/>
      <c r="Q236" s="669"/>
      <c r="S236" s="669">
        <f t="shared" si="28"/>
        <v>5437350</v>
      </c>
      <c r="T236" s="669">
        <f t="shared" si="29"/>
        <v>5415487.6981812734</v>
      </c>
    </row>
    <row r="237" spans="1:20" ht="16.5" customHeight="1">
      <c r="A237" s="673">
        <f t="shared" si="30"/>
        <v>232</v>
      </c>
      <c r="B237" s="286" t="s">
        <v>659</v>
      </c>
      <c r="C237" s="691">
        <v>42441</v>
      </c>
      <c r="D237" s="692" t="s">
        <v>462</v>
      </c>
      <c r="E237" s="764">
        <v>57</v>
      </c>
      <c r="F237" s="763">
        <v>38</v>
      </c>
      <c r="G237" s="763">
        <v>33</v>
      </c>
      <c r="H237" s="759">
        <f t="shared" si="27"/>
        <v>1.44</v>
      </c>
      <c r="I237" s="252">
        <v>204</v>
      </c>
      <c r="J237" s="674">
        <f t="shared" si="24"/>
        <v>293.76</v>
      </c>
      <c r="K237" s="674">
        <f t="shared" si="26"/>
        <v>12013.837847793186</v>
      </c>
      <c r="L237" s="621">
        <v>10920</v>
      </c>
      <c r="M237" s="688"/>
      <c r="O237" s="669"/>
      <c r="P237" s="669"/>
      <c r="Q237" s="669"/>
      <c r="S237" s="669">
        <f t="shared" si="28"/>
        <v>2227680</v>
      </c>
      <c r="T237" s="669">
        <f t="shared" si="29"/>
        <v>2450822.9209498097</v>
      </c>
    </row>
    <row r="238" spans="1:20" ht="16.5" customHeight="1">
      <c r="A238" s="673">
        <f t="shared" si="30"/>
        <v>233</v>
      </c>
      <c r="B238" s="286" t="s">
        <v>414</v>
      </c>
      <c r="C238" s="691">
        <v>42441</v>
      </c>
      <c r="D238" s="692" t="s">
        <v>463</v>
      </c>
      <c r="E238" s="764">
        <v>52</v>
      </c>
      <c r="F238" s="763">
        <v>26.5</v>
      </c>
      <c r="G238" s="763">
        <v>26.5</v>
      </c>
      <c r="H238" s="759">
        <f t="shared" si="27"/>
        <v>0.91</v>
      </c>
      <c r="I238" s="252">
        <v>610</v>
      </c>
      <c r="J238" s="674">
        <f t="shared" si="24"/>
        <v>555.1</v>
      </c>
      <c r="K238" s="674">
        <f t="shared" si="26"/>
        <v>7592.0780843693046</v>
      </c>
      <c r="L238" s="621">
        <v>5550</v>
      </c>
      <c r="M238" s="688"/>
      <c r="O238" s="669"/>
      <c r="P238" s="669"/>
      <c r="Q238" s="669"/>
      <c r="S238" s="669">
        <f t="shared" si="28"/>
        <v>3385500</v>
      </c>
      <c r="T238" s="669">
        <f t="shared" si="29"/>
        <v>4631167.6314652758</v>
      </c>
    </row>
    <row r="239" spans="1:20" ht="16.5" customHeight="1">
      <c r="A239" s="673">
        <f t="shared" si="30"/>
        <v>234</v>
      </c>
      <c r="B239" s="286" t="s">
        <v>485</v>
      </c>
      <c r="C239" s="691">
        <v>42441</v>
      </c>
      <c r="D239" s="692" t="s">
        <v>463</v>
      </c>
      <c r="E239" s="764">
        <v>22.5</v>
      </c>
      <c r="F239" s="763">
        <v>22.5</v>
      </c>
      <c r="G239" s="763">
        <v>52</v>
      </c>
      <c r="H239" s="759">
        <f t="shared" si="27"/>
        <v>0.74</v>
      </c>
      <c r="I239" s="252">
        <v>309</v>
      </c>
      <c r="J239" s="674">
        <f t="shared" si="24"/>
        <v>228.66</v>
      </c>
      <c r="K239" s="674">
        <f t="shared" si="26"/>
        <v>6173.7777828937205</v>
      </c>
      <c r="L239" s="621">
        <v>5100</v>
      </c>
      <c r="M239" s="688"/>
      <c r="O239" s="669"/>
      <c r="P239" s="669"/>
      <c r="Q239" s="669"/>
      <c r="S239" s="669">
        <f t="shared" si="28"/>
        <v>1575900</v>
      </c>
      <c r="T239" s="669">
        <f t="shared" si="29"/>
        <v>1907697.3349141597</v>
      </c>
    </row>
    <row r="240" spans="1:20" ht="16.5" customHeight="1">
      <c r="A240" s="673">
        <f t="shared" si="30"/>
        <v>235</v>
      </c>
      <c r="B240" s="286" t="s">
        <v>951</v>
      </c>
      <c r="C240" s="691">
        <v>42441</v>
      </c>
      <c r="D240" s="692" t="s">
        <v>464</v>
      </c>
      <c r="E240" s="764">
        <v>32.5</v>
      </c>
      <c r="F240" s="763">
        <v>30.5</v>
      </c>
      <c r="G240" s="763">
        <v>11.3</v>
      </c>
      <c r="H240" s="759">
        <f t="shared" si="27"/>
        <v>0.59</v>
      </c>
      <c r="I240" s="252">
        <v>201</v>
      </c>
      <c r="J240" s="674">
        <f t="shared" si="24"/>
        <v>118.58999999999999</v>
      </c>
      <c r="K240" s="674">
        <f t="shared" si="26"/>
        <v>4922.3363404152633</v>
      </c>
      <c r="L240" s="621">
        <v>7500</v>
      </c>
      <c r="M240" s="688"/>
      <c r="O240" s="669"/>
      <c r="P240" s="669"/>
      <c r="Q240" s="669"/>
      <c r="S240" s="669">
        <f t="shared" si="28"/>
        <v>1507500</v>
      </c>
      <c r="T240" s="669">
        <f t="shared" si="29"/>
        <v>989389.60442346788</v>
      </c>
    </row>
    <row r="241" spans="1:20" ht="16.5" customHeight="1">
      <c r="A241" s="673">
        <f t="shared" si="30"/>
        <v>236</v>
      </c>
      <c r="B241" s="286" t="s">
        <v>952</v>
      </c>
      <c r="C241" s="691">
        <v>42441</v>
      </c>
      <c r="D241" s="692" t="s">
        <v>465</v>
      </c>
      <c r="E241" s="764">
        <v>66</v>
      </c>
      <c r="F241" s="763">
        <v>44.5</v>
      </c>
      <c r="G241" s="763">
        <v>28</v>
      </c>
      <c r="H241" s="759">
        <f t="shared" si="27"/>
        <v>1.71</v>
      </c>
      <c r="I241" s="252">
        <v>50</v>
      </c>
      <c r="J241" s="674">
        <f t="shared" si="24"/>
        <v>85.5</v>
      </c>
      <c r="K241" s="674">
        <f t="shared" si="26"/>
        <v>14266.432444254408</v>
      </c>
      <c r="L241" s="621">
        <v>21900</v>
      </c>
      <c r="M241" s="688"/>
      <c r="O241" s="669"/>
      <c r="P241" s="669"/>
      <c r="Q241" s="669"/>
      <c r="S241" s="669">
        <f t="shared" si="28"/>
        <v>1095000</v>
      </c>
      <c r="T241" s="669">
        <f t="shared" si="29"/>
        <v>713321.62221272034</v>
      </c>
    </row>
    <row r="242" spans="1:20" ht="16.5" customHeight="1">
      <c r="A242" s="673">
        <f t="shared" si="30"/>
        <v>237</v>
      </c>
      <c r="B242" s="286" t="s">
        <v>953</v>
      </c>
      <c r="C242" s="691">
        <v>42441</v>
      </c>
      <c r="D242" s="692" t="s">
        <v>465</v>
      </c>
      <c r="E242" s="764">
        <v>44.5</v>
      </c>
      <c r="F242" s="763">
        <v>44</v>
      </c>
      <c r="G242" s="763">
        <v>28</v>
      </c>
      <c r="H242" s="759">
        <f t="shared" si="27"/>
        <v>1.37</v>
      </c>
      <c r="I242" s="252">
        <v>400</v>
      </c>
      <c r="J242" s="674">
        <f t="shared" si="24"/>
        <v>548</v>
      </c>
      <c r="K242" s="674">
        <f t="shared" si="26"/>
        <v>11429.831841303239</v>
      </c>
      <c r="L242" s="621">
        <v>16700</v>
      </c>
      <c r="M242" s="688"/>
      <c r="O242" s="669"/>
      <c r="P242" s="669"/>
      <c r="Q242" s="669"/>
      <c r="S242" s="669">
        <f t="shared" si="28"/>
        <v>6680000</v>
      </c>
      <c r="T242" s="669">
        <f t="shared" si="29"/>
        <v>4571932.7365212962</v>
      </c>
    </row>
    <row r="243" spans="1:20" ht="16.5" customHeight="1">
      <c r="A243" s="673">
        <f t="shared" si="30"/>
        <v>238</v>
      </c>
      <c r="B243" s="286" t="s">
        <v>418</v>
      </c>
      <c r="C243" s="691">
        <v>42445</v>
      </c>
      <c r="D243" s="692" t="s">
        <v>466</v>
      </c>
      <c r="E243" s="764">
        <v>103</v>
      </c>
      <c r="F243" s="763">
        <v>50</v>
      </c>
      <c r="G243" s="763">
        <v>180</v>
      </c>
      <c r="H243" s="759">
        <f t="shared" si="27"/>
        <v>7.25</v>
      </c>
      <c r="I243" s="252">
        <v>93</v>
      </c>
      <c r="J243" s="674">
        <f t="shared" si="24"/>
        <v>674.25</v>
      </c>
      <c r="K243" s="674">
        <f t="shared" si="26"/>
        <v>60486.336386458745</v>
      </c>
      <c r="L243" s="621">
        <v>47449</v>
      </c>
      <c r="M243" s="688"/>
      <c r="O243" s="669"/>
      <c r="P243" s="669"/>
      <c r="Q243" s="669"/>
      <c r="S243" s="669">
        <f t="shared" si="28"/>
        <v>4412757</v>
      </c>
      <c r="T243" s="669">
        <f t="shared" si="29"/>
        <v>5625229.2839406636</v>
      </c>
    </row>
    <row r="244" spans="1:20" ht="16.5" customHeight="1">
      <c r="A244" s="673">
        <f t="shared" si="30"/>
        <v>239</v>
      </c>
      <c r="B244" s="286" t="s">
        <v>441</v>
      </c>
      <c r="C244" s="691">
        <v>42448</v>
      </c>
      <c r="D244" s="692" t="s">
        <v>467</v>
      </c>
      <c r="E244" s="764">
        <v>55</v>
      </c>
      <c r="F244" s="763">
        <v>45</v>
      </c>
      <c r="G244" s="763">
        <v>29</v>
      </c>
      <c r="H244" s="759">
        <f t="shared" si="27"/>
        <v>1.58</v>
      </c>
      <c r="I244" s="252">
        <v>604</v>
      </c>
      <c r="J244" s="674">
        <f t="shared" si="24"/>
        <v>954.32</v>
      </c>
      <c r="K244" s="674">
        <f t="shared" si="26"/>
        <v>13181.849860773078</v>
      </c>
      <c r="L244" s="621">
        <v>9700</v>
      </c>
      <c r="M244" s="688"/>
      <c r="O244" s="669"/>
      <c r="P244" s="669"/>
      <c r="Q244" s="669"/>
      <c r="S244" s="669">
        <f t="shared" si="28"/>
        <v>5858800</v>
      </c>
      <c r="T244" s="669">
        <f t="shared" si="29"/>
        <v>7961837.3159069391</v>
      </c>
    </row>
    <row r="245" spans="1:20" ht="16.5" customHeight="1">
      <c r="A245" s="673">
        <f t="shared" si="30"/>
        <v>240</v>
      </c>
      <c r="B245" s="286" t="s">
        <v>389</v>
      </c>
      <c r="C245" s="691">
        <v>42448</v>
      </c>
      <c r="D245" s="692" t="s">
        <v>467</v>
      </c>
      <c r="E245" s="764">
        <v>52</v>
      </c>
      <c r="F245" s="763">
        <v>24.5</v>
      </c>
      <c r="G245" s="763">
        <v>24.5</v>
      </c>
      <c r="H245" s="759">
        <f t="shared" si="27"/>
        <v>0.82</v>
      </c>
      <c r="I245" s="252">
        <v>1255</v>
      </c>
      <c r="J245" s="674">
        <f t="shared" si="24"/>
        <v>1029.0999999999999</v>
      </c>
      <c r="K245" s="674">
        <f t="shared" si="26"/>
        <v>6841.2132188822297</v>
      </c>
      <c r="L245" s="621">
        <v>5000</v>
      </c>
      <c r="M245" s="688"/>
      <c r="O245" s="669"/>
      <c r="P245" s="669"/>
      <c r="Q245" s="669"/>
      <c r="S245" s="669">
        <f t="shared" si="28"/>
        <v>6275000</v>
      </c>
      <c r="T245" s="669">
        <f t="shared" si="29"/>
        <v>8585722.5896971989</v>
      </c>
    </row>
    <row r="246" spans="1:20" ht="16.5" customHeight="1">
      <c r="A246" s="673">
        <f t="shared" si="30"/>
        <v>241</v>
      </c>
      <c r="B246" s="286" t="s">
        <v>954</v>
      </c>
      <c r="C246" s="691">
        <v>42448</v>
      </c>
      <c r="D246" s="692" t="s">
        <v>468</v>
      </c>
      <c r="E246" s="764">
        <v>39</v>
      </c>
      <c r="F246" s="763">
        <v>30</v>
      </c>
      <c r="G246" s="763">
        <v>16</v>
      </c>
      <c r="H246" s="759">
        <f t="shared" si="27"/>
        <v>0.7</v>
      </c>
      <c r="I246" s="252">
        <v>209</v>
      </c>
      <c r="J246" s="674">
        <f t="shared" si="24"/>
        <v>146.29999999999998</v>
      </c>
      <c r="K246" s="674">
        <f t="shared" si="26"/>
        <v>5840.060064899465</v>
      </c>
      <c r="L246" s="621">
        <v>8500</v>
      </c>
      <c r="M246" s="688"/>
      <c r="O246" s="669"/>
      <c r="P246" s="669"/>
      <c r="Q246" s="669"/>
      <c r="S246" s="669">
        <f t="shared" si="28"/>
        <v>1776500</v>
      </c>
      <c r="T246" s="669">
        <f t="shared" si="29"/>
        <v>1220572.5535639883</v>
      </c>
    </row>
    <row r="247" spans="1:20" ht="16.5" customHeight="1">
      <c r="A247" s="673">
        <f t="shared" si="30"/>
        <v>242</v>
      </c>
      <c r="B247" s="286" t="s">
        <v>627</v>
      </c>
      <c r="C247" s="691">
        <v>42448</v>
      </c>
      <c r="D247" s="692" t="s">
        <v>468</v>
      </c>
      <c r="E247" s="764">
        <v>40</v>
      </c>
      <c r="F247" s="763">
        <v>30</v>
      </c>
      <c r="G247" s="763">
        <v>18.5</v>
      </c>
      <c r="H247" s="759">
        <f t="shared" si="27"/>
        <v>0.75</v>
      </c>
      <c r="I247" s="252">
        <v>500</v>
      </c>
      <c r="J247" s="674">
        <f t="shared" ref="J247:J271" si="31">H247*I247</f>
        <v>375</v>
      </c>
      <c r="K247" s="674">
        <f t="shared" si="26"/>
        <v>6257.2072123922844</v>
      </c>
      <c r="L247" s="621">
        <v>8800</v>
      </c>
      <c r="M247" s="688"/>
      <c r="O247" s="669"/>
      <c r="P247" s="669"/>
      <c r="Q247" s="669"/>
      <c r="S247" s="669">
        <f t="shared" si="28"/>
        <v>4400000</v>
      </c>
      <c r="T247" s="669">
        <f t="shared" si="29"/>
        <v>3128603.6061961423</v>
      </c>
    </row>
    <row r="248" spans="1:20" ht="16.5" customHeight="1">
      <c r="A248" s="673">
        <f t="shared" si="30"/>
        <v>243</v>
      </c>
      <c r="B248" s="286" t="s">
        <v>955</v>
      </c>
      <c r="C248" s="691">
        <v>42450</v>
      </c>
      <c r="D248" s="692" t="s">
        <v>469</v>
      </c>
      <c r="E248" s="764">
        <v>60.5</v>
      </c>
      <c r="F248" s="763">
        <v>50.5</v>
      </c>
      <c r="G248" s="763">
        <v>45</v>
      </c>
      <c r="H248" s="759">
        <f t="shared" si="27"/>
        <v>2.2400000000000002</v>
      </c>
      <c r="I248" s="252">
        <v>108</v>
      </c>
      <c r="J248" s="674">
        <f t="shared" si="31"/>
        <v>241.92000000000002</v>
      </c>
      <c r="K248" s="674">
        <f t="shared" si="26"/>
        <v>18688.19220767829</v>
      </c>
      <c r="L248" s="621">
        <v>15400</v>
      </c>
      <c r="M248" s="688"/>
      <c r="O248" s="669"/>
      <c r="P248" s="669"/>
      <c r="Q248" s="669"/>
      <c r="S248" s="669">
        <f t="shared" si="28"/>
        <v>1663200</v>
      </c>
      <c r="T248" s="669">
        <f t="shared" si="29"/>
        <v>2018324.7584292553</v>
      </c>
    </row>
    <row r="249" spans="1:20" ht="16.5" customHeight="1">
      <c r="A249" s="673">
        <f t="shared" si="30"/>
        <v>244</v>
      </c>
      <c r="B249" s="286" t="s">
        <v>640</v>
      </c>
      <c r="C249" s="691">
        <v>42450</v>
      </c>
      <c r="D249" s="692" t="s">
        <v>470</v>
      </c>
      <c r="E249" s="764">
        <v>57</v>
      </c>
      <c r="F249" s="763">
        <v>46</v>
      </c>
      <c r="G249" s="763">
        <v>30</v>
      </c>
      <c r="H249" s="759">
        <f t="shared" si="27"/>
        <v>1.67</v>
      </c>
      <c r="I249" s="252">
        <v>500</v>
      </c>
      <c r="J249" s="674">
        <f t="shared" si="31"/>
        <v>835</v>
      </c>
      <c r="K249" s="674">
        <f t="shared" si="26"/>
        <v>13932.714726260152</v>
      </c>
      <c r="L249" s="621">
        <v>13644</v>
      </c>
      <c r="M249" s="688"/>
      <c r="O249" s="669"/>
      <c r="P249" s="669"/>
      <c r="Q249" s="669"/>
      <c r="S249" s="669">
        <f t="shared" si="28"/>
        <v>6822000</v>
      </c>
      <c r="T249" s="669">
        <f t="shared" si="29"/>
        <v>6966357.3631300759</v>
      </c>
    </row>
    <row r="250" spans="1:20" ht="16.5" customHeight="1">
      <c r="A250" s="673">
        <f t="shared" si="30"/>
        <v>245</v>
      </c>
      <c r="B250" s="286" t="s">
        <v>415</v>
      </c>
      <c r="C250" s="691">
        <v>42450</v>
      </c>
      <c r="D250" s="692" t="s">
        <v>471</v>
      </c>
      <c r="E250" s="764">
        <v>49.5</v>
      </c>
      <c r="F250" s="763">
        <v>38.5</v>
      </c>
      <c r="G250" s="763">
        <v>32.5</v>
      </c>
      <c r="H250" s="759">
        <f t="shared" si="27"/>
        <v>1.34</v>
      </c>
      <c r="I250" s="252">
        <v>301</v>
      </c>
      <c r="J250" s="674">
        <f t="shared" si="31"/>
        <v>403.34000000000003</v>
      </c>
      <c r="K250" s="674">
        <f t="shared" si="26"/>
        <v>11179.543552807549</v>
      </c>
      <c r="L250" s="621">
        <v>12900</v>
      </c>
      <c r="M250" s="688"/>
      <c r="O250" s="669"/>
      <c r="P250" s="669"/>
      <c r="Q250" s="669"/>
      <c r="S250" s="669">
        <f t="shared" si="28"/>
        <v>3882900</v>
      </c>
      <c r="T250" s="669">
        <f t="shared" si="29"/>
        <v>3365042.6093950723</v>
      </c>
    </row>
    <row r="251" spans="1:20" ht="16.5" customHeight="1">
      <c r="A251" s="673">
        <f t="shared" si="30"/>
        <v>246</v>
      </c>
      <c r="B251" s="286" t="s">
        <v>956</v>
      </c>
      <c r="C251" s="691">
        <v>42451</v>
      </c>
      <c r="D251" s="692" t="s">
        <v>472</v>
      </c>
      <c r="E251" s="764">
        <v>35.5</v>
      </c>
      <c r="F251" s="763">
        <v>35.5</v>
      </c>
      <c r="G251" s="763">
        <v>23.5</v>
      </c>
      <c r="H251" s="759">
        <f t="shared" si="27"/>
        <v>0.91</v>
      </c>
      <c r="I251" s="252">
        <v>544</v>
      </c>
      <c r="J251" s="674">
        <f t="shared" si="31"/>
        <v>495.04</v>
      </c>
      <c r="K251" s="674">
        <f t="shared" si="26"/>
        <v>7592.0780843693046</v>
      </c>
      <c r="L251" s="621">
        <v>6800</v>
      </c>
      <c r="M251" s="688"/>
      <c r="O251" s="669"/>
      <c r="P251" s="669"/>
      <c r="Q251" s="669"/>
      <c r="S251" s="669">
        <f t="shared" si="28"/>
        <v>3699200</v>
      </c>
      <c r="T251" s="669">
        <f t="shared" si="29"/>
        <v>4130090.4778969018</v>
      </c>
    </row>
    <row r="252" spans="1:20" ht="16.5" customHeight="1">
      <c r="A252" s="673">
        <f t="shared" si="30"/>
        <v>247</v>
      </c>
      <c r="B252" s="286" t="s">
        <v>389</v>
      </c>
      <c r="C252" s="691">
        <v>42452</v>
      </c>
      <c r="D252" s="692" t="s">
        <v>475</v>
      </c>
      <c r="E252" s="764">
        <v>52</v>
      </c>
      <c r="F252" s="763">
        <v>24.5</v>
      </c>
      <c r="G252" s="763">
        <v>24.5</v>
      </c>
      <c r="H252" s="759">
        <f t="shared" si="27"/>
        <v>0.82</v>
      </c>
      <c r="I252" s="252">
        <v>1310</v>
      </c>
      <c r="J252" s="674">
        <f t="shared" si="31"/>
        <v>1074.2</v>
      </c>
      <c r="K252" s="674">
        <f t="shared" si="26"/>
        <v>6841.2132188822297</v>
      </c>
      <c r="L252" s="621">
        <v>5000</v>
      </c>
      <c r="M252" s="688"/>
      <c r="O252" s="669"/>
      <c r="P252" s="669"/>
      <c r="Q252" s="669"/>
      <c r="S252" s="669">
        <f t="shared" si="28"/>
        <v>6550000</v>
      </c>
      <c r="T252" s="669">
        <f t="shared" si="29"/>
        <v>8961989.3167357203</v>
      </c>
    </row>
    <row r="253" spans="1:20" ht="16.5" customHeight="1">
      <c r="A253" s="673">
        <f t="shared" ref="A253" si="32">IF(B251&lt;&gt;"",A252+1,"")</f>
        <v>248</v>
      </c>
      <c r="B253" s="286" t="s">
        <v>957</v>
      </c>
      <c r="C253" s="691">
        <v>42452</v>
      </c>
      <c r="D253" s="692" t="s">
        <v>476</v>
      </c>
      <c r="E253" s="764">
        <v>40</v>
      </c>
      <c r="F253" s="763">
        <v>30</v>
      </c>
      <c r="G253" s="763">
        <v>20</v>
      </c>
      <c r="H253" s="759">
        <f t="shared" si="27"/>
        <v>0.77</v>
      </c>
      <c r="I253" s="252">
        <v>200</v>
      </c>
      <c r="J253" s="674">
        <f t="shared" si="31"/>
        <v>154</v>
      </c>
      <c r="K253" s="674">
        <f t="shared" si="26"/>
        <v>6424.0660713894113</v>
      </c>
      <c r="L253" s="621">
        <v>9200</v>
      </c>
      <c r="M253" s="688"/>
      <c r="O253" s="669"/>
      <c r="P253" s="669"/>
      <c r="Q253" s="669"/>
      <c r="S253" s="669">
        <f t="shared" si="28"/>
        <v>1840000</v>
      </c>
      <c r="T253" s="669">
        <f t="shared" si="29"/>
        <v>1284813.2142778824</v>
      </c>
    </row>
    <row r="254" spans="1:20" ht="16.5" customHeight="1">
      <c r="A254" s="673">
        <f t="shared" ref="A254:A268" si="33">IF(B252&lt;&gt;"",A253+1,"")</f>
        <v>249</v>
      </c>
      <c r="B254" s="286" t="s">
        <v>958</v>
      </c>
      <c r="C254" s="691">
        <v>42452</v>
      </c>
      <c r="D254" s="692" t="s">
        <v>478</v>
      </c>
      <c r="E254" s="764">
        <v>39</v>
      </c>
      <c r="F254" s="763">
        <v>29</v>
      </c>
      <c r="G254" s="763">
        <v>30</v>
      </c>
      <c r="H254" s="759">
        <f t="shared" si="27"/>
        <v>0.87</v>
      </c>
      <c r="I254" s="252">
        <v>31</v>
      </c>
      <c r="J254" s="674">
        <f t="shared" si="31"/>
        <v>26.97</v>
      </c>
      <c r="K254" s="674">
        <f t="shared" si="26"/>
        <v>7258.3603663750491</v>
      </c>
      <c r="L254" s="621">
        <v>6770</v>
      </c>
      <c r="M254" s="688"/>
      <c r="O254" s="669"/>
      <c r="P254" s="669"/>
      <c r="Q254" s="669"/>
      <c r="S254" s="669">
        <f t="shared" si="28"/>
        <v>209870</v>
      </c>
      <c r="T254" s="669">
        <f t="shared" si="29"/>
        <v>225009.17135762653</v>
      </c>
    </row>
    <row r="255" spans="1:20" ht="16.5" customHeight="1">
      <c r="A255" s="673">
        <f t="shared" si="33"/>
        <v>250</v>
      </c>
      <c r="B255" s="286" t="s">
        <v>959</v>
      </c>
      <c r="C255" s="691">
        <v>42452</v>
      </c>
      <c r="D255" s="692" t="s">
        <v>478</v>
      </c>
      <c r="E255" s="764">
        <v>46</v>
      </c>
      <c r="F255" s="763">
        <v>42</v>
      </c>
      <c r="G255" s="763">
        <v>26</v>
      </c>
      <c r="H255" s="759">
        <f t="shared" si="27"/>
        <v>1.29</v>
      </c>
      <c r="I255" s="252">
        <v>106</v>
      </c>
      <c r="J255" s="674">
        <f t="shared" si="31"/>
        <v>136.74</v>
      </c>
      <c r="K255" s="674">
        <f t="shared" si="26"/>
        <v>10762.396405314728</v>
      </c>
      <c r="L255" s="621">
        <v>9400</v>
      </c>
      <c r="M255" s="688"/>
      <c r="O255" s="669"/>
      <c r="P255" s="669"/>
      <c r="Q255" s="669"/>
      <c r="S255" s="669">
        <f t="shared" si="28"/>
        <v>996400</v>
      </c>
      <c r="T255" s="669">
        <f t="shared" si="29"/>
        <v>1140814.0189633612</v>
      </c>
    </row>
    <row r="256" spans="1:20" ht="16.5" customHeight="1">
      <c r="A256" s="673">
        <f t="shared" si="33"/>
        <v>251</v>
      </c>
      <c r="B256" s="286" t="s">
        <v>480</v>
      </c>
      <c r="C256" s="691">
        <v>42452</v>
      </c>
      <c r="D256" s="692" t="s">
        <v>478</v>
      </c>
      <c r="E256" s="764">
        <v>47</v>
      </c>
      <c r="F256" s="763">
        <v>42</v>
      </c>
      <c r="G256" s="763">
        <v>24.5</v>
      </c>
      <c r="H256" s="759">
        <f t="shared" si="27"/>
        <v>1.27</v>
      </c>
      <c r="I256" s="252">
        <v>584</v>
      </c>
      <c r="J256" s="674">
        <f t="shared" si="31"/>
        <v>741.68000000000006</v>
      </c>
      <c r="K256" s="674">
        <f t="shared" si="26"/>
        <v>10595.537546317601</v>
      </c>
      <c r="L256" s="621">
        <v>9200</v>
      </c>
      <c r="M256" s="688"/>
      <c r="O256" s="669"/>
      <c r="P256" s="669"/>
      <c r="Q256" s="669"/>
      <c r="S256" s="669">
        <f t="shared" si="28"/>
        <v>5372800</v>
      </c>
      <c r="T256" s="669">
        <f t="shared" si="29"/>
        <v>6187793.9270494785</v>
      </c>
    </row>
    <row r="257" spans="1:20" ht="16.5" customHeight="1">
      <c r="A257" s="673">
        <f t="shared" si="33"/>
        <v>252</v>
      </c>
      <c r="B257" s="286" t="s">
        <v>480</v>
      </c>
      <c r="C257" s="691">
        <v>42452</v>
      </c>
      <c r="D257" s="692" t="s">
        <v>479</v>
      </c>
      <c r="E257" s="764">
        <v>47</v>
      </c>
      <c r="F257" s="763">
        <v>42</v>
      </c>
      <c r="G257" s="763">
        <v>24.5</v>
      </c>
      <c r="H257" s="759">
        <f t="shared" si="27"/>
        <v>1.27</v>
      </c>
      <c r="I257" s="252">
        <v>644</v>
      </c>
      <c r="J257" s="674">
        <f t="shared" si="31"/>
        <v>817.88</v>
      </c>
      <c r="K257" s="674">
        <f t="shared" si="26"/>
        <v>10595.537546317601</v>
      </c>
      <c r="L257" s="621">
        <v>9200</v>
      </c>
      <c r="M257" s="688"/>
      <c r="O257" s="669"/>
      <c r="P257" s="669"/>
      <c r="Q257" s="669"/>
      <c r="S257" s="669">
        <f t="shared" si="28"/>
        <v>5924800</v>
      </c>
      <c r="T257" s="669">
        <f t="shared" si="29"/>
        <v>6823526.1798285348</v>
      </c>
    </row>
    <row r="258" spans="1:20" ht="16.5" customHeight="1">
      <c r="A258" s="673">
        <f t="shared" si="33"/>
        <v>253</v>
      </c>
      <c r="B258" s="286" t="s">
        <v>960</v>
      </c>
      <c r="C258" s="691">
        <v>42452</v>
      </c>
      <c r="D258" s="692" t="s">
        <v>479</v>
      </c>
      <c r="E258" s="764">
        <v>70</v>
      </c>
      <c r="F258" s="763">
        <v>37</v>
      </c>
      <c r="G258" s="763">
        <v>62</v>
      </c>
      <c r="H258" s="759">
        <f t="shared" si="27"/>
        <v>2.23</v>
      </c>
      <c r="I258" s="252">
        <v>34</v>
      </c>
      <c r="J258" s="674">
        <f t="shared" si="31"/>
        <v>75.819999999999993</v>
      </c>
      <c r="K258" s="674">
        <f t="shared" si="26"/>
        <v>18604.762778179724</v>
      </c>
      <c r="L258" s="621">
        <v>17000</v>
      </c>
      <c r="M258" s="688"/>
      <c r="O258" s="669"/>
      <c r="P258" s="669"/>
      <c r="Q258" s="669"/>
      <c r="S258" s="669">
        <f t="shared" si="28"/>
        <v>578000</v>
      </c>
      <c r="T258" s="669">
        <f t="shared" si="29"/>
        <v>632561.9344581106</v>
      </c>
    </row>
    <row r="259" spans="1:20" ht="16.5" customHeight="1">
      <c r="A259" s="673">
        <f t="shared" si="33"/>
        <v>254</v>
      </c>
      <c r="B259" s="286" t="s">
        <v>1435</v>
      </c>
      <c r="C259" s="691">
        <v>42452</v>
      </c>
      <c r="D259" s="692" t="s">
        <v>483</v>
      </c>
      <c r="E259" s="764">
        <v>41</v>
      </c>
      <c r="F259" s="763">
        <v>41</v>
      </c>
      <c r="G259" s="763">
        <v>25</v>
      </c>
      <c r="H259" s="759">
        <f t="shared" si="27"/>
        <v>1.17</v>
      </c>
      <c r="I259" s="252">
        <v>5000</v>
      </c>
      <c r="J259" s="674">
        <f t="shared" si="31"/>
        <v>5850</v>
      </c>
      <c r="K259" s="674">
        <f t="shared" si="26"/>
        <v>9761.2432513319618</v>
      </c>
      <c r="L259" s="621">
        <v>11300</v>
      </c>
      <c r="M259" s="688"/>
      <c r="O259" s="669"/>
      <c r="P259" s="669"/>
      <c r="Q259" s="669"/>
      <c r="S259" s="669">
        <f t="shared" si="28"/>
        <v>56500000</v>
      </c>
      <c r="T259" s="669">
        <f t="shared" si="29"/>
        <v>48806216.256659806</v>
      </c>
    </row>
    <row r="260" spans="1:20" ht="16.5" customHeight="1">
      <c r="A260" s="673">
        <f t="shared" si="33"/>
        <v>255</v>
      </c>
      <c r="B260" s="286" t="s">
        <v>646</v>
      </c>
      <c r="C260" s="691">
        <v>42453</v>
      </c>
      <c r="D260" s="692" t="s">
        <v>484</v>
      </c>
      <c r="E260" s="764">
        <v>33.5</v>
      </c>
      <c r="F260" s="763">
        <v>31.5</v>
      </c>
      <c r="G260" s="763">
        <v>24</v>
      </c>
      <c r="H260" s="759">
        <f t="shared" si="27"/>
        <v>0.79</v>
      </c>
      <c r="I260" s="252">
        <v>1500</v>
      </c>
      <c r="J260" s="674">
        <f t="shared" si="31"/>
        <v>1185</v>
      </c>
      <c r="K260" s="674">
        <f t="shared" si="26"/>
        <v>6590.924930386539</v>
      </c>
      <c r="L260" s="621">
        <v>6950</v>
      </c>
      <c r="M260" s="688"/>
      <c r="O260" s="669"/>
      <c r="P260" s="669"/>
      <c r="Q260" s="669"/>
      <c r="S260" s="669">
        <f t="shared" si="28"/>
        <v>10425000</v>
      </c>
      <c r="T260" s="669">
        <f t="shared" si="29"/>
        <v>9886387.3955798093</v>
      </c>
    </row>
    <row r="261" spans="1:20" ht="16.5" customHeight="1">
      <c r="A261" s="673">
        <f t="shared" si="33"/>
        <v>256</v>
      </c>
      <c r="B261" s="286" t="s">
        <v>895</v>
      </c>
      <c r="C261" s="691">
        <v>42453</v>
      </c>
      <c r="D261" s="692" t="s">
        <v>484</v>
      </c>
      <c r="E261" s="764">
        <v>33.5</v>
      </c>
      <c r="F261" s="763">
        <v>25</v>
      </c>
      <c r="G261" s="763">
        <v>26</v>
      </c>
      <c r="H261" s="759">
        <f t="shared" si="27"/>
        <v>0.66</v>
      </c>
      <c r="I261" s="252">
        <v>250</v>
      </c>
      <c r="J261" s="674">
        <f t="shared" si="31"/>
        <v>165</v>
      </c>
      <c r="K261" s="674">
        <f t="shared" si="26"/>
        <v>5506.3423469052104</v>
      </c>
      <c r="L261" s="621">
        <v>5900</v>
      </c>
      <c r="M261" s="688"/>
      <c r="O261" s="669"/>
      <c r="P261" s="669"/>
      <c r="Q261" s="669"/>
      <c r="S261" s="669">
        <f t="shared" si="28"/>
        <v>1475000</v>
      </c>
      <c r="T261" s="669">
        <f t="shared" si="29"/>
        <v>1376585.5867263025</v>
      </c>
    </row>
    <row r="262" spans="1:20" ht="16.5" customHeight="1">
      <c r="A262" s="673">
        <f t="shared" si="33"/>
        <v>257</v>
      </c>
      <c r="B262" s="286" t="s">
        <v>896</v>
      </c>
      <c r="C262" s="691">
        <v>42453</v>
      </c>
      <c r="D262" s="692" t="s">
        <v>484</v>
      </c>
      <c r="E262" s="764">
        <v>30.5</v>
      </c>
      <c r="F262" s="763">
        <v>23</v>
      </c>
      <c r="G262" s="763">
        <v>31</v>
      </c>
      <c r="H262" s="759">
        <f t="shared" si="27"/>
        <v>0.64</v>
      </c>
      <c r="I262" s="252">
        <v>250</v>
      </c>
      <c r="J262" s="674">
        <f t="shared" si="31"/>
        <v>160</v>
      </c>
      <c r="K262" s="674">
        <f t="shared" ref="K262:K271" si="34">H262*$R$43</f>
        <v>5339.4834879080827</v>
      </c>
      <c r="L262" s="621">
        <v>6000</v>
      </c>
      <c r="M262" s="688"/>
      <c r="O262" s="669"/>
      <c r="P262" s="669"/>
      <c r="Q262" s="669"/>
      <c r="S262" s="669">
        <f t="shared" si="28"/>
        <v>1500000</v>
      </c>
      <c r="T262" s="669">
        <f t="shared" si="29"/>
        <v>1334870.8719770208</v>
      </c>
    </row>
    <row r="263" spans="1:20" ht="16.5" customHeight="1">
      <c r="A263" s="673">
        <f t="shared" si="33"/>
        <v>258</v>
      </c>
      <c r="B263" s="286" t="s">
        <v>610</v>
      </c>
      <c r="C263" s="691">
        <v>42454</v>
      </c>
      <c r="D263" s="692" t="s">
        <v>486</v>
      </c>
      <c r="E263" s="764">
        <v>80</v>
      </c>
      <c r="F263" s="763">
        <v>60</v>
      </c>
      <c r="G263" s="763">
        <v>50</v>
      </c>
      <c r="H263" s="759">
        <f t="shared" ref="H263:H271" si="35">IF(G263&lt;&gt;"",ROUND(((E263+F263)*2+5)*(F263+G263+3)/10000,2),ROUND(E263*F263/10000,2))</f>
        <v>3.22</v>
      </c>
      <c r="I263" s="252">
        <v>150</v>
      </c>
      <c r="J263" s="674">
        <f t="shared" si="31"/>
        <v>483.00000000000006</v>
      </c>
      <c r="K263" s="674">
        <f t="shared" si="34"/>
        <v>26864.276298537541</v>
      </c>
      <c r="L263" s="621">
        <v>22750</v>
      </c>
      <c r="M263" s="688"/>
      <c r="O263" s="669"/>
      <c r="P263" s="669"/>
      <c r="Q263" s="669"/>
      <c r="S263" s="669">
        <f t="shared" ref="S263:S270" si="36">I263*L263</f>
        <v>3412500</v>
      </c>
      <c r="T263" s="669">
        <f t="shared" ref="T263:T271" si="37">I263*K263</f>
        <v>4029641.444780631</v>
      </c>
    </row>
    <row r="264" spans="1:20" ht="16.5" customHeight="1">
      <c r="A264" s="673">
        <f t="shared" si="33"/>
        <v>259</v>
      </c>
      <c r="B264" s="286" t="s">
        <v>436</v>
      </c>
      <c r="C264" s="691">
        <v>42454</v>
      </c>
      <c r="D264" s="692" t="s">
        <v>487</v>
      </c>
      <c r="E264" s="764">
        <v>37.5</v>
      </c>
      <c r="F264" s="763">
        <v>25.3</v>
      </c>
      <c r="G264" s="763">
        <v>23.9</v>
      </c>
      <c r="H264" s="759">
        <f t="shared" si="35"/>
        <v>0.68</v>
      </c>
      <c r="I264" s="252">
        <v>1807</v>
      </c>
      <c r="J264" s="674">
        <f t="shared" si="31"/>
        <v>1228.76</v>
      </c>
      <c r="K264" s="674">
        <f t="shared" si="34"/>
        <v>5673.2012059023382</v>
      </c>
      <c r="L264" s="621">
        <v>5900</v>
      </c>
      <c r="M264" s="688"/>
      <c r="O264" s="669"/>
      <c r="P264" s="669"/>
      <c r="Q264" s="669"/>
      <c r="S264" s="669">
        <f t="shared" si="36"/>
        <v>10661300</v>
      </c>
      <c r="T264" s="669">
        <f t="shared" si="37"/>
        <v>10251474.579065526</v>
      </c>
    </row>
    <row r="265" spans="1:20" ht="16.5" customHeight="1">
      <c r="A265" s="673">
        <f t="shared" si="33"/>
        <v>260</v>
      </c>
      <c r="B265" s="286" t="s">
        <v>961</v>
      </c>
      <c r="C265" s="691">
        <v>42454</v>
      </c>
      <c r="D265" s="692" t="s">
        <v>488</v>
      </c>
      <c r="E265" s="764">
        <v>59</v>
      </c>
      <c r="F265" s="763">
        <v>59</v>
      </c>
      <c r="G265" s="763">
        <v>18</v>
      </c>
      <c r="H265" s="759">
        <f t="shared" si="35"/>
        <v>1.93</v>
      </c>
      <c r="I265" s="252">
        <v>205</v>
      </c>
      <c r="J265" s="674">
        <f t="shared" si="31"/>
        <v>395.65</v>
      </c>
      <c r="K265" s="674">
        <f t="shared" si="34"/>
        <v>16101.879893222811</v>
      </c>
      <c r="L265" s="621">
        <v>14000</v>
      </c>
      <c r="M265" s="688"/>
      <c r="O265" s="669"/>
      <c r="P265" s="669"/>
      <c r="Q265" s="669"/>
      <c r="S265" s="669">
        <f t="shared" si="36"/>
        <v>2870000</v>
      </c>
      <c r="T265" s="669">
        <f t="shared" si="37"/>
        <v>3300885.3781106761</v>
      </c>
    </row>
    <row r="266" spans="1:20" ht="16.5" customHeight="1">
      <c r="A266" s="673">
        <f t="shared" si="33"/>
        <v>261</v>
      </c>
      <c r="B266" s="286" t="s">
        <v>1201</v>
      </c>
      <c r="C266" s="691">
        <v>42454</v>
      </c>
      <c r="D266" s="692" t="s">
        <v>488</v>
      </c>
      <c r="E266" s="764">
        <v>30</v>
      </c>
      <c r="F266" s="763">
        <v>37</v>
      </c>
      <c r="G266" s="763"/>
      <c r="H266" s="759">
        <f t="shared" si="35"/>
        <v>0.11</v>
      </c>
      <c r="I266" s="252">
        <v>1030</v>
      </c>
      <c r="J266" s="674">
        <f t="shared" si="31"/>
        <v>113.3</v>
      </c>
      <c r="K266" s="674">
        <f t="shared" si="34"/>
        <v>917.72372448420163</v>
      </c>
      <c r="L266" s="621">
        <v>5300</v>
      </c>
      <c r="M266" s="688"/>
      <c r="O266" s="669"/>
      <c r="P266" s="669"/>
      <c r="Q266" s="669"/>
      <c r="S266" s="669">
        <f t="shared" si="36"/>
        <v>5459000</v>
      </c>
      <c r="T266" s="669">
        <f t="shared" si="37"/>
        <v>945255.43621872773</v>
      </c>
    </row>
    <row r="267" spans="1:20" ht="16.5" customHeight="1">
      <c r="A267" s="673">
        <f t="shared" si="33"/>
        <v>262</v>
      </c>
      <c r="B267" s="286" t="s">
        <v>1443</v>
      </c>
      <c r="C267" s="691">
        <v>42455</v>
      </c>
      <c r="D267" s="692" t="s">
        <v>489</v>
      </c>
      <c r="E267" s="764">
        <v>49</v>
      </c>
      <c r="F267" s="763">
        <v>38</v>
      </c>
      <c r="G267" s="763">
        <v>12</v>
      </c>
      <c r="H267" s="759">
        <f t="shared" si="35"/>
        <v>0.95</v>
      </c>
      <c r="I267" s="252">
        <v>507</v>
      </c>
      <c r="J267" s="674">
        <f t="shared" si="31"/>
        <v>481.65</v>
      </c>
      <c r="K267" s="674">
        <f t="shared" si="34"/>
        <v>7925.7958023635592</v>
      </c>
      <c r="L267" s="621">
        <v>10500</v>
      </c>
      <c r="M267" s="688"/>
      <c r="O267" s="669"/>
      <c r="P267" s="669"/>
      <c r="Q267" s="669"/>
      <c r="S267" s="669">
        <f>I267*L267</f>
        <v>5323500</v>
      </c>
      <c r="T267" s="669">
        <f>I267*K267</f>
        <v>4018378.4717983245</v>
      </c>
    </row>
    <row r="268" spans="1:20" ht="16.5" customHeight="1">
      <c r="A268" s="673">
        <f t="shared" si="33"/>
        <v>263</v>
      </c>
      <c r="B268" s="286" t="s">
        <v>962</v>
      </c>
      <c r="C268" s="691">
        <v>42455</v>
      </c>
      <c r="D268" s="692" t="s">
        <v>490</v>
      </c>
      <c r="E268" s="764">
        <v>72</v>
      </c>
      <c r="F268" s="763">
        <v>51.5</v>
      </c>
      <c r="G268" s="763">
        <v>40</v>
      </c>
      <c r="H268" s="759">
        <f t="shared" si="35"/>
        <v>2.38</v>
      </c>
      <c r="I268" s="252">
        <v>220</v>
      </c>
      <c r="J268" s="674">
        <f t="shared" si="31"/>
        <v>523.6</v>
      </c>
      <c r="K268" s="674">
        <f t="shared" si="34"/>
        <v>19856.204220658179</v>
      </c>
      <c r="L268" s="621">
        <v>7900</v>
      </c>
      <c r="M268" s="688"/>
      <c r="O268" s="669"/>
      <c r="P268" s="669"/>
      <c r="Q268" s="669"/>
      <c r="S268" s="669">
        <f t="shared" si="36"/>
        <v>1738000</v>
      </c>
      <c r="T268" s="669">
        <f t="shared" si="37"/>
        <v>4368364.9285447998</v>
      </c>
    </row>
    <row r="269" spans="1:20" ht="16.5" customHeight="1">
      <c r="A269" s="673">
        <f>IF(B269&lt;&gt;"",A268+1,"")</f>
        <v>264</v>
      </c>
      <c r="B269" s="286" t="s">
        <v>1437</v>
      </c>
      <c r="C269" s="691">
        <v>42455</v>
      </c>
      <c r="D269" s="692" t="s">
        <v>492</v>
      </c>
      <c r="E269" s="764">
        <v>29</v>
      </c>
      <c r="F269" s="763">
        <v>18</v>
      </c>
      <c r="G269" s="763">
        <v>18.8</v>
      </c>
      <c r="H269" s="759">
        <f t="shared" si="35"/>
        <v>0.39</v>
      </c>
      <c r="I269" s="252">
        <v>3000</v>
      </c>
      <c r="J269" s="674">
        <f t="shared" si="31"/>
        <v>1170</v>
      </c>
      <c r="K269" s="674">
        <f t="shared" si="34"/>
        <v>3253.7477504439876</v>
      </c>
      <c r="L269" s="621">
        <v>5200</v>
      </c>
      <c r="M269" s="688"/>
      <c r="O269" s="669"/>
      <c r="P269" s="669"/>
      <c r="Q269" s="669"/>
      <c r="S269" s="669">
        <f t="shared" si="36"/>
        <v>15600000</v>
      </c>
      <c r="T269" s="669">
        <f t="shared" si="37"/>
        <v>9761243.2513319626</v>
      </c>
    </row>
    <row r="270" spans="1:20" ht="16.5" customHeight="1">
      <c r="A270" s="673">
        <f>IF(B270&lt;&gt;"",A269+1,"")</f>
        <v>265</v>
      </c>
      <c r="B270" s="286" t="s">
        <v>963</v>
      </c>
      <c r="C270" s="691">
        <v>42455</v>
      </c>
      <c r="D270" s="692" t="s">
        <v>493</v>
      </c>
      <c r="E270" s="764">
        <v>48</v>
      </c>
      <c r="F270" s="763">
        <v>24</v>
      </c>
      <c r="G270" s="763">
        <v>27.5</v>
      </c>
      <c r="H270" s="759">
        <f t="shared" si="35"/>
        <v>0.81</v>
      </c>
      <c r="I270" s="252">
        <v>3750</v>
      </c>
      <c r="J270" s="674">
        <f t="shared" si="31"/>
        <v>3037.5</v>
      </c>
      <c r="K270" s="674">
        <f t="shared" si="34"/>
        <v>6757.7837893836668</v>
      </c>
      <c r="L270" s="621">
        <v>5600</v>
      </c>
      <c r="M270" s="688"/>
      <c r="O270" s="669"/>
      <c r="P270" s="669"/>
      <c r="Q270" s="669"/>
      <c r="S270" s="669">
        <f t="shared" si="36"/>
        <v>21000000</v>
      </c>
      <c r="T270" s="669">
        <f t="shared" si="37"/>
        <v>25341689.21018875</v>
      </c>
    </row>
    <row r="271" spans="1:20" ht="16.5" customHeight="1">
      <c r="A271" s="673">
        <f>IF(B271&lt;&gt;"",A270+1,"")</f>
        <v>266</v>
      </c>
      <c r="B271" s="286" t="s">
        <v>694</v>
      </c>
      <c r="C271" s="691">
        <v>42456</v>
      </c>
      <c r="D271" s="692" t="s">
        <v>494</v>
      </c>
      <c r="E271" s="764">
        <v>37</v>
      </c>
      <c r="F271" s="763">
        <v>46</v>
      </c>
      <c r="G271" s="763"/>
      <c r="H271" s="759">
        <f t="shared" si="35"/>
        <v>0.17</v>
      </c>
      <c r="I271" s="252">
        <v>1100</v>
      </c>
      <c r="J271" s="674">
        <f t="shared" si="31"/>
        <v>187</v>
      </c>
      <c r="K271" s="674">
        <f t="shared" si="34"/>
        <v>1418.3003014755845</v>
      </c>
      <c r="L271" s="621">
        <v>1300</v>
      </c>
      <c r="M271" s="688"/>
      <c r="O271" s="669"/>
      <c r="P271" s="669"/>
      <c r="Q271" s="669"/>
      <c r="S271" s="669">
        <f>I271*L271</f>
        <v>1430000</v>
      </c>
      <c r="T271" s="669">
        <f t="shared" si="37"/>
        <v>1560130.3316231431</v>
      </c>
    </row>
    <row r="272" spans="1:20" ht="16.5" customHeight="1">
      <c r="A272" s="673"/>
      <c r="B272" s="286"/>
      <c r="C272" s="752"/>
      <c r="D272" s="693"/>
      <c r="E272" s="764"/>
      <c r="F272" s="763"/>
      <c r="G272" s="763"/>
      <c r="H272" s="674"/>
      <c r="I272" s="252"/>
      <c r="J272" s="674"/>
      <c r="K272" s="674"/>
      <c r="L272" s="621"/>
      <c r="M272" s="688"/>
      <c r="O272" s="669"/>
      <c r="P272" s="669"/>
      <c r="Q272" s="669"/>
      <c r="S272" s="694"/>
    </row>
    <row r="273" spans="1:20" ht="16.5" customHeight="1">
      <c r="A273" s="675"/>
      <c r="B273" s="676" t="s">
        <v>242</v>
      </c>
      <c r="C273" s="695"/>
      <c r="D273" s="696"/>
      <c r="E273" s="757"/>
      <c r="F273" s="757"/>
      <c r="G273" s="757"/>
      <c r="H273" s="760">
        <f>ROUND(SUM(H6:H272),2)</f>
        <v>366.02</v>
      </c>
      <c r="I273" s="498">
        <f>ROUND(SUM(I6:I272),2)</f>
        <v>118940</v>
      </c>
      <c r="J273" s="498">
        <f>ROUND(SUM(J6:J272),2)</f>
        <v>119017.93</v>
      </c>
      <c r="K273" s="498"/>
      <c r="M273" s="688"/>
      <c r="O273" s="669"/>
      <c r="P273" s="669"/>
      <c r="Q273" s="669"/>
      <c r="R273" s="883">
        <f>S273-T273</f>
        <v>29406700</v>
      </c>
      <c r="S273" s="498">
        <f>ROUND(SUM(S6:S272),0)</f>
        <v>1022366500</v>
      </c>
      <c r="T273" s="498">
        <f>ROUND(SUM(T6:T272),0)</f>
        <v>992959800</v>
      </c>
    </row>
    <row r="274" spans="1:20" s="694" customFormat="1" ht="16.5" customHeight="1">
      <c r="A274" s="677"/>
      <c r="B274" s="678"/>
      <c r="C274" s="697"/>
      <c r="D274" s="698"/>
      <c r="E274" s="761"/>
      <c r="F274" s="761"/>
      <c r="G274" s="761"/>
      <c r="H274" s="671"/>
      <c r="I274" s="671"/>
      <c r="J274" s="671"/>
      <c r="K274" s="671"/>
      <c r="L274" s="684"/>
      <c r="M274" s="621"/>
      <c r="N274" s="669"/>
      <c r="O274" s="669"/>
      <c r="P274" s="669"/>
      <c r="Q274" s="669"/>
      <c r="R274" s="669"/>
      <c r="S274" s="670"/>
    </row>
    <row r="275" spans="1:20" s="670" customFormat="1" ht="16.5" customHeight="1">
      <c r="A275" s="669"/>
      <c r="B275" s="669"/>
      <c r="C275" s="697"/>
      <c r="D275" s="698"/>
      <c r="E275" s="765"/>
      <c r="F275" s="765"/>
      <c r="G275" s="766"/>
      <c r="H275" s="680"/>
      <c r="I275" s="671"/>
      <c r="J275" s="671"/>
      <c r="K275" s="669"/>
      <c r="L275" s="684"/>
      <c r="M275" s="684"/>
      <c r="N275" s="669"/>
      <c r="O275" s="669"/>
      <c r="P275" s="669"/>
      <c r="Q275" s="669"/>
      <c r="R275" s="669"/>
      <c r="S275" s="669"/>
    </row>
    <row r="276" spans="1:20" s="670" customFormat="1" ht="14.25" hidden="1">
      <c r="A276" s="530" t="str">
        <f>TH!$A$1</f>
        <v>Đơn vị: CÔNG TY TNHH SX TM KIM DUNG PHÁT</v>
      </c>
      <c r="C276" s="697"/>
      <c r="D276" s="698"/>
      <c r="E276" s="715"/>
      <c r="F276" s="715"/>
      <c r="G276" s="715"/>
      <c r="H276" s="282"/>
      <c r="I276" s="558"/>
      <c r="J276" s="558"/>
      <c r="K276" s="282"/>
      <c r="L276" s="684"/>
      <c r="M276" s="684"/>
      <c r="N276" s="669"/>
      <c r="O276" s="669"/>
      <c r="P276" s="669"/>
      <c r="Q276" s="669"/>
      <c r="R276" s="669"/>
      <c r="S276" s="669"/>
    </row>
    <row r="277" spans="1:20">
      <c r="A277" s="671" t="s">
        <v>1272</v>
      </c>
      <c r="B277" s="671"/>
      <c r="C277" s="697"/>
      <c r="D277" s="698"/>
      <c r="E277" s="761"/>
      <c r="F277" s="761"/>
      <c r="G277" s="761"/>
      <c r="H277" s="671"/>
      <c r="I277" s="671"/>
      <c r="J277" s="671"/>
      <c r="K277" s="671"/>
      <c r="O277" s="669"/>
      <c r="P277" s="669"/>
      <c r="Q277" s="669"/>
    </row>
    <row r="278" spans="1:20" ht="18" customHeight="1">
      <c r="A278" s="671"/>
      <c r="B278" s="672"/>
      <c r="C278" s="697"/>
      <c r="D278" s="698"/>
      <c r="E278" s="758"/>
      <c r="F278" s="758"/>
      <c r="G278" s="758"/>
      <c r="H278" s="672"/>
      <c r="I278" s="685"/>
      <c r="J278" s="685"/>
      <c r="K278" s="672"/>
      <c r="M278" s="684"/>
      <c r="O278" s="669"/>
      <c r="P278" s="669"/>
      <c r="Q278" s="669"/>
    </row>
    <row r="279" spans="1:20" ht="18.75" customHeight="1">
      <c r="A279" s="1116" t="s">
        <v>35</v>
      </c>
      <c r="B279" s="1116" t="s">
        <v>238</v>
      </c>
      <c r="C279" s="1116" t="s">
        <v>723</v>
      </c>
      <c r="D279" s="1116" t="s">
        <v>724</v>
      </c>
      <c r="E279" s="1117" t="s">
        <v>725</v>
      </c>
      <c r="F279" s="1118"/>
      <c r="G279" s="1118"/>
      <c r="H279" s="1119"/>
      <c r="I279" s="1116" t="s">
        <v>239</v>
      </c>
      <c r="J279" s="1123" t="s">
        <v>735</v>
      </c>
      <c r="K279" s="1116" t="s">
        <v>729</v>
      </c>
      <c r="L279" s="411"/>
      <c r="M279" s="684"/>
      <c r="N279" s="1116" t="s">
        <v>238</v>
      </c>
      <c r="O279" s="1116" t="s">
        <v>730</v>
      </c>
      <c r="P279" s="1116" t="s">
        <v>197</v>
      </c>
      <c r="Q279" s="1116" t="s">
        <v>240</v>
      </c>
      <c r="R279" s="1116" t="s">
        <v>241</v>
      </c>
      <c r="S279" s="412"/>
    </row>
    <row r="280" spans="1:20" ht="18.75" customHeight="1">
      <c r="A280" s="1116"/>
      <c r="B280" s="1116"/>
      <c r="C280" s="1116"/>
      <c r="D280" s="1116"/>
      <c r="E280" s="717" t="s">
        <v>726</v>
      </c>
      <c r="F280" s="717" t="s">
        <v>727</v>
      </c>
      <c r="G280" s="717" t="s">
        <v>728</v>
      </c>
      <c r="H280" s="410" t="s">
        <v>733</v>
      </c>
      <c r="I280" s="1116"/>
      <c r="J280" s="1124"/>
      <c r="K280" s="1116"/>
      <c r="L280" s="411"/>
      <c r="M280" s="684"/>
      <c r="N280" s="1116"/>
      <c r="O280" s="1116"/>
      <c r="P280" s="1116"/>
      <c r="Q280" s="1116"/>
      <c r="R280" s="1116"/>
      <c r="S280" s="412"/>
    </row>
    <row r="281" spans="1:20" s="412" customFormat="1" ht="17.25" customHeight="1">
      <c r="A281" s="721">
        <f t="shared" ref="A281:A344" si="38">IF(B281&lt;&gt;"",ROW()-171,"")</f>
        <v>110</v>
      </c>
      <c r="B281" s="753" t="s">
        <v>1310</v>
      </c>
      <c r="C281" s="689">
        <v>42464</v>
      </c>
      <c r="D281" s="690" t="s">
        <v>497</v>
      </c>
      <c r="E281" s="767">
        <v>38</v>
      </c>
      <c r="F281" s="767">
        <v>37</v>
      </c>
      <c r="G281" s="767">
        <v>30</v>
      </c>
      <c r="H281" s="759">
        <f>IF(G281&lt;&gt;"",ROUND(((E281+F281)*2+5)*(F281+G281+3)/10000,2),ROUND(E281*F281/10000,2))</f>
        <v>1.0900000000000001</v>
      </c>
      <c r="I281" s="705">
        <v>300</v>
      </c>
      <c r="J281" s="674">
        <f t="shared" ref="J281" si="39">H281*I281</f>
        <v>327</v>
      </c>
      <c r="K281" s="674">
        <f>H281*$R$311</f>
        <v>9291.2001617002134</v>
      </c>
      <c r="L281" s="621">
        <v>15300</v>
      </c>
      <c r="M281" s="411"/>
      <c r="N281" s="414" t="s">
        <v>822</v>
      </c>
      <c r="O281" s="189">
        <v>42461</v>
      </c>
      <c r="P281" s="718">
        <v>300</v>
      </c>
      <c r="Q281" s="708">
        <v>9893</v>
      </c>
      <c r="R281" s="8">
        <f t="shared" ref="R281:R282" si="40">ROUND(P281*Q281,0)</f>
        <v>2967900</v>
      </c>
      <c r="S281" s="669">
        <f>I281*L281</f>
        <v>4590000</v>
      </c>
      <c r="T281" s="864">
        <f>I281*K281</f>
        <v>2787360.0485100639</v>
      </c>
    </row>
    <row r="282" spans="1:20" s="412" customFormat="1" ht="17.25" customHeight="1">
      <c r="A282" s="706">
        <f t="shared" si="38"/>
        <v>111</v>
      </c>
      <c r="B282" s="286" t="s">
        <v>1443</v>
      </c>
      <c r="C282" s="689">
        <v>42467</v>
      </c>
      <c r="D282" s="690" t="s">
        <v>964</v>
      </c>
      <c r="E282" s="768">
        <v>49</v>
      </c>
      <c r="F282" s="769">
        <v>38</v>
      </c>
      <c r="G282" s="769">
        <v>12</v>
      </c>
      <c r="H282" s="759">
        <f t="shared" ref="H282:H345" si="41">IF(G282&lt;&gt;"",ROUND(((E282+F282)*2+5)*(F282+G282+3)/10000,2),ROUND(E282*F282/10000,2))</f>
        <v>0.95</v>
      </c>
      <c r="I282" s="252">
        <v>292</v>
      </c>
      <c r="J282" s="674">
        <f t="shared" ref="J282:J343" si="42">H282*I282</f>
        <v>277.39999999999998</v>
      </c>
      <c r="K282" s="674">
        <f t="shared" ref="K282:K344" si="43">H282*$R$311</f>
        <v>8097.8350033166989</v>
      </c>
      <c r="L282" s="621">
        <v>10500</v>
      </c>
      <c r="M282" s="411"/>
      <c r="N282" s="414" t="s">
        <v>825</v>
      </c>
      <c r="O282" s="189">
        <v>42461</v>
      </c>
      <c r="P282" s="718">
        <v>640</v>
      </c>
      <c r="Q282" s="708">
        <v>9207</v>
      </c>
      <c r="R282" s="8">
        <f t="shared" si="40"/>
        <v>5892480</v>
      </c>
      <c r="S282" s="669">
        <f t="shared" ref="S282:S345" si="44">I282*L282</f>
        <v>3066000</v>
      </c>
      <c r="T282" s="864">
        <f t="shared" ref="T282:T345" si="45">I282*K282</f>
        <v>2364567.8209684761</v>
      </c>
    </row>
    <row r="283" spans="1:20" ht="17.25" customHeight="1">
      <c r="A283" s="706">
        <f t="shared" si="38"/>
        <v>112</v>
      </c>
      <c r="B283" s="286" t="s">
        <v>1443</v>
      </c>
      <c r="C283" s="689">
        <v>42467</v>
      </c>
      <c r="D283" s="690" t="s">
        <v>964</v>
      </c>
      <c r="E283" s="768">
        <v>49</v>
      </c>
      <c r="F283" s="769">
        <v>38</v>
      </c>
      <c r="G283" s="769">
        <v>12</v>
      </c>
      <c r="H283" s="759">
        <f t="shared" si="41"/>
        <v>0.95</v>
      </c>
      <c r="I283" s="252">
        <v>486</v>
      </c>
      <c r="J283" s="674">
        <f t="shared" si="42"/>
        <v>461.7</v>
      </c>
      <c r="K283" s="674">
        <f t="shared" si="43"/>
        <v>8097.8350033166989</v>
      </c>
      <c r="L283" s="621">
        <v>10500</v>
      </c>
      <c r="M283" s="621"/>
      <c r="N283" s="190" t="s">
        <v>676</v>
      </c>
      <c r="O283" s="189">
        <v>42495</v>
      </c>
      <c r="P283" s="718">
        <v>6595</v>
      </c>
      <c r="Q283" s="708">
        <v>7600</v>
      </c>
      <c r="R283" s="8">
        <f t="shared" ref="R283:R294" si="46">ROUND(P283*Q283,0)</f>
        <v>50122000</v>
      </c>
      <c r="S283" s="669">
        <f t="shared" si="44"/>
        <v>5103000</v>
      </c>
      <c r="T283" s="864">
        <f t="shared" si="45"/>
        <v>3935547.8116119155</v>
      </c>
    </row>
    <row r="284" spans="1:20" ht="17.25" customHeight="1">
      <c r="A284" s="706">
        <f t="shared" si="38"/>
        <v>113</v>
      </c>
      <c r="B284" s="286" t="s">
        <v>1443</v>
      </c>
      <c r="C284" s="689">
        <v>42467</v>
      </c>
      <c r="D284" s="690" t="s">
        <v>964</v>
      </c>
      <c r="E284" s="768">
        <v>49</v>
      </c>
      <c r="F284" s="769">
        <v>38</v>
      </c>
      <c r="G284" s="769">
        <v>12</v>
      </c>
      <c r="H284" s="759">
        <f t="shared" si="41"/>
        <v>0.95</v>
      </c>
      <c r="I284" s="252">
        <v>303</v>
      </c>
      <c r="J284" s="674">
        <f t="shared" si="42"/>
        <v>287.84999999999997</v>
      </c>
      <c r="K284" s="674">
        <f t="shared" si="43"/>
        <v>8097.8350033166989</v>
      </c>
      <c r="L284" s="621">
        <v>10500</v>
      </c>
      <c r="M284" s="621"/>
      <c r="N284" s="286" t="s">
        <v>690</v>
      </c>
      <c r="O284" s="189">
        <v>42461</v>
      </c>
      <c r="P284" s="718">
        <v>18441</v>
      </c>
      <c r="Q284" s="708">
        <v>8600</v>
      </c>
      <c r="R284" s="8">
        <f t="shared" si="46"/>
        <v>158592600</v>
      </c>
      <c r="S284" s="669">
        <f t="shared" si="44"/>
        <v>3181500</v>
      </c>
      <c r="T284" s="864">
        <f t="shared" si="45"/>
        <v>2453644.0060049598</v>
      </c>
    </row>
    <row r="285" spans="1:20" ht="17.25" customHeight="1">
      <c r="A285" s="706">
        <f t="shared" si="38"/>
        <v>114</v>
      </c>
      <c r="B285" s="286" t="s">
        <v>965</v>
      </c>
      <c r="C285" s="689">
        <v>42467</v>
      </c>
      <c r="D285" s="690" t="s">
        <v>498</v>
      </c>
      <c r="E285" s="768">
        <v>29</v>
      </c>
      <c r="F285" s="769">
        <v>29</v>
      </c>
      <c r="G285" s="769">
        <v>33</v>
      </c>
      <c r="H285" s="759">
        <f t="shared" si="41"/>
        <v>0.79</v>
      </c>
      <c r="I285" s="252">
        <v>529</v>
      </c>
      <c r="J285" s="674">
        <f t="shared" si="42"/>
        <v>417.91</v>
      </c>
      <c r="K285" s="674">
        <f t="shared" si="43"/>
        <v>6733.9891080212556</v>
      </c>
      <c r="L285" s="621">
        <v>5900</v>
      </c>
      <c r="M285" s="621"/>
      <c r="N285" s="286" t="s">
        <v>680</v>
      </c>
      <c r="O285" s="189">
        <v>42464</v>
      </c>
      <c r="P285" s="718">
        <v>7293</v>
      </c>
      <c r="Q285" s="708">
        <v>9000</v>
      </c>
      <c r="R285" s="8">
        <f t="shared" si="46"/>
        <v>65637000</v>
      </c>
      <c r="S285" s="669">
        <f t="shared" si="44"/>
        <v>3121100</v>
      </c>
      <c r="T285" s="864">
        <f t="shared" si="45"/>
        <v>3562280.2381432443</v>
      </c>
    </row>
    <row r="286" spans="1:20" ht="17.25" customHeight="1">
      <c r="A286" s="706">
        <f t="shared" si="38"/>
        <v>115</v>
      </c>
      <c r="B286" s="286" t="s">
        <v>966</v>
      </c>
      <c r="C286" s="689">
        <v>42467</v>
      </c>
      <c r="D286" s="690" t="s">
        <v>498</v>
      </c>
      <c r="E286" s="768">
        <v>33</v>
      </c>
      <c r="F286" s="769">
        <v>33</v>
      </c>
      <c r="G286" s="769">
        <v>35.5</v>
      </c>
      <c r="H286" s="759">
        <f t="shared" si="41"/>
        <v>0.98</v>
      </c>
      <c r="I286" s="252">
        <v>497</v>
      </c>
      <c r="J286" s="674">
        <f t="shared" si="42"/>
        <v>487.06</v>
      </c>
      <c r="K286" s="674">
        <f t="shared" si="43"/>
        <v>8353.5561086845955</v>
      </c>
      <c r="L286" s="621">
        <v>9100</v>
      </c>
      <c r="M286" s="621"/>
      <c r="N286" s="190" t="s">
        <v>690</v>
      </c>
      <c r="O286" s="189">
        <v>42497</v>
      </c>
      <c r="P286" s="718">
        <v>1800</v>
      </c>
      <c r="Q286" s="708">
        <v>7200</v>
      </c>
      <c r="R286" s="8">
        <f t="shared" si="46"/>
        <v>12960000</v>
      </c>
      <c r="S286" s="669">
        <f t="shared" si="44"/>
        <v>4522700</v>
      </c>
      <c r="T286" s="864">
        <f t="shared" si="45"/>
        <v>4151717.3860162441</v>
      </c>
    </row>
    <row r="287" spans="1:20" ht="17.25" customHeight="1">
      <c r="A287" s="706">
        <f t="shared" si="38"/>
        <v>116</v>
      </c>
      <c r="B287" s="286" t="s">
        <v>956</v>
      </c>
      <c r="C287" s="689">
        <v>42467</v>
      </c>
      <c r="D287" s="690" t="s">
        <v>498</v>
      </c>
      <c r="E287" s="768">
        <v>35.5</v>
      </c>
      <c r="F287" s="769">
        <v>35.5</v>
      </c>
      <c r="G287" s="769">
        <v>23.5</v>
      </c>
      <c r="H287" s="759">
        <f t="shared" si="41"/>
        <v>0.91</v>
      </c>
      <c r="I287" s="252">
        <v>516</v>
      </c>
      <c r="J287" s="674">
        <f t="shared" si="42"/>
        <v>469.56</v>
      </c>
      <c r="K287" s="674">
        <f t="shared" si="43"/>
        <v>7756.8735294928383</v>
      </c>
      <c r="L287" s="621">
        <v>6800</v>
      </c>
      <c r="M287" s="621"/>
      <c r="N287" s="190" t="s">
        <v>690</v>
      </c>
      <c r="O287" s="189">
        <v>42497</v>
      </c>
      <c r="P287" s="718">
        <v>2033</v>
      </c>
      <c r="Q287" s="708">
        <v>7200</v>
      </c>
      <c r="R287" s="8">
        <f t="shared" si="46"/>
        <v>14637600</v>
      </c>
      <c r="S287" s="669">
        <f t="shared" si="44"/>
        <v>3508800</v>
      </c>
      <c r="T287" s="864">
        <f t="shared" si="45"/>
        <v>4002546.7412183047</v>
      </c>
    </row>
    <row r="288" spans="1:20" ht="17.25" customHeight="1">
      <c r="A288" s="706">
        <f t="shared" si="38"/>
        <v>117</v>
      </c>
      <c r="B288" s="286" t="s">
        <v>436</v>
      </c>
      <c r="C288" s="689">
        <v>42468</v>
      </c>
      <c r="D288" s="690" t="s">
        <v>500</v>
      </c>
      <c r="E288" s="768">
        <v>37.5</v>
      </c>
      <c r="F288" s="769">
        <v>25.3</v>
      </c>
      <c r="G288" s="769">
        <v>23.9</v>
      </c>
      <c r="H288" s="759">
        <f t="shared" si="41"/>
        <v>0.68</v>
      </c>
      <c r="I288" s="252">
        <v>652</v>
      </c>
      <c r="J288" s="674">
        <f t="shared" si="42"/>
        <v>443.36</v>
      </c>
      <c r="K288" s="674">
        <f t="shared" si="43"/>
        <v>5796.3450550056377</v>
      </c>
      <c r="L288" s="621">
        <v>7300</v>
      </c>
      <c r="M288" s="621"/>
      <c r="N288" s="286" t="s">
        <v>682</v>
      </c>
      <c r="O288" s="189">
        <v>42535</v>
      </c>
      <c r="P288" s="718">
        <v>33077</v>
      </c>
      <c r="Q288" s="708">
        <v>8200</v>
      </c>
      <c r="R288" s="8">
        <f t="shared" si="46"/>
        <v>271231400</v>
      </c>
      <c r="S288" s="669">
        <f t="shared" si="44"/>
        <v>4759600</v>
      </c>
      <c r="T288" s="864">
        <f t="shared" si="45"/>
        <v>3779216.9758636756</v>
      </c>
    </row>
    <row r="289" spans="1:20" ht="17.25" customHeight="1">
      <c r="A289" s="706">
        <f t="shared" si="38"/>
        <v>118</v>
      </c>
      <c r="B289" s="286" t="s">
        <v>436</v>
      </c>
      <c r="C289" s="689">
        <v>42468</v>
      </c>
      <c r="D289" s="690" t="s">
        <v>500</v>
      </c>
      <c r="E289" s="768">
        <v>37.5</v>
      </c>
      <c r="F289" s="769">
        <v>25.3</v>
      </c>
      <c r="G289" s="769">
        <v>23.9</v>
      </c>
      <c r="H289" s="759">
        <f t="shared" si="41"/>
        <v>0.68</v>
      </c>
      <c r="I289" s="252">
        <v>1495</v>
      </c>
      <c r="J289" s="674">
        <f t="shared" si="42"/>
        <v>1016.6</v>
      </c>
      <c r="K289" s="674">
        <f t="shared" si="43"/>
        <v>5796.3450550056377</v>
      </c>
      <c r="L289" s="621">
        <v>5900</v>
      </c>
      <c r="M289" s="621"/>
      <c r="N289" s="190" t="s">
        <v>680</v>
      </c>
      <c r="O289" s="189">
        <v>42535</v>
      </c>
      <c r="P289" s="718">
        <f>4501+700</f>
        <v>5201</v>
      </c>
      <c r="Q289" s="708">
        <v>9000</v>
      </c>
      <c r="R289" s="8">
        <f t="shared" si="46"/>
        <v>46809000</v>
      </c>
      <c r="S289" s="669">
        <f t="shared" si="44"/>
        <v>8820500</v>
      </c>
      <c r="T289" s="864">
        <f t="shared" si="45"/>
        <v>8665535.8572334293</v>
      </c>
    </row>
    <row r="290" spans="1:20" ht="17.25" customHeight="1">
      <c r="A290" s="706">
        <f t="shared" si="38"/>
        <v>119</v>
      </c>
      <c r="B290" s="286" t="s">
        <v>638</v>
      </c>
      <c r="C290" s="689">
        <v>42468</v>
      </c>
      <c r="D290" s="690" t="s">
        <v>502</v>
      </c>
      <c r="E290" s="768">
        <v>52</v>
      </c>
      <c r="F290" s="769">
        <v>24</v>
      </c>
      <c r="G290" s="769">
        <v>24</v>
      </c>
      <c r="H290" s="759">
        <f t="shared" si="41"/>
        <v>0.8</v>
      </c>
      <c r="I290" s="252">
        <v>210</v>
      </c>
      <c r="J290" s="674">
        <f t="shared" si="42"/>
        <v>168</v>
      </c>
      <c r="K290" s="674">
        <f t="shared" si="43"/>
        <v>6819.2294764772205</v>
      </c>
      <c r="L290" s="621">
        <v>6000</v>
      </c>
      <c r="M290" s="621"/>
      <c r="N290" s="190" t="s">
        <v>676</v>
      </c>
      <c r="O290" s="189">
        <v>42522</v>
      </c>
      <c r="P290" s="718">
        <v>5000</v>
      </c>
      <c r="Q290" s="708">
        <v>7600</v>
      </c>
      <c r="R290" s="8">
        <f t="shared" si="46"/>
        <v>38000000</v>
      </c>
      <c r="S290" s="669">
        <f t="shared" si="44"/>
        <v>1260000</v>
      </c>
      <c r="T290" s="864">
        <f t="shared" si="45"/>
        <v>1432038.1900602162</v>
      </c>
    </row>
    <row r="291" spans="1:20" ht="17.25" customHeight="1">
      <c r="A291" s="706">
        <f t="shared" si="38"/>
        <v>120</v>
      </c>
      <c r="B291" s="286" t="s">
        <v>639</v>
      </c>
      <c r="C291" s="689">
        <v>42468</v>
      </c>
      <c r="D291" s="690" t="s">
        <v>502</v>
      </c>
      <c r="E291" s="768">
        <v>52</v>
      </c>
      <c r="F291" s="769">
        <v>27</v>
      </c>
      <c r="G291" s="769">
        <v>27</v>
      </c>
      <c r="H291" s="759">
        <f t="shared" si="41"/>
        <v>0.93</v>
      </c>
      <c r="I291" s="252">
        <v>320</v>
      </c>
      <c r="J291" s="674">
        <f t="shared" si="42"/>
        <v>297.60000000000002</v>
      </c>
      <c r="K291" s="674">
        <f t="shared" si="43"/>
        <v>7927.3542664047691</v>
      </c>
      <c r="L291" s="621">
        <v>6600</v>
      </c>
      <c r="M291" s="621"/>
      <c r="N291" s="190"/>
      <c r="O291" s="691"/>
      <c r="P291" s="718"/>
      <c r="Q291" s="708"/>
      <c r="R291" s="8">
        <f t="shared" si="46"/>
        <v>0</v>
      </c>
      <c r="S291" s="669">
        <f t="shared" si="44"/>
        <v>2112000</v>
      </c>
      <c r="T291" s="864">
        <f t="shared" si="45"/>
        <v>2536753.3652495262</v>
      </c>
    </row>
    <row r="292" spans="1:20" ht="17.25" customHeight="1">
      <c r="A292" s="706">
        <f t="shared" si="38"/>
        <v>121</v>
      </c>
      <c r="B292" s="286" t="s">
        <v>1434</v>
      </c>
      <c r="C292" s="689">
        <v>42468</v>
      </c>
      <c r="D292" s="690" t="s">
        <v>503</v>
      </c>
      <c r="E292" s="768">
        <v>41</v>
      </c>
      <c r="F292" s="769">
        <v>39</v>
      </c>
      <c r="G292" s="769">
        <v>20</v>
      </c>
      <c r="H292" s="759">
        <f t="shared" si="41"/>
        <v>1.02</v>
      </c>
      <c r="I292" s="252">
        <v>200</v>
      </c>
      <c r="J292" s="674">
        <f t="shared" si="42"/>
        <v>204</v>
      </c>
      <c r="K292" s="674">
        <f t="shared" si="43"/>
        <v>8694.5175825084552</v>
      </c>
      <c r="L292" s="621">
        <v>10900</v>
      </c>
      <c r="M292" s="621"/>
      <c r="N292" s="190"/>
      <c r="O292" s="691"/>
      <c r="P292" s="718"/>
      <c r="Q292" s="708"/>
      <c r="R292" s="8">
        <f t="shared" si="46"/>
        <v>0</v>
      </c>
      <c r="S292" s="669">
        <f t="shared" si="44"/>
        <v>2180000</v>
      </c>
      <c r="T292" s="864">
        <f t="shared" si="45"/>
        <v>1738903.516501691</v>
      </c>
    </row>
    <row r="293" spans="1:20" ht="17.25" customHeight="1">
      <c r="A293" s="706">
        <f t="shared" si="38"/>
        <v>122</v>
      </c>
      <c r="B293" s="286" t="s">
        <v>1435</v>
      </c>
      <c r="C293" s="689">
        <v>42468</v>
      </c>
      <c r="D293" s="690" t="s">
        <v>503</v>
      </c>
      <c r="E293" s="768">
        <v>41</v>
      </c>
      <c r="F293" s="769">
        <v>41</v>
      </c>
      <c r="G293" s="769">
        <v>25</v>
      </c>
      <c r="H293" s="759">
        <f t="shared" si="41"/>
        <v>1.17</v>
      </c>
      <c r="I293" s="252">
        <v>200</v>
      </c>
      <c r="J293" s="674">
        <f t="shared" si="42"/>
        <v>234</v>
      </c>
      <c r="K293" s="674">
        <f t="shared" si="43"/>
        <v>9973.1231093479346</v>
      </c>
      <c r="L293" s="621">
        <v>11700</v>
      </c>
      <c r="M293" s="621"/>
      <c r="N293" s="286"/>
      <c r="O293" s="691"/>
      <c r="P293" s="718"/>
      <c r="Q293" s="708"/>
      <c r="R293" s="8">
        <f t="shared" si="46"/>
        <v>0</v>
      </c>
      <c r="S293" s="669">
        <f t="shared" si="44"/>
        <v>2340000</v>
      </c>
      <c r="T293" s="864">
        <f t="shared" si="45"/>
        <v>1994624.6218695869</v>
      </c>
    </row>
    <row r="294" spans="1:20" ht="17.25" customHeight="1">
      <c r="A294" s="706">
        <f t="shared" si="38"/>
        <v>123</v>
      </c>
      <c r="B294" s="286" t="s">
        <v>1306</v>
      </c>
      <c r="C294" s="689">
        <v>42468</v>
      </c>
      <c r="D294" s="690" t="s">
        <v>503</v>
      </c>
      <c r="E294" s="764">
        <v>43</v>
      </c>
      <c r="F294" s="763">
        <v>42</v>
      </c>
      <c r="G294" s="763">
        <v>26</v>
      </c>
      <c r="H294" s="759">
        <f t="shared" si="41"/>
        <v>1.24</v>
      </c>
      <c r="I294" s="252">
        <v>200</v>
      </c>
      <c r="J294" s="674">
        <f t="shared" si="42"/>
        <v>248</v>
      </c>
      <c r="K294" s="674">
        <f t="shared" si="43"/>
        <v>10569.805688539691</v>
      </c>
      <c r="L294" s="621">
        <v>12400</v>
      </c>
      <c r="M294" s="621"/>
      <c r="N294" s="286"/>
      <c r="O294" s="691"/>
      <c r="P294" s="718"/>
      <c r="Q294" s="708"/>
      <c r="R294" s="8">
        <f t="shared" si="46"/>
        <v>0</v>
      </c>
      <c r="S294" s="669">
        <f t="shared" si="44"/>
        <v>2480000</v>
      </c>
      <c r="T294" s="864">
        <f t="shared" si="45"/>
        <v>2113961.137707938</v>
      </c>
    </row>
    <row r="295" spans="1:20" ht="17.25" customHeight="1">
      <c r="A295" s="706">
        <f t="shared" si="38"/>
        <v>124</v>
      </c>
      <c r="B295" s="286" t="s">
        <v>1307</v>
      </c>
      <c r="C295" s="689">
        <v>42468</v>
      </c>
      <c r="D295" s="690" t="s">
        <v>503</v>
      </c>
      <c r="E295" s="764">
        <v>49</v>
      </c>
      <c r="F295" s="763">
        <v>47</v>
      </c>
      <c r="G295" s="763">
        <v>27</v>
      </c>
      <c r="H295" s="759">
        <f t="shared" si="41"/>
        <v>1.52</v>
      </c>
      <c r="I295" s="252">
        <v>200</v>
      </c>
      <c r="J295" s="674">
        <f t="shared" si="42"/>
        <v>304</v>
      </c>
      <c r="K295" s="674">
        <f t="shared" si="43"/>
        <v>12956.536005306718</v>
      </c>
      <c r="L295" s="621">
        <v>14200</v>
      </c>
      <c r="M295" s="621"/>
      <c r="N295" s="414"/>
      <c r="O295" s="689"/>
      <c r="P295" s="718"/>
      <c r="Q295" s="708"/>
      <c r="R295" s="8"/>
      <c r="S295" s="669">
        <f t="shared" si="44"/>
        <v>2840000</v>
      </c>
      <c r="T295" s="864">
        <f t="shared" si="45"/>
        <v>2591307.2010613438</v>
      </c>
    </row>
    <row r="296" spans="1:20" ht="17.25" customHeight="1">
      <c r="A296" s="706">
        <f t="shared" si="38"/>
        <v>125</v>
      </c>
      <c r="B296" s="286" t="s">
        <v>911</v>
      </c>
      <c r="C296" s="689">
        <v>42468</v>
      </c>
      <c r="D296" s="690" t="s">
        <v>504</v>
      </c>
      <c r="E296" s="768">
        <v>70</v>
      </c>
      <c r="F296" s="720">
        <v>45</v>
      </c>
      <c r="G296" s="720">
        <v>50</v>
      </c>
      <c r="H296" s="759">
        <f t="shared" si="41"/>
        <v>2.2999999999999998</v>
      </c>
      <c r="I296" s="252">
        <v>40</v>
      </c>
      <c r="J296" s="674">
        <f t="shared" si="42"/>
        <v>92</v>
      </c>
      <c r="K296" s="674">
        <f t="shared" si="43"/>
        <v>19605.284744872006</v>
      </c>
      <c r="L296" s="621">
        <v>24700</v>
      </c>
      <c r="M296" s="621"/>
      <c r="N296" s="755" t="s">
        <v>717</v>
      </c>
      <c r="O296" s="756"/>
      <c r="P296" s="757"/>
      <c r="Q296" s="498"/>
      <c r="R296" s="498">
        <f>SUM(R281:R295)</f>
        <v>666849980</v>
      </c>
      <c r="S296" s="669">
        <f t="shared" si="44"/>
        <v>988000</v>
      </c>
      <c r="T296" s="864">
        <f t="shared" si="45"/>
        <v>784211.38979488029</v>
      </c>
    </row>
    <row r="297" spans="1:20" ht="17.25" customHeight="1">
      <c r="A297" s="706">
        <f t="shared" si="38"/>
        <v>126</v>
      </c>
      <c r="B297" s="286" t="s">
        <v>967</v>
      </c>
      <c r="C297" s="689">
        <v>42468</v>
      </c>
      <c r="D297" s="690" t="s">
        <v>505</v>
      </c>
      <c r="E297" s="768">
        <v>36.5</v>
      </c>
      <c r="F297" s="769">
        <v>26.5</v>
      </c>
      <c r="G297" s="769">
        <v>26</v>
      </c>
      <c r="H297" s="759">
        <f t="shared" si="41"/>
        <v>0.73</v>
      </c>
      <c r="I297" s="252">
        <v>540</v>
      </c>
      <c r="J297" s="674">
        <f t="shared" si="42"/>
        <v>394.2</v>
      </c>
      <c r="K297" s="674">
        <f t="shared" si="43"/>
        <v>6222.5468972854633</v>
      </c>
      <c r="L297" s="621">
        <v>11000</v>
      </c>
      <c r="M297" s="621"/>
      <c r="N297" s="414" t="s">
        <v>335</v>
      </c>
      <c r="O297" s="689">
        <v>42517</v>
      </c>
      <c r="P297" s="718">
        <v>24</v>
      </c>
      <c r="Q297" s="708">
        <v>42000</v>
      </c>
      <c r="R297" s="8">
        <f t="shared" ref="R297:R299" si="47">ROUND(P297*Q297,0)</f>
        <v>1008000</v>
      </c>
      <c r="S297" s="669">
        <f t="shared" si="44"/>
        <v>5940000</v>
      </c>
      <c r="T297" s="864">
        <f t="shared" si="45"/>
        <v>3360175.3245341503</v>
      </c>
    </row>
    <row r="298" spans="1:20" ht="17.25" customHeight="1">
      <c r="A298" s="706">
        <f t="shared" si="38"/>
        <v>127</v>
      </c>
      <c r="B298" s="286" t="s">
        <v>1437</v>
      </c>
      <c r="C298" s="689">
        <v>42468</v>
      </c>
      <c r="D298" s="690" t="s">
        <v>506</v>
      </c>
      <c r="E298" s="768">
        <v>29</v>
      </c>
      <c r="F298" s="769">
        <v>18</v>
      </c>
      <c r="G298" s="769">
        <v>18.8</v>
      </c>
      <c r="H298" s="759">
        <f t="shared" si="41"/>
        <v>0.39</v>
      </c>
      <c r="I298" s="252">
        <v>3000</v>
      </c>
      <c r="J298" s="674">
        <f t="shared" si="42"/>
        <v>1170</v>
      </c>
      <c r="K298" s="674">
        <f t="shared" si="43"/>
        <v>3324.3743697826449</v>
      </c>
      <c r="L298" s="621">
        <v>5200</v>
      </c>
      <c r="M298" s="621"/>
      <c r="N298" s="414" t="s">
        <v>813</v>
      </c>
      <c r="O298" s="689">
        <v>42527</v>
      </c>
      <c r="P298" s="718">
        <v>350</v>
      </c>
      <c r="Q298" s="708">
        <v>19545</v>
      </c>
      <c r="R298" s="8">
        <f t="shared" si="47"/>
        <v>6840750</v>
      </c>
      <c r="S298" s="669">
        <f t="shared" si="44"/>
        <v>15600000</v>
      </c>
      <c r="T298" s="864">
        <f t="shared" si="45"/>
        <v>9973123.1093479339</v>
      </c>
    </row>
    <row r="299" spans="1:20" ht="17.25" customHeight="1">
      <c r="A299" s="706">
        <f t="shared" si="38"/>
        <v>128</v>
      </c>
      <c r="B299" s="286" t="s">
        <v>968</v>
      </c>
      <c r="C299" s="689">
        <v>42471</v>
      </c>
      <c r="D299" s="690" t="s">
        <v>508</v>
      </c>
      <c r="E299" s="768">
        <v>52</v>
      </c>
      <c r="F299" s="769">
        <v>38</v>
      </c>
      <c r="G299" s="769">
        <v>18</v>
      </c>
      <c r="H299" s="759">
        <f t="shared" si="41"/>
        <v>1.0900000000000001</v>
      </c>
      <c r="I299" s="252">
        <v>100</v>
      </c>
      <c r="J299" s="674">
        <f t="shared" si="42"/>
        <v>109.00000000000001</v>
      </c>
      <c r="K299" s="674">
        <f t="shared" si="43"/>
        <v>9291.2001617002134</v>
      </c>
      <c r="L299" s="621">
        <v>13500</v>
      </c>
      <c r="M299" s="621"/>
      <c r="N299" s="414" t="s">
        <v>857</v>
      </c>
      <c r="O299" s="689">
        <v>42527</v>
      </c>
      <c r="P299" s="718">
        <v>400</v>
      </c>
      <c r="Q299" s="708">
        <v>18000</v>
      </c>
      <c r="R299" s="8">
        <f t="shared" si="47"/>
        <v>7200000</v>
      </c>
      <c r="S299" s="669">
        <f t="shared" si="44"/>
        <v>1350000</v>
      </c>
      <c r="T299" s="864">
        <f t="shared" si="45"/>
        <v>929120.01617002138</v>
      </c>
    </row>
    <row r="300" spans="1:20" ht="17.25" customHeight="1">
      <c r="A300" s="706">
        <f t="shared" si="38"/>
        <v>129</v>
      </c>
      <c r="B300" s="286" t="s">
        <v>970</v>
      </c>
      <c r="C300" s="689">
        <v>42471</v>
      </c>
      <c r="D300" s="690" t="s">
        <v>508</v>
      </c>
      <c r="E300" s="768">
        <v>50</v>
      </c>
      <c r="F300" s="769">
        <v>37.5</v>
      </c>
      <c r="G300" s="769">
        <v>32</v>
      </c>
      <c r="H300" s="759">
        <f t="shared" si="41"/>
        <v>1.31</v>
      </c>
      <c r="I300" s="252">
        <v>100</v>
      </c>
      <c r="J300" s="674">
        <f t="shared" si="42"/>
        <v>131</v>
      </c>
      <c r="K300" s="674">
        <f t="shared" si="43"/>
        <v>11166.488267731449</v>
      </c>
      <c r="L300" s="621">
        <v>15500</v>
      </c>
      <c r="M300" s="621"/>
      <c r="N300" s="414"/>
      <c r="O300" s="689"/>
      <c r="P300" s="718"/>
      <c r="Q300" s="708"/>
      <c r="R300" s="8"/>
      <c r="S300" s="669">
        <f t="shared" si="44"/>
        <v>1550000</v>
      </c>
      <c r="T300" s="864">
        <f t="shared" si="45"/>
        <v>1116648.826773145</v>
      </c>
    </row>
    <row r="301" spans="1:20" ht="17.25" customHeight="1">
      <c r="A301" s="706">
        <f t="shared" si="38"/>
        <v>130</v>
      </c>
      <c r="B301" s="286" t="s">
        <v>971</v>
      </c>
      <c r="C301" s="689">
        <v>42471</v>
      </c>
      <c r="D301" s="690" t="s">
        <v>508</v>
      </c>
      <c r="E301" s="768">
        <v>50.5</v>
      </c>
      <c r="F301" s="769">
        <v>40</v>
      </c>
      <c r="G301" s="769">
        <v>23</v>
      </c>
      <c r="H301" s="759">
        <f t="shared" si="41"/>
        <v>1.23</v>
      </c>
      <c r="I301" s="252">
        <v>100</v>
      </c>
      <c r="J301" s="674">
        <f t="shared" si="42"/>
        <v>123</v>
      </c>
      <c r="K301" s="674">
        <f t="shared" si="43"/>
        <v>10484.565320083726</v>
      </c>
      <c r="L301" s="621">
        <v>14500</v>
      </c>
      <c r="M301" s="621"/>
      <c r="N301" s="755" t="s">
        <v>718</v>
      </c>
      <c r="O301" s="756"/>
      <c r="P301" s="757"/>
      <c r="Q301" s="498"/>
      <c r="R301" s="498">
        <f>SUM(R297:R300)</f>
        <v>15048750</v>
      </c>
      <c r="S301" s="669">
        <f t="shared" si="44"/>
        <v>1450000</v>
      </c>
      <c r="T301" s="864">
        <f t="shared" si="45"/>
        <v>1048456.5320083726</v>
      </c>
    </row>
    <row r="302" spans="1:20" ht="17.25" customHeight="1">
      <c r="A302" s="706">
        <f t="shared" si="38"/>
        <v>131</v>
      </c>
      <c r="B302" s="286" t="s">
        <v>645</v>
      </c>
      <c r="C302" s="689">
        <v>42472</v>
      </c>
      <c r="D302" s="690" t="s">
        <v>509</v>
      </c>
      <c r="E302" s="768">
        <v>45</v>
      </c>
      <c r="F302" s="769">
        <v>37</v>
      </c>
      <c r="G302" s="769">
        <v>27.5</v>
      </c>
      <c r="H302" s="759">
        <f t="shared" si="41"/>
        <v>1.1399999999999999</v>
      </c>
      <c r="I302" s="252">
        <v>1004</v>
      </c>
      <c r="J302" s="674">
        <f t="shared" si="42"/>
        <v>1144.56</v>
      </c>
      <c r="K302" s="674">
        <f t="shared" si="43"/>
        <v>9717.402003980038</v>
      </c>
      <c r="L302" s="621">
        <v>13800</v>
      </c>
      <c r="M302" s="621"/>
      <c r="N302" s="414" t="s">
        <v>719</v>
      </c>
      <c r="O302" s="689"/>
      <c r="P302" s="718"/>
      <c r="Q302" s="708"/>
      <c r="R302" s="8">
        <f>R296</f>
        <v>666849980</v>
      </c>
      <c r="S302" s="669">
        <f t="shared" si="44"/>
        <v>13855200</v>
      </c>
      <c r="T302" s="864">
        <f t="shared" si="45"/>
        <v>9756271.6119959578</v>
      </c>
    </row>
    <row r="303" spans="1:20" ht="17.25" customHeight="1">
      <c r="A303" s="706">
        <f t="shared" si="38"/>
        <v>132</v>
      </c>
      <c r="B303" s="286" t="s">
        <v>693</v>
      </c>
      <c r="C303" s="689">
        <v>42472</v>
      </c>
      <c r="D303" s="690" t="s">
        <v>509</v>
      </c>
      <c r="E303" s="768">
        <v>44</v>
      </c>
      <c r="F303" s="769">
        <v>20</v>
      </c>
      <c r="G303" s="769"/>
      <c r="H303" s="759">
        <f t="shared" si="41"/>
        <v>0.09</v>
      </c>
      <c r="I303" s="252">
        <v>2008</v>
      </c>
      <c r="J303" s="674">
        <f t="shared" si="42"/>
        <v>180.72</v>
      </c>
      <c r="K303" s="674">
        <f t="shared" si="43"/>
        <v>767.16331610368729</v>
      </c>
      <c r="L303" s="621">
        <v>1300</v>
      </c>
      <c r="M303" s="621"/>
      <c r="N303" s="414" t="s">
        <v>720</v>
      </c>
      <c r="O303" s="689"/>
      <c r="P303" s="718"/>
      <c r="Q303" s="708"/>
      <c r="R303" s="8">
        <f>R301</f>
        <v>15048750</v>
      </c>
      <c r="S303" s="669">
        <f t="shared" si="44"/>
        <v>2610400</v>
      </c>
      <c r="T303" s="864">
        <f t="shared" si="45"/>
        <v>1540463.9387362041</v>
      </c>
    </row>
    <row r="304" spans="1:20" ht="17.25" customHeight="1">
      <c r="A304" s="706">
        <f t="shared" si="38"/>
        <v>133</v>
      </c>
      <c r="B304" s="286" t="s">
        <v>972</v>
      </c>
      <c r="C304" s="689">
        <v>42472</v>
      </c>
      <c r="D304" s="690" t="s">
        <v>510</v>
      </c>
      <c r="E304" s="768">
        <v>55</v>
      </c>
      <c r="F304" s="769">
        <v>28</v>
      </c>
      <c r="G304" s="769">
        <v>22</v>
      </c>
      <c r="H304" s="759">
        <f t="shared" si="41"/>
        <v>0.91</v>
      </c>
      <c r="I304" s="252">
        <v>207</v>
      </c>
      <c r="J304" s="674">
        <f t="shared" si="42"/>
        <v>188.37</v>
      </c>
      <c r="K304" s="674">
        <f t="shared" si="43"/>
        <v>7756.8735294928383</v>
      </c>
      <c r="L304" s="621">
        <v>13200</v>
      </c>
      <c r="M304" s="621"/>
      <c r="N304" s="414" t="s">
        <v>722</v>
      </c>
      <c r="O304" s="689"/>
      <c r="P304" s="718"/>
      <c r="Q304" s="708"/>
      <c r="R304" s="8">
        <v>6580000</v>
      </c>
      <c r="S304" s="669">
        <f t="shared" si="44"/>
        <v>2732400</v>
      </c>
      <c r="T304" s="864">
        <f t="shared" si="45"/>
        <v>1605672.8206050175</v>
      </c>
    </row>
    <row r="305" spans="1:20" ht="17.25" customHeight="1">
      <c r="A305" s="706">
        <f t="shared" si="38"/>
        <v>134</v>
      </c>
      <c r="B305" s="286" t="s">
        <v>973</v>
      </c>
      <c r="C305" s="689">
        <v>42472</v>
      </c>
      <c r="D305" s="690" t="s">
        <v>510</v>
      </c>
      <c r="E305" s="768">
        <v>35</v>
      </c>
      <c r="F305" s="769">
        <v>35</v>
      </c>
      <c r="G305" s="769">
        <v>26</v>
      </c>
      <c r="H305" s="759">
        <f t="shared" si="41"/>
        <v>0.93</v>
      </c>
      <c r="I305" s="252">
        <v>173</v>
      </c>
      <c r="J305" s="674">
        <f t="shared" si="42"/>
        <v>160.89000000000001</v>
      </c>
      <c r="K305" s="674">
        <f t="shared" si="43"/>
        <v>7927.3542664047691</v>
      </c>
      <c r="L305" s="621">
        <v>11000</v>
      </c>
      <c r="M305" s="621"/>
      <c r="N305" s="414" t="s">
        <v>721</v>
      </c>
      <c r="O305" s="689"/>
      <c r="P305" s="718"/>
      <c r="Q305" s="708"/>
      <c r="R305" s="8">
        <v>30000000</v>
      </c>
      <c r="S305" s="669">
        <f t="shared" si="44"/>
        <v>1903000</v>
      </c>
      <c r="T305" s="864">
        <f t="shared" si="45"/>
        <v>1371432.2880880251</v>
      </c>
    </row>
    <row r="306" spans="1:20" ht="17.25" customHeight="1">
      <c r="A306" s="706">
        <f t="shared" si="38"/>
        <v>135</v>
      </c>
      <c r="B306" s="286" t="s">
        <v>974</v>
      </c>
      <c r="C306" s="689">
        <v>42472</v>
      </c>
      <c r="D306" s="690" t="s">
        <v>511</v>
      </c>
      <c r="E306" s="768">
        <v>33.5</v>
      </c>
      <c r="F306" s="769">
        <v>31.5</v>
      </c>
      <c r="G306" s="769">
        <v>9.5</v>
      </c>
      <c r="H306" s="759">
        <f t="shared" si="41"/>
        <v>0.59</v>
      </c>
      <c r="I306" s="252">
        <v>505</v>
      </c>
      <c r="J306" s="674">
        <f t="shared" si="42"/>
        <v>297.95</v>
      </c>
      <c r="K306" s="674">
        <f t="shared" si="43"/>
        <v>5029.1817389019498</v>
      </c>
      <c r="L306" s="621">
        <v>6400</v>
      </c>
      <c r="M306" s="621"/>
      <c r="N306" s="414" t="s">
        <v>734</v>
      </c>
      <c r="O306" s="689"/>
      <c r="P306" s="718"/>
      <c r="Q306" s="708"/>
      <c r="R306" s="8">
        <v>48420000</v>
      </c>
      <c r="S306" s="669">
        <f t="shared" si="44"/>
        <v>3232000</v>
      </c>
      <c r="T306" s="864">
        <f t="shared" si="45"/>
        <v>2539736.7781454846</v>
      </c>
    </row>
    <row r="307" spans="1:20" ht="17.25" customHeight="1">
      <c r="A307" s="706">
        <f t="shared" si="38"/>
        <v>136</v>
      </c>
      <c r="B307" s="286" t="s">
        <v>975</v>
      </c>
      <c r="C307" s="689">
        <v>42472</v>
      </c>
      <c r="D307" s="690" t="s">
        <v>511</v>
      </c>
      <c r="E307" s="768">
        <v>52.5</v>
      </c>
      <c r="F307" s="769">
        <v>29.5</v>
      </c>
      <c r="G307" s="769">
        <v>9.1999999999999993</v>
      </c>
      <c r="H307" s="759">
        <f t="shared" si="41"/>
        <v>0.7</v>
      </c>
      <c r="I307" s="252">
        <v>988</v>
      </c>
      <c r="J307" s="674">
        <f t="shared" si="42"/>
        <v>691.59999999999991</v>
      </c>
      <c r="K307" s="674">
        <f t="shared" si="43"/>
        <v>5966.8257919175676</v>
      </c>
      <c r="L307" s="621">
        <v>7700</v>
      </c>
      <c r="M307" s="621"/>
      <c r="N307" s="414"/>
      <c r="O307" s="689"/>
      <c r="P307" s="718"/>
      <c r="Q307" s="708"/>
      <c r="R307" s="8"/>
      <c r="S307" s="669">
        <f t="shared" si="44"/>
        <v>7607600</v>
      </c>
      <c r="T307" s="864">
        <f t="shared" si="45"/>
        <v>5895223.882414557</v>
      </c>
    </row>
    <row r="308" spans="1:20" ht="17.25" customHeight="1">
      <c r="A308" s="706">
        <f t="shared" si="38"/>
        <v>137</v>
      </c>
      <c r="B308" s="286" t="s">
        <v>630</v>
      </c>
      <c r="C308" s="689">
        <v>42472</v>
      </c>
      <c r="D308" s="690" t="s">
        <v>513</v>
      </c>
      <c r="E308" s="768">
        <v>48</v>
      </c>
      <c r="F308" s="769">
        <v>23</v>
      </c>
      <c r="G308" s="769">
        <v>22</v>
      </c>
      <c r="H308" s="759">
        <f t="shared" si="41"/>
        <v>0.71</v>
      </c>
      <c r="I308" s="252">
        <v>735</v>
      </c>
      <c r="J308" s="674">
        <f t="shared" si="42"/>
        <v>521.85</v>
      </c>
      <c r="K308" s="674">
        <f t="shared" si="43"/>
        <v>6052.0661603735325</v>
      </c>
      <c r="L308" s="621">
        <v>7135</v>
      </c>
      <c r="M308" s="621"/>
      <c r="N308" s="755" t="s">
        <v>731</v>
      </c>
      <c r="O308" s="756"/>
      <c r="P308" s="757"/>
      <c r="Q308" s="498"/>
      <c r="R308" s="498">
        <f>SUM(R302:R307)</f>
        <v>766898730</v>
      </c>
      <c r="S308" s="669">
        <f t="shared" si="44"/>
        <v>5244225</v>
      </c>
      <c r="T308" s="864">
        <f t="shared" si="45"/>
        <v>4448268.6278745467</v>
      </c>
    </row>
    <row r="309" spans="1:20" ht="17.25" customHeight="1">
      <c r="A309" s="706">
        <f t="shared" si="38"/>
        <v>138</v>
      </c>
      <c r="B309" s="286" t="s">
        <v>418</v>
      </c>
      <c r="C309" s="689">
        <v>42472</v>
      </c>
      <c r="D309" s="690" t="s">
        <v>513</v>
      </c>
      <c r="E309" s="768">
        <v>103</v>
      </c>
      <c r="F309" s="769">
        <v>50</v>
      </c>
      <c r="G309" s="769">
        <v>180</v>
      </c>
      <c r="H309" s="759">
        <f t="shared" si="41"/>
        <v>7.25</v>
      </c>
      <c r="I309" s="252">
        <v>194</v>
      </c>
      <c r="J309" s="674">
        <f t="shared" si="42"/>
        <v>1406.5</v>
      </c>
      <c r="K309" s="674">
        <f t="shared" si="43"/>
        <v>61799.267130574808</v>
      </c>
      <c r="L309" s="621">
        <v>47449</v>
      </c>
      <c r="M309" s="621"/>
      <c r="N309" s="415"/>
      <c r="O309" s="697"/>
      <c r="P309" s="719"/>
      <c r="Q309" s="687"/>
      <c r="R309" s="699"/>
      <c r="S309" s="669">
        <f t="shared" si="44"/>
        <v>9205106</v>
      </c>
      <c r="T309" s="864">
        <f t="shared" si="45"/>
        <v>11989057.823331513</v>
      </c>
    </row>
    <row r="310" spans="1:20" ht="17.25" customHeight="1">
      <c r="A310" s="706">
        <f t="shared" si="38"/>
        <v>139</v>
      </c>
      <c r="B310" s="286" t="s">
        <v>976</v>
      </c>
      <c r="C310" s="689">
        <v>42472</v>
      </c>
      <c r="D310" s="690" t="s">
        <v>513</v>
      </c>
      <c r="E310" s="768">
        <v>122</v>
      </c>
      <c r="F310" s="769">
        <v>54</v>
      </c>
      <c r="G310" s="769">
        <v>176</v>
      </c>
      <c r="H310" s="759">
        <f t="shared" si="41"/>
        <v>8.32</v>
      </c>
      <c r="I310" s="252">
        <v>20</v>
      </c>
      <c r="J310" s="674">
        <f t="shared" si="42"/>
        <v>166.4</v>
      </c>
      <c r="K310" s="674">
        <f t="shared" si="43"/>
        <v>70919.986555363095</v>
      </c>
      <c r="L310" s="621">
        <v>54530</v>
      </c>
      <c r="M310" s="621"/>
      <c r="N310" s="415"/>
      <c r="O310" s="697"/>
      <c r="P310" s="719"/>
      <c r="Q310" s="687"/>
      <c r="R310" s="699"/>
      <c r="S310" s="669">
        <f t="shared" si="44"/>
        <v>1090600</v>
      </c>
      <c r="T310" s="864">
        <f t="shared" si="45"/>
        <v>1418399.731107262</v>
      </c>
    </row>
    <row r="311" spans="1:20" ht="17.25" customHeight="1">
      <c r="A311" s="706">
        <f t="shared" si="38"/>
        <v>140</v>
      </c>
      <c r="B311" s="286" t="s">
        <v>389</v>
      </c>
      <c r="C311" s="689">
        <v>42473</v>
      </c>
      <c r="D311" s="690" t="s">
        <v>514</v>
      </c>
      <c r="E311" s="768">
        <v>52</v>
      </c>
      <c r="F311" s="769">
        <v>24.5</v>
      </c>
      <c r="G311" s="769">
        <v>24.5</v>
      </c>
      <c r="H311" s="759">
        <f t="shared" si="41"/>
        <v>0.82</v>
      </c>
      <c r="I311" s="252">
        <v>1222</v>
      </c>
      <c r="J311" s="674">
        <f t="shared" si="42"/>
        <v>1002.04</v>
      </c>
      <c r="K311" s="674">
        <f t="shared" si="43"/>
        <v>6989.7102133891503</v>
      </c>
      <c r="L311" s="621">
        <v>5000</v>
      </c>
      <c r="M311" s="621"/>
      <c r="N311" s="1120" t="s">
        <v>732</v>
      </c>
      <c r="O311" s="1121"/>
      <c r="P311" s="1121"/>
      <c r="Q311" s="1122"/>
      <c r="R311" s="760">
        <f>R308/J525</f>
        <v>8524.0368455965254</v>
      </c>
      <c r="S311" s="669">
        <f t="shared" si="44"/>
        <v>6110000</v>
      </c>
      <c r="T311" s="864">
        <f t="shared" si="45"/>
        <v>8541425.8807615414</v>
      </c>
    </row>
    <row r="312" spans="1:20" ht="17.25" customHeight="1">
      <c r="A312" s="706">
        <f t="shared" si="38"/>
        <v>141</v>
      </c>
      <c r="B312" s="286" t="s">
        <v>441</v>
      </c>
      <c r="C312" s="689">
        <v>42473</v>
      </c>
      <c r="D312" s="690" t="s">
        <v>514</v>
      </c>
      <c r="E312" s="768">
        <v>55</v>
      </c>
      <c r="F312" s="720">
        <v>45</v>
      </c>
      <c r="G312" s="720">
        <v>29</v>
      </c>
      <c r="H312" s="759">
        <f t="shared" si="41"/>
        <v>1.58</v>
      </c>
      <c r="I312" s="252">
        <v>602</v>
      </c>
      <c r="J312" s="674">
        <f t="shared" si="42"/>
        <v>951.16000000000008</v>
      </c>
      <c r="K312" s="674">
        <f t="shared" si="43"/>
        <v>13467.978216042511</v>
      </c>
      <c r="L312" s="680">
        <v>9700</v>
      </c>
      <c r="M312" s="621"/>
      <c r="O312" s="669"/>
      <c r="P312" s="669"/>
      <c r="Q312" s="669"/>
      <c r="S312" s="669">
        <f t="shared" si="44"/>
        <v>5839400</v>
      </c>
      <c r="T312" s="864">
        <f t="shared" si="45"/>
        <v>8107722.886057592</v>
      </c>
    </row>
    <row r="313" spans="1:20" ht="17.25" customHeight="1">
      <c r="A313" s="706">
        <f t="shared" si="38"/>
        <v>142</v>
      </c>
      <c r="B313" s="286" t="s">
        <v>418</v>
      </c>
      <c r="C313" s="689">
        <v>42475</v>
      </c>
      <c r="D313" s="690" t="s">
        <v>977</v>
      </c>
      <c r="E313" s="768">
        <v>103</v>
      </c>
      <c r="F313" s="720">
        <v>50</v>
      </c>
      <c r="G313" s="720">
        <v>180</v>
      </c>
      <c r="H313" s="759">
        <f t="shared" si="41"/>
        <v>7.25</v>
      </c>
      <c r="I313" s="252">
        <v>295</v>
      </c>
      <c r="J313" s="674">
        <f t="shared" si="42"/>
        <v>2138.75</v>
      </c>
      <c r="K313" s="674">
        <f t="shared" si="43"/>
        <v>61799.267130574808</v>
      </c>
      <c r="L313" s="680">
        <v>47449</v>
      </c>
      <c r="M313" s="621"/>
      <c r="O313" s="669"/>
      <c r="P313" s="669"/>
      <c r="Q313" s="669"/>
      <c r="S313" s="669">
        <f t="shared" si="44"/>
        <v>13997455</v>
      </c>
      <c r="T313" s="864">
        <f t="shared" si="45"/>
        <v>18230783.803519569</v>
      </c>
    </row>
    <row r="314" spans="1:20" ht="17.25" customHeight="1">
      <c r="A314" s="706">
        <f t="shared" si="38"/>
        <v>143</v>
      </c>
      <c r="B314" s="286" t="s">
        <v>978</v>
      </c>
      <c r="C314" s="689">
        <v>42475</v>
      </c>
      <c r="D314" s="690" t="s">
        <v>977</v>
      </c>
      <c r="E314" s="768">
        <v>122</v>
      </c>
      <c r="F314" s="720">
        <v>54</v>
      </c>
      <c r="G314" s="720">
        <v>170</v>
      </c>
      <c r="H314" s="759">
        <f t="shared" si="41"/>
        <v>8.1</v>
      </c>
      <c r="I314" s="252">
        <v>41</v>
      </c>
      <c r="J314" s="674">
        <f t="shared" si="42"/>
        <v>332.09999999999997</v>
      </c>
      <c r="K314" s="674">
        <f t="shared" si="43"/>
        <v>69044.69844933186</v>
      </c>
      <c r="L314" s="680">
        <v>54530</v>
      </c>
      <c r="M314" s="621"/>
      <c r="O314" s="669"/>
      <c r="P314" s="669"/>
      <c r="Q314" s="669"/>
      <c r="S314" s="669">
        <f t="shared" si="44"/>
        <v>2235730</v>
      </c>
      <c r="T314" s="864">
        <f t="shared" si="45"/>
        <v>2830832.6364226062</v>
      </c>
    </row>
    <row r="315" spans="1:20" ht="17.25" customHeight="1">
      <c r="A315" s="706">
        <f t="shared" si="38"/>
        <v>144</v>
      </c>
      <c r="B315" s="286" t="s">
        <v>411</v>
      </c>
      <c r="C315" s="689">
        <v>42475</v>
      </c>
      <c r="D315" s="690" t="s">
        <v>519</v>
      </c>
      <c r="E315" s="768">
        <v>22</v>
      </c>
      <c r="F315" s="720">
        <v>22</v>
      </c>
      <c r="G315" s="720">
        <v>29.5</v>
      </c>
      <c r="H315" s="759">
        <f t="shared" si="41"/>
        <v>0.51</v>
      </c>
      <c r="I315" s="252">
        <v>991</v>
      </c>
      <c r="J315" s="674">
        <f t="shared" si="42"/>
        <v>505.41</v>
      </c>
      <c r="K315" s="674">
        <f t="shared" si="43"/>
        <v>4347.2587912542276</v>
      </c>
      <c r="L315" s="680">
        <v>6700</v>
      </c>
      <c r="M315" s="621"/>
      <c r="O315" s="669"/>
      <c r="P315" s="669"/>
      <c r="Q315" s="669"/>
      <c r="S315" s="669">
        <f t="shared" si="44"/>
        <v>6639700</v>
      </c>
      <c r="T315" s="864">
        <f t="shared" si="45"/>
        <v>4308133.4621329391</v>
      </c>
    </row>
    <row r="316" spans="1:20" ht="17.25" customHeight="1">
      <c r="A316" s="706">
        <f t="shared" si="38"/>
        <v>145</v>
      </c>
      <c r="B316" s="286" t="s">
        <v>607</v>
      </c>
      <c r="C316" s="689">
        <v>42475</v>
      </c>
      <c r="D316" s="690" t="s">
        <v>519</v>
      </c>
      <c r="E316" s="768">
        <v>104</v>
      </c>
      <c r="F316" s="769">
        <v>50</v>
      </c>
      <c r="G316" s="769">
        <v>25</v>
      </c>
      <c r="H316" s="759">
        <f t="shared" si="41"/>
        <v>2.44</v>
      </c>
      <c r="I316" s="252">
        <v>105</v>
      </c>
      <c r="J316" s="674">
        <f t="shared" si="42"/>
        <v>256.2</v>
      </c>
      <c r="K316" s="674">
        <f t="shared" si="43"/>
        <v>20798.649903255522</v>
      </c>
      <c r="L316" s="621">
        <v>27000</v>
      </c>
      <c r="M316" s="621"/>
      <c r="O316" s="669"/>
      <c r="P316" s="669"/>
      <c r="Q316" s="669"/>
      <c r="S316" s="669">
        <f t="shared" si="44"/>
        <v>2835000</v>
      </c>
      <c r="T316" s="864">
        <f t="shared" si="45"/>
        <v>2183858.23984183</v>
      </c>
    </row>
    <row r="317" spans="1:20" ht="17.25" customHeight="1">
      <c r="A317" s="706">
        <f t="shared" si="38"/>
        <v>146</v>
      </c>
      <c r="B317" s="286" t="s">
        <v>979</v>
      </c>
      <c r="C317" s="689">
        <v>42475</v>
      </c>
      <c r="D317" s="690" t="s">
        <v>519</v>
      </c>
      <c r="E317" s="768">
        <v>42.5</v>
      </c>
      <c r="F317" s="769">
        <v>24</v>
      </c>
      <c r="G317" s="769">
        <v>9</v>
      </c>
      <c r="H317" s="759">
        <f t="shared" si="41"/>
        <v>0.5</v>
      </c>
      <c r="I317" s="252">
        <v>209</v>
      </c>
      <c r="J317" s="674">
        <f t="shared" si="42"/>
        <v>104.5</v>
      </c>
      <c r="K317" s="674">
        <f t="shared" si="43"/>
        <v>4262.0184227982627</v>
      </c>
      <c r="L317" s="621">
        <v>5700</v>
      </c>
      <c r="M317" s="621"/>
      <c r="O317" s="669"/>
      <c r="P317" s="669"/>
      <c r="Q317" s="669"/>
      <c r="S317" s="669">
        <f t="shared" si="44"/>
        <v>1191300</v>
      </c>
      <c r="T317" s="864">
        <f t="shared" si="45"/>
        <v>890761.85036483686</v>
      </c>
    </row>
    <row r="318" spans="1:20" ht="17.25" customHeight="1">
      <c r="A318" s="706">
        <f t="shared" si="38"/>
        <v>147</v>
      </c>
      <c r="B318" s="286" t="s">
        <v>436</v>
      </c>
      <c r="C318" s="689">
        <v>42478</v>
      </c>
      <c r="D318" s="690" t="s">
        <v>520</v>
      </c>
      <c r="E318" s="768">
        <v>37.5</v>
      </c>
      <c r="F318" s="769">
        <v>25.3</v>
      </c>
      <c r="G318" s="769">
        <v>23.9</v>
      </c>
      <c r="H318" s="759">
        <f t="shared" si="41"/>
        <v>0.68</v>
      </c>
      <c r="I318" s="252">
        <v>566</v>
      </c>
      <c r="J318" s="674">
        <f t="shared" si="42"/>
        <v>384.88000000000005</v>
      </c>
      <c r="K318" s="674">
        <f t="shared" si="43"/>
        <v>5796.3450550056377</v>
      </c>
      <c r="L318" s="621">
        <v>5900</v>
      </c>
      <c r="M318" s="621"/>
      <c r="O318" s="669"/>
      <c r="P318" s="669"/>
      <c r="Q318" s="669"/>
      <c r="S318" s="669">
        <f t="shared" si="44"/>
        <v>3339400</v>
      </c>
      <c r="T318" s="864">
        <f t="shared" si="45"/>
        <v>3280731.3011331907</v>
      </c>
    </row>
    <row r="319" spans="1:20" ht="17.25" customHeight="1">
      <c r="A319" s="706">
        <f t="shared" si="38"/>
        <v>148</v>
      </c>
      <c r="B319" s="286" t="s">
        <v>549</v>
      </c>
      <c r="C319" s="689">
        <v>42478</v>
      </c>
      <c r="D319" s="690" t="s">
        <v>521</v>
      </c>
      <c r="E319" s="768">
        <v>57</v>
      </c>
      <c r="F319" s="769">
        <v>36</v>
      </c>
      <c r="G319" s="769">
        <v>34</v>
      </c>
      <c r="H319" s="759">
        <f t="shared" si="41"/>
        <v>1.39</v>
      </c>
      <c r="I319" s="252">
        <v>151</v>
      </c>
      <c r="J319" s="674">
        <f t="shared" si="42"/>
        <v>209.89</v>
      </c>
      <c r="K319" s="674">
        <f t="shared" si="43"/>
        <v>11848.41121537917</v>
      </c>
      <c r="L319" s="621">
        <v>20000</v>
      </c>
      <c r="M319" s="621"/>
      <c r="O319" s="669"/>
      <c r="P319" s="669"/>
      <c r="Q319" s="669"/>
      <c r="S319" s="669">
        <f t="shared" si="44"/>
        <v>3020000</v>
      </c>
      <c r="T319" s="864">
        <f t="shared" si="45"/>
        <v>1789110.0935222546</v>
      </c>
    </row>
    <row r="320" spans="1:20" ht="17.25" customHeight="1">
      <c r="A320" s="706">
        <f t="shared" si="38"/>
        <v>149</v>
      </c>
      <c r="B320" s="286" t="s">
        <v>651</v>
      </c>
      <c r="C320" s="689">
        <v>42479</v>
      </c>
      <c r="D320" s="690" t="s">
        <v>522</v>
      </c>
      <c r="E320" s="768">
        <v>52</v>
      </c>
      <c r="F320" s="769">
        <v>25</v>
      </c>
      <c r="G320" s="769">
        <v>25</v>
      </c>
      <c r="H320" s="759">
        <f t="shared" si="41"/>
        <v>0.84</v>
      </c>
      <c r="I320" s="252">
        <v>303</v>
      </c>
      <c r="J320" s="674">
        <f t="shared" si="42"/>
        <v>254.51999999999998</v>
      </c>
      <c r="K320" s="674">
        <f t="shared" si="43"/>
        <v>7160.1909503010811</v>
      </c>
      <c r="L320" s="621">
        <v>5800</v>
      </c>
      <c r="M320" s="621"/>
      <c r="O320" s="669"/>
      <c r="P320" s="669"/>
      <c r="Q320" s="669"/>
      <c r="S320" s="669">
        <f t="shared" si="44"/>
        <v>1757400</v>
      </c>
      <c r="T320" s="864">
        <f t="shared" si="45"/>
        <v>2169537.8579412275</v>
      </c>
    </row>
    <row r="321" spans="1:20" ht="17.25" customHeight="1">
      <c r="A321" s="706">
        <f t="shared" si="38"/>
        <v>150</v>
      </c>
      <c r="B321" s="286" t="s">
        <v>540</v>
      </c>
      <c r="C321" s="689">
        <v>42479</v>
      </c>
      <c r="D321" s="690" t="s">
        <v>522</v>
      </c>
      <c r="E321" s="768">
        <v>52</v>
      </c>
      <c r="F321" s="769">
        <v>28</v>
      </c>
      <c r="G321" s="769">
        <v>28</v>
      </c>
      <c r="H321" s="759">
        <f t="shared" si="41"/>
        <v>0.97</v>
      </c>
      <c r="I321" s="252">
        <v>318</v>
      </c>
      <c r="J321" s="674">
        <f t="shared" si="42"/>
        <v>308.45999999999998</v>
      </c>
      <c r="K321" s="674">
        <f t="shared" si="43"/>
        <v>8268.3157402286288</v>
      </c>
      <c r="L321" s="621">
        <v>6400</v>
      </c>
      <c r="M321" s="621"/>
      <c r="O321" s="669"/>
      <c r="P321" s="669"/>
      <c r="Q321" s="669"/>
      <c r="S321" s="669">
        <f t="shared" si="44"/>
        <v>2035200</v>
      </c>
      <c r="T321" s="864">
        <f t="shared" si="45"/>
        <v>2629324.4053927041</v>
      </c>
    </row>
    <row r="322" spans="1:20" ht="17.25" customHeight="1">
      <c r="A322" s="706">
        <f t="shared" si="38"/>
        <v>151</v>
      </c>
      <c r="B322" s="286" t="s">
        <v>627</v>
      </c>
      <c r="C322" s="689">
        <v>42479</v>
      </c>
      <c r="D322" s="690" t="s">
        <v>981</v>
      </c>
      <c r="E322" s="768">
        <v>40</v>
      </c>
      <c r="F322" s="769">
        <v>30</v>
      </c>
      <c r="G322" s="769">
        <v>18.5</v>
      </c>
      <c r="H322" s="759">
        <f t="shared" si="41"/>
        <v>0.75</v>
      </c>
      <c r="I322" s="252">
        <v>518</v>
      </c>
      <c r="J322" s="674">
        <f t="shared" si="42"/>
        <v>388.5</v>
      </c>
      <c r="K322" s="674">
        <f t="shared" si="43"/>
        <v>6393.027634197394</v>
      </c>
      <c r="L322" s="621">
        <v>8800</v>
      </c>
      <c r="M322" s="621"/>
      <c r="O322" s="669"/>
      <c r="P322" s="669"/>
      <c r="Q322" s="669"/>
      <c r="S322" s="669">
        <f t="shared" si="44"/>
        <v>4558400</v>
      </c>
      <c r="T322" s="864">
        <f t="shared" si="45"/>
        <v>3311588.31451425</v>
      </c>
    </row>
    <row r="323" spans="1:20" ht="17.25" customHeight="1">
      <c r="A323" s="706">
        <f t="shared" si="38"/>
        <v>152</v>
      </c>
      <c r="B323" s="286" t="s">
        <v>1443</v>
      </c>
      <c r="C323" s="689">
        <v>42479</v>
      </c>
      <c r="D323" s="690" t="s">
        <v>981</v>
      </c>
      <c r="E323" s="768">
        <v>49</v>
      </c>
      <c r="F323" s="769">
        <v>38</v>
      </c>
      <c r="G323" s="769">
        <v>12</v>
      </c>
      <c r="H323" s="759">
        <f t="shared" si="41"/>
        <v>0.95</v>
      </c>
      <c r="I323" s="252">
        <v>540</v>
      </c>
      <c r="J323" s="674">
        <f t="shared" si="42"/>
        <v>513</v>
      </c>
      <c r="K323" s="674">
        <f t="shared" si="43"/>
        <v>8097.8350033166989</v>
      </c>
      <c r="L323" s="621">
        <v>10500</v>
      </c>
      <c r="M323" s="621"/>
      <c r="O323" s="669"/>
      <c r="P323" s="669"/>
      <c r="Q323" s="669"/>
      <c r="S323" s="669">
        <f t="shared" si="44"/>
        <v>5670000</v>
      </c>
      <c r="T323" s="864">
        <f t="shared" si="45"/>
        <v>4372830.9017910175</v>
      </c>
    </row>
    <row r="324" spans="1:20" ht="17.25" customHeight="1">
      <c r="A324" s="706">
        <f t="shared" si="38"/>
        <v>153</v>
      </c>
      <c r="B324" s="286" t="s">
        <v>400</v>
      </c>
      <c r="C324" s="689">
        <v>42479</v>
      </c>
      <c r="D324" s="690" t="s">
        <v>981</v>
      </c>
      <c r="E324" s="768">
        <v>49</v>
      </c>
      <c r="F324" s="769">
        <v>38</v>
      </c>
      <c r="G324" s="769">
        <v>12</v>
      </c>
      <c r="H324" s="759">
        <f t="shared" si="41"/>
        <v>0.95</v>
      </c>
      <c r="I324" s="252">
        <v>200</v>
      </c>
      <c r="J324" s="674">
        <f t="shared" si="42"/>
        <v>190</v>
      </c>
      <c r="K324" s="674">
        <f t="shared" si="43"/>
        <v>8097.8350033166989</v>
      </c>
      <c r="L324" s="621">
        <v>10000</v>
      </c>
      <c r="M324" s="621"/>
      <c r="O324" s="669"/>
      <c r="P324" s="669"/>
      <c r="Q324" s="669"/>
      <c r="S324" s="669">
        <f t="shared" si="44"/>
        <v>2000000</v>
      </c>
      <c r="T324" s="864">
        <f t="shared" si="45"/>
        <v>1619567.0006633399</v>
      </c>
    </row>
    <row r="325" spans="1:20" ht="17.25" customHeight="1">
      <c r="A325" s="706">
        <f t="shared" si="38"/>
        <v>154</v>
      </c>
      <c r="B325" s="286" t="s">
        <v>982</v>
      </c>
      <c r="C325" s="689">
        <v>42481</v>
      </c>
      <c r="D325" s="690" t="s">
        <v>692</v>
      </c>
      <c r="E325" s="768">
        <v>110</v>
      </c>
      <c r="F325" s="769">
        <v>45</v>
      </c>
      <c r="G325" s="769">
        <v>38</v>
      </c>
      <c r="H325" s="759">
        <f t="shared" si="41"/>
        <v>2.71</v>
      </c>
      <c r="I325" s="252">
        <v>60</v>
      </c>
      <c r="J325" s="674">
        <f t="shared" si="42"/>
        <v>162.6</v>
      </c>
      <c r="K325" s="674">
        <f t="shared" si="43"/>
        <v>23100.139851566582</v>
      </c>
      <c r="L325" s="621">
        <v>31000</v>
      </c>
      <c r="M325" s="621"/>
      <c r="O325" s="669"/>
      <c r="P325" s="669"/>
      <c r="Q325" s="669"/>
      <c r="S325" s="669">
        <f t="shared" si="44"/>
        <v>1860000</v>
      </c>
      <c r="T325" s="864">
        <f t="shared" si="45"/>
        <v>1386008.391093995</v>
      </c>
    </row>
    <row r="326" spans="1:20" ht="17.25" customHeight="1">
      <c r="A326" s="706">
        <f t="shared" si="38"/>
        <v>155</v>
      </c>
      <c r="B326" s="286" t="s">
        <v>983</v>
      </c>
      <c r="C326" s="689">
        <v>42481</v>
      </c>
      <c r="D326" s="690" t="s">
        <v>692</v>
      </c>
      <c r="E326" s="768">
        <v>110</v>
      </c>
      <c r="F326" s="769">
        <v>50</v>
      </c>
      <c r="G326" s="769">
        <v>41</v>
      </c>
      <c r="H326" s="759">
        <f t="shared" si="41"/>
        <v>3.06</v>
      </c>
      <c r="I326" s="252">
        <v>60</v>
      </c>
      <c r="J326" s="674">
        <f t="shared" si="42"/>
        <v>183.6</v>
      </c>
      <c r="K326" s="674">
        <f t="shared" si="43"/>
        <v>26083.552747525369</v>
      </c>
      <c r="L326" s="621">
        <v>35000</v>
      </c>
      <c r="M326" s="621"/>
      <c r="O326" s="669"/>
      <c r="P326" s="669"/>
      <c r="Q326" s="669"/>
      <c r="S326" s="669">
        <f t="shared" si="44"/>
        <v>2100000</v>
      </c>
      <c r="T326" s="864">
        <f t="shared" si="45"/>
        <v>1565013.1648515221</v>
      </c>
    </row>
    <row r="327" spans="1:20" ht="17.25" customHeight="1">
      <c r="A327" s="706">
        <f t="shared" si="38"/>
        <v>156</v>
      </c>
      <c r="B327" s="286" t="s">
        <v>477</v>
      </c>
      <c r="C327" s="689">
        <v>42482</v>
      </c>
      <c r="D327" s="690" t="s">
        <v>523</v>
      </c>
      <c r="E327" s="768">
        <v>43</v>
      </c>
      <c r="F327" s="769">
        <v>27.5</v>
      </c>
      <c r="G327" s="769">
        <v>33</v>
      </c>
      <c r="H327" s="759">
        <f t="shared" si="41"/>
        <v>0.93</v>
      </c>
      <c r="I327" s="252">
        <v>208</v>
      </c>
      <c r="J327" s="674">
        <f t="shared" si="42"/>
        <v>193.44</v>
      </c>
      <c r="K327" s="674">
        <f t="shared" si="43"/>
        <v>7927.3542664047691</v>
      </c>
      <c r="L327" s="621">
        <v>6400</v>
      </c>
      <c r="M327" s="621"/>
      <c r="O327" s="669"/>
      <c r="P327" s="669"/>
      <c r="Q327" s="669"/>
      <c r="S327" s="669">
        <f t="shared" si="44"/>
        <v>1331200</v>
      </c>
      <c r="T327" s="864">
        <f t="shared" si="45"/>
        <v>1648889.6874121919</v>
      </c>
    </row>
    <row r="328" spans="1:20" ht="17.25" customHeight="1">
      <c r="A328" s="706">
        <f t="shared" si="38"/>
        <v>157</v>
      </c>
      <c r="B328" s="286" t="s">
        <v>645</v>
      </c>
      <c r="C328" s="689">
        <v>42483</v>
      </c>
      <c r="D328" s="690" t="s">
        <v>526</v>
      </c>
      <c r="E328" s="768">
        <v>45</v>
      </c>
      <c r="F328" s="769">
        <v>37</v>
      </c>
      <c r="G328" s="769">
        <v>27.5</v>
      </c>
      <c r="H328" s="759">
        <f t="shared" si="41"/>
        <v>1.1399999999999999</v>
      </c>
      <c r="I328" s="252">
        <v>100</v>
      </c>
      <c r="J328" s="674">
        <f t="shared" si="42"/>
        <v>113.99999999999999</v>
      </c>
      <c r="K328" s="674">
        <f t="shared" si="43"/>
        <v>9717.402003980038</v>
      </c>
      <c r="L328" s="621">
        <v>13400</v>
      </c>
      <c r="M328" s="621"/>
      <c r="O328" s="669"/>
      <c r="P328" s="669"/>
      <c r="Q328" s="669"/>
      <c r="S328" s="669">
        <f t="shared" si="44"/>
        <v>1340000</v>
      </c>
      <c r="T328" s="864">
        <f t="shared" si="45"/>
        <v>971740.2003980038</v>
      </c>
    </row>
    <row r="329" spans="1:20" ht="17.25" customHeight="1">
      <c r="A329" s="706">
        <f t="shared" si="38"/>
        <v>158</v>
      </c>
      <c r="B329" s="286" t="s">
        <v>693</v>
      </c>
      <c r="C329" s="689">
        <v>42483</v>
      </c>
      <c r="D329" s="690" t="s">
        <v>526</v>
      </c>
      <c r="E329" s="768">
        <v>44</v>
      </c>
      <c r="F329" s="769">
        <v>20</v>
      </c>
      <c r="G329" s="769"/>
      <c r="H329" s="759">
        <f t="shared" si="41"/>
        <v>0.09</v>
      </c>
      <c r="I329" s="252">
        <v>200</v>
      </c>
      <c r="J329" s="674">
        <f t="shared" si="42"/>
        <v>18</v>
      </c>
      <c r="K329" s="674">
        <f t="shared" si="43"/>
        <v>767.16331610368729</v>
      </c>
      <c r="L329" s="621">
        <v>1300</v>
      </c>
      <c r="M329" s="621"/>
      <c r="O329" s="669"/>
      <c r="P329" s="669"/>
      <c r="Q329" s="669"/>
      <c r="S329" s="669">
        <f t="shared" si="44"/>
        <v>260000</v>
      </c>
      <c r="T329" s="864">
        <f t="shared" si="45"/>
        <v>153432.66322073745</v>
      </c>
    </row>
    <row r="330" spans="1:20" ht="17.25" customHeight="1">
      <c r="A330" s="706">
        <f t="shared" si="38"/>
        <v>159</v>
      </c>
      <c r="B330" s="286" t="s">
        <v>984</v>
      </c>
      <c r="C330" s="689">
        <v>42485</v>
      </c>
      <c r="D330" s="690" t="s">
        <v>528</v>
      </c>
      <c r="E330" s="768">
        <v>52</v>
      </c>
      <c r="F330" s="769">
        <v>45</v>
      </c>
      <c r="G330" s="769">
        <v>20</v>
      </c>
      <c r="H330" s="759">
        <f t="shared" si="41"/>
        <v>1.35</v>
      </c>
      <c r="I330" s="252">
        <v>420</v>
      </c>
      <c r="J330" s="674">
        <f t="shared" si="42"/>
        <v>567</v>
      </c>
      <c r="K330" s="674">
        <f t="shared" si="43"/>
        <v>11507.449741555311</v>
      </c>
      <c r="L330" s="621">
        <v>9700</v>
      </c>
      <c r="M330" s="621"/>
      <c r="O330" s="669"/>
      <c r="P330" s="669"/>
      <c r="Q330" s="669"/>
      <c r="S330" s="669">
        <f t="shared" si="44"/>
        <v>4074000</v>
      </c>
      <c r="T330" s="864">
        <f t="shared" si="45"/>
        <v>4833128.8914532308</v>
      </c>
    </row>
    <row r="331" spans="1:20" ht="17.25" customHeight="1">
      <c r="A331" s="706">
        <f t="shared" si="38"/>
        <v>160</v>
      </c>
      <c r="B331" s="286" t="s">
        <v>480</v>
      </c>
      <c r="C331" s="689">
        <v>42485</v>
      </c>
      <c r="D331" s="690" t="s">
        <v>528</v>
      </c>
      <c r="E331" s="768">
        <v>47</v>
      </c>
      <c r="F331" s="769">
        <v>42</v>
      </c>
      <c r="G331" s="769">
        <v>24.5</v>
      </c>
      <c r="H331" s="759">
        <f t="shared" si="41"/>
        <v>1.27</v>
      </c>
      <c r="I331" s="252">
        <v>371</v>
      </c>
      <c r="J331" s="674">
        <f t="shared" si="42"/>
        <v>471.17</v>
      </c>
      <c r="K331" s="674">
        <f t="shared" si="43"/>
        <v>10825.526793907587</v>
      </c>
      <c r="L331" s="621">
        <v>9200</v>
      </c>
      <c r="M331" s="621"/>
      <c r="O331" s="669"/>
      <c r="P331" s="669"/>
      <c r="Q331" s="669"/>
      <c r="S331" s="669">
        <f t="shared" si="44"/>
        <v>3413200</v>
      </c>
      <c r="T331" s="864">
        <f t="shared" si="45"/>
        <v>4016270.4405397149</v>
      </c>
    </row>
    <row r="332" spans="1:20" ht="17.25" customHeight="1">
      <c r="A332" s="706">
        <f t="shared" si="38"/>
        <v>161</v>
      </c>
      <c r="B332" s="286" t="s">
        <v>480</v>
      </c>
      <c r="C332" s="689">
        <v>42485</v>
      </c>
      <c r="D332" s="690" t="s">
        <v>528</v>
      </c>
      <c r="E332" s="768">
        <v>47</v>
      </c>
      <c r="F332" s="769">
        <v>42</v>
      </c>
      <c r="G332" s="769">
        <v>24.5</v>
      </c>
      <c r="H332" s="759">
        <f t="shared" si="41"/>
        <v>1.27</v>
      </c>
      <c r="I332" s="252">
        <v>205</v>
      </c>
      <c r="J332" s="674">
        <f t="shared" si="42"/>
        <v>260.35000000000002</v>
      </c>
      <c r="K332" s="674">
        <f t="shared" si="43"/>
        <v>10825.526793907587</v>
      </c>
      <c r="L332" s="621">
        <v>9350</v>
      </c>
      <c r="M332" s="621"/>
      <c r="O332" s="669"/>
      <c r="P332" s="669"/>
      <c r="Q332" s="669"/>
      <c r="S332" s="669">
        <f t="shared" si="44"/>
        <v>1916750</v>
      </c>
      <c r="T332" s="864">
        <f t="shared" si="45"/>
        <v>2219232.9927510554</v>
      </c>
    </row>
    <row r="333" spans="1:20" ht="17.25" customHeight="1">
      <c r="A333" s="706">
        <f t="shared" si="38"/>
        <v>162</v>
      </c>
      <c r="B333" s="286" t="s">
        <v>985</v>
      </c>
      <c r="C333" s="689">
        <v>42485</v>
      </c>
      <c r="D333" s="690" t="s">
        <v>529</v>
      </c>
      <c r="E333" s="768">
        <v>58</v>
      </c>
      <c r="F333" s="769">
        <v>31</v>
      </c>
      <c r="G333" s="769">
        <v>40</v>
      </c>
      <c r="H333" s="759">
        <f t="shared" si="41"/>
        <v>1.35</v>
      </c>
      <c r="I333" s="252">
        <v>220</v>
      </c>
      <c r="J333" s="674">
        <f t="shared" si="42"/>
        <v>297</v>
      </c>
      <c r="K333" s="674">
        <f t="shared" si="43"/>
        <v>11507.449741555311</v>
      </c>
      <c r="L333" s="621">
        <v>9700</v>
      </c>
      <c r="M333" s="621"/>
      <c r="O333" s="669"/>
      <c r="P333" s="669"/>
      <c r="Q333" s="669"/>
      <c r="S333" s="669">
        <f t="shared" si="44"/>
        <v>2134000</v>
      </c>
      <c r="T333" s="864">
        <f t="shared" si="45"/>
        <v>2531638.9431421682</v>
      </c>
    </row>
    <row r="334" spans="1:20" ht="17.25" customHeight="1">
      <c r="A334" s="706">
        <f t="shared" si="38"/>
        <v>163</v>
      </c>
      <c r="B334" s="286" t="s">
        <v>934</v>
      </c>
      <c r="C334" s="689">
        <v>42485</v>
      </c>
      <c r="D334" s="690" t="s">
        <v>529</v>
      </c>
      <c r="E334" s="768">
        <v>53</v>
      </c>
      <c r="F334" s="769">
        <v>42</v>
      </c>
      <c r="G334" s="769">
        <v>26</v>
      </c>
      <c r="H334" s="759">
        <f t="shared" si="41"/>
        <v>1.38</v>
      </c>
      <c r="I334" s="252">
        <v>210</v>
      </c>
      <c r="J334" s="674">
        <f t="shared" si="42"/>
        <v>289.79999999999995</v>
      </c>
      <c r="K334" s="674">
        <f t="shared" si="43"/>
        <v>11763.170846923203</v>
      </c>
      <c r="L334" s="621">
        <v>9800</v>
      </c>
      <c r="M334" s="621"/>
      <c r="O334" s="669"/>
      <c r="P334" s="669"/>
      <c r="Q334" s="669"/>
      <c r="S334" s="669">
        <f t="shared" si="44"/>
        <v>2058000</v>
      </c>
      <c r="T334" s="864">
        <f t="shared" si="45"/>
        <v>2470265.8778538727</v>
      </c>
    </row>
    <row r="335" spans="1:20" ht="17.25" customHeight="1">
      <c r="A335" s="706">
        <f t="shared" si="38"/>
        <v>164</v>
      </c>
      <c r="B335" s="286" t="s">
        <v>480</v>
      </c>
      <c r="C335" s="689">
        <v>42485</v>
      </c>
      <c r="D335" s="690" t="s">
        <v>529</v>
      </c>
      <c r="E335" s="768">
        <v>47</v>
      </c>
      <c r="F335" s="769">
        <v>42</v>
      </c>
      <c r="G335" s="769">
        <v>24.5</v>
      </c>
      <c r="H335" s="759">
        <f t="shared" si="41"/>
        <v>1.27</v>
      </c>
      <c r="I335" s="252">
        <v>645</v>
      </c>
      <c r="J335" s="674">
        <f t="shared" si="42"/>
        <v>819.15</v>
      </c>
      <c r="K335" s="674">
        <f t="shared" si="43"/>
        <v>10825.526793907587</v>
      </c>
      <c r="L335" s="621">
        <v>9200</v>
      </c>
      <c r="M335" s="621"/>
      <c r="O335" s="669"/>
      <c r="P335" s="669"/>
      <c r="Q335" s="669"/>
      <c r="S335" s="669">
        <f t="shared" si="44"/>
        <v>5934000</v>
      </c>
      <c r="T335" s="864">
        <f t="shared" si="45"/>
        <v>6982464.7820703937</v>
      </c>
    </row>
    <row r="336" spans="1:20" ht="17.25" customHeight="1">
      <c r="A336" s="706">
        <f t="shared" si="38"/>
        <v>165</v>
      </c>
      <c r="B336" s="286" t="s">
        <v>986</v>
      </c>
      <c r="C336" s="689">
        <v>42485</v>
      </c>
      <c r="D336" s="690" t="s">
        <v>529</v>
      </c>
      <c r="E336" s="768">
        <v>63</v>
      </c>
      <c r="F336" s="769">
        <v>43</v>
      </c>
      <c r="G336" s="769">
        <v>18</v>
      </c>
      <c r="H336" s="759">
        <f t="shared" si="41"/>
        <v>1.39</v>
      </c>
      <c r="I336" s="252">
        <v>210</v>
      </c>
      <c r="J336" s="674">
        <f t="shared" si="42"/>
        <v>291.89999999999998</v>
      </c>
      <c r="K336" s="674">
        <f t="shared" si="43"/>
        <v>11848.41121537917</v>
      </c>
      <c r="L336" s="621">
        <v>9950</v>
      </c>
      <c r="M336" s="621"/>
      <c r="O336" s="669"/>
      <c r="P336" s="669"/>
      <c r="Q336" s="669"/>
      <c r="S336" s="669">
        <f t="shared" si="44"/>
        <v>2089500</v>
      </c>
      <c r="T336" s="864">
        <f t="shared" si="45"/>
        <v>2488166.3552296259</v>
      </c>
    </row>
    <row r="337" spans="1:20" ht="17.25" customHeight="1">
      <c r="A337" s="706">
        <f t="shared" si="38"/>
        <v>166</v>
      </c>
      <c r="B337" s="286" t="s">
        <v>987</v>
      </c>
      <c r="C337" s="689">
        <v>42486</v>
      </c>
      <c r="D337" s="690" t="s">
        <v>534</v>
      </c>
      <c r="E337" s="768">
        <v>43</v>
      </c>
      <c r="F337" s="769">
        <v>40</v>
      </c>
      <c r="G337" s="769">
        <v>27</v>
      </c>
      <c r="H337" s="759">
        <f t="shared" si="41"/>
        <v>1.2</v>
      </c>
      <c r="I337" s="252">
        <v>105</v>
      </c>
      <c r="J337" s="674">
        <f t="shared" si="42"/>
        <v>126</v>
      </c>
      <c r="K337" s="674">
        <f t="shared" si="43"/>
        <v>10228.844214715829</v>
      </c>
      <c r="L337" s="621">
        <v>8700</v>
      </c>
      <c r="M337" s="621"/>
      <c r="O337" s="669"/>
      <c r="P337" s="669"/>
      <c r="Q337" s="669"/>
      <c r="S337" s="669">
        <f t="shared" si="44"/>
        <v>913500</v>
      </c>
      <c r="T337" s="864">
        <f t="shared" si="45"/>
        <v>1074028.642545162</v>
      </c>
    </row>
    <row r="338" spans="1:20" ht="17.25" customHeight="1">
      <c r="A338" s="706">
        <f t="shared" si="38"/>
        <v>167</v>
      </c>
      <c r="B338" s="286" t="s">
        <v>408</v>
      </c>
      <c r="C338" s="689">
        <v>42486</v>
      </c>
      <c r="D338" s="690" t="s">
        <v>534</v>
      </c>
      <c r="E338" s="768">
        <v>47</v>
      </c>
      <c r="F338" s="769">
        <v>42</v>
      </c>
      <c r="G338" s="769">
        <v>24.5</v>
      </c>
      <c r="H338" s="759">
        <f t="shared" si="41"/>
        <v>1.27</v>
      </c>
      <c r="I338" s="252">
        <v>125</v>
      </c>
      <c r="J338" s="674">
        <f t="shared" si="42"/>
        <v>158.75</v>
      </c>
      <c r="K338" s="674">
        <f t="shared" si="43"/>
        <v>10825.526793907587</v>
      </c>
      <c r="L338" s="621">
        <v>9500</v>
      </c>
      <c r="M338" s="621"/>
      <c r="O338" s="669"/>
      <c r="P338" s="669"/>
      <c r="Q338" s="669"/>
      <c r="S338" s="669">
        <f t="shared" si="44"/>
        <v>1187500</v>
      </c>
      <c r="T338" s="864">
        <f t="shared" si="45"/>
        <v>1353190.8492384485</v>
      </c>
    </row>
    <row r="339" spans="1:20" ht="17.25" customHeight="1">
      <c r="A339" s="706">
        <f t="shared" si="38"/>
        <v>168</v>
      </c>
      <c r="B339" s="286" t="s">
        <v>480</v>
      </c>
      <c r="C339" s="689">
        <v>42486</v>
      </c>
      <c r="D339" s="690" t="s">
        <v>534</v>
      </c>
      <c r="E339" s="768">
        <v>47</v>
      </c>
      <c r="F339" s="769">
        <v>42</v>
      </c>
      <c r="G339" s="769">
        <v>24.5</v>
      </c>
      <c r="H339" s="759">
        <f t="shared" si="41"/>
        <v>1.27</v>
      </c>
      <c r="I339" s="252">
        <v>644</v>
      </c>
      <c r="J339" s="674">
        <f t="shared" si="42"/>
        <v>817.88</v>
      </c>
      <c r="K339" s="674">
        <f t="shared" si="43"/>
        <v>10825.526793907587</v>
      </c>
      <c r="L339" s="621">
        <v>9200</v>
      </c>
      <c r="M339" s="621"/>
      <c r="O339" s="669"/>
      <c r="P339" s="669"/>
      <c r="Q339" s="669"/>
      <c r="S339" s="669">
        <f t="shared" si="44"/>
        <v>5924800</v>
      </c>
      <c r="T339" s="864">
        <f t="shared" si="45"/>
        <v>6971639.2552764863</v>
      </c>
    </row>
    <row r="340" spans="1:20" ht="17.25" customHeight="1">
      <c r="A340" s="706">
        <f t="shared" si="38"/>
        <v>169</v>
      </c>
      <c r="B340" s="286" t="s">
        <v>988</v>
      </c>
      <c r="C340" s="689">
        <v>42486</v>
      </c>
      <c r="D340" s="690" t="s">
        <v>535</v>
      </c>
      <c r="E340" s="768">
        <v>33</v>
      </c>
      <c r="F340" s="769">
        <v>33</v>
      </c>
      <c r="G340" s="769">
        <v>27</v>
      </c>
      <c r="H340" s="759">
        <f t="shared" si="41"/>
        <v>0.86</v>
      </c>
      <c r="I340" s="252">
        <v>514</v>
      </c>
      <c r="J340" s="674">
        <f t="shared" si="42"/>
        <v>442.04</v>
      </c>
      <c r="K340" s="674">
        <f t="shared" si="43"/>
        <v>7330.6716872130119</v>
      </c>
      <c r="L340" s="621">
        <v>6650</v>
      </c>
      <c r="M340" s="621"/>
      <c r="O340" s="669"/>
      <c r="P340" s="669"/>
      <c r="Q340" s="669"/>
      <c r="S340" s="669">
        <f t="shared" si="44"/>
        <v>3418100</v>
      </c>
      <c r="T340" s="864">
        <f t="shared" si="45"/>
        <v>3767965.2472274881</v>
      </c>
    </row>
    <row r="341" spans="1:20" ht="17.25" customHeight="1">
      <c r="A341" s="706">
        <f t="shared" si="38"/>
        <v>170</v>
      </c>
      <c r="B341" s="286" t="s">
        <v>418</v>
      </c>
      <c r="C341" s="689">
        <v>42489</v>
      </c>
      <c r="D341" s="690" t="s">
        <v>536</v>
      </c>
      <c r="E341" s="768">
        <v>103</v>
      </c>
      <c r="F341" s="769">
        <v>50</v>
      </c>
      <c r="G341" s="769">
        <v>180</v>
      </c>
      <c r="H341" s="759">
        <f t="shared" si="41"/>
        <v>7.25</v>
      </c>
      <c r="I341" s="252">
        <v>208</v>
      </c>
      <c r="J341" s="674">
        <f t="shared" si="42"/>
        <v>1508</v>
      </c>
      <c r="K341" s="674">
        <f t="shared" si="43"/>
        <v>61799.267130574808</v>
      </c>
      <c r="L341" s="621">
        <v>47449</v>
      </c>
      <c r="M341" s="621"/>
      <c r="O341" s="669"/>
      <c r="P341" s="669"/>
      <c r="Q341" s="669"/>
      <c r="S341" s="669">
        <f t="shared" si="44"/>
        <v>9869392</v>
      </c>
      <c r="T341" s="864">
        <f t="shared" si="45"/>
        <v>12854247.563159561</v>
      </c>
    </row>
    <row r="342" spans="1:20" ht="17.25" customHeight="1">
      <c r="A342" s="706">
        <f t="shared" si="38"/>
        <v>171</v>
      </c>
      <c r="B342" s="286" t="s">
        <v>418</v>
      </c>
      <c r="C342" s="689">
        <v>42494</v>
      </c>
      <c r="D342" s="690" t="s">
        <v>537</v>
      </c>
      <c r="E342" s="768">
        <v>103</v>
      </c>
      <c r="F342" s="769">
        <v>50</v>
      </c>
      <c r="G342" s="769">
        <v>180</v>
      </c>
      <c r="H342" s="759">
        <f t="shared" si="41"/>
        <v>7.25</v>
      </c>
      <c r="I342" s="252">
        <v>101</v>
      </c>
      <c r="J342" s="674">
        <f t="shared" si="42"/>
        <v>732.25</v>
      </c>
      <c r="K342" s="674">
        <f t="shared" si="43"/>
        <v>61799.267130574808</v>
      </c>
      <c r="L342" s="621">
        <v>47449</v>
      </c>
      <c r="M342" s="621"/>
      <c r="O342" s="669"/>
      <c r="P342" s="669"/>
      <c r="Q342" s="669"/>
      <c r="S342" s="669">
        <f t="shared" si="44"/>
        <v>4792349</v>
      </c>
      <c r="T342" s="864">
        <f t="shared" si="45"/>
        <v>6241725.9801880559</v>
      </c>
    </row>
    <row r="343" spans="1:20" ht="17.25" customHeight="1">
      <c r="A343" s="706">
        <f t="shared" si="38"/>
        <v>172</v>
      </c>
      <c r="B343" s="286" t="s">
        <v>1438</v>
      </c>
      <c r="C343" s="689">
        <v>42494</v>
      </c>
      <c r="D343" s="690" t="s">
        <v>538</v>
      </c>
      <c r="E343" s="768">
        <v>42.5</v>
      </c>
      <c r="F343" s="769">
        <v>28.5</v>
      </c>
      <c r="G343" s="769">
        <v>23</v>
      </c>
      <c r="H343" s="759">
        <f t="shared" si="41"/>
        <v>0.8</v>
      </c>
      <c r="I343" s="252">
        <v>500</v>
      </c>
      <c r="J343" s="674">
        <f t="shared" si="42"/>
        <v>400</v>
      </c>
      <c r="K343" s="674">
        <f t="shared" si="43"/>
        <v>6819.2294764772205</v>
      </c>
      <c r="L343" s="621">
        <v>10200</v>
      </c>
      <c r="M343" s="621"/>
      <c r="O343" s="669"/>
      <c r="P343" s="669"/>
      <c r="Q343" s="669"/>
      <c r="S343" s="669">
        <f t="shared" si="44"/>
        <v>5100000</v>
      </c>
      <c r="T343" s="864">
        <f t="shared" si="45"/>
        <v>3409614.7382386103</v>
      </c>
    </row>
    <row r="344" spans="1:20" ht="17.25" customHeight="1">
      <c r="A344" s="706">
        <f t="shared" si="38"/>
        <v>173</v>
      </c>
      <c r="B344" s="286" t="s">
        <v>1432</v>
      </c>
      <c r="C344" s="689">
        <v>42494</v>
      </c>
      <c r="D344" s="690" t="s">
        <v>538</v>
      </c>
      <c r="E344" s="768">
        <v>20</v>
      </c>
      <c r="F344" s="769">
        <v>16.5</v>
      </c>
      <c r="G344" s="769">
        <v>9</v>
      </c>
      <c r="H344" s="759">
        <f t="shared" si="41"/>
        <v>0.22</v>
      </c>
      <c r="I344" s="252">
        <v>750</v>
      </c>
      <c r="J344" s="674">
        <f t="shared" ref="J344:J404" si="48">H344*I344</f>
        <v>165</v>
      </c>
      <c r="K344" s="674">
        <f t="shared" si="43"/>
        <v>1875.2881060312357</v>
      </c>
      <c r="L344" s="621">
        <v>2500</v>
      </c>
      <c r="M344" s="621"/>
      <c r="O344" s="669"/>
      <c r="P344" s="669"/>
      <c r="Q344" s="669"/>
      <c r="S344" s="669">
        <f t="shared" si="44"/>
        <v>1875000</v>
      </c>
      <c r="T344" s="864">
        <f t="shared" si="45"/>
        <v>1406466.0795234267</v>
      </c>
    </row>
    <row r="345" spans="1:20" ht="17.25" customHeight="1">
      <c r="A345" s="706">
        <f t="shared" ref="A345:A408" si="49">IF(B345&lt;&gt;"",ROW()-171,"")</f>
        <v>174</v>
      </c>
      <c r="B345" s="286" t="s">
        <v>1433</v>
      </c>
      <c r="C345" s="689">
        <v>42494</v>
      </c>
      <c r="D345" s="690" t="s">
        <v>538</v>
      </c>
      <c r="E345" s="768">
        <v>31</v>
      </c>
      <c r="F345" s="769">
        <v>15.3</v>
      </c>
      <c r="G345" s="769">
        <v>9</v>
      </c>
      <c r="H345" s="759">
        <f t="shared" si="41"/>
        <v>0.27</v>
      </c>
      <c r="I345" s="252">
        <v>300</v>
      </c>
      <c r="J345" s="674">
        <f t="shared" si="48"/>
        <v>81</v>
      </c>
      <c r="K345" s="674">
        <f t="shared" ref="K345:K408" si="50">H345*$R$311</f>
        <v>2301.4899483110621</v>
      </c>
      <c r="L345" s="621">
        <v>3200</v>
      </c>
      <c r="M345" s="621"/>
      <c r="O345" s="669"/>
      <c r="P345" s="669"/>
      <c r="Q345" s="669"/>
      <c r="S345" s="669">
        <f t="shared" si="44"/>
        <v>960000</v>
      </c>
      <c r="T345" s="864">
        <f t="shared" si="45"/>
        <v>690446.9844933186</v>
      </c>
    </row>
    <row r="346" spans="1:20" ht="17.25" customHeight="1">
      <c r="A346" s="706">
        <f t="shared" si="49"/>
        <v>175</v>
      </c>
      <c r="B346" s="286" t="s">
        <v>1306</v>
      </c>
      <c r="C346" s="689">
        <v>42495</v>
      </c>
      <c r="D346" s="690" t="s">
        <v>539</v>
      </c>
      <c r="E346" s="764">
        <v>43</v>
      </c>
      <c r="F346" s="763">
        <v>42</v>
      </c>
      <c r="G346" s="763">
        <v>26</v>
      </c>
      <c r="H346" s="759">
        <f t="shared" ref="H346:H409" si="51">IF(G346&lt;&gt;"",ROUND(((E346+F346)*2+5)*(F346+G346+3)/10000,2),ROUND(E346*F346/10000,2))</f>
        <v>1.24</v>
      </c>
      <c r="I346" s="252">
        <v>500</v>
      </c>
      <c r="J346" s="674">
        <f t="shared" si="48"/>
        <v>620</v>
      </c>
      <c r="K346" s="674">
        <f t="shared" si="50"/>
        <v>10569.805688539691</v>
      </c>
      <c r="L346" s="621">
        <v>12400</v>
      </c>
      <c r="M346" s="621"/>
      <c r="O346" s="669"/>
      <c r="P346" s="669"/>
      <c r="Q346" s="669"/>
      <c r="S346" s="669">
        <f t="shared" ref="S346:S409" si="52">I346*L346</f>
        <v>6200000</v>
      </c>
      <c r="T346" s="864">
        <f t="shared" ref="T346:T409" si="53">I346*K346</f>
        <v>5284902.8442698456</v>
      </c>
    </row>
    <row r="347" spans="1:20" ht="17.25" customHeight="1">
      <c r="A347" s="706">
        <f t="shared" si="49"/>
        <v>176</v>
      </c>
      <c r="B347" s="286" t="s">
        <v>989</v>
      </c>
      <c r="C347" s="689">
        <v>42495</v>
      </c>
      <c r="D347" s="690" t="s">
        <v>541</v>
      </c>
      <c r="E347" s="768">
        <v>64</v>
      </c>
      <c r="F347" s="769">
        <v>46</v>
      </c>
      <c r="G347" s="769">
        <v>130</v>
      </c>
      <c r="H347" s="759">
        <f t="shared" si="51"/>
        <v>4.03</v>
      </c>
      <c r="I347" s="252">
        <v>22</v>
      </c>
      <c r="J347" s="674">
        <f t="shared" si="48"/>
        <v>88.660000000000011</v>
      </c>
      <c r="K347" s="674">
        <f t="shared" si="50"/>
        <v>34351.868487754</v>
      </c>
      <c r="L347" s="621">
        <v>35000</v>
      </c>
      <c r="M347" s="621"/>
      <c r="O347" s="669"/>
      <c r="P347" s="669"/>
      <c r="Q347" s="669"/>
      <c r="S347" s="669">
        <f t="shared" si="52"/>
        <v>770000</v>
      </c>
      <c r="T347" s="864">
        <f t="shared" si="53"/>
        <v>755741.10673058801</v>
      </c>
    </row>
    <row r="348" spans="1:20" ht="17.25" customHeight="1">
      <c r="A348" s="706">
        <f t="shared" si="49"/>
        <v>177</v>
      </c>
      <c r="B348" s="286" t="s">
        <v>418</v>
      </c>
      <c r="C348" s="689">
        <v>42495</v>
      </c>
      <c r="D348" s="690" t="s">
        <v>541</v>
      </c>
      <c r="E348" s="768">
        <v>103</v>
      </c>
      <c r="F348" s="769">
        <v>50</v>
      </c>
      <c r="G348" s="769">
        <v>180</v>
      </c>
      <c r="H348" s="759">
        <f t="shared" si="51"/>
        <v>7.25</v>
      </c>
      <c r="I348" s="252">
        <v>120</v>
      </c>
      <c r="J348" s="674">
        <f t="shared" si="48"/>
        <v>870</v>
      </c>
      <c r="K348" s="674">
        <f t="shared" si="50"/>
        <v>61799.267130574808</v>
      </c>
      <c r="L348" s="621">
        <v>47449</v>
      </c>
      <c r="M348" s="621"/>
      <c r="O348" s="669"/>
      <c r="P348" s="669"/>
      <c r="Q348" s="669"/>
      <c r="S348" s="669">
        <f t="shared" si="52"/>
        <v>5693880</v>
      </c>
      <c r="T348" s="864">
        <f t="shared" si="53"/>
        <v>7415912.0556689771</v>
      </c>
    </row>
    <row r="349" spans="1:20" ht="17.25" customHeight="1">
      <c r="A349" s="706">
        <f t="shared" si="49"/>
        <v>178</v>
      </c>
      <c r="B349" s="286" t="s">
        <v>480</v>
      </c>
      <c r="C349" s="689">
        <v>42496</v>
      </c>
      <c r="D349" s="690" t="s">
        <v>679</v>
      </c>
      <c r="E349" s="768">
        <v>47</v>
      </c>
      <c r="F349" s="769">
        <v>42</v>
      </c>
      <c r="G349" s="769">
        <v>24.5</v>
      </c>
      <c r="H349" s="759">
        <f t="shared" si="51"/>
        <v>1.27</v>
      </c>
      <c r="I349" s="252">
        <v>469</v>
      </c>
      <c r="J349" s="674">
        <f t="shared" si="48"/>
        <v>595.63</v>
      </c>
      <c r="K349" s="674">
        <f t="shared" si="50"/>
        <v>10825.526793907587</v>
      </c>
      <c r="L349" s="621">
        <v>9200</v>
      </c>
      <c r="M349" s="621"/>
      <c r="O349" s="669"/>
      <c r="P349" s="669"/>
      <c r="Q349" s="669"/>
      <c r="S349" s="669">
        <f t="shared" si="52"/>
        <v>4314800</v>
      </c>
      <c r="T349" s="864">
        <f t="shared" si="53"/>
        <v>5077172.0663426584</v>
      </c>
    </row>
    <row r="350" spans="1:20" ht="17.25" customHeight="1">
      <c r="A350" s="706">
        <f t="shared" si="49"/>
        <v>179</v>
      </c>
      <c r="B350" s="286" t="s">
        <v>990</v>
      </c>
      <c r="C350" s="689">
        <v>42496</v>
      </c>
      <c r="D350" s="690" t="s">
        <v>542</v>
      </c>
      <c r="E350" s="768">
        <v>32</v>
      </c>
      <c r="F350" s="769">
        <v>23</v>
      </c>
      <c r="G350" s="769">
        <v>22.5</v>
      </c>
      <c r="H350" s="759">
        <f t="shared" si="51"/>
        <v>0.56000000000000005</v>
      </c>
      <c r="I350" s="252">
        <v>46</v>
      </c>
      <c r="J350" s="674">
        <f t="shared" si="48"/>
        <v>25.76</v>
      </c>
      <c r="K350" s="674">
        <f t="shared" si="50"/>
        <v>4773.460633534055</v>
      </c>
      <c r="L350" s="621">
        <v>7600</v>
      </c>
      <c r="M350" s="621"/>
      <c r="O350" s="669"/>
      <c r="P350" s="669"/>
      <c r="Q350" s="669"/>
      <c r="S350" s="669">
        <f t="shared" si="52"/>
        <v>349600</v>
      </c>
      <c r="T350" s="864">
        <f t="shared" si="53"/>
        <v>219579.18914256652</v>
      </c>
    </row>
    <row r="351" spans="1:20" ht="17.25" customHeight="1">
      <c r="A351" s="706">
        <f t="shared" si="49"/>
        <v>180</v>
      </c>
      <c r="B351" s="286" t="s">
        <v>991</v>
      </c>
      <c r="C351" s="689">
        <v>42496</v>
      </c>
      <c r="D351" s="690" t="s">
        <v>542</v>
      </c>
      <c r="E351" s="768">
        <v>80.5</v>
      </c>
      <c r="F351" s="769">
        <v>60.5</v>
      </c>
      <c r="G351" s="769">
        <v>99</v>
      </c>
      <c r="H351" s="759">
        <f t="shared" si="51"/>
        <v>4.66</v>
      </c>
      <c r="I351" s="252">
        <v>53</v>
      </c>
      <c r="J351" s="674">
        <f t="shared" si="48"/>
        <v>246.98000000000002</v>
      </c>
      <c r="K351" s="674">
        <f t="shared" si="50"/>
        <v>39722.011700479808</v>
      </c>
      <c r="L351" s="621">
        <v>31300</v>
      </c>
      <c r="M351" s="621"/>
      <c r="O351" s="669"/>
      <c r="P351" s="669"/>
      <c r="Q351" s="669"/>
      <c r="S351" s="669">
        <f t="shared" si="52"/>
        <v>1658900</v>
      </c>
      <c r="T351" s="864">
        <f t="shared" si="53"/>
        <v>2105266.6201254297</v>
      </c>
    </row>
    <row r="352" spans="1:20" ht="17.25" customHeight="1">
      <c r="A352" s="706">
        <f t="shared" si="49"/>
        <v>181</v>
      </c>
      <c r="B352" s="286" t="s">
        <v>992</v>
      </c>
      <c r="C352" s="689">
        <v>42496</v>
      </c>
      <c r="D352" s="690" t="s">
        <v>542</v>
      </c>
      <c r="E352" s="768">
        <v>80.5</v>
      </c>
      <c r="F352" s="769">
        <v>60.5</v>
      </c>
      <c r="G352" s="769">
        <v>76</v>
      </c>
      <c r="H352" s="759">
        <f t="shared" si="51"/>
        <v>4</v>
      </c>
      <c r="I352" s="252">
        <v>53</v>
      </c>
      <c r="J352" s="674">
        <f t="shared" si="48"/>
        <v>212</v>
      </c>
      <c r="K352" s="674">
        <f t="shared" si="50"/>
        <v>34096.147382386102</v>
      </c>
      <c r="L352" s="621">
        <v>27000</v>
      </c>
      <c r="M352" s="621"/>
      <c r="O352" s="669"/>
      <c r="P352" s="669"/>
      <c r="Q352" s="669"/>
      <c r="S352" s="669">
        <f t="shared" si="52"/>
        <v>1431000</v>
      </c>
      <c r="T352" s="864">
        <f t="shared" si="53"/>
        <v>1807095.8112664635</v>
      </c>
    </row>
    <row r="353" spans="1:20" ht="17.25" customHeight="1">
      <c r="A353" s="706">
        <f t="shared" si="49"/>
        <v>182</v>
      </c>
      <c r="B353" s="286" t="s">
        <v>992</v>
      </c>
      <c r="C353" s="689">
        <v>42496</v>
      </c>
      <c r="D353" s="690" t="s">
        <v>542</v>
      </c>
      <c r="E353" s="768">
        <v>80.5</v>
      </c>
      <c r="F353" s="769">
        <v>60.5</v>
      </c>
      <c r="G353" s="769">
        <v>76</v>
      </c>
      <c r="H353" s="759">
        <f t="shared" si="51"/>
        <v>4</v>
      </c>
      <c r="I353" s="252">
        <v>54</v>
      </c>
      <c r="J353" s="674">
        <f t="shared" si="48"/>
        <v>216</v>
      </c>
      <c r="K353" s="674">
        <f t="shared" si="50"/>
        <v>34096.147382386102</v>
      </c>
      <c r="L353" s="621">
        <v>22200</v>
      </c>
      <c r="M353" s="621"/>
      <c r="O353" s="669"/>
      <c r="P353" s="669"/>
      <c r="Q353" s="669"/>
      <c r="S353" s="669">
        <f t="shared" si="52"/>
        <v>1198800</v>
      </c>
      <c r="T353" s="864">
        <f t="shared" si="53"/>
        <v>1841191.9586488495</v>
      </c>
    </row>
    <row r="354" spans="1:20" ht="17.25" customHeight="1">
      <c r="A354" s="706">
        <f t="shared" si="49"/>
        <v>183</v>
      </c>
      <c r="B354" s="286" t="s">
        <v>993</v>
      </c>
      <c r="C354" s="689">
        <v>42496</v>
      </c>
      <c r="D354" s="690" t="s">
        <v>542</v>
      </c>
      <c r="E354" s="768">
        <v>110.5</v>
      </c>
      <c r="F354" s="769">
        <v>60.5</v>
      </c>
      <c r="G354" s="769">
        <v>99</v>
      </c>
      <c r="H354" s="759">
        <f t="shared" si="51"/>
        <v>5.64</v>
      </c>
      <c r="I354" s="252">
        <v>51</v>
      </c>
      <c r="J354" s="674">
        <f t="shared" si="48"/>
        <v>287.64</v>
      </c>
      <c r="K354" s="674">
        <f t="shared" si="50"/>
        <v>48075.5678091644</v>
      </c>
      <c r="L354" s="621">
        <v>40300</v>
      </c>
      <c r="M354" s="621"/>
      <c r="O354" s="669"/>
      <c r="P354" s="669"/>
      <c r="Q354" s="669"/>
      <c r="S354" s="669">
        <f t="shared" si="52"/>
        <v>2055300</v>
      </c>
      <c r="T354" s="864">
        <f t="shared" si="53"/>
        <v>2451853.9582673842</v>
      </c>
    </row>
    <row r="355" spans="1:20" ht="17.25" customHeight="1">
      <c r="A355" s="706">
        <f t="shared" si="49"/>
        <v>184</v>
      </c>
      <c r="B355" s="286" t="s">
        <v>994</v>
      </c>
      <c r="C355" s="689">
        <v>42496</v>
      </c>
      <c r="D355" s="690" t="s">
        <v>542</v>
      </c>
      <c r="E355" s="768">
        <v>60.5</v>
      </c>
      <c r="F355" s="769">
        <v>36.5</v>
      </c>
      <c r="G355" s="769">
        <v>45</v>
      </c>
      <c r="H355" s="759">
        <f t="shared" si="51"/>
        <v>1.68</v>
      </c>
      <c r="I355" s="252">
        <v>108</v>
      </c>
      <c r="J355" s="674">
        <f t="shared" si="48"/>
        <v>181.44</v>
      </c>
      <c r="K355" s="674">
        <f t="shared" si="50"/>
        <v>14320.381900602162</v>
      </c>
      <c r="L355" s="621">
        <v>13100</v>
      </c>
      <c r="M355" s="621"/>
      <c r="O355" s="669"/>
      <c r="P355" s="669"/>
      <c r="Q355" s="669"/>
      <c r="S355" s="669">
        <f t="shared" si="52"/>
        <v>1414800</v>
      </c>
      <c r="T355" s="864">
        <f t="shared" si="53"/>
        <v>1546601.2452650336</v>
      </c>
    </row>
    <row r="356" spans="1:20" ht="17.25" customHeight="1">
      <c r="A356" s="706">
        <f t="shared" si="49"/>
        <v>185</v>
      </c>
      <c r="B356" s="286" t="s">
        <v>995</v>
      </c>
      <c r="C356" s="689">
        <v>42496</v>
      </c>
      <c r="D356" s="690" t="s">
        <v>542</v>
      </c>
      <c r="E356" s="768">
        <v>38.5</v>
      </c>
      <c r="F356" s="769">
        <v>33</v>
      </c>
      <c r="G356" s="769">
        <v>30.5</v>
      </c>
      <c r="H356" s="759">
        <f t="shared" si="51"/>
        <v>0.98</v>
      </c>
      <c r="I356" s="252">
        <v>37</v>
      </c>
      <c r="J356" s="674">
        <f t="shared" si="48"/>
        <v>36.26</v>
      </c>
      <c r="K356" s="674">
        <f t="shared" si="50"/>
        <v>8353.5561086845955</v>
      </c>
      <c r="L356" s="621">
        <v>9000</v>
      </c>
      <c r="M356" s="621"/>
      <c r="O356" s="669"/>
      <c r="P356" s="669"/>
      <c r="Q356" s="669"/>
      <c r="S356" s="669">
        <f t="shared" si="52"/>
        <v>333000</v>
      </c>
      <c r="T356" s="864">
        <f t="shared" si="53"/>
        <v>309081.57602133002</v>
      </c>
    </row>
    <row r="357" spans="1:20" ht="17.25" customHeight="1">
      <c r="A357" s="706">
        <f t="shared" si="49"/>
        <v>186</v>
      </c>
      <c r="B357" s="286" t="s">
        <v>996</v>
      </c>
      <c r="C357" s="689">
        <v>42496</v>
      </c>
      <c r="D357" s="690" t="s">
        <v>542</v>
      </c>
      <c r="E357" s="768">
        <v>62.5</v>
      </c>
      <c r="F357" s="769">
        <v>60.5</v>
      </c>
      <c r="G357" s="769">
        <v>60</v>
      </c>
      <c r="H357" s="759">
        <f t="shared" si="51"/>
        <v>3.1</v>
      </c>
      <c r="I357" s="252">
        <v>50</v>
      </c>
      <c r="J357" s="674">
        <f t="shared" si="48"/>
        <v>155</v>
      </c>
      <c r="K357" s="674">
        <f t="shared" si="50"/>
        <v>26424.514221349229</v>
      </c>
      <c r="L357" s="621">
        <v>20000</v>
      </c>
      <c r="M357" s="621"/>
      <c r="O357" s="669"/>
      <c r="P357" s="669"/>
      <c r="Q357" s="669"/>
      <c r="S357" s="669">
        <f t="shared" si="52"/>
        <v>1000000</v>
      </c>
      <c r="T357" s="864">
        <f t="shared" si="53"/>
        <v>1321225.7110674614</v>
      </c>
    </row>
    <row r="358" spans="1:20" ht="17.25" customHeight="1">
      <c r="A358" s="706">
        <f t="shared" si="49"/>
        <v>187</v>
      </c>
      <c r="B358" s="286" t="s">
        <v>997</v>
      </c>
      <c r="C358" s="689">
        <v>42496</v>
      </c>
      <c r="D358" s="690" t="s">
        <v>543</v>
      </c>
      <c r="E358" s="768">
        <v>45.5</v>
      </c>
      <c r="F358" s="769">
        <v>41</v>
      </c>
      <c r="G358" s="769">
        <v>23.5</v>
      </c>
      <c r="H358" s="759">
        <f t="shared" si="51"/>
        <v>1.2</v>
      </c>
      <c r="I358" s="252">
        <v>30</v>
      </c>
      <c r="J358" s="674">
        <f t="shared" si="48"/>
        <v>36</v>
      </c>
      <c r="K358" s="674">
        <f t="shared" si="50"/>
        <v>10228.844214715829</v>
      </c>
      <c r="L358" s="621">
        <v>8800</v>
      </c>
      <c r="M358" s="621"/>
      <c r="O358" s="669"/>
      <c r="P358" s="669"/>
      <c r="Q358" s="669"/>
      <c r="S358" s="669">
        <f t="shared" si="52"/>
        <v>264000</v>
      </c>
      <c r="T358" s="864">
        <f t="shared" si="53"/>
        <v>306865.3264414749</v>
      </c>
    </row>
    <row r="359" spans="1:20" ht="17.25" customHeight="1">
      <c r="A359" s="706">
        <f t="shared" si="49"/>
        <v>188</v>
      </c>
      <c r="B359" s="286" t="s">
        <v>998</v>
      </c>
      <c r="C359" s="689">
        <v>42496</v>
      </c>
      <c r="D359" s="690" t="s">
        <v>543</v>
      </c>
      <c r="E359" s="768">
        <v>42</v>
      </c>
      <c r="F359" s="769">
        <v>12</v>
      </c>
      <c r="G359" s="769">
        <v>33</v>
      </c>
      <c r="H359" s="759">
        <f t="shared" si="51"/>
        <v>0.54</v>
      </c>
      <c r="I359" s="252">
        <v>60</v>
      </c>
      <c r="J359" s="674">
        <f t="shared" si="48"/>
        <v>32.400000000000006</v>
      </c>
      <c r="K359" s="674">
        <f t="shared" si="50"/>
        <v>4602.9798966221242</v>
      </c>
      <c r="L359" s="621">
        <v>11000</v>
      </c>
      <c r="M359" s="621"/>
      <c r="O359" s="669"/>
      <c r="P359" s="669"/>
      <c r="Q359" s="669"/>
      <c r="S359" s="669">
        <f t="shared" si="52"/>
        <v>660000</v>
      </c>
      <c r="T359" s="864">
        <f t="shared" si="53"/>
        <v>276178.79379732744</v>
      </c>
    </row>
    <row r="360" spans="1:20" ht="17.25" customHeight="1">
      <c r="A360" s="706">
        <f t="shared" si="49"/>
        <v>189</v>
      </c>
      <c r="B360" s="286" t="s">
        <v>999</v>
      </c>
      <c r="C360" s="689">
        <v>42496</v>
      </c>
      <c r="D360" s="690" t="s">
        <v>543</v>
      </c>
      <c r="E360" s="768">
        <v>42</v>
      </c>
      <c r="F360" s="769">
        <v>42</v>
      </c>
      <c r="G360" s="769">
        <v>28</v>
      </c>
      <c r="H360" s="759">
        <f t="shared" si="51"/>
        <v>1.26</v>
      </c>
      <c r="I360" s="252">
        <v>60</v>
      </c>
      <c r="J360" s="674">
        <f t="shared" si="48"/>
        <v>75.599999999999994</v>
      </c>
      <c r="K360" s="674">
        <f t="shared" si="50"/>
        <v>10740.286425451623</v>
      </c>
      <c r="L360" s="621">
        <v>10000</v>
      </c>
      <c r="M360" s="621"/>
      <c r="O360" s="669"/>
      <c r="P360" s="669"/>
      <c r="Q360" s="669"/>
      <c r="S360" s="669">
        <f t="shared" si="52"/>
        <v>600000</v>
      </c>
      <c r="T360" s="864">
        <f t="shared" si="53"/>
        <v>644417.18552709732</v>
      </c>
    </row>
    <row r="361" spans="1:20" ht="17.25" customHeight="1">
      <c r="A361" s="706">
        <f t="shared" si="49"/>
        <v>190</v>
      </c>
      <c r="B361" s="286" t="s">
        <v>1000</v>
      </c>
      <c r="C361" s="689">
        <v>42496</v>
      </c>
      <c r="D361" s="690" t="s">
        <v>543</v>
      </c>
      <c r="E361" s="768">
        <v>35.5</v>
      </c>
      <c r="F361" s="769">
        <v>28</v>
      </c>
      <c r="G361" s="769">
        <v>25.5</v>
      </c>
      <c r="H361" s="759">
        <f t="shared" si="51"/>
        <v>0.75</v>
      </c>
      <c r="I361" s="252">
        <v>36</v>
      </c>
      <c r="J361" s="674">
        <f t="shared" si="48"/>
        <v>27</v>
      </c>
      <c r="K361" s="674">
        <f t="shared" si="50"/>
        <v>6393.027634197394</v>
      </c>
      <c r="L361" s="621">
        <v>8000</v>
      </c>
      <c r="M361" s="621"/>
      <c r="O361" s="669"/>
      <c r="P361" s="669"/>
      <c r="Q361" s="669"/>
      <c r="S361" s="669">
        <f t="shared" si="52"/>
        <v>288000</v>
      </c>
      <c r="T361" s="864">
        <f t="shared" si="53"/>
        <v>230148.99483110619</v>
      </c>
    </row>
    <row r="362" spans="1:20" ht="17.25" customHeight="1">
      <c r="A362" s="706">
        <f t="shared" si="49"/>
        <v>191</v>
      </c>
      <c r="B362" s="286" t="s">
        <v>1001</v>
      </c>
      <c r="C362" s="689">
        <v>42496</v>
      </c>
      <c r="D362" s="690" t="s">
        <v>543</v>
      </c>
      <c r="E362" s="768">
        <v>55</v>
      </c>
      <c r="F362" s="769">
        <v>51</v>
      </c>
      <c r="G362" s="769">
        <v>69</v>
      </c>
      <c r="H362" s="759">
        <f t="shared" si="51"/>
        <v>2.67</v>
      </c>
      <c r="I362" s="252">
        <v>24</v>
      </c>
      <c r="J362" s="674">
        <f t="shared" si="48"/>
        <v>64.08</v>
      </c>
      <c r="K362" s="674">
        <f t="shared" si="50"/>
        <v>22759.178377742723</v>
      </c>
      <c r="L362" s="621">
        <v>26000</v>
      </c>
      <c r="M362" s="621"/>
      <c r="O362" s="669"/>
      <c r="P362" s="669"/>
      <c r="Q362" s="669"/>
      <c r="S362" s="669">
        <f t="shared" si="52"/>
        <v>624000</v>
      </c>
      <c r="T362" s="864">
        <f t="shared" si="53"/>
        <v>546220.28106582537</v>
      </c>
    </row>
    <row r="363" spans="1:20" ht="17.25" customHeight="1">
      <c r="A363" s="706">
        <f t="shared" si="49"/>
        <v>192</v>
      </c>
      <c r="B363" s="286" t="s">
        <v>1002</v>
      </c>
      <c r="C363" s="689">
        <v>42496</v>
      </c>
      <c r="D363" s="690" t="s">
        <v>543</v>
      </c>
      <c r="E363" s="768">
        <v>54</v>
      </c>
      <c r="F363" s="769">
        <v>49</v>
      </c>
      <c r="G363" s="769">
        <v>70</v>
      </c>
      <c r="H363" s="759">
        <f t="shared" si="51"/>
        <v>2.57</v>
      </c>
      <c r="I363" s="252">
        <v>20</v>
      </c>
      <c r="J363" s="674">
        <f t="shared" si="48"/>
        <v>51.4</v>
      </c>
      <c r="K363" s="674">
        <f t="shared" si="50"/>
        <v>21906.77469318307</v>
      </c>
      <c r="L363" s="621">
        <v>24000</v>
      </c>
      <c r="M363" s="621"/>
      <c r="O363" s="669"/>
      <c r="P363" s="669"/>
      <c r="Q363" s="669"/>
      <c r="S363" s="669">
        <f t="shared" si="52"/>
        <v>480000</v>
      </c>
      <c r="T363" s="864">
        <f t="shared" si="53"/>
        <v>438135.49386366142</v>
      </c>
    </row>
    <row r="364" spans="1:20" ht="17.25" customHeight="1">
      <c r="A364" s="706">
        <f t="shared" si="49"/>
        <v>193</v>
      </c>
      <c r="B364" s="286" t="s">
        <v>1003</v>
      </c>
      <c r="C364" s="689">
        <v>42496</v>
      </c>
      <c r="D364" s="690" t="s">
        <v>543</v>
      </c>
      <c r="E364" s="768">
        <v>55</v>
      </c>
      <c r="F364" s="769">
        <v>51</v>
      </c>
      <c r="G364" s="769">
        <v>72</v>
      </c>
      <c r="H364" s="759">
        <f t="shared" si="51"/>
        <v>2.73</v>
      </c>
      <c r="I364" s="252">
        <v>22</v>
      </c>
      <c r="J364" s="674">
        <f t="shared" si="48"/>
        <v>60.06</v>
      </c>
      <c r="K364" s="674">
        <f t="shared" si="50"/>
        <v>23270.620588478516</v>
      </c>
      <c r="L364" s="621">
        <v>27800</v>
      </c>
      <c r="M364" s="621"/>
      <c r="O364" s="669"/>
      <c r="P364" s="669"/>
      <c r="Q364" s="669"/>
      <c r="S364" s="669">
        <f t="shared" si="52"/>
        <v>611600</v>
      </c>
      <c r="T364" s="864">
        <f t="shared" si="53"/>
        <v>511953.65294652735</v>
      </c>
    </row>
    <row r="365" spans="1:20" ht="17.25" customHeight="1">
      <c r="A365" s="706">
        <f t="shared" si="49"/>
        <v>194</v>
      </c>
      <c r="B365" s="286" t="s">
        <v>1004</v>
      </c>
      <c r="C365" s="689">
        <v>42496</v>
      </c>
      <c r="D365" s="690" t="s">
        <v>543</v>
      </c>
      <c r="E365" s="768">
        <v>61</v>
      </c>
      <c r="F365" s="769">
        <v>59</v>
      </c>
      <c r="G365" s="769">
        <v>80</v>
      </c>
      <c r="H365" s="759">
        <f t="shared" si="51"/>
        <v>3.48</v>
      </c>
      <c r="I365" s="252">
        <v>20</v>
      </c>
      <c r="J365" s="674">
        <f t="shared" si="48"/>
        <v>69.599999999999994</v>
      </c>
      <c r="K365" s="674">
        <f t="shared" si="50"/>
        <v>29663.648222675907</v>
      </c>
      <c r="L365" s="621">
        <v>31000</v>
      </c>
      <c r="M365" s="621"/>
      <c r="O365" s="669"/>
      <c r="P365" s="669"/>
      <c r="Q365" s="669"/>
      <c r="S365" s="669">
        <f t="shared" si="52"/>
        <v>620000</v>
      </c>
      <c r="T365" s="864">
        <f t="shared" si="53"/>
        <v>593272.96445351816</v>
      </c>
    </row>
    <row r="366" spans="1:20" ht="17.25" customHeight="1">
      <c r="A366" s="706">
        <f t="shared" si="49"/>
        <v>195</v>
      </c>
      <c r="B366" s="286" t="s">
        <v>1005</v>
      </c>
      <c r="C366" s="689">
        <v>42496</v>
      </c>
      <c r="D366" s="690" t="s">
        <v>543</v>
      </c>
      <c r="E366" s="768">
        <v>61</v>
      </c>
      <c r="F366" s="769">
        <v>50</v>
      </c>
      <c r="G366" s="769">
        <v>81</v>
      </c>
      <c r="H366" s="759">
        <f t="shared" si="51"/>
        <v>3.04</v>
      </c>
      <c r="I366" s="252">
        <v>20</v>
      </c>
      <c r="J366" s="674">
        <f t="shared" si="48"/>
        <v>60.8</v>
      </c>
      <c r="K366" s="674">
        <f t="shared" si="50"/>
        <v>25913.072010613436</v>
      </c>
      <c r="L366" s="621">
        <v>33000</v>
      </c>
      <c r="M366" s="621"/>
      <c r="O366" s="669"/>
      <c r="P366" s="669"/>
      <c r="Q366" s="669"/>
      <c r="S366" s="669">
        <f t="shared" si="52"/>
        <v>660000</v>
      </c>
      <c r="T366" s="864">
        <f t="shared" si="53"/>
        <v>518261.44021226873</v>
      </c>
    </row>
    <row r="367" spans="1:20" ht="17.25" customHeight="1">
      <c r="A367" s="706">
        <f t="shared" si="49"/>
        <v>196</v>
      </c>
      <c r="B367" s="286" t="s">
        <v>1006</v>
      </c>
      <c r="C367" s="689">
        <v>42497</v>
      </c>
      <c r="D367" s="690" t="s">
        <v>545</v>
      </c>
      <c r="E367" s="768">
        <v>47</v>
      </c>
      <c r="F367" s="769">
        <v>46</v>
      </c>
      <c r="G367" s="769">
        <v>36</v>
      </c>
      <c r="H367" s="759">
        <f t="shared" si="51"/>
        <v>1.62</v>
      </c>
      <c r="I367" s="252">
        <v>20</v>
      </c>
      <c r="J367" s="674">
        <f t="shared" si="48"/>
        <v>32.400000000000006</v>
      </c>
      <c r="K367" s="674">
        <f t="shared" si="50"/>
        <v>13808.939689866373</v>
      </c>
      <c r="L367" s="621">
        <v>13200</v>
      </c>
      <c r="M367" s="621"/>
      <c r="O367" s="669"/>
      <c r="P367" s="669"/>
      <c r="Q367" s="669"/>
      <c r="S367" s="669">
        <f t="shared" si="52"/>
        <v>264000</v>
      </c>
      <c r="T367" s="864">
        <f t="shared" si="53"/>
        <v>276178.79379732744</v>
      </c>
    </row>
    <row r="368" spans="1:20" ht="17.25" customHeight="1">
      <c r="A368" s="706">
        <f t="shared" si="49"/>
        <v>197</v>
      </c>
      <c r="B368" s="286" t="s">
        <v>1007</v>
      </c>
      <c r="C368" s="689">
        <v>42497</v>
      </c>
      <c r="D368" s="690" t="s">
        <v>545</v>
      </c>
      <c r="E368" s="768">
        <v>54</v>
      </c>
      <c r="F368" s="769">
        <v>42</v>
      </c>
      <c r="G368" s="769">
        <v>50</v>
      </c>
      <c r="H368" s="759">
        <f t="shared" si="51"/>
        <v>1.87</v>
      </c>
      <c r="I368" s="252">
        <v>20</v>
      </c>
      <c r="J368" s="674">
        <f t="shared" si="48"/>
        <v>37.400000000000006</v>
      </c>
      <c r="K368" s="674">
        <f t="shared" si="50"/>
        <v>15939.948901265503</v>
      </c>
      <c r="L368" s="621">
        <v>17000</v>
      </c>
      <c r="M368" s="621"/>
      <c r="O368" s="669"/>
      <c r="P368" s="669"/>
      <c r="Q368" s="669"/>
      <c r="S368" s="669">
        <f t="shared" si="52"/>
        <v>340000</v>
      </c>
      <c r="T368" s="864">
        <f t="shared" si="53"/>
        <v>318798.97802531009</v>
      </c>
    </row>
    <row r="369" spans="1:20" ht="17.25" customHeight="1">
      <c r="A369" s="706">
        <f t="shared" si="49"/>
        <v>198</v>
      </c>
      <c r="B369" s="286" t="s">
        <v>955</v>
      </c>
      <c r="C369" s="689">
        <v>42497</v>
      </c>
      <c r="D369" s="690" t="s">
        <v>545</v>
      </c>
      <c r="E369" s="768">
        <v>60.5</v>
      </c>
      <c r="F369" s="720">
        <v>50.5</v>
      </c>
      <c r="G369" s="720">
        <v>45</v>
      </c>
      <c r="H369" s="759">
        <f t="shared" si="51"/>
        <v>2.2400000000000002</v>
      </c>
      <c r="I369" s="252">
        <v>107</v>
      </c>
      <c r="J369" s="674">
        <f t="shared" si="48"/>
        <v>239.68000000000004</v>
      </c>
      <c r="K369" s="674">
        <f t="shared" si="50"/>
        <v>19093.84253413622</v>
      </c>
      <c r="L369" s="621">
        <v>15400</v>
      </c>
      <c r="M369" s="621"/>
      <c r="O369" s="669"/>
      <c r="P369" s="669"/>
      <c r="Q369" s="669"/>
      <c r="S369" s="669">
        <f t="shared" si="52"/>
        <v>1647800</v>
      </c>
      <c r="T369" s="864">
        <f t="shared" si="53"/>
        <v>2043041.1511525756</v>
      </c>
    </row>
    <row r="370" spans="1:20" ht="17.25" customHeight="1">
      <c r="A370" s="706">
        <f t="shared" si="49"/>
        <v>199</v>
      </c>
      <c r="B370" s="286" t="s">
        <v>1008</v>
      </c>
      <c r="C370" s="689">
        <v>42497</v>
      </c>
      <c r="D370" s="690" t="s">
        <v>545</v>
      </c>
      <c r="E370" s="768">
        <v>46</v>
      </c>
      <c r="F370" s="769">
        <v>39</v>
      </c>
      <c r="G370" s="769">
        <v>55</v>
      </c>
      <c r="H370" s="759">
        <f t="shared" si="51"/>
        <v>1.7</v>
      </c>
      <c r="I370" s="252">
        <v>26</v>
      </c>
      <c r="J370" s="674">
        <f t="shared" si="48"/>
        <v>44.199999999999996</v>
      </c>
      <c r="K370" s="674">
        <f t="shared" si="50"/>
        <v>14490.862637514092</v>
      </c>
      <c r="L370" s="621">
        <v>15000</v>
      </c>
      <c r="M370" s="621"/>
      <c r="O370" s="669"/>
      <c r="P370" s="669"/>
      <c r="Q370" s="669"/>
      <c r="S370" s="669">
        <f t="shared" si="52"/>
        <v>390000</v>
      </c>
      <c r="T370" s="864">
        <f t="shared" si="53"/>
        <v>376762.42857536639</v>
      </c>
    </row>
    <row r="371" spans="1:20" ht="17.25" customHeight="1">
      <c r="A371" s="706">
        <f t="shared" si="49"/>
        <v>200</v>
      </c>
      <c r="B371" s="286" t="s">
        <v>1009</v>
      </c>
      <c r="C371" s="689">
        <v>42497</v>
      </c>
      <c r="D371" s="690" t="s">
        <v>545</v>
      </c>
      <c r="E371" s="768">
        <v>60.5</v>
      </c>
      <c r="F371" s="769">
        <v>50.5</v>
      </c>
      <c r="G371" s="769">
        <v>54</v>
      </c>
      <c r="H371" s="759">
        <f t="shared" si="51"/>
        <v>2.44</v>
      </c>
      <c r="I371" s="252">
        <v>52</v>
      </c>
      <c r="J371" s="674">
        <f t="shared" si="48"/>
        <v>126.88</v>
      </c>
      <c r="K371" s="674">
        <f t="shared" si="50"/>
        <v>20798.649903255522</v>
      </c>
      <c r="L371" s="621">
        <v>16700</v>
      </c>
      <c r="M371" s="621"/>
      <c r="O371" s="669"/>
      <c r="P371" s="669"/>
      <c r="Q371" s="669"/>
      <c r="S371" s="669">
        <f t="shared" si="52"/>
        <v>868400</v>
      </c>
      <c r="T371" s="864">
        <f t="shared" si="53"/>
        <v>1081529.7949692872</v>
      </c>
    </row>
    <row r="372" spans="1:20" ht="17.25" customHeight="1">
      <c r="A372" s="706">
        <f t="shared" si="49"/>
        <v>201</v>
      </c>
      <c r="B372" s="286" t="s">
        <v>1010</v>
      </c>
      <c r="C372" s="689">
        <v>42497</v>
      </c>
      <c r="D372" s="690" t="s">
        <v>545</v>
      </c>
      <c r="E372" s="768">
        <v>110.5</v>
      </c>
      <c r="F372" s="769">
        <v>60.5</v>
      </c>
      <c r="G372" s="769">
        <v>176</v>
      </c>
      <c r="H372" s="759">
        <f t="shared" si="51"/>
        <v>8.31</v>
      </c>
      <c r="I372" s="252">
        <v>52</v>
      </c>
      <c r="J372" s="674">
        <f t="shared" si="48"/>
        <v>432.12</v>
      </c>
      <c r="K372" s="674">
        <f t="shared" si="50"/>
        <v>70834.746186907127</v>
      </c>
      <c r="L372" s="621">
        <v>58000</v>
      </c>
      <c r="M372" s="621"/>
      <c r="O372" s="669"/>
      <c r="P372" s="669"/>
      <c r="Q372" s="669"/>
      <c r="S372" s="669">
        <f t="shared" si="52"/>
        <v>3016000</v>
      </c>
      <c r="T372" s="864">
        <f t="shared" si="53"/>
        <v>3683406.8017191705</v>
      </c>
    </row>
    <row r="373" spans="1:20" ht="17.25" customHeight="1">
      <c r="A373" s="706">
        <f t="shared" si="49"/>
        <v>202</v>
      </c>
      <c r="B373" s="286" t="s">
        <v>1011</v>
      </c>
      <c r="C373" s="689">
        <v>42497</v>
      </c>
      <c r="D373" s="690" t="s">
        <v>545</v>
      </c>
      <c r="E373" s="768">
        <v>80.5</v>
      </c>
      <c r="F373" s="769">
        <v>60.5</v>
      </c>
      <c r="G373" s="769">
        <v>176</v>
      </c>
      <c r="H373" s="759">
        <f t="shared" si="51"/>
        <v>6.87</v>
      </c>
      <c r="I373" s="252">
        <v>51</v>
      </c>
      <c r="J373" s="674">
        <f t="shared" si="48"/>
        <v>350.37</v>
      </c>
      <c r="K373" s="674">
        <f t="shared" si="50"/>
        <v>58560.133129248134</v>
      </c>
      <c r="L373" s="621">
        <v>49950</v>
      </c>
      <c r="M373" s="621"/>
      <c r="O373" s="669"/>
      <c r="P373" s="669"/>
      <c r="Q373" s="669"/>
      <c r="S373" s="669">
        <f t="shared" si="52"/>
        <v>2547450</v>
      </c>
      <c r="T373" s="864">
        <f t="shared" si="53"/>
        <v>2986566.7895916547</v>
      </c>
    </row>
    <row r="374" spans="1:20" ht="17.25" customHeight="1">
      <c r="A374" s="706">
        <f t="shared" si="49"/>
        <v>203</v>
      </c>
      <c r="B374" s="286" t="s">
        <v>1012</v>
      </c>
      <c r="C374" s="689">
        <v>42497</v>
      </c>
      <c r="D374" s="690" t="s">
        <v>545</v>
      </c>
      <c r="E374" s="768">
        <v>60.5</v>
      </c>
      <c r="F374" s="769">
        <v>60.5</v>
      </c>
      <c r="G374" s="769">
        <v>99</v>
      </c>
      <c r="H374" s="759">
        <f t="shared" si="51"/>
        <v>4.01</v>
      </c>
      <c r="I374" s="252">
        <v>56</v>
      </c>
      <c r="J374" s="674">
        <f t="shared" si="48"/>
        <v>224.56</v>
      </c>
      <c r="K374" s="674">
        <f t="shared" si="50"/>
        <v>34181.387750842063</v>
      </c>
      <c r="L374" s="621">
        <v>26000</v>
      </c>
      <c r="M374" s="621"/>
      <c r="O374" s="669"/>
      <c r="P374" s="669"/>
      <c r="Q374" s="669"/>
      <c r="S374" s="669">
        <f t="shared" si="52"/>
        <v>1456000</v>
      </c>
      <c r="T374" s="864">
        <f t="shared" si="53"/>
        <v>1914157.7140471556</v>
      </c>
    </row>
    <row r="375" spans="1:20" ht="17.25" customHeight="1">
      <c r="A375" s="706">
        <f t="shared" si="49"/>
        <v>204</v>
      </c>
      <c r="B375" s="286" t="s">
        <v>1013</v>
      </c>
      <c r="C375" s="689">
        <v>42497</v>
      </c>
      <c r="D375" s="690" t="s">
        <v>545</v>
      </c>
      <c r="E375" s="768">
        <v>60.5</v>
      </c>
      <c r="F375" s="769">
        <v>60.5</v>
      </c>
      <c r="G375" s="769">
        <v>135</v>
      </c>
      <c r="H375" s="759">
        <f t="shared" si="51"/>
        <v>4.9000000000000004</v>
      </c>
      <c r="I375" s="252">
        <v>50</v>
      </c>
      <c r="J375" s="674">
        <f t="shared" si="48"/>
        <v>245.00000000000003</v>
      </c>
      <c r="K375" s="674">
        <f t="shared" si="50"/>
        <v>41767.780543422974</v>
      </c>
      <c r="L375" s="621">
        <v>31900</v>
      </c>
      <c r="M375" s="621"/>
      <c r="O375" s="669"/>
      <c r="P375" s="669"/>
      <c r="Q375" s="669"/>
      <c r="S375" s="669">
        <f t="shared" si="52"/>
        <v>1595000</v>
      </c>
      <c r="T375" s="864">
        <f t="shared" si="53"/>
        <v>2088389.0271711487</v>
      </c>
    </row>
    <row r="376" spans="1:20" ht="17.25" customHeight="1">
      <c r="A376" s="706">
        <f t="shared" si="49"/>
        <v>205</v>
      </c>
      <c r="B376" s="286" t="s">
        <v>436</v>
      </c>
      <c r="C376" s="689">
        <v>42499</v>
      </c>
      <c r="D376" s="690" t="s">
        <v>546</v>
      </c>
      <c r="E376" s="768">
        <v>37.5</v>
      </c>
      <c r="F376" s="769">
        <v>25.3</v>
      </c>
      <c r="G376" s="769">
        <v>23.9</v>
      </c>
      <c r="H376" s="759">
        <f t="shared" si="51"/>
        <v>0.68</v>
      </c>
      <c r="I376" s="252">
        <v>281</v>
      </c>
      <c r="J376" s="674">
        <f t="shared" si="48"/>
        <v>191.08</v>
      </c>
      <c r="K376" s="674">
        <f t="shared" si="50"/>
        <v>5796.3450550056377</v>
      </c>
      <c r="L376" s="621">
        <v>7300</v>
      </c>
      <c r="M376" s="621"/>
      <c r="O376" s="669"/>
      <c r="P376" s="669"/>
      <c r="Q376" s="669"/>
      <c r="S376" s="669">
        <f t="shared" si="52"/>
        <v>2051300</v>
      </c>
      <c r="T376" s="864">
        <f t="shared" si="53"/>
        <v>1628772.9604565841</v>
      </c>
    </row>
    <row r="377" spans="1:20" ht="17.25" customHeight="1">
      <c r="A377" s="706">
        <f t="shared" si="49"/>
        <v>206</v>
      </c>
      <c r="B377" s="286" t="s">
        <v>436</v>
      </c>
      <c r="C377" s="689">
        <v>42499</v>
      </c>
      <c r="D377" s="690" t="s">
        <v>546</v>
      </c>
      <c r="E377" s="768">
        <v>37.5</v>
      </c>
      <c r="F377" s="769">
        <v>25.3</v>
      </c>
      <c r="G377" s="769">
        <v>23.9</v>
      </c>
      <c r="H377" s="759">
        <f t="shared" si="51"/>
        <v>0.68</v>
      </c>
      <c r="I377" s="252">
        <v>495</v>
      </c>
      <c r="J377" s="674">
        <f t="shared" si="48"/>
        <v>336.6</v>
      </c>
      <c r="K377" s="674">
        <f t="shared" si="50"/>
        <v>5796.3450550056377</v>
      </c>
      <c r="L377" s="621">
        <v>5900</v>
      </c>
      <c r="M377" s="621"/>
      <c r="O377" s="669"/>
      <c r="P377" s="669"/>
      <c r="Q377" s="669"/>
      <c r="S377" s="669">
        <f t="shared" si="52"/>
        <v>2920500</v>
      </c>
      <c r="T377" s="864">
        <f t="shared" si="53"/>
        <v>2869190.8022277905</v>
      </c>
    </row>
    <row r="378" spans="1:20" ht="17.25" customHeight="1">
      <c r="A378" s="706">
        <f t="shared" si="49"/>
        <v>207</v>
      </c>
      <c r="B378" s="286" t="s">
        <v>474</v>
      </c>
      <c r="C378" s="689">
        <v>42499</v>
      </c>
      <c r="D378" s="690" t="s">
        <v>547</v>
      </c>
      <c r="E378" s="768">
        <v>47</v>
      </c>
      <c r="F378" s="769">
        <v>42</v>
      </c>
      <c r="G378" s="769">
        <v>25</v>
      </c>
      <c r="H378" s="759">
        <f t="shared" si="51"/>
        <v>1.28</v>
      </c>
      <c r="I378" s="252">
        <v>65</v>
      </c>
      <c r="J378" s="674">
        <f t="shared" si="48"/>
        <v>83.2</v>
      </c>
      <c r="K378" s="674">
        <f t="shared" si="50"/>
        <v>10910.767162363552</v>
      </c>
      <c r="L378" s="621">
        <v>9250</v>
      </c>
      <c r="M378" s="621"/>
      <c r="O378" s="669"/>
      <c r="P378" s="669"/>
      <c r="Q378" s="669"/>
      <c r="S378" s="669">
        <f t="shared" si="52"/>
        <v>601250</v>
      </c>
      <c r="T378" s="864">
        <f t="shared" si="53"/>
        <v>709199.86555363087</v>
      </c>
    </row>
    <row r="379" spans="1:20" ht="17.25" customHeight="1">
      <c r="A379" s="706">
        <f t="shared" si="49"/>
        <v>208</v>
      </c>
      <c r="B379" s="286" t="s">
        <v>1014</v>
      </c>
      <c r="C379" s="689">
        <v>42499</v>
      </c>
      <c r="D379" s="690" t="s">
        <v>547</v>
      </c>
      <c r="E379" s="768">
        <v>43</v>
      </c>
      <c r="F379" s="769">
        <v>40</v>
      </c>
      <c r="G379" s="769">
        <v>24</v>
      </c>
      <c r="H379" s="759">
        <f t="shared" si="51"/>
        <v>1.1499999999999999</v>
      </c>
      <c r="I379" s="252">
        <v>105</v>
      </c>
      <c r="J379" s="674">
        <f t="shared" si="48"/>
        <v>120.74999999999999</v>
      </c>
      <c r="K379" s="674">
        <f t="shared" si="50"/>
        <v>9802.6423724360029</v>
      </c>
      <c r="L379" s="621">
        <v>8500</v>
      </c>
      <c r="M379" s="621"/>
      <c r="O379" s="669"/>
      <c r="P379" s="669"/>
      <c r="Q379" s="669"/>
      <c r="S379" s="669">
        <f t="shared" si="52"/>
        <v>892500</v>
      </c>
      <c r="T379" s="864">
        <f t="shared" si="53"/>
        <v>1029277.4491057803</v>
      </c>
    </row>
    <row r="380" spans="1:20" ht="17.25" customHeight="1">
      <c r="A380" s="706">
        <f t="shared" si="49"/>
        <v>209</v>
      </c>
      <c r="B380" s="286" t="s">
        <v>1015</v>
      </c>
      <c r="C380" s="689">
        <v>42499</v>
      </c>
      <c r="D380" s="690" t="s">
        <v>547</v>
      </c>
      <c r="E380" s="768">
        <v>34</v>
      </c>
      <c r="F380" s="769">
        <v>29</v>
      </c>
      <c r="G380" s="769">
        <v>26</v>
      </c>
      <c r="H380" s="759">
        <f t="shared" si="51"/>
        <v>0.76</v>
      </c>
      <c r="I380" s="252">
        <v>130</v>
      </c>
      <c r="J380" s="674">
        <f t="shared" si="48"/>
        <v>98.8</v>
      </c>
      <c r="K380" s="674">
        <f t="shared" si="50"/>
        <v>6478.268002653359</v>
      </c>
      <c r="L380" s="621">
        <v>8950</v>
      </c>
      <c r="M380" s="621"/>
      <c r="O380" s="669"/>
      <c r="P380" s="669"/>
      <c r="Q380" s="669"/>
      <c r="S380" s="669">
        <f t="shared" si="52"/>
        <v>1163500</v>
      </c>
      <c r="T380" s="864">
        <f t="shared" si="53"/>
        <v>842174.8403449367</v>
      </c>
    </row>
    <row r="381" spans="1:20" ht="17.25" customHeight="1">
      <c r="A381" s="706">
        <f t="shared" si="49"/>
        <v>210</v>
      </c>
      <c r="B381" s="286" t="s">
        <v>480</v>
      </c>
      <c r="C381" s="689">
        <v>42499</v>
      </c>
      <c r="D381" s="690" t="s">
        <v>547</v>
      </c>
      <c r="E381" s="768">
        <v>47</v>
      </c>
      <c r="F381" s="769">
        <v>42</v>
      </c>
      <c r="G381" s="769">
        <v>24.5</v>
      </c>
      <c r="H381" s="759">
        <f t="shared" si="51"/>
        <v>1.27</v>
      </c>
      <c r="I381" s="252">
        <v>356</v>
      </c>
      <c r="J381" s="674">
        <f t="shared" si="48"/>
        <v>452.12</v>
      </c>
      <c r="K381" s="674">
        <f t="shared" si="50"/>
        <v>10825.526793907587</v>
      </c>
      <c r="L381" s="621">
        <v>9200</v>
      </c>
      <c r="M381" s="621"/>
      <c r="O381" s="669"/>
      <c r="P381" s="669"/>
      <c r="Q381" s="669"/>
      <c r="S381" s="669">
        <f t="shared" si="52"/>
        <v>3275200</v>
      </c>
      <c r="T381" s="864">
        <f t="shared" si="53"/>
        <v>3853887.5386311011</v>
      </c>
    </row>
    <row r="382" spans="1:20" ht="17.25" customHeight="1">
      <c r="A382" s="706">
        <f t="shared" si="49"/>
        <v>211</v>
      </c>
      <c r="B382" s="286" t="s">
        <v>480</v>
      </c>
      <c r="C382" s="689">
        <v>42500</v>
      </c>
      <c r="D382" s="690" t="s">
        <v>548</v>
      </c>
      <c r="E382" s="768">
        <v>47</v>
      </c>
      <c r="F382" s="769">
        <v>42</v>
      </c>
      <c r="G382" s="769">
        <v>24.5</v>
      </c>
      <c r="H382" s="759">
        <f t="shared" si="51"/>
        <v>1.27</v>
      </c>
      <c r="I382" s="252">
        <v>102</v>
      </c>
      <c r="J382" s="674">
        <f t="shared" si="48"/>
        <v>129.54</v>
      </c>
      <c r="K382" s="674">
        <f t="shared" si="50"/>
        <v>10825.526793907587</v>
      </c>
      <c r="L382" s="621">
        <v>9200</v>
      </c>
      <c r="M382" s="621"/>
      <c r="O382" s="669"/>
      <c r="P382" s="669"/>
      <c r="Q382" s="669"/>
      <c r="S382" s="669">
        <f t="shared" si="52"/>
        <v>938400</v>
      </c>
      <c r="T382" s="864">
        <f t="shared" si="53"/>
        <v>1104203.732978574</v>
      </c>
    </row>
    <row r="383" spans="1:20" ht="17.25" customHeight="1">
      <c r="A383" s="706">
        <f t="shared" si="49"/>
        <v>212</v>
      </c>
      <c r="B383" s="286" t="s">
        <v>1016</v>
      </c>
      <c r="C383" s="689">
        <v>42500</v>
      </c>
      <c r="D383" s="690" t="s">
        <v>548</v>
      </c>
      <c r="E383" s="768">
        <v>44</v>
      </c>
      <c r="F383" s="769">
        <v>32</v>
      </c>
      <c r="G383" s="769">
        <v>46</v>
      </c>
      <c r="H383" s="759">
        <f t="shared" si="51"/>
        <v>1.27</v>
      </c>
      <c r="I383" s="252">
        <v>198</v>
      </c>
      <c r="J383" s="674">
        <f t="shared" si="48"/>
        <v>251.46</v>
      </c>
      <c r="K383" s="674">
        <f t="shared" si="50"/>
        <v>10825.526793907587</v>
      </c>
      <c r="L383" s="621">
        <v>13000</v>
      </c>
      <c r="M383" s="621"/>
      <c r="O383" s="669"/>
      <c r="P383" s="669"/>
      <c r="Q383" s="669"/>
      <c r="S383" s="669">
        <f t="shared" si="52"/>
        <v>2574000</v>
      </c>
      <c r="T383" s="864">
        <f t="shared" si="53"/>
        <v>2143454.3051937022</v>
      </c>
    </row>
    <row r="384" spans="1:20" ht="17.25" customHeight="1">
      <c r="A384" s="706">
        <f t="shared" si="49"/>
        <v>213</v>
      </c>
      <c r="B384" s="286" t="s">
        <v>1015</v>
      </c>
      <c r="C384" s="689">
        <v>42500</v>
      </c>
      <c r="D384" s="690" t="s">
        <v>548</v>
      </c>
      <c r="E384" s="768">
        <v>34</v>
      </c>
      <c r="F384" s="769">
        <v>29</v>
      </c>
      <c r="G384" s="769">
        <v>26</v>
      </c>
      <c r="H384" s="759">
        <f t="shared" si="51"/>
        <v>0.76</v>
      </c>
      <c r="I384" s="252">
        <v>260</v>
      </c>
      <c r="J384" s="674">
        <f t="shared" si="48"/>
        <v>197.6</v>
      </c>
      <c r="K384" s="674">
        <f t="shared" si="50"/>
        <v>6478.268002653359</v>
      </c>
      <c r="L384" s="621">
        <v>8950</v>
      </c>
      <c r="M384" s="621"/>
      <c r="O384" s="669"/>
      <c r="P384" s="669"/>
      <c r="Q384" s="669"/>
      <c r="S384" s="669">
        <f t="shared" si="52"/>
        <v>2327000</v>
      </c>
      <c r="T384" s="864">
        <f t="shared" si="53"/>
        <v>1684349.6806898734</v>
      </c>
    </row>
    <row r="385" spans="1:20" ht="17.25" customHeight="1">
      <c r="A385" s="706">
        <f t="shared" si="49"/>
        <v>214</v>
      </c>
      <c r="B385" s="286" t="s">
        <v>1202</v>
      </c>
      <c r="C385" s="689">
        <v>42500</v>
      </c>
      <c r="D385" s="690" t="s">
        <v>548</v>
      </c>
      <c r="E385" s="768">
        <v>32</v>
      </c>
      <c r="F385" s="720">
        <v>12</v>
      </c>
      <c r="G385" s="720"/>
      <c r="H385" s="759">
        <f t="shared" si="51"/>
        <v>0.04</v>
      </c>
      <c r="I385" s="252">
        <v>400</v>
      </c>
      <c r="J385" s="674">
        <f t="shared" si="48"/>
        <v>16</v>
      </c>
      <c r="K385" s="674">
        <f t="shared" si="50"/>
        <v>340.96147382386101</v>
      </c>
      <c r="L385" s="680">
        <v>1300</v>
      </c>
      <c r="M385" s="621"/>
      <c r="O385" s="669"/>
      <c r="P385" s="669"/>
      <c r="Q385" s="669"/>
      <c r="S385" s="669">
        <f t="shared" si="52"/>
        <v>520000</v>
      </c>
      <c r="T385" s="864">
        <f t="shared" si="53"/>
        <v>136384.58952954441</v>
      </c>
    </row>
    <row r="386" spans="1:20" ht="17.25" customHeight="1">
      <c r="A386" s="706">
        <f t="shared" si="49"/>
        <v>215</v>
      </c>
      <c r="B386" s="286" t="s">
        <v>1203</v>
      </c>
      <c r="C386" s="689">
        <v>42500</v>
      </c>
      <c r="D386" s="690" t="s">
        <v>548</v>
      </c>
      <c r="E386" s="768">
        <v>29</v>
      </c>
      <c r="F386" s="769">
        <v>10</v>
      </c>
      <c r="G386" s="769"/>
      <c r="H386" s="759">
        <f t="shared" si="51"/>
        <v>0.03</v>
      </c>
      <c r="I386" s="252">
        <v>780</v>
      </c>
      <c r="J386" s="674">
        <f t="shared" si="48"/>
        <v>23.4</v>
      </c>
      <c r="K386" s="674">
        <f t="shared" si="50"/>
        <v>255.72110536789575</v>
      </c>
      <c r="L386" s="621">
        <v>1200</v>
      </c>
      <c r="M386" s="621"/>
      <c r="O386" s="669"/>
      <c r="P386" s="669"/>
      <c r="Q386" s="669"/>
      <c r="S386" s="669">
        <f t="shared" si="52"/>
        <v>936000</v>
      </c>
      <c r="T386" s="864">
        <f t="shared" si="53"/>
        <v>199462.46218695867</v>
      </c>
    </row>
    <row r="387" spans="1:20" ht="17.25" customHeight="1">
      <c r="A387" s="706">
        <f t="shared" si="49"/>
        <v>216</v>
      </c>
      <c r="B387" s="286" t="s">
        <v>1017</v>
      </c>
      <c r="C387" s="689">
        <v>42500</v>
      </c>
      <c r="D387" s="690" t="s">
        <v>550</v>
      </c>
      <c r="E387" s="768">
        <v>80.5</v>
      </c>
      <c r="F387" s="769">
        <v>60.5</v>
      </c>
      <c r="G387" s="769">
        <v>135</v>
      </c>
      <c r="H387" s="759">
        <f t="shared" si="51"/>
        <v>5.7</v>
      </c>
      <c r="I387" s="252">
        <v>48</v>
      </c>
      <c r="J387" s="674">
        <f t="shared" si="48"/>
        <v>273.60000000000002</v>
      </c>
      <c r="K387" s="674">
        <f t="shared" si="50"/>
        <v>48587.010019900197</v>
      </c>
      <c r="L387" s="621">
        <v>38150</v>
      </c>
      <c r="M387" s="621"/>
      <c r="O387" s="669"/>
      <c r="P387" s="669"/>
      <c r="Q387" s="669"/>
      <c r="S387" s="669">
        <f t="shared" si="52"/>
        <v>1831200</v>
      </c>
      <c r="T387" s="864">
        <f t="shared" si="53"/>
        <v>2332176.4809552096</v>
      </c>
    </row>
    <row r="388" spans="1:20" ht="17.25" customHeight="1">
      <c r="A388" s="706">
        <f t="shared" si="49"/>
        <v>217</v>
      </c>
      <c r="B388" s="286" t="s">
        <v>994</v>
      </c>
      <c r="C388" s="689">
        <v>42500</v>
      </c>
      <c r="D388" s="690" t="s">
        <v>550</v>
      </c>
      <c r="E388" s="768">
        <v>60.5</v>
      </c>
      <c r="F388" s="720">
        <v>36.5</v>
      </c>
      <c r="G388" s="720">
        <v>45</v>
      </c>
      <c r="H388" s="759">
        <f t="shared" si="51"/>
        <v>1.68</v>
      </c>
      <c r="I388" s="252">
        <v>500</v>
      </c>
      <c r="J388" s="674">
        <f t="shared" si="48"/>
        <v>840</v>
      </c>
      <c r="K388" s="674">
        <f t="shared" si="50"/>
        <v>14320.381900602162</v>
      </c>
      <c r="L388" s="680">
        <v>12700</v>
      </c>
      <c r="M388" s="621"/>
      <c r="O388" s="669"/>
      <c r="P388" s="669"/>
      <c r="Q388" s="669"/>
      <c r="S388" s="669">
        <f t="shared" si="52"/>
        <v>6350000</v>
      </c>
      <c r="T388" s="864">
        <f t="shared" si="53"/>
        <v>7160190.9503010809</v>
      </c>
    </row>
    <row r="389" spans="1:20" ht="17.25" customHeight="1">
      <c r="A389" s="706">
        <f t="shared" si="49"/>
        <v>218</v>
      </c>
      <c r="B389" s="286" t="s">
        <v>1018</v>
      </c>
      <c r="C389" s="689">
        <v>42500</v>
      </c>
      <c r="D389" s="690" t="s">
        <v>550</v>
      </c>
      <c r="E389" s="768">
        <v>60.5</v>
      </c>
      <c r="F389" s="720">
        <v>36.5</v>
      </c>
      <c r="G389" s="720">
        <v>205</v>
      </c>
      <c r="H389" s="759">
        <f t="shared" si="51"/>
        <v>4.87</v>
      </c>
      <c r="I389" s="252">
        <v>50</v>
      </c>
      <c r="J389" s="674">
        <f t="shared" si="48"/>
        <v>243.5</v>
      </c>
      <c r="K389" s="674">
        <f t="shared" si="50"/>
        <v>41512.059438055083</v>
      </c>
      <c r="L389" s="680">
        <v>43400</v>
      </c>
      <c r="M389" s="621"/>
      <c r="O389" s="669"/>
      <c r="P389" s="669"/>
      <c r="Q389" s="669"/>
      <c r="S389" s="669">
        <f t="shared" si="52"/>
        <v>2170000</v>
      </c>
      <c r="T389" s="864">
        <f t="shared" si="53"/>
        <v>2075602.9719027542</v>
      </c>
    </row>
    <row r="390" spans="1:20" ht="17.25" customHeight="1">
      <c r="A390" s="706">
        <f t="shared" si="49"/>
        <v>219</v>
      </c>
      <c r="B390" s="286" t="s">
        <v>1019</v>
      </c>
      <c r="C390" s="689">
        <v>42500</v>
      </c>
      <c r="D390" s="690" t="s">
        <v>550</v>
      </c>
      <c r="E390" s="768">
        <v>80.5</v>
      </c>
      <c r="F390" s="720">
        <v>60.5</v>
      </c>
      <c r="G390" s="720">
        <v>205</v>
      </c>
      <c r="H390" s="759">
        <f t="shared" si="51"/>
        <v>7.71</v>
      </c>
      <c r="I390" s="252">
        <v>23</v>
      </c>
      <c r="J390" s="674">
        <f t="shared" si="48"/>
        <v>177.33</v>
      </c>
      <c r="K390" s="674">
        <f t="shared" si="50"/>
        <v>65720.324079549217</v>
      </c>
      <c r="L390" s="680">
        <v>51500</v>
      </c>
      <c r="M390" s="621"/>
      <c r="O390" s="669"/>
      <c r="P390" s="669"/>
      <c r="Q390" s="669"/>
      <c r="S390" s="669">
        <f t="shared" si="52"/>
        <v>1184500</v>
      </c>
      <c r="T390" s="864">
        <f t="shared" si="53"/>
        <v>1511567.4538296319</v>
      </c>
    </row>
    <row r="391" spans="1:20" ht="17.25" customHeight="1">
      <c r="A391" s="706">
        <f t="shared" si="49"/>
        <v>220</v>
      </c>
      <c r="B391" s="286" t="s">
        <v>1020</v>
      </c>
      <c r="C391" s="689">
        <v>42500</v>
      </c>
      <c r="D391" s="690" t="s">
        <v>550</v>
      </c>
      <c r="E391" s="768">
        <v>60.5</v>
      </c>
      <c r="F391" s="720">
        <v>60.5</v>
      </c>
      <c r="G391" s="769">
        <v>205</v>
      </c>
      <c r="H391" s="759">
        <f t="shared" si="51"/>
        <v>6.63</v>
      </c>
      <c r="I391" s="252">
        <v>5</v>
      </c>
      <c r="J391" s="674">
        <f t="shared" si="48"/>
        <v>33.15</v>
      </c>
      <c r="K391" s="674">
        <f t="shared" si="50"/>
        <v>56514.364286304961</v>
      </c>
      <c r="L391" s="621">
        <v>43400</v>
      </c>
      <c r="M391" s="621"/>
      <c r="O391" s="669"/>
      <c r="P391" s="669"/>
      <c r="Q391" s="669"/>
      <c r="S391" s="669">
        <f t="shared" si="52"/>
        <v>217000</v>
      </c>
      <c r="T391" s="864">
        <f t="shared" si="53"/>
        <v>282571.82143152482</v>
      </c>
    </row>
    <row r="392" spans="1:20" ht="17.25" customHeight="1">
      <c r="A392" s="706">
        <f t="shared" si="49"/>
        <v>221</v>
      </c>
      <c r="B392" s="286" t="s">
        <v>1021</v>
      </c>
      <c r="C392" s="689">
        <v>42500</v>
      </c>
      <c r="D392" s="690" t="s">
        <v>550</v>
      </c>
      <c r="E392" s="768">
        <v>60.5</v>
      </c>
      <c r="F392" s="720">
        <v>60.5</v>
      </c>
      <c r="G392" s="769">
        <v>176</v>
      </c>
      <c r="H392" s="759">
        <f t="shared" si="51"/>
        <v>5.92</v>
      </c>
      <c r="I392" s="252">
        <v>50</v>
      </c>
      <c r="J392" s="674">
        <f t="shared" si="48"/>
        <v>296</v>
      </c>
      <c r="K392" s="674">
        <f t="shared" si="50"/>
        <v>50462.298125931433</v>
      </c>
      <c r="L392" s="621">
        <v>38600</v>
      </c>
      <c r="M392" s="621"/>
      <c r="O392" s="669"/>
      <c r="P392" s="669"/>
      <c r="Q392" s="669"/>
      <c r="S392" s="669">
        <f t="shared" si="52"/>
        <v>1930000</v>
      </c>
      <c r="T392" s="864">
        <f t="shared" si="53"/>
        <v>2523114.9062965717</v>
      </c>
    </row>
    <row r="393" spans="1:20" ht="17.25" customHeight="1">
      <c r="A393" s="706">
        <f t="shared" si="49"/>
        <v>222</v>
      </c>
      <c r="B393" s="286" t="s">
        <v>1022</v>
      </c>
      <c r="C393" s="689">
        <v>42500</v>
      </c>
      <c r="D393" s="690" t="s">
        <v>550</v>
      </c>
      <c r="E393" s="768">
        <v>110.5</v>
      </c>
      <c r="F393" s="769">
        <v>60.5</v>
      </c>
      <c r="G393" s="769">
        <v>205</v>
      </c>
      <c r="H393" s="759">
        <f t="shared" si="51"/>
        <v>9.32</v>
      </c>
      <c r="I393" s="252">
        <v>50</v>
      </c>
      <c r="J393" s="674">
        <f t="shared" si="48"/>
        <v>466</v>
      </c>
      <c r="K393" s="674">
        <f t="shared" si="50"/>
        <v>79444.023400959617</v>
      </c>
      <c r="L393" s="621">
        <v>64650</v>
      </c>
      <c r="M393" s="621"/>
      <c r="O393" s="669"/>
      <c r="P393" s="669"/>
      <c r="Q393" s="669"/>
      <c r="S393" s="669">
        <f t="shared" si="52"/>
        <v>3232500</v>
      </c>
      <c r="T393" s="864">
        <f t="shared" si="53"/>
        <v>3972201.1700479807</v>
      </c>
    </row>
    <row r="394" spans="1:20" ht="17.25" customHeight="1">
      <c r="A394" s="706">
        <f t="shared" si="49"/>
        <v>223</v>
      </c>
      <c r="B394" s="286" t="s">
        <v>1023</v>
      </c>
      <c r="C394" s="689">
        <v>42500</v>
      </c>
      <c r="D394" s="690" t="s">
        <v>550</v>
      </c>
      <c r="E394" s="768">
        <v>110.5</v>
      </c>
      <c r="F394" s="769">
        <v>60.5</v>
      </c>
      <c r="G394" s="769">
        <v>135</v>
      </c>
      <c r="H394" s="759">
        <f t="shared" si="51"/>
        <v>6.89</v>
      </c>
      <c r="I394" s="252">
        <v>49</v>
      </c>
      <c r="J394" s="674">
        <f t="shared" si="48"/>
        <v>337.60999999999996</v>
      </c>
      <c r="K394" s="674">
        <f t="shared" si="50"/>
        <v>58730.613866160056</v>
      </c>
      <c r="L394" s="621">
        <v>48600</v>
      </c>
      <c r="M394" s="621"/>
      <c r="O394" s="669"/>
      <c r="P394" s="669"/>
      <c r="Q394" s="669"/>
      <c r="S394" s="669">
        <f t="shared" si="52"/>
        <v>2381400</v>
      </c>
      <c r="T394" s="864">
        <f t="shared" si="53"/>
        <v>2877800.0794418426</v>
      </c>
    </row>
    <row r="395" spans="1:20" ht="17.25" customHeight="1">
      <c r="A395" s="706">
        <f t="shared" si="49"/>
        <v>224</v>
      </c>
      <c r="B395" s="286" t="s">
        <v>645</v>
      </c>
      <c r="C395" s="689">
        <v>42502</v>
      </c>
      <c r="D395" s="690" t="s">
        <v>552</v>
      </c>
      <c r="E395" s="768">
        <v>45</v>
      </c>
      <c r="F395" s="769">
        <v>37</v>
      </c>
      <c r="G395" s="769">
        <v>27.5</v>
      </c>
      <c r="H395" s="759">
        <f t="shared" si="51"/>
        <v>1.1399999999999999</v>
      </c>
      <c r="I395" s="252">
        <v>50</v>
      </c>
      <c r="J395" s="674">
        <f t="shared" si="48"/>
        <v>56.999999999999993</v>
      </c>
      <c r="K395" s="674">
        <f t="shared" si="50"/>
        <v>9717.402003980038</v>
      </c>
      <c r="L395" s="621">
        <v>13400</v>
      </c>
      <c r="M395" s="621"/>
      <c r="O395" s="669"/>
      <c r="P395" s="669"/>
      <c r="Q395" s="669"/>
      <c r="S395" s="669">
        <f t="shared" si="52"/>
        <v>670000</v>
      </c>
      <c r="T395" s="864">
        <f t="shared" si="53"/>
        <v>485870.1001990019</v>
      </c>
    </row>
    <row r="396" spans="1:20" ht="17.25" customHeight="1">
      <c r="A396" s="706">
        <f t="shared" si="49"/>
        <v>225</v>
      </c>
      <c r="B396" s="286" t="s">
        <v>645</v>
      </c>
      <c r="C396" s="689">
        <v>42502</v>
      </c>
      <c r="D396" s="690" t="s">
        <v>552</v>
      </c>
      <c r="E396" s="768">
        <v>45</v>
      </c>
      <c r="F396" s="769">
        <v>37</v>
      </c>
      <c r="G396" s="769">
        <v>27.5</v>
      </c>
      <c r="H396" s="759">
        <f t="shared" si="51"/>
        <v>1.1399999999999999</v>
      </c>
      <c r="I396" s="252">
        <v>1019</v>
      </c>
      <c r="J396" s="674">
        <f t="shared" si="48"/>
        <v>1161.6599999999999</v>
      </c>
      <c r="K396" s="674">
        <f t="shared" si="50"/>
        <v>9717.402003980038</v>
      </c>
      <c r="L396" s="621">
        <v>13800</v>
      </c>
      <c r="M396" s="621"/>
      <c r="O396" s="669"/>
      <c r="P396" s="669"/>
      <c r="Q396" s="669"/>
      <c r="S396" s="669">
        <f t="shared" si="52"/>
        <v>14062200</v>
      </c>
      <c r="T396" s="864">
        <f t="shared" si="53"/>
        <v>9902032.6420556586</v>
      </c>
    </row>
    <row r="397" spans="1:20" ht="17.25" customHeight="1">
      <c r="A397" s="706">
        <f t="shared" si="49"/>
        <v>226</v>
      </c>
      <c r="B397" s="286" t="s">
        <v>693</v>
      </c>
      <c r="C397" s="689">
        <v>42502</v>
      </c>
      <c r="D397" s="690" t="s">
        <v>552</v>
      </c>
      <c r="E397" s="768">
        <v>44</v>
      </c>
      <c r="F397" s="769">
        <v>20</v>
      </c>
      <c r="G397" s="769"/>
      <c r="H397" s="759">
        <f t="shared" si="51"/>
        <v>0.09</v>
      </c>
      <c r="I397" s="252">
        <v>2138</v>
      </c>
      <c r="J397" s="674">
        <f t="shared" si="48"/>
        <v>192.42</v>
      </c>
      <c r="K397" s="674">
        <f t="shared" si="50"/>
        <v>767.16331610368729</v>
      </c>
      <c r="L397" s="621">
        <v>1300</v>
      </c>
      <c r="M397" s="621"/>
      <c r="O397" s="669"/>
      <c r="P397" s="669"/>
      <c r="Q397" s="669"/>
      <c r="S397" s="669">
        <f t="shared" si="52"/>
        <v>2779400</v>
      </c>
      <c r="T397" s="864">
        <f t="shared" si="53"/>
        <v>1640195.1698296834</v>
      </c>
    </row>
    <row r="398" spans="1:20" ht="17.25" customHeight="1">
      <c r="A398" s="706">
        <f t="shared" si="49"/>
        <v>227</v>
      </c>
      <c r="B398" s="286" t="s">
        <v>389</v>
      </c>
      <c r="C398" s="689">
        <v>42502</v>
      </c>
      <c r="D398" s="690" t="s">
        <v>553</v>
      </c>
      <c r="E398" s="768">
        <v>52</v>
      </c>
      <c r="F398" s="769">
        <v>24.5</v>
      </c>
      <c r="G398" s="769">
        <v>24.5</v>
      </c>
      <c r="H398" s="759">
        <f t="shared" si="51"/>
        <v>0.82</v>
      </c>
      <c r="I398" s="252">
        <v>1236</v>
      </c>
      <c r="J398" s="674">
        <f t="shared" si="48"/>
        <v>1013.52</v>
      </c>
      <c r="K398" s="674">
        <f t="shared" si="50"/>
        <v>6989.7102133891503</v>
      </c>
      <c r="L398" s="621">
        <v>5000</v>
      </c>
      <c r="M398" s="621"/>
      <c r="O398" s="669"/>
      <c r="P398" s="669"/>
      <c r="Q398" s="669"/>
      <c r="S398" s="669">
        <f t="shared" si="52"/>
        <v>6180000</v>
      </c>
      <c r="T398" s="864">
        <f t="shared" si="53"/>
        <v>8639281.823748989</v>
      </c>
    </row>
    <row r="399" spans="1:20" ht="17.25" customHeight="1">
      <c r="A399" s="706">
        <f t="shared" si="49"/>
        <v>228</v>
      </c>
      <c r="B399" s="286" t="s">
        <v>414</v>
      </c>
      <c r="C399" s="689">
        <v>42502</v>
      </c>
      <c r="D399" s="690" t="s">
        <v>553</v>
      </c>
      <c r="E399" s="768">
        <v>52</v>
      </c>
      <c r="F399" s="769">
        <v>26.5</v>
      </c>
      <c r="G399" s="769">
        <v>26.5</v>
      </c>
      <c r="H399" s="759">
        <f t="shared" si="51"/>
        <v>0.91</v>
      </c>
      <c r="I399" s="252">
        <v>300</v>
      </c>
      <c r="J399" s="674">
        <f t="shared" si="48"/>
        <v>273</v>
      </c>
      <c r="K399" s="674">
        <f t="shared" si="50"/>
        <v>7756.8735294928383</v>
      </c>
      <c r="L399" s="621">
        <v>5550</v>
      </c>
      <c r="M399" s="621"/>
      <c r="O399" s="669"/>
      <c r="P399" s="669"/>
      <c r="Q399" s="669"/>
      <c r="S399" s="669">
        <f t="shared" si="52"/>
        <v>1665000</v>
      </c>
      <c r="T399" s="864">
        <f t="shared" si="53"/>
        <v>2327062.0588478516</v>
      </c>
    </row>
    <row r="400" spans="1:20" ht="17.25" customHeight="1">
      <c r="A400" s="706">
        <f t="shared" si="49"/>
        <v>229</v>
      </c>
      <c r="B400" s="286" t="s">
        <v>454</v>
      </c>
      <c r="C400" s="689">
        <v>42502</v>
      </c>
      <c r="D400" s="690" t="s">
        <v>553</v>
      </c>
      <c r="E400" s="768">
        <v>61</v>
      </c>
      <c r="F400" s="769">
        <v>51</v>
      </c>
      <c r="G400" s="769">
        <v>30</v>
      </c>
      <c r="H400" s="759">
        <f t="shared" si="51"/>
        <v>1.92</v>
      </c>
      <c r="I400" s="252">
        <v>310</v>
      </c>
      <c r="J400" s="674">
        <f t="shared" si="48"/>
        <v>595.19999999999993</v>
      </c>
      <c r="K400" s="674">
        <f t="shared" si="50"/>
        <v>16366.150743545328</v>
      </c>
      <c r="L400" s="621">
        <v>10670</v>
      </c>
      <c r="M400" s="621"/>
      <c r="O400" s="669"/>
      <c r="P400" s="669"/>
      <c r="Q400" s="669"/>
      <c r="S400" s="669">
        <f t="shared" si="52"/>
        <v>3307700</v>
      </c>
      <c r="T400" s="864">
        <f t="shared" si="53"/>
        <v>5073506.7304990515</v>
      </c>
    </row>
    <row r="401" spans="1:20" ht="17.25" customHeight="1">
      <c r="A401" s="706">
        <f t="shared" si="49"/>
        <v>230</v>
      </c>
      <c r="B401" s="286" t="s">
        <v>638</v>
      </c>
      <c r="C401" s="689">
        <v>42503</v>
      </c>
      <c r="D401" s="690" t="s">
        <v>554</v>
      </c>
      <c r="E401" s="768">
        <v>52</v>
      </c>
      <c r="F401" s="769">
        <v>24</v>
      </c>
      <c r="G401" s="769">
        <v>24</v>
      </c>
      <c r="H401" s="759">
        <f t="shared" si="51"/>
        <v>0.8</v>
      </c>
      <c r="I401" s="252">
        <v>307</v>
      </c>
      <c r="J401" s="674">
        <f t="shared" si="48"/>
        <v>245.60000000000002</v>
      </c>
      <c r="K401" s="674">
        <f t="shared" si="50"/>
        <v>6819.2294764772205</v>
      </c>
      <c r="L401" s="621">
        <v>6000</v>
      </c>
      <c r="M401" s="621"/>
      <c r="O401" s="669"/>
      <c r="P401" s="669"/>
      <c r="Q401" s="669"/>
      <c r="S401" s="669">
        <f t="shared" si="52"/>
        <v>1842000</v>
      </c>
      <c r="T401" s="864">
        <f t="shared" si="53"/>
        <v>2093503.4492785067</v>
      </c>
    </row>
    <row r="402" spans="1:20" ht="17.25" customHeight="1">
      <c r="A402" s="706">
        <f t="shared" si="49"/>
        <v>231</v>
      </c>
      <c r="B402" s="286" t="s">
        <v>639</v>
      </c>
      <c r="C402" s="689">
        <v>42503</v>
      </c>
      <c r="D402" s="690" t="s">
        <v>554</v>
      </c>
      <c r="E402" s="768">
        <v>52</v>
      </c>
      <c r="F402" s="769">
        <v>27</v>
      </c>
      <c r="G402" s="769">
        <v>27</v>
      </c>
      <c r="H402" s="759">
        <f t="shared" si="51"/>
        <v>0.93</v>
      </c>
      <c r="I402" s="252">
        <v>302</v>
      </c>
      <c r="J402" s="674">
        <f t="shared" si="48"/>
        <v>280.86</v>
      </c>
      <c r="K402" s="674">
        <f t="shared" si="50"/>
        <v>7927.3542664047691</v>
      </c>
      <c r="L402" s="621">
        <v>6600</v>
      </c>
      <c r="M402" s="621"/>
      <c r="O402" s="669"/>
      <c r="P402" s="669"/>
      <c r="Q402" s="669"/>
      <c r="S402" s="669">
        <f t="shared" si="52"/>
        <v>1993200</v>
      </c>
      <c r="T402" s="864">
        <f t="shared" si="53"/>
        <v>2394060.9884542404</v>
      </c>
    </row>
    <row r="403" spans="1:20" ht="17.25" customHeight="1">
      <c r="A403" s="706">
        <f t="shared" si="49"/>
        <v>232</v>
      </c>
      <c r="B403" s="286" t="s">
        <v>640</v>
      </c>
      <c r="C403" s="689">
        <v>42503</v>
      </c>
      <c r="D403" s="690" t="s">
        <v>554</v>
      </c>
      <c r="E403" s="768">
        <v>57</v>
      </c>
      <c r="F403" s="769">
        <v>46</v>
      </c>
      <c r="G403" s="769">
        <v>30</v>
      </c>
      <c r="H403" s="759">
        <f t="shared" si="51"/>
        <v>1.67</v>
      </c>
      <c r="I403" s="252">
        <v>396</v>
      </c>
      <c r="J403" s="674">
        <f t="shared" si="48"/>
        <v>661.31999999999994</v>
      </c>
      <c r="K403" s="674">
        <f t="shared" si="50"/>
        <v>14235.141532146197</v>
      </c>
      <c r="L403" s="621">
        <v>11700</v>
      </c>
      <c r="M403" s="621"/>
      <c r="O403" s="669"/>
      <c r="P403" s="669"/>
      <c r="Q403" s="669"/>
      <c r="S403" s="669">
        <f t="shared" si="52"/>
        <v>4633200</v>
      </c>
      <c r="T403" s="864">
        <f t="shared" si="53"/>
        <v>5637116.0467298944</v>
      </c>
    </row>
    <row r="404" spans="1:20" ht="17.25" customHeight="1">
      <c r="A404" s="706">
        <f t="shared" si="49"/>
        <v>233</v>
      </c>
      <c r="B404" s="286" t="s">
        <v>1024</v>
      </c>
      <c r="C404" s="689">
        <v>42503</v>
      </c>
      <c r="D404" s="690" t="s">
        <v>555</v>
      </c>
      <c r="E404" s="768">
        <v>41</v>
      </c>
      <c r="F404" s="769">
        <v>41</v>
      </c>
      <c r="G404" s="769">
        <v>10.5</v>
      </c>
      <c r="H404" s="759">
        <f t="shared" si="51"/>
        <v>0.92</v>
      </c>
      <c r="I404" s="252">
        <v>592</v>
      </c>
      <c r="J404" s="674">
        <f t="shared" si="48"/>
        <v>544.64</v>
      </c>
      <c r="K404" s="674">
        <f t="shared" si="50"/>
        <v>7842.1138979488032</v>
      </c>
      <c r="L404" s="621">
        <v>7000</v>
      </c>
      <c r="M404" s="621"/>
      <c r="O404" s="669"/>
      <c r="P404" s="669"/>
      <c r="Q404" s="669"/>
      <c r="S404" s="669">
        <f t="shared" si="52"/>
        <v>4144000</v>
      </c>
      <c r="T404" s="864">
        <f t="shared" si="53"/>
        <v>4642531.4275856912</v>
      </c>
    </row>
    <row r="405" spans="1:20" ht="17.25" customHeight="1">
      <c r="A405" s="706">
        <f t="shared" si="49"/>
        <v>234</v>
      </c>
      <c r="B405" s="286" t="s">
        <v>480</v>
      </c>
      <c r="C405" s="689">
        <v>42507</v>
      </c>
      <c r="D405" s="690" t="s">
        <v>559</v>
      </c>
      <c r="E405" s="768">
        <v>47</v>
      </c>
      <c r="F405" s="769">
        <v>42</v>
      </c>
      <c r="G405" s="769">
        <v>24.5</v>
      </c>
      <c r="H405" s="759">
        <f t="shared" si="51"/>
        <v>1.27</v>
      </c>
      <c r="I405" s="252">
        <v>360</v>
      </c>
      <c r="J405" s="674">
        <f t="shared" ref="J405:J468" si="54">H405*I405</f>
        <v>457.2</v>
      </c>
      <c r="K405" s="674">
        <f t="shared" si="50"/>
        <v>10825.526793907587</v>
      </c>
      <c r="L405" s="621">
        <v>9200</v>
      </c>
      <c r="M405" s="621"/>
      <c r="O405" s="669"/>
      <c r="P405" s="669"/>
      <c r="Q405" s="669"/>
      <c r="S405" s="669">
        <f t="shared" si="52"/>
        <v>3312000</v>
      </c>
      <c r="T405" s="864">
        <f t="shared" si="53"/>
        <v>3897189.6458067317</v>
      </c>
    </row>
    <row r="406" spans="1:20" ht="17.25" customHeight="1">
      <c r="A406" s="706">
        <f t="shared" si="49"/>
        <v>235</v>
      </c>
      <c r="B406" s="286" t="s">
        <v>662</v>
      </c>
      <c r="C406" s="689">
        <v>42507</v>
      </c>
      <c r="D406" s="690" t="s">
        <v>559</v>
      </c>
      <c r="E406" s="768">
        <v>52</v>
      </c>
      <c r="F406" s="769">
        <v>29</v>
      </c>
      <c r="G406" s="769">
        <v>11.8</v>
      </c>
      <c r="H406" s="759">
        <f t="shared" si="51"/>
        <v>0.73</v>
      </c>
      <c r="I406" s="252">
        <v>1000</v>
      </c>
      <c r="J406" s="674">
        <f t="shared" si="54"/>
        <v>730</v>
      </c>
      <c r="K406" s="674">
        <f t="shared" si="50"/>
        <v>6222.5468972854633</v>
      </c>
      <c r="L406" s="621">
        <v>8600</v>
      </c>
      <c r="M406" s="621"/>
      <c r="O406" s="669"/>
      <c r="P406" s="669"/>
      <c r="Q406" s="669"/>
      <c r="S406" s="669">
        <f t="shared" si="52"/>
        <v>8600000</v>
      </c>
      <c r="T406" s="864">
        <f t="shared" si="53"/>
        <v>6222546.8972854633</v>
      </c>
    </row>
    <row r="407" spans="1:20" ht="17.25" customHeight="1">
      <c r="A407" s="706">
        <f t="shared" si="49"/>
        <v>236</v>
      </c>
      <c r="B407" s="286" t="s">
        <v>1048</v>
      </c>
      <c r="C407" s="689">
        <v>42507</v>
      </c>
      <c r="D407" s="690" t="s">
        <v>559</v>
      </c>
      <c r="E407" s="768">
        <v>43</v>
      </c>
      <c r="F407" s="769">
        <v>39</v>
      </c>
      <c r="G407" s="769">
        <v>27</v>
      </c>
      <c r="H407" s="759">
        <f t="shared" si="51"/>
        <v>1.17</v>
      </c>
      <c r="I407" s="252">
        <v>55</v>
      </c>
      <c r="J407" s="674">
        <f t="shared" si="54"/>
        <v>64.349999999999994</v>
      </c>
      <c r="K407" s="674">
        <f t="shared" si="50"/>
        <v>9973.1231093479346</v>
      </c>
      <c r="L407" s="621">
        <v>12000</v>
      </c>
      <c r="M407" s="621"/>
      <c r="O407" s="669"/>
      <c r="P407" s="669"/>
      <c r="Q407" s="669"/>
      <c r="S407" s="669">
        <f t="shared" si="52"/>
        <v>660000</v>
      </c>
      <c r="T407" s="864">
        <f t="shared" si="53"/>
        <v>548521.77101413638</v>
      </c>
    </row>
    <row r="408" spans="1:20" ht="17.25" customHeight="1">
      <c r="A408" s="706">
        <f t="shared" si="49"/>
        <v>237</v>
      </c>
      <c r="B408" s="286" t="s">
        <v>916</v>
      </c>
      <c r="C408" s="689">
        <v>42507</v>
      </c>
      <c r="D408" s="690" t="s">
        <v>559</v>
      </c>
      <c r="E408" s="768">
        <v>48</v>
      </c>
      <c r="F408" s="769">
        <v>41</v>
      </c>
      <c r="G408" s="769">
        <v>28</v>
      </c>
      <c r="H408" s="759">
        <f t="shared" si="51"/>
        <v>1.32</v>
      </c>
      <c r="I408" s="252">
        <v>110</v>
      </c>
      <c r="J408" s="674">
        <f t="shared" si="54"/>
        <v>145.20000000000002</v>
      </c>
      <c r="K408" s="674">
        <f t="shared" si="50"/>
        <v>11251.728636187414</v>
      </c>
      <c r="L408" s="621">
        <v>9600</v>
      </c>
      <c r="M408" s="621"/>
      <c r="O408" s="669"/>
      <c r="P408" s="669"/>
      <c r="Q408" s="669"/>
      <c r="S408" s="669">
        <f t="shared" si="52"/>
        <v>1056000</v>
      </c>
      <c r="T408" s="864">
        <f t="shared" si="53"/>
        <v>1237690.1499806156</v>
      </c>
    </row>
    <row r="409" spans="1:20" ht="17.25" customHeight="1">
      <c r="A409" s="706">
        <f t="shared" ref="A409:A472" si="55">IF(B409&lt;&gt;"",ROW()-171,"")</f>
        <v>238</v>
      </c>
      <c r="B409" s="286" t="s">
        <v>480</v>
      </c>
      <c r="C409" s="689">
        <v>42507</v>
      </c>
      <c r="D409" s="690" t="s">
        <v>560</v>
      </c>
      <c r="E409" s="768">
        <v>47</v>
      </c>
      <c r="F409" s="769">
        <v>42</v>
      </c>
      <c r="G409" s="769">
        <v>24.5</v>
      </c>
      <c r="H409" s="759">
        <f t="shared" si="51"/>
        <v>1.27</v>
      </c>
      <c r="I409" s="252">
        <v>237</v>
      </c>
      <c r="J409" s="674">
        <f t="shared" si="54"/>
        <v>300.99</v>
      </c>
      <c r="K409" s="674">
        <f t="shared" ref="K409:K472" si="56">H409*$R$311</f>
        <v>10825.526793907587</v>
      </c>
      <c r="L409" s="621">
        <v>9200</v>
      </c>
      <c r="M409" s="621"/>
      <c r="O409" s="669"/>
      <c r="P409" s="669"/>
      <c r="Q409" s="669"/>
      <c r="S409" s="669">
        <f t="shared" si="52"/>
        <v>2180400</v>
      </c>
      <c r="T409" s="864">
        <f t="shared" si="53"/>
        <v>2565649.8501560981</v>
      </c>
    </row>
    <row r="410" spans="1:20" ht="17.25" customHeight="1">
      <c r="A410" s="706">
        <f t="shared" si="55"/>
        <v>239</v>
      </c>
      <c r="B410" s="286" t="s">
        <v>645</v>
      </c>
      <c r="C410" s="689">
        <v>42507</v>
      </c>
      <c r="D410" s="690" t="s">
        <v>560</v>
      </c>
      <c r="E410" s="768">
        <v>45</v>
      </c>
      <c r="F410" s="769">
        <v>37</v>
      </c>
      <c r="G410" s="769">
        <v>27.5</v>
      </c>
      <c r="H410" s="759">
        <f t="shared" ref="H410:H473" si="57">IF(G410&lt;&gt;"",ROUND(((E410+F410)*2+5)*(F410+G410+3)/10000,2),ROUND(E410*F410/10000,2))</f>
        <v>1.1399999999999999</v>
      </c>
      <c r="I410" s="252">
        <v>55</v>
      </c>
      <c r="J410" s="674">
        <f t="shared" si="54"/>
        <v>62.699999999999996</v>
      </c>
      <c r="K410" s="674">
        <f t="shared" si="56"/>
        <v>9717.402003980038</v>
      </c>
      <c r="L410" s="621">
        <v>13800</v>
      </c>
      <c r="M410" s="621"/>
      <c r="O410" s="669"/>
      <c r="P410" s="669"/>
      <c r="Q410" s="669"/>
      <c r="S410" s="669">
        <f t="shared" ref="S410:S473" si="58">I410*L410</f>
        <v>759000</v>
      </c>
      <c r="T410" s="864">
        <f t="shared" ref="T410:T473" si="59">I410*K410</f>
        <v>534457.11021890212</v>
      </c>
    </row>
    <row r="411" spans="1:20" ht="17.25" customHeight="1">
      <c r="A411" s="706">
        <f t="shared" si="55"/>
        <v>240</v>
      </c>
      <c r="B411" s="286" t="s">
        <v>474</v>
      </c>
      <c r="C411" s="689">
        <v>42507</v>
      </c>
      <c r="D411" s="690" t="s">
        <v>560</v>
      </c>
      <c r="E411" s="768">
        <v>47</v>
      </c>
      <c r="F411" s="769">
        <v>42</v>
      </c>
      <c r="G411" s="769">
        <v>25</v>
      </c>
      <c r="H411" s="759">
        <f t="shared" si="57"/>
        <v>1.28</v>
      </c>
      <c r="I411" s="252">
        <v>44</v>
      </c>
      <c r="J411" s="674">
        <f t="shared" si="54"/>
        <v>56.32</v>
      </c>
      <c r="K411" s="674">
        <f t="shared" si="56"/>
        <v>10910.767162363552</v>
      </c>
      <c r="L411" s="621">
        <v>9300</v>
      </c>
      <c r="M411" s="621"/>
      <c r="O411" s="669"/>
      <c r="P411" s="669"/>
      <c r="Q411" s="669"/>
      <c r="S411" s="669">
        <f t="shared" si="58"/>
        <v>409200</v>
      </c>
      <c r="T411" s="864">
        <f t="shared" si="59"/>
        <v>480073.75514399633</v>
      </c>
    </row>
    <row r="412" spans="1:20" ht="17.25" customHeight="1">
      <c r="A412" s="706">
        <f t="shared" si="55"/>
        <v>241</v>
      </c>
      <c r="B412" s="286" t="s">
        <v>897</v>
      </c>
      <c r="C412" s="689">
        <v>42507</v>
      </c>
      <c r="D412" s="690" t="s">
        <v>560</v>
      </c>
      <c r="E412" s="768">
        <v>56</v>
      </c>
      <c r="F412" s="769">
        <v>42</v>
      </c>
      <c r="G412" s="769">
        <v>27</v>
      </c>
      <c r="H412" s="759">
        <f t="shared" si="57"/>
        <v>1.45</v>
      </c>
      <c r="I412" s="252">
        <v>135</v>
      </c>
      <c r="J412" s="674">
        <f t="shared" si="54"/>
        <v>195.75</v>
      </c>
      <c r="K412" s="674">
        <f t="shared" si="56"/>
        <v>12359.853426114962</v>
      </c>
      <c r="L412" s="621">
        <v>14600</v>
      </c>
      <c r="M412" s="621"/>
      <c r="O412" s="669"/>
      <c r="P412" s="669"/>
      <c r="Q412" s="669"/>
      <c r="S412" s="669">
        <f t="shared" si="58"/>
        <v>1971000</v>
      </c>
      <c r="T412" s="864">
        <f t="shared" si="59"/>
        <v>1668580.2125255198</v>
      </c>
    </row>
    <row r="413" spans="1:20" ht="17.25" customHeight="1">
      <c r="A413" s="706">
        <f t="shared" si="55"/>
        <v>242</v>
      </c>
      <c r="B413" s="286" t="s">
        <v>418</v>
      </c>
      <c r="C413" s="689">
        <v>42507</v>
      </c>
      <c r="D413" s="690" t="s">
        <v>561</v>
      </c>
      <c r="E413" s="768">
        <v>103</v>
      </c>
      <c r="F413" s="769">
        <v>50</v>
      </c>
      <c r="G413" s="769">
        <v>180</v>
      </c>
      <c r="H413" s="759">
        <f t="shared" si="57"/>
        <v>7.25</v>
      </c>
      <c r="I413" s="252">
        <v>103</v>
      </c>
      <c r="J413" s="674">
        <f t="shared" si="54"/>
        <v>746.75</v>
      </c>
      <c r="K413" s="674">
        <f t="shared" si="56"/>
        <v>61799.267130574808</v>
      </c>
      <c r="L413" s="621">
        <v>47449</v>
      </c>
      <c r="M413" s="621"/>
      <c r="O413" s="669"/>
      <c r="P413" s="669"/>
      <c r="Q413" s="669"/>
      <c r="S413" s="669">
        <f t="shared" si="58"/>
        <v>4887247</v>
      </c>
      <c r="T413" s="864">
        <f t="shared" si="59"/>
        <v>6365324.5144492052</v>
      </c>
    </row>
    <row r="414" spans="1:20" ht="17.25" customHeight="1">
      <c r="A414" s="706">
        <f t="shared" si="55"/>
        <v>243</v>
      </c>
      <c r="B414" s="286" t="s">
        <v>912</v>
      </c>
      <c r="C414" s="689">
        <v>42507</v>
      </c>
      <c r="D414" s="690" t="s">
        <v>561</v>
      </c>
      <c r="E414" s="768">
        <v>103</v>
      </c>
      <c r="F414" s="769">
        <v>54</v>
      </c>
      <c r="G414" s="769">
        <v>180</v>
      </c>
      <c r="H414" s="759">
        <f t="shared" si="57"/>
        <v>7.56</v>
      </c>
      <c r="I414" s="252">
        <v>60</v>
      </c>
      <c r="J414" s="674">
        <f t="shared" si="54"/>
        <v>453.59999999999997</v>
      </c>
      <c r="K414" s="674">
        <f t="shared" si="56"/>
        <v>64441.718552709732</v>
      </c>
      <c r="L414" s="621">
        <v>73100</v>
      </c>
      <c r="M414" s="621"/>
      <c r="O414" s="669"/>
      <c r="P414" s="669"/>
      <c r="Q414" s="669"/>
      <c r="S414" s="669">
        <f t="shared" si="58"/>
        <v>4386000</v>
      </c>
      <c r="T414" s="864">
        <f t="shared" si="59"/>
        <v>3866503.1131625837</v>
      </c>
    </row>
    <row r="415" spans="1:20" ht="17.25" customHeight="1">
      <c r="A415" s="706">
        <f t="shared" si="55"/>
        <v>244</v>
      </c>
      <c r="B415" s="286" t="s">
        <v>661</v>
      </c>
      <c r="C415" s="689">
        <v>42507</v>
      </c>
      <c r="D415" s="690" t="s">
        <v>556</v>
      </c>
      <c r="E415" s="768">
        <v>33</v>
      </c>
      <c r="F415" s="769">
        <v>31</v>
      </c>
      <c r="G415" s="769">
        <v>12.3</v>
      </c>
      <c r="H415" s="759">
        <f t="shared" si="57"/>
        <v>0.62</v>
      </c>
      <c r="I415" s="252">
        <v>511</v>
      </c>
      <c r="J415" s="674">
        <f t="shared" si="54"/>
        <v>316.82</v>
      </c>
      <c r="K415" s="674">
        <f t="shared" si="56"/>
        <v>5284.9028442698454</v>
      </c>
      <c r="L415" s="621">
        <v>7500</v>
      </c>
      <c r="M415" s="621"/>
      <c r="O415" s="669"/>
      <c r="P415" s="669"/>
      <c r="Q415" s="669"/>
      <c r="S415" s="669">
        <f t="shared" si="58"/>
        <v>3832500</v>
      </c>
      <c r="T415" s="864">
        <f t="shared" si="59"/>
        <v>2700585.3534218911</v>
      </c>
    </row>
    <row r="416" spans="1:20" ht="17.25" customHeight="1">
      <c r="A416" s="706">
        <f t="shared" si="55"/>
        <v>245</v>
      </c>
      <c r="B416" s="286" t="s">
        <v>662</v>
      </c>
      <c r="C416" s="689">
        <v>42507</v>
      </c>
      <c r="D416" s="690" t="s">
        <v>556</v>
      </c>
      <c r="E416" s="768">
        <v>52</v>
      </c>
      <c r="F416" s="769">
        <v>29</v>
      </c>
      <c r="G416" s="769">
        <v>11.8</v>
      </c>
      <c r="H416" s="759">
        <f t="shared" si="57"/>
        <v>0.73</v>
      </c>
      <c r="I416" s="252">
        <v>503</v>
      </c>
      <c r="J416" s="674">
        <f t="shared" si="54"/>
        <v>367.19</v>
      </c>
      <c r="K416" s="674">
        <f t="shared" si="56"/>
        <v>6222.5468972854633</v>
      </c>
      <c r="L416" s="621">
        <v>8600</v>
      </c>
      <c r="M416" s="621"/>
      <c r="O416" s="669"/>
      <c r="P416" s="669"/>
      <c r="Q416" s="669"/>
      <c r="S416" s="669">
        <f t="shared" si="58"/>
        <v>4325800</v>
      </c>
      <c r="T416" s="864">
        <f t="shared" si="59"/>
        <v>3129941.089334588</v>
      </c>
    </row>
    <row r="417" spans="1:20" ht="17.25" customHeight="1">
      <c r="A417" s="706">
        <f t="shared" si="55"/>
        <v>246</v>
      </c>
      <c r="B417" s="286" t="s">
        <v>1029</v>
      </c>
      <c r="C417" s="689">
        <v>42507</v>
      </c>
      <c r="D417" s="690" t="s">
        <v>556</v>
      </c>
      <c r="E417" s="768">
        <v>23.5</v>
      </c>
      <c r="F417" s="769">
        <v>23.5</v>
      </c>
      <c r="G417" s="769">
        <v>30.5</v>
      </c>
      <c r="H417" s="759">
        <f t="shared" si="57"/>
        <v>0.56000000000000005</v>
      </c>
      <c r="I417" s="252">
        <v>960</v>
      </c>
      <c r="J417" s="674">
        <f t="shared" si="54"/>
        <v>537.6</v>
      </c>
      <c r="K417" s="674">
        <f t="shared" si="56"/>
        <v>4773.460633534055</v>
      </c>
      <c r="L417" s="621">
        <v>6700</v>
      </c>
      <c r="M417" s="621"/>
      <c r="O417" s="669"/>
      <c r="P417" s="669"/>
      <c r="Q417" s="669"/>
      <c r="S417" s="669">
        <f t="shared" si="58"/>
        <v>6432000</v>
      </c>
      <c r="T417" s="864">
        <f t="shared" si="59"/>
        <v>4582522.2081926931</v>
      </c>
    </row>
    <row r="418" spans="1:20" ht="17.25" customHeight="1">
      <c r="A418" s="706">
        <f t="shared" si="55"/>
        <v>247</v>
      </c>
      <c r="B418" s="286" t="s">
        <v>967</v>
      </c>
      <c r="C418" s="689">
        <v>42507</v>
      </c>
      <c r="D418" s="690" t="s">
        <v>558</v>
      </c>
      <c r="E418" s="768">
        <v>36.5</v>
      </c>
      <c r="F418" s="769">
        <v>26.5</v>
      </c>
      <c r="G418" s="769">
        <v>26</v>
      </c>
      <c r="H418" s="759">
        <f t="shared" si="57"/>
        <v>0.73</v>
      </c>
      <c r="I418" s="252">
        <v>530</v>
      </c>
      <c r="J418" s="674">
        <f t="shared" si="54"/>
        <v>386.9</v>
      </c>
      <c r="K418" s="674">
        <f t="shared" si="56"/>
        <v>6222.5468972854633</v>
      </c>
      <c r="L418" s="621">
        <v>11000</v>
      </c>
      <c r="M418" s="621"/>
      <c r="O418" s="669"/>
      <c r="P418" s="669"/>
      <c r="Q418" s="669"/>
      <c r="S418" s="669">
        <f t="shared" si="58"/>
        <v>5830000</v>
      </c>
      <c r="T418" s="864">
        <f t="shared" si="59"/>
        <v>3297949.8555612955</v>
      </c>
    </row>
    <row r="419" spans="1:20" ht="17.25" customHeight="1">
      <c r="A419" s="706">
        <f t="shared" si="55"/>
        <v>248</v>
      </c>
      <c r="B419" s="286" t="s">
        <v>436</v>
      </c>
      <c r="C419" s="689">
        <v>42508</v>
      </c>
      <c r="D419" s="690" t="s">
        <v>562</v>
      </c>
      <c r="E419" s="768">
        <v>37.5</v>
      </c>
      <c r="F419" s="769">
        <v>25.3</v>
      </c>
      <c r="G419" s="769">
        <v>23.9</v>
      </c>
      <c r="H419" s="759">
        <f t="shared" si="57"/>
        <v>0.68</v>
      </c>
      <c r="I419" s="252">
        <v>517</v>
      </c>
      <c r="J419" s="674">
        <f t="shared" si="54"/>
        <v>351.56</v>
      </c>
      <c r="K419" s="674">
        <f t="shared" si="56"/>
        <v>5796.3450550056377</v>
      </c>
      <c r="L419" s="621">
        <v>5900</v>
      </c>
      <c r="M419" s="621"/>
      <c r="O419" s="669"/>
      <c r="P419" s="669"/>
      <c r="Q419" s="669"/>
      <c r="S419" s="669">
        <f t="shared" si="58"/>
        <v>3050300</v>
      </c>
      <c r="T419" s="864">
        <f t="shared" si="59"/>
        <v>2996710.3934379146</v>
      </c>
    </row>
    <row r="420" spans="1:20" ht="17.25" customHeight="1">
      <c r="A420" s="706">
        <f t="shared" si="55"/>
        <v>249</v>
      </c>
      <c r="B420" s="286" t="s">
        <v>408</v>
      </c>
      <c r="C420" s="689">
        <v>42508</v>
      </c>
      <c r="D420" s="690" t="s">
        <v>563</v>
      </c>
      <c r="E420" s="768">
        <v>47</v>
      </c>
      <c r="F420" s="769">
        <v>42</v>
      </c>
      <c r="G420" s="769">
        <v>27</v>
      </c>
      <c r="H420" s="759">
        <f t="shared" si="57"/>
        <v>1.32</v>
      </c>
      <c r="I420" s="252">
        <v>65</v>
      </c>
      <c r="J420" s="674">
        <f t="shared" si="54"/>
        <v>85.8</v>
      </c>
      <c r="K420" s="674">
        <f t="shared" si="56"/>
        <v>11251.728636187414</v>
      </c>
      <c r="L420" s="621">
        <v>9500</v>
      </c>
      <c r="M420" s="621"/>
      <c r="O420" s="669"/>
      <c r="P420" s="669"/>
      <c r="Q420" s="669"/>
      <c r="S420" s="669">
        <f t="shared" si="58"/>
        <v>617500</v>
      </c>
      <c r="T420" s="864">
        <f t="shared" si="59"/>
        <v>731362.36135218188</v>
      </c>
    </row>
    <row r="421" spans="1:20" ht="17.25" customHeight="1">
      <c r="A421" s="706">
        <f t="shared" si="55"/>
        <v>250</v>
      </c>
      <c r="B421" s="286" t="s">
        <v>473</v>
      </c>
      <c r="C421" s="689">
        <v>42508</v>
      </c>
      <c r="D421" s="690" t="s">
        <v>563</v>
      </c>
      <c r="E421" s="768">
        <v>37</v>
      </c>
      <c r="F421" s="769">
        <v>37</v>
      </c>
      <c r="G421" s="769">
        <v>25</v>
      </c>
      <c r="H421" s="759">
        <f t="shared" si="57"/>
        <v>0.99</v>
      </c>
      <c r="I421" s="252">
        <v>88</v>
      </c>
      <c r="J421" s="674">
        <f t="shared" si="54"/>
        <v>87.12</v>
      </c>
      <c r="K421" s="674">
        <f t="shared" si="56"/>
        <v>8438.7964771405605</v>
      </c>
      <c r="L421" s="621">
        <v>7370</v>
      </c>
      <c r="M421" s="621"/>
      <c r="O421" s="669"/>
      <c r="P421" s="669"/>
      <c r="Q421" s="669"/>
      <c r="S421" s="669">
        <f t="shared" si="58"/>
        <v>648560</v>
      </c>
      <c r="T421" s="864">
        <f t="shared" si="59"/>
        <v>742614.08998836926</v>
      </c>
    </row>
    <row r="422" spans="1:20" ht="17.25" customHeight="1">
      <c r="A422" s="706">
        <f t="shared" si="55"/>
        <v>251</v>
      </c>
      <c r="B422" s="286" t="s">
        <v>480</v>
      </c>
      <c r="C422" s="689">
        <v>42508</v>
      </c>
      <c r="D422" s="690" t="s">
        <v>563</v>
      </c>
      <c r="E422" s="768">
        <v>47</v>
      </c>
      <c r="F422" s="769">
        <v>42</v>
      </c>
      <c r="G422" s="769">
        <v>24.5</v>
      </c>
      <c r="H422" s="759">
        <f t="shared" si="57"/>
        <v>1.27</v>
      </c>
      <c r="I422" s="252">
        <v>340</v>
      </c>
      <c r="J422" s="674">
        <f t="shared" si="54"/>
        <v>431.8</v>
      </c>
      <c r="K422" s="674">
        <f t="shared" si="56"/>
        <v>10825.526793907587</v>
      </c>
      <c r="L422" s="621">
        <v>9200</v>
      </c>
      <c r="M422" s="621"/>
      <c r="O422" s="669"/>
      <c r="P422" s="669"/>
      <c r="Q422" s="669"/>
      <c r="S422" s="669">
        <f t="shared" si="58"/>
        <v>3128000</v>
      </c>
      <c r="T422" s="864">
        <f t="shared" si="59"/>
        <v>3680679.1099285795</v>
      </c>
    </row>
    <row r="423" spans="1:20" ht="17.25" customHeight="1">
      <c r="A423" s="706">
        <f t="shared" si="55"/>
        <v>252</v>
      </c>
      <c r="B423" s="286" t="s">
        <v>940</v>
      </c>
      <c r="C423" s="689">
        <v>42508</v>
      </c>
      <c r="D423" s="690" t="s">
        <v>563</v>
      </c>
      <c r="E423" s="768">
        <v>47</v>
      </c>
      <c r="F423" s="769">
        <v>42</v>
      </c>
      <c r="G423" s="769">
        <v>13</v>
      </c>
      <c r="H423" s="759">
        <f t="shared" si="57"/>
        <v>1.06</v>
      </c>
      <c r="I423" s="252">
        <v>220</v>
      </c>
      <c r="J423" s="674">
        <f t="shared" si="54"/>
        <v>233.20000000000002</v>
      </c>
      <c r="K423" s="674">
        <f t="shared" si="56"/>
        <v>9035.4790563323168</v>
      </c>
      <c r="L423" s="621">
        <v>7900</v>
      </c>
      <c r="M423" s="621"/>
      <c r="O423" s="669"/>
      <c r="P423" s="669"/>
      <c r="Q423" s="669"/>
      <c r="S423" s="669">
        <f t="shared" si="58"/>
        <v>1738000</v>
      </c>
      <c r="T423" s="864">
        <f t="shared" si="59"/>
        <v>1987805.3923931096</v>
      </c>
    </row>
    <row r="424" spans="1:20" ht="17.25" customHeight="1">
      <c r="A424" s="706">
        <f t="shared" si="55"/>
        <v>253</v>
      </c>
      <c r="B424" s="286" t="s">
        <v>480</v>
      </c>
      <c r="C424" s="689">
        <v>42508</v>
      </c>
      <c r="D424" s="690" t="s">
        <v>563</v>
      </c>
      <c r="E424" s="768">
        <v>47</v>
      </c>
      <c r="F424" s="769">
        <v>42</v>
      </c>
      <c r="G424" s="769">
        <v>24.5</v>
      </c>
      <c r="H424" s="759">
        <f t="shared" si="57"/>
        <v>1.27</v>
      </c>
      <c r="I424" s="252">
        <v>212</v>
      </c>
      <c r="J424" s="674">
        <f t="shared" si="54"/>
        <v>269.24</v>
      </c>
      <c r="K424" s="674">
        <f t="shared" si="56"/>
        <v>10825.526793907587</v>
      </c>
      <c r="L424" s="621">
        <v>9200</v>
      </c>
      <c r="M424" s="621"/>
      <c r="O424" s="669"/>
      <c r="P424" s="669"/>
      <c r="Q424" s="669"/>
      <c r="S424" s="669">
        <f t="shared" si="58"/>
        <v>1950400</v>
      </c>
      <c r="T424" s="864">
        <f t="shared" si="59"/>
        <v>2295011.6803084086</v>
      </c>
    </row>
    <row r="425" spans="1:20" ht="17.25" customHeight="1">
      <c r="A425" s="706">
        <f t="shared" si="55"/>
        <v>254</v>
      </c>
      <c r="B425" s="286" t="s">
        <v>1030</v>
      </c>
      <c r="C425" s="689">
        <v>42513</v>
      </c>
      <c r="D425" s="690" t="s">
        <v>564</v>
      </c>
      <c r="E425" s="768">
        <v>54</v>
      </c>
      <c r="F425" s="769">
        <v>49</v>
      </c>
      <c r="G425" s="769">
        <v>74</v>
      </c>
      <c r="H425" s="759">
        <f t="shared" si="57"/>
        <v>2.66</v>
      </c>
      <c r="I425" s="252">
        <v>20</v>
      </c>
      <c r="J425" s="674">
        <f t="shared" si="54"/>
        <v>53.2</v>
      </c>
      <c r="K425" s="674">
        <f t="shared" si="56"/>
        <v>22673.938009286758</v>
      </c>
      <c r="L425" s="621">
        <v>25000</v>
      </c>
      <c r="M425" s="621"/>
      <c r="O425" s="669"/>
      <c r="P425" s="669"/>
      <c r="Q425" s="669"/>
      <c r="S425" s="669">
        <f t="shared" si="58"/>
        <v>500000</v>
      </c>
      <c r="T425" s="864">
        <f t="shared" si="59"/>
        <v>453478.76018573518</v>
      </c>
    </row>
    <row r="426" spans="1:20" ht="17.25" customHeight="1">
      <c r="A426" s="706">
        <f t="shared" si="55"/>
        <v>255</v>
      </c>
      <c r="B426" s="286" t="s">
        <v>1031</v>
      </c>
      <c r="C426" s="689">
        <v>42513</v>
      </c>
      <c r="D426" s="690" t="s">
        <v>564</v>
      </c>
      <c r="E426" s="768">
        <v>54</v>
      </c>
      <c r="F426" s="769">
        <v>49</v>
      </c>
      <c r="G426" s="769">
        <v>61</v>
      </c>
      <c r="H426" s="759">
        <f t="shared" si="57"/>
        <v>2.38</v>
      </c>
      <c r="I426" s="252">
        <v>20</v>
      </c>
      <c r="J426" s="674">
        <f t="shared" si="54"/>
        <v>47.599999999999994</v>
      </c>
      <c r="K426" s="674">
        <f t="shared" si="56"/>
        <v>20287.207692519729</v>
      </c>
      <c r="L426" s="621">
        <v>22500</v>
      </c>
      <c r="M426" s="621"/>
      <c r="O426" s="669"/>
      <c r="P426" s="669"/>
      <c r="Q426" s="669"/>
      <c r="S426" s="669">
        <f t="shared" si="58"/>
        <v>450000</v>
      </c>
      <c r="T426" s="864">
        <f t="shared" si="59"/>
        <v>405744.15385039459</v>
      </c>
    </row>
    <row r="427" spans="1:20" ht="17.25" customHeight="1">
      <c r="A427" s="706">
        <f t="shared" si="55"/>
        <v>256</v>
      </c>
      <c r="B427" s="286" t="s">
        <v>1032</v>
      </c>
      <c r="C427" s="689">
        <v>42513</v>
      </c>
      <c r="D427" s="690" t="s">
        <v>564</v>
      </c>
      <c r="E427" s="768">
        <v>60.5</v>
      </c>
      <c r="F427" s="769">
        <v>60.5</v>
      </c>
      <c r="G427" s="769">
        <v>63</v>
      </c>
      <c r="H427" s="759">
        <f t="shared" si="57"/>
        <v>3.12</v>
      </c>
      <c r="I427" s="252">
        <v>60</v>
      </c>
      <c r="J427" s="674">
        <f t="shared" si="54"/>
        <v>187.20000000000002</v>
      </c>
      <c r="K427" s="674">
        <f t="shared" si="56"/>
        <v>26594.994958261159</v>
      </c>
      <c r="L427" s="621">
        <v>20100</v>
      </c>
      <c r="M427" s="621"/>
      <c r="O427" s="669"/>
      <c r="P427" s="669"/>
      <c r="Q427" s="669"/>
      <c r="S427" s="669">
        <f t="shared" si="58"/>
        <v>1206000</v>
      </c>
      <c r="T427" s="864">
        <f t="shared" si="59"/>
        <v>1595699.6974956696</v>
      </c>
    </row>
    <row r="428" spans="1:20" ht="17.25" customHeight="1">
      <c r="A428" s="706">
        <f t="shared" si="55"/>
        <v>257</v>
      </c>
      <c r="B428" s="286" t="s">
        <v>1033</v>
      </c>
      <c r="C428" s="689">
        <v>42513</v>
      </c>
      <c r="D428" s="690" t="s">
        <v>564</v>
      </c>
      <c r="E428" s="768">
        <v>55</v>
      </c>
      <c r="F428" s="769">
        <v>46</v>
      </c>
      <c r="G428" s="769">
        <v>53</v>
      </c>
      <c r="H428" s="759">
        <f t="shared" si="57"/>
        <v>2.11</v>
      </c>
      <c r="I428" s="252">
        <v>20</v>
      </c>
      <c r="J428" s="674">
        <f t="shared" si="54"/>
        <v>42.199999999999996</v>
      </c>
      <c r="K428" s="674">
        <f t="shared" si="56"/>
        <v>17985.717744208669</v>
      </c>
      <c r="L428" s="621">
        <v>22000</v>
      </c>
      <c r="M428" s="621"/>
      <c r="O428" s="669"/>
      <c r="P428" s="669"/>
      <c r="Q428" s="669"/>
      <c r="S428" s="669">
        <f t="shared" si="58"/>
        <v>440000</v>
      </c>
      <c r="T428" s="864">
        <f t="shared" si="59"/>
        <v>359714.35488417337</v>
      </c>
    </row>
    <row r="429" spans="1:20" ht="17.25" customHeight="1">
      <c r="A429" s="706">
        <f t="shared" si="55"/>
        <v>258</v>
      </c>
      <c r="B429" s="286" t="s">
        <v>1034</v>
      </c>
      <c r="C429" s="689">
        <v>42513</v>
      </c>
      <c r="D429" s="690" t="s">
        <v>564</v>
      </c>
      <c r="E429" s="768">
        <v>55</v>
      </c>
      <c r="F429" s="769">
        <v>49</v>
      </c>
      <c r="G429" s="769">
        <v>55</v>
      </c>
      <c r="H429" s="759">
        <f t="shared" si="57"/>
        <v>2.2799999999999998</v>
      </c>
      <c r="I429" s="252">
        <v>20</v>
      </c>
      <c r="J429" s="674">
        <f t="shared" si="54"/>
        <v>45.599999999999994</v>
      </c>
      <c r="K429" s="674">
        <f t="shared" si="56"/>
        <v>19434.804007960076</v>
      </c>
      <c r="L429" s="621">
        <v>21500</v>
      </c>
      <c r="M429" s="621"/>
      <c r="O429" s="669"/>
      <c r="P429" s="669"/>
      <c r="Q429" s="669"/>
      <c r="S429" s="669">
        <f t="shared" si="58"/>
        <v>430000</v>
      </c>
      <c r="T429" s="864">
        <f t="shared" si="59"/>
        <v>388696.08015920152</v>
      </c>
    </row>
    <row r="430" spans="1:20" ht="17.25" customHeight="1">
      <c r="A430" s="706">
        <f t="shared" si="55"/>
        <v>259</v>
      </c>
      <c r="B430" s="286" t="s">
        <v>1035</v>
      </c>
      <c r="C430" s="689">
        <v>42513</v>
      </c>
      <c r="D430" s="690" t="s">
        <v>564</v>
      </c>
      <c r="E430" s="768">
        <v>55</v>
      </c>
      <c r="F430" s="769">
        <v>51</v>
      </c>
      <c r="G430" s="769">
        <v>62</v>
      </c>
      <c r="H430" s="759">
        <f t="shared" si="57"/>
        <v>2.52</v>
      </c>
      <c r="I430" s="252">
        <v>22</v>
      </c>
      <c r="J430" s="674">
        <f t="shared" si="54"/>
        <v>55.44</v>
      </c>
      <c r="K430" s="674">
        <f t="shared" si="56"/>
        <v>21480.572850903245</v>
      </c>
      <c r="L430" s="621">
        <v>24300</v>
      </c>
      <c r="M430" s="621"/>
      <c r="O430" s="669"/>
      <c r="P430" s="669"/>
      <c r="Q430" s="669"/>
      <c r="S430" s="669">
        <f t="shared" si="58"/>
        <v>534600</v>
      </c>
      <c r="T430" s="864">
        <f t="shared" si="59"/>
        <v>472572.60271987139</v>
      </c>
    </row>
    <row r="431" spans="1:20" ht="17.25" customHeight="1">
      <c r="A431" s="706">
        <f t="shared" si="55"/>
        <v>260</v>
      </c>
      <c r="B431" s="286" t="s">
        <v>1036</v>
      </c>
      <c r="C431" s="689">
        <v>42513</v>
      </c>
      <c r="D431" s="690" t="s">
        <v>564</v>
      </c>
      <c r="E431" s="768">
        <v>49</v>
      </c>
      <c r="F431" s="769">
        <v>44</v>
      </c>
      <c r="G431" s="769">
        <v>34</v>
      </c>
      <c r="H431" s="759">
        <f t="shared" si="57"/>
        <v>1.55</v>
      </c>
      <c r="I431" s="252">
        <v>24</v>
      </c>
      <c r="J431" s="674">
        <f t="shared" si="54"/>
        <v>37.200000000000003</v>
      </c>
      <c r="K431" s="674">
        <f t="shared" si="56"/>
        <v>13212.257110674615</v>
      </c>
      <c r="L431" s="621">
        <v>13000</v>
      </c>
      <c r="M431" s="621"/>
      <c r="O431" s="669"/>
      <c r="P431" s="669"/>
      <c r="Q431" s="669"/>
      <c r="S431" s="669">
        <f t="shared" si="58"/>
        <v>312000</v>
      </c>
      <c r="T431" s="864">
        <f t="shared" si="59"/>
        <v>317094.17065619072</v>
      </c>
    </row>
    <row r="432" spans="1:20" ht="17.25" customHeight="1">
      <c r="A432" s="706">
        <f t="shared" si="55"/>
        <v>261</v>
      </c>
      <c r="B432" s="286" t="s">
        <v>1037</v>
      </c>
      <c r="C432" s="689">
        <v>42513</v>
      </c>
      <c r="D432" s="690" t="s">
        <v>564</v>
      </c>
      <c r="E432" s="768">
        <v>44</v>
      </c>
      <c r="F432" s="769">
        <v>38</v>
      </c>
      <c r="G432" s="769">
        <v>45</v>
      </c>
      <c r="H432" s="759">
        <f t="shared" si="57"/>
        <v>1.45</v>
      </c>
      <c r="I432" s="252">
        <v>24</v>
      </c>
      <c r="J432" s="674">
        <f t="shared" si="54"/>
        <v>34.799999999999997</v>
      </c>
      <c r="K432" s="674">
        <f t="shared" si="56"/>
        <v>12359.853426114962</v>
      </c>
      <c r="L432" s="621">
        <v>13000</v>
      </c>
      <c r="M432" s="621"/>
      <c r="O432" s="669"/>
      <c r="P432" s="669"/>
      <c r="Q432" s="669"/>
      <c r="S432" s="669">
        <f t="shared" si="58"/>
        <v>312000</v>
      </c>
      <c r="T432" s="864">
        <f t="shared" si="59"/>
        <v>296636.48222675908</v>
      </c>
    </row>
    <row r="433" spans="1:20" ht="17.25" customHeight="1">
      <c r="A433" s="706">
        <f t="shared" si="55"/>
        <v>262</v>
      </c>
      <c r="B433" s="286" t="s">
        <v>1038</v>
      </c>
      <c r="C433" s="689">
        <v>42513</v>
      </c>
      <c r="D433" s="690" t="s">
        <v>564</v>
      </c>
      <c r="E433" s="768">
        <v>49</v>
      </c>
      <c r="F433" s="769">
        <v>47</v>
      </c>
      <c r="G433" s="769">
        <v>39</v>
      </c>
      <c r="H433" s="759">
        <f t="shared" si="57"/>
        <v>1.75</v>
      </c>
      <c r="I433" s="252">
        <v>26</v>
      </c>
      <c r="J433" s="674">
        <f t="shared" si="54"/>
        <v>45.5</v>
      </c>
      <c r="K433" s="674">
        <f t="shared" si="56"/>
        <v>14917.06447979392</v>
      </c>
      <c r="L433" s="621">
        <v>15000</v>
      </c>
      <c r="M433" s="621"/>
      <c r="O433" s="669"/>
      <c r="P433" s="669"/>
      <c r="Q433" s="669"/>
      <c r="S433" s="669">
        <f t="shared" si="58"/>
        <v>390000</v>
      </c>
      <c r="T433" s="864">
        <f t="shared" si="59"/>
        <v>387843.67647464195</v>
      </c>
    </row>
    <row r="434" spans="1:20" ht="17.25" customHeight="1">
      <c r="A434" s="706">
        <f t="shared" si="55"/>
        <v>263</v>
      </c>
      <c r="B434" s="286" t="s">
        <v>610</v>
      </c>
      <c r="C434" s="689">
        <v>42513</v>
      </c>
      <c r="D434" s="690" t="s">
        <v>566</v>
      </c>
      <c r="E434" s="768">
        <v>80</v>
      </c>
      <c r="F434" s="769">
        <v>60</v>
      </c>
      <c r="G434" s="769">
        <v>50</v>
      </c>
      <c r="H434" s="759">
        <f t="shared" si="57"/>
        <v>3.22</v>
      </c>
      <c r="I434" s="252">
        <v>158</v>
      </c>
      <c r="J434" s="674">
        <f t="shared" si="54"/>
        <v>508.76000000000005</v>
      </c>
      <c r="K434" s="674">
        <f t="shared" si="56"/>
        <v>27447.398642820812</v>
      </c>
      <c r="L434" s="621">
        <v>22750</v>
      </c>
      <c r="M434" s="621"/>
      <c r="O434" s="669"/>
      <c r="P434" s="669"/>
      <c r="Q434" s="669"/>
      <c r="S434" s="669">
        <f t="shared" si="58"/>
        <v>3594500</v>
      </c>
      <c r="T434" s="864">
        <f t="shared" si="59"/>
        <v>4336688.9855656885</v>
      </c>
    </row>
    <row r="435" spans="1:20" ht="17.25" customHeight="1">
      <c r="A435" s="706">
        <f t="shared" si="55"/>
        <v>264</v>
      </c>
      <c r="B435" s="286" t="s">
        <v>1443</v>
      </c>
      <c r="C435" s="689">
        <v>42515</v>
      </c>
      <c r="D435" s="690" t="s">
        <v>1039</v>
      </c>
      <c r="E435" s="768">
        <v>49</v>
      </c>
      <c r="F435" s="769">
        <v>38</v>
      </c>
      <c r="G435" s="769">
        <v>12</v>
      </c>
      <c r="H435" s="759">
        <f t="shared" si="57"/>
        <v>0.95</v>
      </c>
      <c r="I435" s="252">
        <v>505</v>
      </c>
      <c r="J435" s="674">
        <f t="shared" si="54"/>
        <v>479.75</v>
      </c>
      <c r="K435" s="674">
        <f t="shared" si="56"/>
        <v>8097.8350033166989</v>
      </c>
      <c r="L435" s="621">
        <v>10500</v>
      </c>
      <c r="M435" s="621"/>
      <c r="O435" s="669"/>
      <c r="P435" s="669"/>
      <c r="Q435" s="669"/>
      <c r="S435" s="669">
        <f t="shared" si="58"/>
        <v>5302500</v>
      </c>
      <c r="T435" s="864">
        <f t="shared" si="59"/>
        <v>4089406.6766749332</v>
      </c>
    </row>
    <row r="436" spans="1:20" ht="17.25" customHeight="1">
      <c r="A436" s="706">
        <f t="shared" si="55"/>
        <v>265</v>
      </c>
      <c r="B436" s="286" t="s">
        <v>436</v>
      </c>
      <c r="C436" s="689">
        <v>42517</v>
      </c>
      <c r="D436" s="690" t="s">
        <v>567</v>
      </c>
      <c r="E436" s="768">
        <v>37.5</v>
      </c>
      <c r="F436" s="769">
        <v>25.3</v>
      </c>
      <c r="G436" s="769">
        <v>23.9</v>
      </c>
      <c r="H436" s="759">
        <f t="shared" si="57"/>
        <v>0.68</v>
      </c>
      <c r="I436" s="252">
        <v>1021</v>
      </c>
      <c r="J436" s="674">
        <f t="shared" si="54"/>
        <v>694.28000000000009</v>
      </c>
      <c r="K436" s="674">
        <f t="shared" si="56"/>
        <v>5796.3450550056377</v>
      </c>
      <c r="L436" s="621">
        <v>5900</v>
      </c>
      <c r="M436" s="621"/>
      <c r="O436" s="669"/>
      <c r="P436" s="669"/>
      <c r="Q436" s="669"/>
      <c r="S436" s="669">
        <f t="shared" si="58"/>
        <v>6023900</v>
      </c>
      <c r="T436" s="864">
        <f t="shared" si="59"/>
        <v>5918068.3011607565</v>
      </c>
    </row>
    <row r="437" spans="1:20" ht="17.25" customHeight="1">
      <c r="A437" s="706">
        <f t="shared" si="55"/>
        <v>266</v>
      </c>
      <c r="B437" s="286" t="s">
        <v>418</v>
      </c>
      <c r="C437" s="689">
        <v>42517</v>
      </c>
      <c r="D437" s="690" t="s">
        <v>568</v>
      </c>
      <c r="E437" s="768">
        <v>103</v>
      </c>
      <c r="F437" s="769">
        <v>50</v>
      </c>
      <c r="G437" s="769">
        <v>180</v>
      </c>
      <c r="H437" s="759">
        <f t="shared" si="57"/>
        <v>7.25</v>
      </c>
      <c r="I437" s="252">
        <v>246</v>
      </c>
      <c r="J437" s="674">
        <f t="shared" si="54"/>
        <v>1783.5</v>
      </c>
      <c r="K437" s="674">
        <f t="shared" si="56"/>
        <v>61799.267130574808</v>
      </c>
      <c r="L437" s="621">
        <v>47449</v>
      </c>
      <c r="M437" s="621"/>
      <c r="O437" s="669"/>
      <c r="P437" s="669"/>
      <c r="Q437" s="669"/>
      <c r="S437" s="669">
        <f t="shared" si="58"/>
        <v>11672454</v>
      </c>
      <c r="T437" s="864">
        <f t="shared" si="59"/>
        <v>15202619.714121403</v>
      </c>
    </row>
    <row r="438" spans="1:20" ht="17.25" customHeight="1">
      <c r="A438" s="706">
        <f t="shared" si="55"/>
        <v>267</v>
      </c>
      <c r="B438" s="286" t="s">
        <v>912</v>
      </c>
      <c r="C438" s="689">
        <v>42517</v>
      </c>
      <c r="D438" s="690" t="s">
        <v>568</v>
      </c>
      <c r="E438" s="768">
        <v>103</v>
      </c>
      <c r="F438" s="769">
        <v>54</v>
      </c>
      <c r="G438" s="769">
        <v>180</v>
      </c>
      <c r="H438" s="759">
        <f t="shared" si="57"/>
        <v>7.56</v>
      </c>
      <c r="I438" s="252">
        <v>60</v>
      </c>
      <c r="J438" s="674">
        <f t="shared" si="54"/>
        <v>453.59999999999997</v>
      </c>
      <c r="K438" s="674">
        <f t="shared" si="56"/>
        <v>64441.718552709732</v>
      </c>
      <c r="L438" s="621">
        <v>73100</v>
      </c>
      <c r="M438" s="621"/>
      <c r="O438" s="669"/>
      <c r="P438" s="669"/>
      <c r="Q438" s="669"/>
      <c r="S438" s="669">
        <f t="shared" si="58"/>
        <v>4386000</v>
      </c>
      <c r="T438" s="864">
        <f t="shared" si="59"/>
        <v>3866503.1131625837</v>
      </c>
    </row>
    <row r="439" spans="1:20" ht="17.25" customHeight="1">
      <c r="A439" s="706">
        <f t="shared" si="55"/>
        <v>268</v>
      </c>
      <c r="B439" s="286" t="s">
        <v>477</v>
      </c>
      <c r="C439" s="689">
        <v>42518</v>
      </c>
      <c r="D439" s="690" t="s">
        <v>570</v>
      </c>
      <c r="E439" s="768">
        <v>43</v>
      </c>
      <c r="F439" s="769">
        <v>27.5</v>
      </c>
      <c r="G439" s="769">
        <v>33</v>
      </c>
      <c r="H439" s="759">
        <f t="shared" si="57"/>
        <v>0.93</v>
      </c>
      <c r="I439" s="252">
        <v>106</v>
      </c>
      <c r="J439" s="674">
        <f t="shared" si="54"/>
        <v>98.58</v>
      </c>
      <c r="K439" s="674">
        <f t="shared" si="56"/>
        <v>7927.3542664047691</v>
      </c>
      <c r="L439" s="621">
        <v>6400</v>
      </c>
      <c r="M439" s="621"/>
      <c r="O439" s="669"/>
      <c r="P439" s="669"/>
      <c r="Q439" s="669"/>
      <c r="S439" s="669">
        <f t="shared" si="58"/>
        <v>678400</v>
      </c>
      <c r="T439" s="864">
        <f t="shared" si="59"/>
        <v>840299.55223890557</v>
      </c>
    </row>
    <row r="440" spans="1:20" ht="17.25" customHeight="1">
      <c r="A440" s="706">
        <f t="shared" si="55"/>
        <v>269</v>
      </c>
      <c r="B440" s="286" t="s">
        <v>415</v>
      </c>
      <c r="C440" s="689">
        <v>42518</v>
      </c>
      <c r="D440" s="690" t="s">
        <v>570</v>
      </c>
      <c r="E440" s="768">
        <v>49.5</v>
      </c>
      <c r="F440" s="769">
        <v>38.5</v>
      </c>
      <c r="G440" s="769">
        <v>32.5</v>
      </c>
      <c r="H440" s="759">
        <f t="shared" si="57"/>
        <v>1.34</v>
      </c>
      <c r="I440" s="252">
        <v>207</v>
      </c>
      <c r="J440" s="674">
        <f t="shared" si="54"/>
        <v>277.38</v>
      </c>
      <c r="K440" s="674">
        <f t="shared" si="56"/>
        <v>11422.209373099344</v>
      </c>
      <c r="L440" s="621">
        <v>12900</v>
      </c>
      <c r="M440" s="621"/>
      <c r="O440" s="669"/>
      <c r="P440" s="669"/>
      <c r="Q440" s="669"/>
      <c r="S440" s="669">
        <f t="shared" si="58"/>
        <v>2670300</v>
      </c>
      <c r="T440" s="864">
        <f t="shared" si="59"/>
        <v>2364397.3402315644</v>
      </c>
    </row>
    <row r="441" spans="1:20" ht="17.25" customHeight="1">
      <c r="A441" s="706">
        <f t="shared" si="55"/>
        <v>270</v>
      </c>
      <c r="B441" s="286" t="s">
        <v>418</v>
      </c>
      <c r="C441" s="689">
        <v>42519</v>
      </c>
      <c r="D441" s="690" t="s">
        <v>569</v>
      </c>
      <c r="E441" s="768">
        <v>103</v>
      </c>
      <c r="F441" s="769">
        <v>50</v>
      </c>
      <c r="G441" s="769">
        <v>180</v>
      </c>
      <c r="H441" s="759">
        <f t="shared" si="57"/>
        <v>7.25</v>
      </c>
      <c r="I441" s="252">
        <v>150</v>
      </c>
      <c r="J441" s="674">
        <f t="shared" si="54"/>
        <v>1087.5</v>
      </c>
      <c r="K441" s="674">
        <f t="shared" si="56"/>
        <v>61799.267130574808</v>
      </c>
      <c r="L441" s="621">
        <v>47449</v>
      </c>
      <c r="M441" s="621"/>
      <c r="O441" s="669"/>
      <c r="P441" s="669"/>
      <c r="Q441" s="669"/>
      <c r="S441" s="669">
        <f t="shared" si="58"/>
        <v>7117350</v>
      </c>
      <c r="T441" s="864">
        <f t="shared" si="59"/>
        <v>9269890.0695862211</v>
      </c>
    </row>
    <row r="442" spans="1:20" ht="17.25" customHeight="1">
      <c r="A442" s="706">
        <f t="shared" si="55"/>
        <v>271</v>
      </c>
      <c r="B442" s="286" t="s">
        <v>1040</v>
      </c>
      <c r="C442" s="689">
        <v>42520</v>
      </c>
      <c r="D442" s="690" t="s">
        <v>572</v>
      </c>
      <c r="E442" s="768">
        <v>33</v>
      </c>
      <c r="F442" s="769">
        <v>33</v>
      </c>
      <c r="G442" s="769">
        <v>25.5</v>
      </c>
      <c r="H442" s="759">
        <f t="shared" si="57"/>
        <v>0.84</v>
      </c>
      <c r="I442" s="252">
        <v>306</v>
      </c>
      <c r="J442" s="674">
        <f t="shared" si="54"/>
        <v>257.03999999999996</v>
      </c>
      <c r="K442" s="674">
        <f t="shared" si="56"/>
        <v>7160.1909503010811</v>
      </c>
      <c r="L442" s="621">
        <v>6700</v>
      </c>
      <c r="M442" s="621"/>
      <c r="O442" s="669"/>
      <c r="P442" s="669"/>
      <c r="Q442" s="669"/>
      <c r="S442" s="669">
        <f t="shared" si="58"/>
        <v>2050200</v>
      </c>
      <c r="T442" s="864">
        <f t="shared" si="59"/>
        <v>2191018.430792131</v>
      </c>
    </row>
    <row r="443" spans="1:20" ht="17.25" customHeight="1">
      <c r="A443" s="706">
        <f t="shared" si="55"/>
        <v>272</v>
      </c>
      <c r="B443" s="286" t="s">
        <v>1041</v>
      </c>
      <c r="C443" s="689">
        <v>42520</v>
      </c>
      <c r="D443" s="690" t="s">
        <v>572</v>
      </c>
      <c r="E443" s="768">
        <v>31</v>
      </c>
      <c r="F443" s="720">
        <v>31</v>
      </c>
      <c r="G443" s="720">
        <v>21.5</v>
      </c>
      <c r="H443" s="759">
        <f t="shared" si="57"/>
        <v>0.72</v>
      </c>
      <c r="I443" s="252">
        <v>403</v>
      </c>
      <c r="J443" s="674">
        <f t="shared" si="54"/>
        <v>290.15999999999997</v>
      </c>
      <c r="K443" s="674">
        <f t="shared" si="56"/>
        <v>6137.3065288294983</v>
      </c>
      <c r="L443" s="621">
        <v>5980</v>
      </c>
      <c r="M443" s="621"/>
      <c r="O443" s="669"/>
      <c r="P443" s="669"/>
      <c r="Q443" s="669"/>
      <c r="S443" s="669">
        <f t="shared" si="58"/>
        <v>2409940</v>
      </c>
      <c r="T443" s="864">
        <f t="shared" si="59"/>
        <v>2473334.5311182877</v>
      </c>
    </row>
    <row r="444" spans="1:20" ht="17.25" customHeight="1">
      <c r="A444" s="706">
        <f t="shared" si="55"/>
        <v>273</v>
      </c>
      <c r="B444" s="286" t="s">
        <v>1042</v>
      </c>
      <c r="C444" s="689">
        <v>42520</v>
      </c>
      <c r="D444" s="690" t="s">
        <v>572</v>
      </c>
      <c r="E444" s="768">
        <v>40</v>
      </c>
      <c r="F444" s="769">
        <v>40</v>
      </c>
      <c r="G444" s="769">
        <v>40</v>
      </c>
      <c r="H444" s="759">
        <f t="shared" si="57"/>
        <v>1.37</v>
      </c>
      <c r="I444" s="252">
        <v>307</v>
      </c>
      <c r="J444" s="674">
        <f t="shared" si="54"/>
        <v>420.59000000000003</v>
      </c>
      <c r="K444" s="674">
        <f t="shared" si="56"/>
        <v>11677.93047846724</v>
      </c>
      <c r="L444" s="621">
        <v>8000</v>
      </c>
      <c r="M444" s="621"/>
      <c r="O444" s="669"/>
      <c r="P444" s="669"/>
      <c r="Q444" s="669"/>
      <c r="S444" s="669">
        <f t="shared" si="58"/>
        <v>2456000</v>
      </c>
      <c r="T444" s="864">
        <f t="shared" si="59"/>
        <v>3585124.6568894428</v>
      </c>
    </row>
    <row r="445" spans="1:20" ht="17.25" customHeight="1">
      <c r="A445" s="706">
        <f t="shared" si="55"/>
        <v>274</v>
      </c>
      <c r="B445" s="286" t="s">
        <v>389</v>
      </c>
      <c r="C445" s="689">
        <v>42522</v>
      </c>
      <c r="D445" s="690" t="s">
        <v>573</v>
      </c>
      <c r="E445" s="768">
        <v>52</v>
      </c>
      <c r="F445" s="769">
        <v>24.5</v>
      </c>
      <c r="G445" s="769">
        <v>24.5</v>
      </c>
      <c r="H445" s="759">
        <f t="shared" si="57"/>
        <v>0.82</v>
      </c>
      <c r="I445" s="252">
        <v>1600</v>
      </c>
      <c r="J445" s="674">
        <f t="shared" si="54"/>
        <v>1312</v>
      </c>
      <c r="K445" s="674">
        <f t="shared" si="56"/>
        <v>6989.7102133891503</v>
      </c>
      <c r="L445" s="621">
        <v>5000</v>
      </c>
      <c r="M445" s="621"/>
      <c r="O445" s="669"/>
      <c r="P445" s="669"/>
      <c r="Q445" s="669"/>
      <c r="S445" s="669">
        <f t="shared" si="58"/>
        <v>8000000</v>
      </c>
      <c r="T445" s="864">
        <f t="shared" si="59"/>
        <v>11183536.34142264</v>
      </c>
    </row>
    <row r="446" spans="1:20" ht="17.25" customHeight="1">
      <c r="A446" s="706">
        <f t="shared" si="55"/>
        <v>275</v>
      </c>
      <c r="B446" s="286" t="s">
        <v>441</v>
      </c>
      <c r="C446" s="689">
        <v>42522</v>
      </c>
      <c r="D446" s="690" t="s">
        <v>573</v>
      </c>
      <c r="E446" s="768">
        <v>55</v>
      </c>
      <c r="F446" s="769">
        <v>45</v>
      </c>
      <c r="G446" s="769">
        <v>29</v>
      </c>
      <c r="H446" s="759">
        <f t="shared" si="57"/>
        <v>1.58</v>
      </c>
      <c r="I446" s="252">
        <v>750</v>
      </c>
      <c r="J446" s="674">
        <f t="shared" si="54"/>
        <v>1185</v>
      </c>
      <c r="K446" s="674">
        <f t="shared" si="56"/>
        <v>13467.978216042511</v>
      </c>
      <c r="L446" s="621">
        <v>9700</v>
      </c>
      <c r="M446" s="621"/>
      <c r="O446" s="669"/>
      <c r="P446" s="669"/>
      <c r="Q446" s="669"/>
      <c r="S446" s="669">
        <f t="shared" si="58"/>
        <v>7275000</v>
      </c>
      <c r="T446" s="864">
        <f t="shared" si="59"/>
        <v>10100983.662031883</v>
      </c>
    </row>
    <row r="447" spans="1:20" ht="17.25" customHeight="1">
      <c r="A447" s="706">
        <f t="shared" si="55"/>
        <v>276</v>
      </c>
      <c r="B447" s="286" t="s">
        <v>418</v>
      </c>
      <c r="C447" s="689">
        <v>42522</v>
      </c>
      <c r="D447" s="690" t="s">
        <v>574</v>
      </c>
      <c r="E447" s="768">
        <v>103</v>
      </c>
      <c r="F447" s="769">
        <v>50</v>
      </c>
      <c r="G447" s="769">
        <v>180</v>
      </c>
      <c r="H447" s="759">
        <f t="shared" si="57"/>
        <v>7.25</v>
      </c>
      <c r="I447" s="252">
        <v>170</v>
      </c>
      <c r="J447" s="674">
        <f t="shared" si="54"/>
        <v>1232.5</v>
      </c>
      <c r="K447" s="674">
        <f t="shared" si="56"/>
        <v>61799.267130574808</v>
      </c>
      <c r="L447" s="621">
        <v>47449</v>
      </c>
      <c r="M447" s="621"/>
      <c r="O447" s="669"/>
      <c r="P447" s="669"/>
      <c r="Q447" s="669"/>
      <c r="S447" s="669">
        <f t="shared" si="58"/>
        <v>8066330</v>
      </c>
      <c r="T447" s="864">
        <f t="shared" si="59"/>
        <v>10505875.412197717</v>
      </c>
    </row>
    <row r="448" spans="1:20" ht="17.25" customHeight="1">
      <c r="A448" s="706">
        <f t="shared" si="55"/>
        <v>277</v>
      </c>
      <c r="B448" s="286" t="s">
        <v>933</v>
      </c>
      <c r="C448" s="689">
        <v>42522</v>
      </c>
      <c r="D448" s="690" t="s">
        <v>575</v>
      </c>
      <c r="E448" s="768">
        <v>48</v>
      </c>
      <c r="F448" s="769">
        <v>42</v>
      </c>
      <c r="G448" s="769">
        <v>31</v>
      </c>
      <c r="H448" s="759">
        <f t="shared" si="57"/>
        <v>1.41</v>
      </c>
      <c r="I448" s="252">
        <v>245</v>
      </c>
      <c r="J448" s="674">
        <f t="shared" si="54"/>
        <v>345.45</v>
      </c>
      <c r="K448" s="674">
        <f t="shared" si="56"/>
        <v>12018.8919522911</v>
      </c>
      <c r="L448" s="621">
        <v>14500</v>
      </c>
      <c r="M448" s="621"/>
      <c r="O448" s="669"/>
      <c r="P448" s="669"/>
      <c r="Q448" s="669"/>
      <c r="S448" s="669">
        <f t="shared" si="58"/>
        <v>3552500</v>
      </c>
      <c r="T448" s="864">
        <f t="shared" si="59"/>
        <v>2944628.5283113196</v>
      </c>
    </row>
    <row r="449" spans="1:20" ht="17.25" customHeight="1">
      <c r="A449" s="706">
        <f t="shared" si="55"/>
        <v>278</v>
      </c>
      <c r="B449" s="286" t="s">
        <v>407</v>
      </c>
      <c r="C449" s="689">
        <v>42522</v>
      </c>
      <c r="D449" s="690" t="s">
        <v>575</v>
      </c>
      <c r="E449" s="768">
        <v>37</v>
      </c>
      <c r="F449" s="769">
        <v>37</v>
      </c>
      <c r="G449" s="769">
        <v>29</v>
      </c>
      <c r="H449" s="759">
        <f t="shared" si="57"/>
        <v>1.06</v>
      </c>
      <c r="I449" s="252">
        <v>35</v>
      </c>
      <c r="J449" s="674">
        <f t="shared" si="54"/>
        <v>37.1</v>
      </c>
      <c r="K449" s="674">
        <f t="shared" si="56"/>
        <v>9035.4790563323168</v>
      </c>
      <c r="L449" s="621">
        <v>7850</v>
      </c>
      <c r="M449" s="621"/>
      <c r="O449" s="669"/>
      <c r="P449" s="669"/>
      <c r="Q449" s="669"/>
      <c r="S449" s="669">
        <f t="shared" si="58"/>
        <v>274750</v>
      </c>
      <c r="T449" s="864">
        <f t="shared" si="59"/>
        <v>316241.76697163109</v>
      </c>
    </row>
    <row r="450" spans="1:20" ht="17.25" customHeight="1">
      <c r="A450" s="706">
        <f t="shared" si="55"/>
        <v>279</v>
      </c>
      <c r="B450" s="286" t="s">
        <v>1044</v>
      </c>
      <c r="C450" s="689">
        <v>42522</v>
      </c>
      <c r="D450" s="690" t="s">
        <v>575</v>
      </c>
      <c r="E450" s="768">
        <v>42</v>
      </c>
      <c r="F450" s="769">
        <v>42</v>
      </c>
      <c r="G450" s="769">
        <v>26</v>
      </c>
      <c r="H450" s="759">
        <f t="shared" si="57"/>
        <v>1.23</v>
      </c>
      <c r="I450" s="252">
        <v>24</v>
      </c>
      <c r="J450" s="674">
        <f t="shared" si="54"/>
        <v>29.52</v>
      </c>
      <c r="K450" s="674">
        <f t="shared" si="56"/>
        <v>10484.565320083726</v>
      </c>
      <c r="L450" s="621">
        <v>8940</v>
      </c>
      <c r="M450" s="621"/>
      <c r="O450" s="669"/>
      <c r="P450" s="669"/>
      <c r="Q450" s="669"/>
      <c r="S450" s="669">
        <f t="shared" si="58"/>
        <v>214560</v>
      </c>
      <c r="T450" s="864">
        <f t="shared" si="59"/>
        <v>251629.56768200942</v>
      </c>
    </row>
    <row r="451" spans="1:20" ht="17.25" customHeight="1">
      <c r="A451" s="706">
        <f t="shared" si="55"/>
        <v>280</v>
      </c>
      <c r="B451" s="286" t="s">
        <v>933</v>
      </c>
      <c r="C451" s="689">
        <v>42522</v>
      </c>
      <c r="D451" s="690" t="s">
        <v>575</v>
      </c>
      <c r="E451" s="768">
        <v>48</v>
      </c>
      <c r="F451" s="769">
        <v>42</v>
      </c>
      <c r="G451" s="769">
        <v>31</v>
      </c>
      <c r="H451" s="759">
        <f t="shared" si="57"/>
        <v>1.41</v>
      </c>
      <c r="I451" s="252">
        <v>13</v>
      </c>
      <c r="J451" s="674">
        <f t="shared" si="54"/>
        <v>18.329999999999998</v>
      </c>
      <c r="K451" s="674">
        <f t="shared" si="56"/>
        <v>12018.8919522911</v>
      </c>
      <c r="L451" s="621">
        <v>14500</v>
      </c>
      <c r="M451" s="621"/>
      <c r="O451" s="669"/>
      <c r="P451" s="669"/>
      <c r="Q451" s="669"/>
      <c r="S451" s="669">
        <f t="shared" si="58"/>
        <v>188500</v>
      </c>
      <c r="T451" s="864">
        <f t="shared" si="59"/>
        <v>156245.5953797843</v>
      </c>
    </row>
    <row r="452" spans="1:20" ht="17.25" customHeight="1">
      <c r="A452" s="706">
        <f t="shared" si="55"/>
        <v>281</v>
      </c>
      <c r="B452" s="286" t="s">
        <v>1045</v>
      </c>
      <c r="C452" s="689">
        <v>42522</v>
      </c>
      <c r="D452" s="690" t="s">
        <v>575</v>
      </c>
      <c r="E452" s="768">
        <v>46</v>
      </c>
      <c r="F452" s="769">
        <v>40</v>
      </c>
      <c r="G452" s="769">
        <v>27</v>
      </c>
      <c r="H452" s="759">
        <f t="shared" si="57"/>
        <v>1.24</v>
      </c>
      <c r="I452" s="252">
        <v>90</v>
      </c>
      <c r="J452" s="674">
        <f t="shared" si="54"/>
        <v>111.6</v>
      </c>
      <c r="K452" s="674">
        <f t="shared" si="56"/>
        <v>10569.805688539691</v>
      </c>
      <c r="L452" s="621">
        <v>9010</v>
      </c>
      <c r="M452" s="621"/>
      <c r="O452" s="669"/>
      <c r="P452" s="669"/>
      <c r="Q452" s="669"/>
      <c r="S452" s="669">
        <f t="shared" si="58"/>
        <v>810900</v>
      </c>
      <c r="T452" s="864">
        <f t="shared" si="59"/>
        <v>951282.51196857216</v>
      </c>
    </row>
    <row r="453" spans="1:20" ht="17.25" customHeight="1">
      <c r="A453" s="706">
        <f t="shared" si="55"/>
        <v>282</v>
      </c>
      <c r="B453" s="286" t="s">
        <v>1046</v>
      </c>
      <c r="C453" s="689">
        <v>42522</v>
      </c>
      <c r="D453" s="690" t="s">
        <v>575</v>
      </c>
      <c r="E453" s="768">
        <v>39</v>
      </c>
      <c r="F453" s="769">
        <v>29</v>
      </c>
      <c r="G453" s="769">
        <v>26</v>
      </c>
      <c r="H453" s="759">
        <f t="shared" si="57"/>
        <v>0.82</v>
      </c>
      <c r="I453" s="252">
        <v>24</v>
      </c>
      <c r="J453" s="674">
        <f t="shared" si="54"/>
        <v>19.68</v>
      </c>
      <c r="K453" s="674">
        <f t="shared" si="56"/>
        <v>6989.7102133891503</v>
      </c>
      <c r="L453" s="621">
        <v>6400</v>
      </c>
      <c r="M453" s="621"/>
      <c r="O453" s="669"/>
      <c r="P453" s="669"/>
      <c r="Q453" s="669"/>
      <c r="S453" s="669">
        <f t="shared" si="58"/>
        <v>153600</v>
      </c>
      <c r="T453" s="864">
        <f t="shared" si="59"/>
        <v>167753.04512133962</v>
      </c>
    </row>
    <row r="454" spans="1:20" ht="17.25" customHeight="1">
      <c r="A454" s="706">
        <f t="shared" si="55"/>
        <v>283</v>
      </c>
      <c r="B454" s="286" t="s">
        <v>1047</v>
      </c>
      <c r="C454" s="689">
        <v>42522</v>
      </c>
      <c r="D454" s="690" t="s">
        <v>575</v>
      </c>
      <c r="E454" s="768">
        <v>47</v>
      </c>
      <c r="F454" s="769">
        <v>42</v>
      </c>
      <c r="G454" s="769">
        <v>31</v>
      </c>
      <c r="H454" s="759">
        <f t="shared" si="57"/>
        <v>1.39</v>
      </c>
      <c r="I454" s="252">
        <v>90</v>
      </c>
      <c r="J454" s="674">
        <f t="shared" si="54"/>
        <v>125.1</v>
      </c>
      <c r="K454" s="674">
        <f t="shared" si="56"/>
        <v>11848.41121537917</v>
      </c>
      <c r="L454" s="621">
        <v>9970</v>
      </c>
      <c r="M454" s="621"/>
      <c r="O454" s="669"/>
      <c r="P454" s="669"/>
      <c r="Q454" s="669"/>
      <c r="S454" s="669">
        <f t="shared" si="58"/>
        <v>897300</v>
      </c>
      <c r="T454" s="864">
        <f t="shared" si="59"/>
        <v>1066357.0093841252</v>
      </c>
    </row>
    <row r="455" spans="1:20" ht="17.25" customHeight="1">
      <c r="A455" s="706">
        <f t="shared" si="55"/>
        <v>284</v>
      </c>
      <c r="B455" s="286" t="s">
        <v>1048</v>
      </c>
      <c r="C455" s="689">
        <v>42522</v>
      </c>
      <c r="D455" s="690" t="s">
        <v>575</v>
      </c>
      <c r="E455" s="768">
        <v>43</v>
      </c>
      <c r="F455" s="769">
        <v>39</v>
      </c>
      <c r="G455" s="769">
        <v>27</v>
      </c>
      <c r="H455" s="759">
        <f t="shared" si="57"/>
        <v>1.17</v>
      </c>
      <c r="I455" s="252">
        <v>55</v>
      </c>
      <c r="J455" s="674">
        <f t="shared" si="54"/>
        <v>64.349999999999994</v>
      </c>
      <c r="K455" s="674">
        <f t="shared" si="56"/>
        <v>9973.1231093479346</v>
      </c>
      <c r="L455" s="621">
        <v>12200</v>
      </c>
      <c r="M455" s="621"/>
      <c r="O455" s="669"/>
      <c r="P455" s="669"/>
      <c r="Q455" s="669"/>
      <c r="S455" s="669">
        <f t="shared" si="58"/>
        <v>671000</v>
      </c>
      <c r="T455" s="864">
        <f t="shared" si="59"/>
        <v>548521.77101413638</v>
      </c>
    </row>
    <row r="456" spans="1:20" ht="17.25" customHeight="1">
      <c r="A456" s="706">
        <f t="shared" si="55"/>
        <v>285</v>
      </c>
      <c r="B456" s="286" t="s">
        <v>1049</v>
      </c>
      <c r="C456" s="689">
        <v>42522</v>
      </c>
      <c r="D456" s="690" t="s">
        <v>575</v>
      </c>
      <c r="E456" s="768">
        <v>53</v>
      </c>
      <c r="F456" s="769">
        <v>48</v>
      </c>
      <c r="G456" s="769">
        <v>27</v>
      </c>
      <c r="H456" s="759">
        <f t="shared" si="57"/>
        <v>1.61</v>
      </c>
      <c r="I456" s="252">
        <v>210</v>
      </c>
      <c r="J456" s="674">
        <f t="shared" si="54"/>
        <v>338.1</v>
      </c>
      <c r="K456" s="674">
        <f t="shared" si="56"/>
        <v>13723.699321410406</v>
      </c>
      <c r="L456" s="621">
        <v>16500</v>
      </c>
      <c r="M456" s="621"/>
      <c r="O456" s="669"/>
      <c r="P456" s="669"/>
      <c r="Q456" s="669"/>
      <c r="S456" s="669">
        <f t="shared" si="58"/>
        <v>3465000</v>
      </c>
      <c r="T456" s="864">
        <f t="shared" si="59"/>
        <v>2881976.8574961852</v>
      </c>
    </row>
    <row r="457" spans="1:20" ht="17.25" customHeight="1">
      <c r="A457" s="706">
        <f t="shared" si="55"/>
        <v>286</v>
      </c>
      <c r="B457" s="286" t="s">
        <v>1050</v>
      </c>
      <c r="C457" s="689">
        <v>42522</v>
      </c>
      <c r="D457" s="690" t="s">
        <v>576</v>
      </c>
      <c r="E457" s="768">
        <v>43</v>
      </c>
      <c r="F457" s="769">
        <v>38</v>
      </c>
      <c r="G457" s="769">
        <v>25</v>
      </c>
      <c r="H457" s="759">
        <f t="shared" si="57"/>
        <v>1.1000000000000001</v>
      </c>
      <c r="I457" s="252">
        <v>210</v>
      </c>
      <c r="J457" s="674">
        <f t="shared" si="54"/>
        <v>231.00000000000003</v>
      </c>
      <c r="K457" s="674">
        <f t="shared" si="56"/>
        <v>9376.4405301561783</v>
      </c>
      <c r="L457" s="621">
        <v>8200</v>
      </c>
      <c r="M457" s="621"/>
      <c r="O457" s="669"/>
      <c r="P457" s="669"/>
      <c r="Q457" s="669"/>
      <c r="S457" s="669">
        <f t="shared" si="58"/>
        <v>1722000</v>
      </c>
      <c r="T457" s="864">
        <f t="shared" si="59"/>
        <v>1969052.5113327974</v>
      </c>
    </row>
    <row r="458" spans="1:20" ht="17.25" customHeight="1">
      <c r="A458" s="706">
        <f t="shared" si="55"/>
        <v>287</v>
      </c>
      <c r="B458" s="286" t="s">
        <v>474</v>
      </c>
      <c r="C458" s="689">
        <v>42522</v>
      </c>
      <c r="D458" s="690" t="s">
        <v>576</v>
      </c>
      <c r="E458" s="768">
        <v>47</v>
      </c>
      <c r="F458" s="769">
        <v>42</v>
      </c>
      <c r="G458" s="769">
        <v>25</v>
      </c>
      <c r="H458" s="759">
        <f t="shared" si="57"/>
        <v>1.28</v>
      </c>
      <c r="I458" s="252">
        <v>204</v>
      </c>
      <c r="J458" s="674">
        <f t="shared" si="54"/>
        <v>261.12</v>
      </c>
      <c r="K458" s="674">
        <f t="shared" si="56"/>
        <v>10910.767162363552</v>
      </c>
      <c r="L458" s="621">
        <v>9270</v>
      </c>
      <c r="M458" s="621"/>
      <c r="O458" s="669"/>
      <c r="P458" s="669"/>
      <c r="Q458" s="669"/>
      <c r="S458" s="669">
        <f t="shared" si="58"/>
        <v>1891080</v>
      </c>
      <c r="T458" s="864">
        <f t="shared" si="59"/>
        <v>2225796.5011221645</v>
      </c>
    </row>
    <row r="459" spans="1:20" ht="17.25" customHeight="1">
      <c r="A459" s="706">
        <f t="shared" si="55"/>
        <v>288</v>
      </c>
      <c r="B459" s="286" t="s">
        <v>438</v>
      </c>
      <c r="C459" s="689">
        <v>42522</v>
      </c>
      <c r="D459" s="690" t="s">
        <v>577</v>
      </c>
      <c r="E459" s="768">
        <v>32.5</v>
      </c>
      <c r="F459" s="720">
        <v>32.5</v>
      </c>
      <c r="G459" s="720">
        <v>16</v>
      </c>
      <c r="H459" s="759">
        <f t="shared" si="57"/>
        <v>0.7</v>
      </c>
      <c r="I459" s="252">
        <v>220</v>
      </c>
      <c r="J459" s="674">
        <f t="shared" si="54"/>
        <v>154</v>
      </c>
      <c r="K459" s="674">
        <f t="shared" si="56"/>
        <v>5966.8257919175676</v>
      </c>
      <c r="L459" s="680">
        <v>7000</v>
      </c>
      <c r="M459" s="621"/>
      <c r="O459" s="669"/>
      <c r="P459" s="669"/>
      <c r="Q459" s="669"/>
      <c r="S459" s="669">
        <f t="shared" si="58"/>
        <v>1540000</v>
      </c>
      <c r="T459" s="864">
        <f t="shared" si="59"/>
        <v>1312701.6742218649</v>
      </c>
    </row>
    <row r="460" spans="1:20" ht="17.25" customHeight="1">
      <c r="A460" s="706">
        <f t="shared" si="55"/>
        <v>289</v>
      </c>
      <c r="B460" s="286" t="s">
        <v>414</v>
      </c>
      <c r="C460" s="689">
        <v>42527</v>
      </c>
      <c r="D460" s="690" t="s">
        <v>578</v>
      </c>
      <c r="E460" s="768">
        <v>52</v>
      </c>
      <c r="F460" s="769">
        <v>26.5</v>
      </c>
      <c r="G460" s="769">
        <v>26.5</v>
      </c>
      <c r="H460" s="759">
        <f t="shared" si="57"/>
        <v>0.91</v>
      </c>
      <c r="I460" s="252">
        <v>780</v>
      </c>
      <c r="J460" s="674">
        <f t="shared" si="54"/>
        <v>709.80000000000007</v>
      </c>
      <c r="K460" s="674">
        <f t="shared" si="56"/>
        <v>7756.8735294928383</v>
      </c>
      <c r="L460" s="621">
        <v>5550</v>
      </c>
      <c r="M460" s="621"/>
      <c r="O460" s="669"/>
      <c r="P460" s="669"/>
      <c r="Q460" s="669"/>
      <c r="S460" s="669">
        <f t="shared" si="58"/>
        <v>4329000</v>
      </c>
      <c r="T460" s="864">
        <f t="shared" si="59"/>
        <v>6050361.3530044137</v>
      </c>
    </row>
    <row r="461" spans="1:20" ht="17.25" customHeight="1">
      <c r="A461" s="706">
        <f t="shared" si="55"/>
        <v>290</v>
      </c>
      <c r="B461" s="286" t="s">
        <v>646</v>
      </c>
      <c r="C461" s="689">
        <v>42527</v>
      </c>
      <c r="D461" s="690" t="s">
        <v>579</v>
      </c>
      <c r="E461" s="768">
        <v>33.5</v>
      </c>
      <c r="F461" s="769">
        <v>31.5</v>
      </c>
      <c r="G461" s="769">
        <v>24</v>
      </c>
      <c r="H461" s="759">
        <f t="shared" si="57"/>
        <v>0.79</v>
      </c>
      <c r="I461" s="252">
        <v>2000</v>
      </c>
      <c r="J461" s="674">
        <f t="shared" si="54"/>
        <v>1580</v>
      </c>
      <c r="K461" s="674">
        <f t="shared" si="56"/>
        <v>6733.9891080212556</v>
      </c>
      <c r="L461" s="621">
        <v>6950</v>
      </c>
      <c r="M461" s="621"/>
      <c r="O461" s="669"/>
      <c r="P461" s="669"/>
      <c r="Q461" s="669"/>
      <c r="S461" s="669">
        <f t="shared" si="58"/>
        <v>13900000</v>
      </c>
      <c r="T461" s="864">
        <f t="shared" si="59"/>
        <v>13467978.216042511</v>
      </c>
    </row>
    <row r="462" spans="1:20" ht="17.25" customHeight="1">
      <c r="A462" s="706">
        <f t="shared" si="55"/>
        <v>291</v>
      </c>
      <c r="B462" s="286" t="s">
        <v>436</v>
      </c>
      <c r="C462" s="689">
        <v>42527</v>
      </c>
      <c r="D462" s="690" t="s">
        <v>1051</v>
      </c>
      <c r="E462" s="768">
        <v>37.5</v>
      </c>
      <c r="F462" s="720">
        <v>25.3</v>
      </c>
      <c r="G462" s="720">
        <v>23.9</v>
      </c>
      <c r="H462" s="759">
        <f t="shared" si="57"/>
        <v>0.68</v>
      </c>
      <c r="I462" s="252">
        <v>517</v>
      </c>
      <c r="J462" s="674">
        <f t="shared" si="54"/>
        <v>351.56</v>
      </c>
      <c r="K462" s="674">
        <f t="shared" si="56"/>
        <v>5796.3450550056377</v>
      </c>
      <c r="L462" s="680">
        <v>5900</v>
      </c>
      <c r="M462" s="621"/>
      <c r="O462" s="669"/>
      <c r="P462" s="669"/>
      <c r="Q462" s="669"/>
      <c r="S462" s="669">
        <f t="shared" si="58"/>
        <v>3050300</v>
      </c>
      <c r="T462" s="864">
        <f t="shared" si="59"/>
        <v>2996710.3934379146</v>
      </c>
    </row>
    <row r="463" spans="1:20" ht="17.25" customHeight="1">
      <c r="A463" s="706">
        <f t="shared" si="55"/>
        <v>292</v>
      </c>
      <c r="B463" s="286" t="s">
        <v>627</v>
      </c>
      <c r="C463" s="689">
        <v>42528</v>
      </c>
      <c r="D463" s="690" t="s">
        <v>580</v>
      </c>
      <c r="E463" s="768">
        <v>40</v>
      </c>
      <c r="F463" s="720">
        <v>30</v>
      </c>
      <c r="G463" s="720">
        <v>18.5</v>
      </c>
      <c r="H463" s="759">
        <f t="shared" si="57"/>
        <v>0.75</v>
      </c>
      <c r="I463" s="252">
        <v>308</v>
      </c>
      <c r="J463" s="674">
        <f t="shared" si="54"/>
        <v>231</v>
      </c>
      <c r="K463" s="674">
        <f t="shared" si="56"/>
        <v>6393.027634197394</v>
      </c>
      <c r="L463" s="680">
        <v>8800</v>
      </c>
      <c r="M463" s="621"/>
      <c r="O463" s="669"/>
      <c r="P463" s="669"/>
      <c r="Q463" s="669"/>
      <c r="S463" s="669">
        <f t="shared" si="58"/>
        <v>2710400</v>
      </c>
      <c r="T463" s="864">
        <f t="shared" si="59"/>
        <v>1969052.5113327974</v>
      </c>
    </row>
    <row r="464" spans="1:20" ht="17.25" customHeight="1">
      <c r="A464" s="706">
        <f t="shared" si="55"/>
        <v>293</v>
      </c>
      <c r="B464" s="286" t="s">
        <v>400</v>
      </c>
      <c r="C464" s="689">
        <v>42528</v>
      </c>
      <c r="D464" s="690" t="s">
        <v>580</v>
      </c>
      <c r="E464" s="768">
        <v>49</v>
      </c>
      <c r="F464" s="720">
        <v>38</v>
      </c>
      <c r="G464" s="720">
        <v>12</v>
      </c>
      <c r="H464" s="759">
        <f t="shared" si="57"/>
        <v>0.95</v>
      </c>
      <c r="I464" s="252">
        <v>308</v>
      </c>
      <c r="J464" s="674">
        <f t="shared" si="54"/>
        <v>292.59999999999997</v>
      </c>
      <c r="K464" s="674">
        <f t="shared" si="56"/>
        <v>8097.8350033166989</v>
      </c>
      <c r="L464" s="680">
        <v>10000</v>
      </c>
      <c r="M464" s="621"/>
      <c r="O464" s="669"/>
      <c r="P464" s="669"/>
      <c r="Q464" s="669"/>
      <c r="S464" s="669">
        <f t="shared" si="58"/>
        <v>3080000</v>
      </c>
      <c r="T464" s="864">
        <f t="shared" si="59"/>
        <v>2494133.1810215432</v>
      </c>
    </row>
    <row r="465" spans="1:20" ht="17.25" customHeight="1">
      <c r="A465" s="706">
        <f t="shared" si="55"/>
        <v>294</v>
      </c>
      <c r="B465" s="286" t="s">
        <v>436</v>
      </c>
      <c r="C465" s="689">
        <v>42529</v>
      </c>
      <c r="D465" s="690" t="s">
        <v>581</v>
      </c>
      <c r="E465" s="768">
        <v>37.5</v>
      </c>
      <c r="F465" s="769">
        <v>25.3</v>
      </c>
      <c r="G465" s="769">
        <v>23.9</v>
      </c>
      <c r="H465" s="759">
        <f t="shared" si="57"/>
        <v>0.68</v>
      </c>
      <c r="I465" s="252">
        <v>1023</v>
      </c>
      <c r="J465" s="674">
        <f t="shared" si="54"/>
        <v>695.6400000000001</v>
      </c>
      <c r="K465" s="674">
        <f t="shared" si="56"/>
        <v>5796.3450550056377</v>
      </c>
      <c r="L465" s="621">
        <v>5900</v>
      </c>
      <c r="M465" s="621"/>
      <c r="O465" s="669"/>
      <c r="P465" s="669"/>
      <c r="Q465" s="669"/>
      <c r="S465" s="669">
        <f t="shared" si="58"/>
        <v>6035700</v>
      </c>
      <c r="T465" s="864">
        <f t="shared" si="59"/>
        <v>5929660.9912707675</v>
      </c>
    </row>
    <row r="466" spans="1:20" ht="17.25" customHeight="1">
      <c r="A466" s="706">
        <f t="shared" si="55"/>
        <v>295</v>
      </c>
      <c r="B466" s="286" t="s">
        <v>1052</v>
      </c>
      <c r="C466" s="689">
        <v>42530</v>
      </c>
      <c r="D466" s="690" t="s">
        <v>582</v>
      </c>
      <c r="E466" s="768">
        <v>45</v>
      </c>
      <c r="F466" s="769">
        <v>37</v>
      </c>
      <c r="G466" s="769">
        <v>37.5</v>
      </c>
      <c r="H466" s="759">
        <f t="shared" si="57"/>
        <v>1.31</v>
      </c>
      <c r="I466" s="252">
        <v>1010</v>
      </c>
      <c r="J466" s="674">
        <f t="shared" si="54"/>
        <v>1323.1000000000001</v>
      </c>
      <c r="K466" s="674">
        <f t="shared" si="56"/>
        <v>11166.488267731449</v>
      </c>
      <c r="L466" s="621">
        <v>13800</v>
      </c>
      <c r="M466" s="621"/>
      <c r="O466" s="669"/>
      <c r="P466" s="669"/>
      <c r="Q466" s="669"/>
      <c r="S466" s="669">
        <f t="shared" si="58"/>
        <v>13938000</v>
      </c>
      <c r="T466" s="864">
        <f t="shared" si="59"/>
        <v>11278153.150408763</v>
      </c>
    </row>
    <row r="467" spans="1:20" ht="17.25" customHeight="1">
      <c r="A467" s="706">
        <f t="shared" si="55"/>
        <v>296</v>
      </c>
      <c r="B467" s="286" t="s">
        <v>645</v>
      </c>
      <c r="C467" s="689">
        <v>42530</v>
      </c>
      <c r="D467" s="690" t="s">
        <v>582</v>
      </c>
      <c r="E467" s="768">
        <v>45</v>
      </c>
      <c r="F467" s="769">
        <v>37</v>
      </c>
      <c r="G467" s="769">
        <v>37.5</v>
      </c>
      <c r="H467" s="759">
        <f t="shared" si="57"/>
        <v>1.31</v>
      </c>
      <c r="I467" s="252">
        <v>50</v>
      </c>
      <c r="J467" s="674">
        <f t="shared" si="54"/>
        <v>65.5</v>
      </c>
      <c r="K467" s="674">
        <f t="shared" si="56"/>
        <v>11166.488267731449</v>
      </c>
      <c r="L467" s="621">
        <v>13400</v>
      </c>
      <c r="M467" s="621"/>
      <c r="O467" s="669"/>
      <c r="P467" s="669"/>
      <c r="Q467" s="669"/>
      <c r="S467" s="669">
        <f t="shared" si="58"/>
        <v>670000</v>
      </c>
      <c r="T467" s="864">
        <f t="shared" si="59"/>
        <v>558324.4133865725</v>
      </c>
    </row>
    <row r="468" spans="1:20" ht="17.25" customHeight="1">
      <c r="A468" s="706">
        <f t="shared" si="55"/>
        <v>297</v>
      </c>
      <c r="B468" s="286" t="s">
        <v>693</v>
      </c>
      <c r="C468" s="689">
        <v>42530</v>
      </c>
      <c r="D468" s="690" t="s">
        <v>582</v>
      </c>
      <c r="E468" s="768">
        <v>44</v>
      </c>
      <c r="F468" s="769">
        <v>20</v>
      </c>
      <c r="G468" s="769"/>
      <c r="H468" s="759">
        <f t="shared" si="57"/>
        <v>0.09</v>
      </c>
      <c r="I468" s="252">
        <v>2120</v>
      </c>
      <c r="J468" s="674">
        <f t="shared" si="54"/>
        <v>190.79999999999998</v>
      </c>
      <c r="K468" s="674">
        <f t="shared" si="56"/>
        <v>767.16331610368729</v>
      </c>
      <c r="L468" s="621">
        <v>1300</v>
      </c>
      <c r="M468" s="621"/>
      <c r="O468" s="669"/>
      <c r="P468" s="669"/>
      <c r="Q468" s="669"/>
      <c r="S468" s="669">
        <f t="shared" si="58"/>
        <v>2756000</v>
      </c>
      <c r="T468" s="864">
        <f t="shared" si="59"/>
        <v>1626386.2301398171</v>
      </c>
    </row>
    <row r="469" spans="1:20" ht="17.25" customHeight="1">
      <c r="A469" s="706">
        <f t="shared" si="55"/>
        <v>298</v>
      </c>
      <c r="B469" s="286" t="s">
        <v>1029</v>
      </c>
      <c r="C469" s="689">
        <v>42530</v>
      </c>
      <c r="D469" s="690" t="s">
        <v>583</v>
      </c>
      <c r="E469" s="768">
        <v>23.5</v>
      </c>
      <c r="F469" s="769">
        <v>23.5</v>
      </c>
      <c r="G469" s="769">
        <v>30.5</v>
      </c>
      <c r="H469" s="759">
        <f t="shared" si="57"/>
        <v>0.56000000000000005</v>
      </c>
      <c r="I469" s="252">
        <v>490</v>
      </c>
      <c r="J469" s="674">
        <f t="shared" ref="J469:J523" si="60">H469*I469</f>
        <v>274.40000000000003</v>
      </c>
      <c r="K469" s="674">
        <f t="shared" si="56"/>
        <v>4773.460633534055</v>
      </c>
      <c r="L469" s="621">
        <v>6700</v>
      </c>
      <c r="M469" s="621"/>
      <c r="O469" s="669"/>
      <c r="P469" s="669"/>
      <c r="Q469" s="669"/>
      <c r="S469" s="669">
        <f t="shared" si="58"/>
        <v>3283000</v>
      </c>
      <c r="T469" s="864">
        <f t="shared" si="59"/>
        <v>2338995.7104316871</v>
      </c>
    </row>
    <row r="470" spans="1:20" ht="17.25" customHeight="1">
      <c r="A470" s="706">
        <f t="shared" si="55"/>
        <v>299</v>
      </c>
      <c r="B470" s="286" t="s">
        <v>1054</v>
      </c>
      <c r="C470" s="689">
        <v>42530</v>
      </c>
      <c r="D470" s="690" t="s">
        <v>583</v>
      </c>
      <c r="E470" s="768">
        <v>52.5</v>
      </c>
      <c r="F470" s="769">
        <v>29.5</v>
      </c>
      <c r="G470" s="769">
        <v>8.5</v>
      </c>
      <c r="H470" s="759">
        <f t="shared" si="57"/>
        <v>0.69</v>
      </c>
      <c r="I470" s="252">
        <v>510</v>
      </c>
      <c r="J470" s="674">
        <f t="shared" si="60"/>
        <v>351.9</v>
      </c>
      <c r="K470" s="674">
        <f t="shared" si="56"/>
        <v>5881.5854234616017</v>
      </c>
      <c r="L470" s="621">
        <v>7700</v>
      </c>
      <c r="M470" s="621"/>
      <c r="O470" s="669"/>
      <c r="P470" s="669"/>
      <c r="Q470" s="669"/>
      <c r="S470" s="669">
        <f t="shared" si="58"/>
        <v>3927000</v>
      </c>
      <c r="T470" s="864">
        <f t="shared" si="59"/>
        <v>2999608.5659654168</v>
      </c>
    </row>
    <row r="471" spans="1:20" ht="17.25" customHeight="1">
      <c r="A471" s="706">
        <f t="shared" si="55"/>
        <v>300</v>
      </c>
      <c r="B471" s="286" t="s">
        <v>436</v>
      </c>
      <c r="C471" s="689">
        <v>42535</v>
      </c>
      <c r="D471" s="690" t="s">
        <v>584</v>
      </c>
      <c r="E471" s="768">
        <v>37.5</v>
      </c>
      <c r="F471" s="769">
        <v>25.3</v>
      </c>
      <c r="G471" s="769">
        <v>23.9</v>
      </c>
      <c r="H471" s="759">
        <f t="shared" si="57"/>
        <v>0.68</v>
      </c>
      <c r="I471" s="252">
        <v>402</v>
      </c>
      <c r="J471" s="674">
        <f t="shared" si="60"/>
        <v>273.36</v>
      </c>
      <c r="K471" s="674">
        <f t="shared" si="56"/>
        <v>5796.3450550056377</v>
      </c>
      <c r="L471" s="621">
        <v>7300</v>
      </c>
      <c r="M471" s="621"/>
      <c r="O471" s="669"/>
      <c r="P471" s="669"/>
      <c r="Q471" s="669"/>
      <c r="S471" s="669">
        <f t="shared" si="58"/>
        <v>2934600</v>
      </c>
      <c r="T471" s="864">
        <f t="shared" si="59"/>
        <v>2330130.7121122666</v>
      </c>
    </row>
    <row r="472" spans="1:20" ht="17.25" customHeight="1">
      <c r="A472" s="706">
        <f t="shared" si="55"/>
        <v>301</v>
      </c>
      <c r="B472" s="286" t="s">
        <v>512</v>
      </c>
      <c r="C472" s="689">
        <v>42535</v>
      </c>
      <c r="D472" s="690" t="s">
        <v>584</v>
      </c>
      <c r="E472" s="768">
        <v>33.700000000000003</v>
      </c>
      <c r="F472" s="769">
        <v>22.7</v>
      </c>
      <c r="G472" s="769">
        <v>19.3</v>
      </c>
      <c r="H472" s="759">
        <f t="shared" si="57"/>
        <v>0.53</v>
      </c>
      <c r="I472" s="252">
        <v>317</v>
      </c>
      <c r="J472" s="674">
        <f t="shared" si="60"/>
        <v>168.01000000000002</v>
      </c>
      <c r="K472" s="674">
        <f t="shared" si="56"/>
        <v>4517.7395281661584</v>
      </c>
      <c r="L472" s="621">
        <v>4900</v>
      </c>
      <c r="M472" s="621"/>
      <c r="O472" s="669"/>
      <c r="P472" s="669"/>
      <c r="Q472" s="669"/>
      <c r="S472" s="669">
        <f t="shared" si="58"/>
        <v>1553300</v>
      </c>
      <c r="T472" s="864">
        <f t="shared" si="59"/>
        <v>1432123.4304286721</v>
      </c>
    </row>
    <row r="473" spans="1:20" ht="17.25" customHeight="1">
      <c r="A473" s="706">
        <f t="shared" ref="A473:A523" si="61">IF(B473&lt;&gt;"",ROW()-171,"")</f>
        <v>302</v>
      </c>
      <c r="B473" s="286" t="s">
        <v>1443</v>
      </c>
      <c r="C473" s="689">
        <v>42536</v>
      </c>
      <c r="D473" s="690" t="s">
        <v>585</v>
      </c>
      <c r="E473" s="768">
        <v>49</v>
      </c>
      <c r="F473" s="769">
        <v>38</v>
      </c>
      <c r="G473" s="769">
        <v>12</v>
      </c>
      <c r="H473" s="759">
        <f t="shared" si="57"/>
        <v>0.95</v>
      </c>
      <c r="I473" s="252">
        <v>300</v>
      </c>
      <c r="J473" s="674">
        <f t="shared" si="60"/>
        <v>285</v>
      </c>
      <c r="K473" s="674">
        <f t="shared" ref="K473:K523" si="62">H473*$R$311</f>
        <v>8097.8350033166989</v>
      </c>
      <c r="L473" s="621">
        <v>10500</v>
      </c>
      <c r="M473" s="621"/>
      <c r="O473" s="669"/>
      <c r="P473" s="669"/>
      <c r="Q473" s="669"/>
      <c r="S473" s="669">
        <f t="shared" si="58"/>
        <v>3150000</v>
      </c>
      <c r="T473" s="864">
        <f t="shared" si="59"/>
        <v>2429350.5009950097</v>
      </c>
    </row>
    <row r="474" spans="1:20" ht="17.25" customHeight="1">
      <c r="A474" s="706">
        <f t="shared" si="61"/>
        <v>303</v>
      </c>
      <c r="B474" s="286" t="s">
        <v>480</v>
      </c>
      <c r="C474" s="689">
        <v>42539</v>
      </c>
      <c r="D474" s="690" t="s">
        <v>586</v>
      </c>
      <c r="E474" s="768">
        <v>47</v>
      </c>
      <c r="F474" s="769">
        <v>42</v>
      </c>
      <c r="G474" s="769">
        <v>24.5</v>
      </c>
      <c r="H474" s="759">
        <f t="shared" ref="H474:H523" si="63">IF(G474&lt;&gt;"",ROUND(((E474+F474)*2+5)*(F474+G474+3)/10000,2),ROUND(E474*F474/10000,2))</f>
        <v>1.27</v>
      </c>
      <c r="I474" s="252">
        <v>237</v>
      </c>
      <c r="J474" s="674">
        <f t="shared" si="60"/>
        <v>300.99</v>
      </c>
      <c r="K474" s="674">
        <f t="shared" si="62"/>
        <v>10825.526793907587</v>
      </c>
      <c r="L474" s="621">
        <v>9270</v>
      </c>
      <c r="M474" s="621"/>
      <c r="O474" s="669"/>
      <c r="P474" s="669"/>
      <c r="Q474" s="669"/>
      <c r="S474" s="669">
        <f t="shared" ref="S474:S523" si="64">I474*L474</f>
        <v>2196990</v>
      </c>
      <c r="T474" s="864">
        <f t="shared" ref="T474:T523" si="65">I474*K474</f>
        <v>2565649.8501560981</v>
      </c>
    </row>
    <row r="475" spans="1:20" ht="17.25" customHeight="1">
      <c r="A475" s="706">
        <f t="shared" si="61"/>
        <v>304</v>
      </c>
      <c r="B475" s="286" t="s">
        <v>473</v>
      </c>
      <c r="C475" s="689">
        <v>42539</v>
      </c>
      <c r="D475" s="690" t="s">
        <v>586</v>
      </c>
      <c r="E475" s="768">
        <v>37</v>
      </c>
      <c r="F475" s="769">
        <v>37</v>
      </c>
      <c r="G475" s="769">
        <v>25</v>
      </c>
      <c r="H475" s="759">
        <f t="shared" si="63"/>
        <v>0.99</v>
      </c>
      <c r="I475" s="252">
        <v>51</v>
      </c>
      <c r="J475" s="674">
        <f t="shared" si="60"/>
        <v>50.49</v>
      </c>
      <c r="K475" s="674">
        <f t="shared" si="62"/>
        <v>8438.7964771405605</v>
      </c>
      <c r="L475" s="621">
        <v>7600</v>
      </c>
      <c r="M475" s="621"/>
      <c r="O475" s="669"/>
      <c r="P475" s="669"/>
      <c r="Q475" s="669"/>
      <c r="S475" s="669">
        <f t="shared" si="64"/>
        <v>387600</v>
      </c>
      <c r="T475" s="864">
        <f t="shared" si="65"/>
        <v>430378.62033416861</v>
      </c>
    </row>
    <row r="476" spans="1:20" ht="17.25" customHeight="1">
      <c r="A476" s="706">
        <f t="shared" si="61"/>
        <v>305</v>
      </c>
      <c r="B476" s="286" t="s">
        <v>1048</v>
      </c>
      <c r="C476" s="689">
        <v>42539</v>
      </c>
      <c r="D476" s="690" t="s">
        <v>586</v>
      </c>
      <c r="E476" s="768">
        <v>43</v>
      </c>
      <c r="F476" s="769">
        <v>39</v>
      </c>
      <c r="G476" s="769">
        <v>27</v>
      </c>
      <c r="H476" s="759">
        <f t="shared" si="63"/>
        <v>1.17</v>
      </c>
      <c r="I476" s="252">
        <v>55</v>
      </c>
      <c r="J476" s="674">
        <f t="shared" si="60"/>
        <v>64.349999999999994</v>
      </c>
      <c r="K476" s="674">
        <f t="shared" si="62"/>
        <v>9973.1231093479346</v>
      </c>
      <c r="L476" s="621">
        <v>12400</v>
      </c>
      <c r="M476" s="621"/>
      <c r="O476" s="669"/>
      <c r="P476" s="669"/>
      <c r="Q476" s="669"/>
      <c r="S476" s="669">
        <f t="shared" si="64"/>
        <v>682000</v>
      </c>
      <c r="T476" s="864">
        <f t="shared" si="65"/>
        <v>548521.77101413638</v>
      </c>
    </row>
    <row r="477" spans="1:20" ht="17.25" customHeight="1">
      <c r="A477" s="706">
        <f t="shared" si="61"/>
        <v>306</v>
      </c>
      <c r="B477" s="286" t="s">
        <v>474</v>
      </c>
      <c r="C477" s="689">
        <v>42539</v>
      </c>
      <c r="D477" s="690" t="s">
        <v>586</v>
      </c>
      <c r="E477" s="768">
        <v>47</v>
      </c>
      <c r="F477" s="769">
        <v>42</v>
      </c>
      <c r="G477" s="769">
        <v>25</v>
      </c>
      <c r="H477" s="759">
        <f t="shared" si="63"/>
        <v>1.28</v>
      </c>
      <c r="I477" s="252">
        <v>357</v>
      </c>
      <c r="J477" s="674">
        <f t="shared" si="60"/>
        <v>456.96000000000004</v>
      </c>
      <c r="K477" s="674">
        <f t="shared" si="62"/>
        <v>10910.767162363552</v>
      </c>
      <c r="L477" s="621">
        <v>9300</v>
      </c>
      <c r="M477" s="621"/>
      <c r="O477" s="669"/>
      <c r="P477" s="669"/>
      <c r="Q477" s="669"/>
      <c r="S477" s="669">
        <f t="shared" si="64"/>
        <v>3320100</v>
      </c>
      <c r="T477" s="864">
        <f t="shared" si="65"/>
        <v>3895143.8769637882</v>
      </c>
    </row>
    <row r="478" spans="1:20" ht="17.25" customHeight="1">
      <c r="A478" s="706">
        <f t="shared" si="61"/>
        <v>307</v>
      </c>
      <c r="B478" s="286" t="s">
        <v>474</v>
      </c>
      <c r="C478" s="689">
        <v>42539</v>
      </c>
      <c r="D478" s="690" t="s">
        <v>587</v>
      </c>
      <c r="E478" s="768">
        <v>47</v>
      </c>
      <c r="F478" s="769">
        <v>42</v>
      </c>
      <c r="G478" s="769">
        <v>25</v>
      </c>
      <c r="H478" s="759">
        <f t="shared" si="63"/>
        <v>1.28</v>
      </c>
      <c r="I478" s="252">
        <v>764</v>
      </c>
      <c r="J478" s="674">
        <f t="shared" si="60"/>
        <v>977.92000000000007</v>
      </c>
      <c r="K478" s="674">
        <f t="shared" si="62"/>
        <v>10910.767162363552</v>
      </c>
      <c r="L478" s="621">
        <v>9300</v>
      </c>
      <c r="M478" s="621"/>
      <c r="O478" s="669"/>
      <c r="P478" s="669"/>
      <c r="Q478" s="669"/>
      <c r="S478" s="669">
        <f t="shared" si="64"/>
        <v>7105200</v>
      </c>
      <c r="T478" s="864">
        <f t="shared" si="65"/>
        <v>8335826.1120457537</v>
      </c>
    </row>
    <row r="479" spans="1:20" ht="17.25" customHeight="1">
      <c r="A479" s="706">
        <f t="shared" si="61"/>
        <v>308</v>
      </c>
      <c r="B479" s="286" t="s">
        <v>477</v>
      </c>
      <c r="C479" s="689">
        <v>42539</v>
      </c>
      <c r="D479" s="690" t="s">
        <v>588</v>
      </c>
      <c r="E479" s="768">
        <v>43</v>
      </c>
      <c r="F479" s="769">
        <v>27.5</v>
      </c>
      <c r="G479" s="769">
        <v>33</v>
      </c>
      <c r="H479" s="759">
        <f t="shared" si="63"/>
        <v>0.93</v>
      </c>
      <c r="I479" s="252">
        <v>214</v>
      </c>
      <c r="J479" s="674">
        <f t="shared" si="60"/>
        <v>199.02</v>
      </c>
      <c r="K479" s="674">
        <f t="shared" si="62"/>
        <v>7927.3542664047691</v>
      </c>
      <c r="L479" s="621">
        <v>6400</v>
      </c>
      <c r="M479" s="621"/>
      <c r="O479" s="669"/>
      <c r="P479" s="669"/>
      <c r="Q479" s="669"/>
      <c r="S479" s="669">
        <f t="shared" si="64"/>
        <v>1369600</v>
      </c>
      <c r="T479" s="864">
        <f t="shared" si="65"/>
        <v>1696453.8130106207</v>
      </c>
    </row>
    <row r="480" spans="1:20" ht="17.25" customHeight="1">
      <c r="A480" s="706">
        <f t="shared" si="61"/>
        <v>309</v>
      </c>
      <c r="B480" s="286" t="s">
        <v>985</v>
      </c>
      <c r="C480" s="689">
        <v>42541</v>
      </c>
      <c r="D480" s="690" t="s">
        <v>589</v>
      </c>
      <c r="E480" s="768">
        <v>58</v>
      </c>
      <c r="F480" s="769">
        <v>31</v>
      </c>
      <c r="G480" s="769">
        <v>40</v>
      </c>
      <c r="H480" s="759">
        <f t="shared" si="63"/>
        <v>1.35</v>
      </c>
      <c r="I480" s="252">
        <v>88</v>
      </c>
      <c r="J480" s="674">
        <f t="shared" si="60"/>
        <v>118.80000000000001</v>
      </c>
      <c r="K480" s="674">
        <f t="shared" si="62"/>
        <v>11507.449741555311</v>
      </c>
      <c r="L480" s="621">
        <v>9750</v>
      </c>
      <c r="M480" s="621"/>
      <c r="O480" s="669"/>
      <c r="P480" s="669"/>
      <c r="Q480" s="669"/>
      <c r="S480" s="669">
        <f t="shared" si="64"/>
        <v>858000</v>
      </c>
      <c r="T480" s="864">
        <f t="shared" si="65"/>
        <v>1012655.5772568673</v>
      </c>
    </row>
    <row r="481" spans="1:20" ht="17.25" customHeight="1">
      <c r="A481" s="706">
        <f t="shared" si="61"/>
        <v>310</v>
      </c>
      <c r="B481" s="286" t="s">
        <v>1048</v>
      </c>
      <c r="C481" s="689">
        <v>42541</v>
      </c>
      <c r="D481" s="690" t="s">
        <v>589</v>
      </c>
      <c r="E481" s="768">
        <v>43</v>
      </c>
      <c r="F481" s="769">
        <v>39</v>
      </c>
      <c r="G481" s="769">
        <v>27</v>
      </c>
      <c r="H481" s="759">
        <f t="shared" si="63"/>
        <v>1.17</v>
      </c>
      <c r="I481" s="252">
        <v>35</v>
      </c>
      <c r="J481" s="674">
        <f t="shared" si="60"/>
        <v>40.949999999999996</v>
      </c>
      <c r="K481" s="674">
        <f t="shared" si="62"/>
        <v>9973.1231093479346</v>
      </c>
      <c r="L481" s="621">
        <v>12000</v>
      </c>
      <c r="M481" s="621"/>
      <c r="O481" s="669"/>
      <c r="P481" s="669"/>
      <c r="Q481" s="669"/>
      <c r="S481" s="669">
        <f t="shared" si="64"/>
        <v>420000</v>
      </c>
      <c r="T481" s="864">
        <f t="shared" si="65"/>
        <v>349059.30882717774</v>
      </c>
    </row>
    <row r="482" spans="1:20" ht="17.25" customHeight="1">
      <c r="A482" s="706">
        <f t="shared" si="61"/>
        <v>311</v>
      </c>
      <c r="B482" s="286" t="s">
        <v>662</v>
      </c>
      <c r="C482" s="689">
        <v>42541</v>
      </c>
      <c r="D482" s="690" t="s">
        <v>589</v>
      </c>
      <c r="E482" s="768">
        <v>52</v>
      </c>
      <c r="F482" s="769">
        <v>29</v>
      </c>
      <c r="G482" s="769">
        <v>11.8</v>
      </c>
      <c r="H482" s="759">
        <f t="shared" si="63"/>
        <v>0.73</v>
      </c>
      <c r="I482" s="252">
        <v>27</v>
      </c>
      <c r="J482" s="674">
        <f t="shared" si="60"/>
        <v>19.71</v>
      </c>
      <c r="K482" s="674">
        <f t="shared" si="62"/>
        <v>6222.5468972854633</v>
      </c>
      <c r="L482" s="621">
        <v>8600</v>
      </c>
      <c r="M482" s="621"/>
      <c r="O482" s="669"/>
      <c r="P482" s="669"/>
      <c r="Q482" s="669"/>
      <c r="S482" s="669">
        <f t="shared" si="64"/>
        <v>232200</v>
      </c>
      <c r="T482" s="864">
        <f t="shared" si="65"/>
        <v>168008.76622670752</v>
      </c>
    </row>
    <row r="483" spans="1:20" ht="17.25" customHeight="1">
      <c r="A483" s="706">
        <f t="shared" si="61"/>
        <v>312</v>
      </c>
      <c r="B483" s="286" t="s">
        <v>408</v>
      </c>
      <c r="C483" s="689">
        <v>42541</v>
      </c>
      <c r="D483" s="690" t="s">
        <v>589</v>
      </c>
      <c r="E483" s="768">
        <v>47</v>
      </c>
      <c r="F483" s="769">
        <v>42</v>
      </c>
      <c r="G483" s="769">
        <v>27</v>
      </c>
      <c r="H483" s="759">
        <f t="shared" si="63"/>
        <v>1.32</v>
      </c>
      <c r="I483" s="252">
        <v>51</v>
      </c>
      <c r="J483" s="674">
        <f t="shared" si="60"/>
        <v>67.320000000000007</v>
      </c>
      <c r="K483" s="674">
        <f t="shared" si="62"/>
        <v>11251.728636187414</v>
      </c>
      <c r="L483" s="621">
        <v>10100</v>
      </c>
      <c r="M483" s="621"/>
      <c r="O483" s="669"/>
      <c r="P483" s="669"/>
      <c r="Q483" s="669"/>
      <c r="S483" s="669">
        <f t="shared" si="64"/>
        <v>515100</v>
      </c>
      <c r="T483" s="864">
        <f t="shared" si="65"/>
        <v>573838.16044555814</v>
      </c>
    </row>
    <row r="484" spans="1:20" ht="17.25" customHeight="1">
      <c r="A484" s="706">
        <f t="shared" si="61"/>
        <v>313</v>
      </c>
      <c r="B484" s="286" t="s">
        <v>1055</v>
      </c>
      <c r="C484" s="689">
        <v>42541</v>
      </c>
      <c r="D484" s="690" t="s">
        <v>590</v>
      </c>
      <c r="E484" s="768">
        <v>37</v>
      </c>
      <c r="F484" s="769">
        <v>19</v>
      </c>
      <c r="G484" s="769">
        <v>16</v>
      </c>
      <c r="H484" s="759">
        <f t="shared" si="63"/>
        <v>0.44</v>
      </c>
      <c r="I484" s="252">
        <v>2250</v>
      </c>
      <c r="J484" s="674">
        <f t="shared" si="60"/>
        <v>990</v>
      </c>
      <c r="K484" s="674">
        <f t="shared" si="62"/>
        <v>3750.5762120624713</v>
      </c>
      <c r="L484" s="621">
        <v>5500</v>
      </c>
      <c r="M484" s="621"/>
      <c r="O484" s="669"/>
      <c r="P484" s="669"/>
      <c r="Q484" s="669"/>
      <c r="S484" s="669">
        <f t="shared" si="64"/>
        <v>12375000</v>
      </c>
      <c r="T484" s="864">
        <f t="shared" si="65"/>
        <v>8438796.4771405607</v>
      </c>
    </row>
    <row r="485" spans="1:20" ht="17.25" customHeight="1">
      <c r="A485" s="706">
        <f t="shared" si="61"/>
        <v>314</v>
      </c>
      <c r="B485" s="286" t="s">
        <v>933</v>
      </c>
      <c r="C485" s="689">
        <v>42542</v>
      </c>
      <c r="D485" s="690" t="s">
        <v>591</v>
      </c>
      <c r="E485" s="768">
        <v>48</v>
      </c>
      <c r="F485" s="769">
        <v>42</v>
      </c>
      <c r="G485" s="769">
        <v>31</v>
      </c>
      <c r="H485" s="759">
        <f t="shared" si="63"/>
        <v>1.41</v>
      </c>
      <c r="I485" s="252">
        <v>245</v>
      </c>
      <c r="J485" s="674">
        <f t="shared" si="60"/>
        <v>345.45</v>
      </c>
      <c r="K485" s="674">
        <f t="shared" si="62"/>
        <v>12018.8919522911</v>
      </c>
      <c r="L485" s="621">
        <v>14700</v>
      </c>
      <c r="M485" s="621"/>
      <c r="O485" s="669"/>
      <c r="P485" s="669"/>
      <c r="Q485" s="669"/>
      <c r="S485" s="669">
        <f t="shared" si="64"/>
        <v>3601500</v>
      </c>
      <c r="T485" s="864">
        <f t="shared" si="65"/>
        <v>2944628.5283113196</v>
      </c>
    </row>
    <row r="486" spans="1:20" ht="17.25" customHeight="1">
      <c r="A486" s="706">
        <f t="shared" si="61"/>
        <v>315</v>
      </c>
      <c r="B486" s="286" t="s">
        <v>1056</v>
      </c>
      <c r="C486" s="689">
        <v>42542</v>
      </c>
      <c r="D486" s="690" t="s">
        <v>591</v>
      </c>
      <c r="E486" s="768">
        <v>42</v>
      </c>
      <c r="F486" s="769">
        <v>36</v>
      </c>
      <c r="G486" s="769">
        <v>27</v>
      </c>
      <c r="H486" s="759">
        <f t="shared" si="63"/>
        <v>1.06</v>
      </c>
      <c r="I486" s="252">
        <v>30</v>
      </c>
      <c r="J486" s="674">
        <f t="shared" si="60"/>
        <v>31.8</v>
      </c>
      <c r="K486" s="674">
        <f t="shared" si="62"/>
        <v>9035.4790563323168</v>
      </c>
      <c r="L486" s="621">
        <v>8000</v>
      </c>
      <c r="M486" s="621"/>
      <c r="O486" s="669"/>
      <c r="P486" s="669"/>
      <c r="Q486" s="669"/>
      <c r="S486" s="669">
        <f t="shared" si="64"/>
        <v>240000</v>
      </c>
      <c r="T486" s="864">
        <f t="shared" si="65"/>
        <v>271064.3716899695</v>
      </c>
    </row>
    <row r="487" spans="1:20" ht="17.25" customHeight="1">
      <c r="A487" s="706">
        <f t="shared" si="61"/>
        <v>316</v>
      </c>
      <c r="B487" s="286" t="s">
        <v>480</v>
      </c>
      <c r="C487" s="689">
        <v>42542</v>
      </c>
      <c r="D487" s="690" t="s">
        <v>591</v>
      </c>
      <c r="E487" s="768">
        <v>47</v>
      </c>
      <c r="F487" s="769">
        <v>42</v>
      </c>
      <c r="G487" s="769">
        <v>24.5</v>
      </c>
      <c r="H487" s="759">
        <f t="shared" si="63"/>
        <v>1.27</v>
      </c>
      <c r="I487" s="252">
        <v>641</v>
      </c>
      <c r="J487" s="674">
        <f t="shared" si="60"/>
        <v>814.07</v>
      </c>
      <c r="K487" s="674">
        <f t="shared" si="62"/>
        <v>10825.526793907587</v>
      </c>
      <c r="L487" s="621">
        <v>9270</v>
      </c>
      <c r="M487" s="621"/>
      <c r="O487" s="669"/>
      <c r="P487" s="669"/>
      <c r="Q487" s="669"/>
      <c r="S487" s="669">
        <f t="shared" si="64"/>
        <v>5942070</v>
      </c>
      <c r="T487" s="864">
        <f t="shared" si="65"/>
        <v>6939162.6748947632</v>
      </c>
    </row>
    <row r="488" spans="1:20" ht="17.25" customHeight="1">
      <c r="A488" s="706">
        <f t="shared" si="61"/>
        <v>317</v>
      </c>
      <c r="B488" s="286" t="s">
        <v>436</v>
      </c>
      <c r="C488" s="689">
        <v>42543</v>
      </c>
      <c r="D488" s="690" t="s">
        <v>592</v>
      </c>
      <c r="E488" s="768">
        <v>37.5</v>
      </c>
      <c r="F488" s="769">
        <v>25.3</v>
      </c>
      <c r="G488" s="769">
        <v>23.9</v>
      </c>
      <c r="H488" s="759">
        <f t="shared" si="63"/>
        <v>0.68</v>
      </c>
      <c r="I488" s="252">
        <v>834</v>
      </c>
      <c r="J488" s="674">
        <f t="shared" si="60"/>
        <v>567.12</v>
      </c>
      <c r="K488" s="674">
        <f t="shared" si="62"/>
        <v>5796.3450550056377</v>
      </c>
      <c r="L488" s="621">
        <v>5900</v>
      </c>
      <c r="M488" s="621"/>
      <c r="O488" s="669"/>
      <c r="P488" s="669"/>
      <c r="Q488" s="669"/>
      <c r="S488" s="669">
        <f t="shared" si="64"/>
        <v>4920600</v>
      </c>
      <c r="T488" s="864">
        <f t="shared" si="65"/>
        <v>4834151.7758747023</v>
      </c>
    </row>
    <row r="489" spans="1:20" ht="16.5" customHeight="1">
      <c r="A489" s="706">
        <f t="shared" si="61"/>
        <v>318</v>
      </c>
      <c r="B489" s="286" t="s">
        <v>436</v>
      </c>
      <c r="C489" s="689">
        <v>42543</v>
      </c>
      <c r="D489" s="690" t="s">
        <v>592</v>
      </c>
      <c r="E489" s="768">
        <v>37.5</v>
      </c>
      <c r="F489" s="769">
        <v>25.3</v>
      </c>
      <c r="G489" s="769">
        <v>23.9</v>
      </c>
      <c r="H489" s="759">
        <f t="shared" si="63"/>
        <v>0.68</v>
      </c>
      <c r="I489" s="252">
        <v>322</v>
      </c>
      <c r="J489" s="674">
        <f t="shared" si="60"/>
        <v>218.96</v>
      </c>
      <c r="K489" s="674">
        <f t="shared" si="62"/>
        <v>5796.3450550056377</v>
      </c>
      <c r="L489" s="621">
        <v>5900</v>
      </c>
      <c r="M489" s="621"/>
      <c r="O489" s="669"/>
      <c r="P489" s="669"/>
      <c r="Q489" s="669"/>
      <c r="S489" s="669">
        <f t="shared" si="64"/>
        <v>1899800</v>
      </c>
      <c r="T489" s="864">
        <f t="shared" si="65"/>
        <v>1866423.1077118153</v>
      </c>
    </row>
    <row r="490" spans="1:20" ht="16.5" customHeight="1">
      <c r="A490" s="706">
        <f t="shared" si="61"/>
        <v>319</v>
      </c>
      <c r="B490" s="286" t="s">
        <v>1057</v>
      </c>
      <c r="C490" s="689">
        <v>42543</v>
      </c>
      <c r="D490" s="690" t="s">
        <v>593</v>
      </c>
      <c r="E490" s="768">
        <v>47</v>
      </c>
      <c r="F490" s="769">
        <v>42</v>
      </c>
      <c r="G490" s="769">
        <v>31</v>
      </c>
      <c r="H490" s="759">
        <f t="shared" si="63"/>
        <v>1.39</v>
      </c>
      <c r="I490" s="252">
        <v>720</v>
      </c>
      <c r="J490" s="674">
        <f t="shared" si="60"/>
        <v>1000.8</v>
      </c>
      <c r="K490" s="674">
        <f t="shared" si="62"/>
        <v>11848.41121537917</v>
      </c>
      <c r="L490" s="621">
        <v>10300</v>
      </c>
      <c r="M490" s="621"/>
      <c r="O490" s="669"/>
      <c r="P490" s="669"/>
      <c r="Q490" s="669"/>
      <c r="S490" s="669">
        <f t="shared" si="64"/>
        <v>7416000</v>
      </c>
      <c r="T490" s="864">
        <f t="shared" si="65"/>
        <v>8530856.0750730019</v>
      </c>
    </row>
    <row r="491" spans="1:20" ht="16.5" customHeight="1">
      <c r="A491" s="706">
        <f t="shared" si="61"/>
        <v>320</v>
      </c>
      <c r="B491" s="286" t="s">
        <v>1048</v>
      </c>
      <c r="C491" s="689">
        <v>42543</v>
      </c>
      <c r="D491" s="690" t="s">
        <v>593</v>
      </c>
      <c r="E491" s="768">
        <v>43</v>
      </c>
      <c r="F491" s="769">
        <v>39</v>
      </c>
      <c r="G491" s="769">
        <v>27</v>
      </c>
      <c r="H491" s="759">
        <f t="shared" si="63"/>
        <v>1.17</v>
      </c>
      <c r="I491" s="252">
        <v>12</v>
      </c>
      <c r="J491" s="674">
        <f t="shared" si="60"/>
        <v>14.04</v>
      </c>
      <c r="K491" s="674">
        <f t="shared" si="62"/>
        <v>9973.1231093479346</v>
      </c>
      <c r="L491" s="621">
        <v>9300</v>
      </c>
      <c r="M491" s="621"/>
      <c r="O491" s="669"/>
      <c r="P491" s="669"/>
      <c r="Q491" s="669"/>
      <c r="S491" s="669">
        <f t="shared" si="64"/>
        <v>111600</v>
      </c>
      <c r="T491" s="864">
        <f t="shared" si="65"/>
        <v>119677.47731217521</v>
      </c>
    </row>
    <row r="492" spans="1:20" ht="16.5" customHeight="1">
      <c r="A492" s="706">
        <f t="shared" si="61"/>
        <v>321</v>
      </c>
      <c r="B492" s="286" t="s">
        <v>1058</v>
      </c>
      <c r="C492" s="689">
        <v>42544</v>
      </c>
      <c r="D492" s="690" t="s">
        <v>595</v>
      </c>
      <c r="E492" s="768">
        <v>32.5</v>
      </c>
      <c r="F492" s="769">
        <v>21</v>
      </c>
      <c r="G492" s="769">
        <v>32.5</v>
      </c>
      <c r="H492" s="759">
        <f t="shared" si="63"/>
        <v>0.63</v>
      </c>
      <c r="I492" s="252">
        <v>304</v>
      </c>
      <c r="J492" s="674">
        <f t="shared" si="60"/>
        <v>191.52</v>
      </c>
      <c r="K492" s="674">
        <f t="shared" si="62"/>
        <v>5370.1432127258113</v>
      </c>
      <c r="L492" s="621">
        <v>8900</v>
      </c>
      <c r="M492" s="621"/>
      <c r="O492" s="669"/>
      <c r="P492" s="669"/>
      <c r="Q492" s="669"/>
      <c r="S492" s="669">
        <f t="shared" si="64"/>
        <v>2705600</v>
      </c>
      <c r="T492" s="864">
        <f t="shared" si="65"/>
        <v>1632523.5366686466</v>
      </c>
    </row>
    <row r="493" spans="1:20" ht="16.5" customHeight="1">
      <c r="A493" s="706">
        <f t="shared" si="61"/>
        <v>322</v>
      </c>
      <c r="B493" s="286" t="s">
        <v>436</v>
      </c>
      <c r="C493" s="689">
        <v>42545</v>
      </c>
      <c r="D493" s="690" t="s">
        <v>596</v>
      </c>
      <c r="E493" s="768">
        <v>37.5</v>
      </c>
      <c r="F493" s="769">
        <v>25.3</v>
      </c>
      <c r="G493" s="769">
        <v>23.9</v>
      </c>
      <c r="H493" s="759">
        <f t="shared" si="63"/>
        <v>0.68</v>
      </c>
      <c r="I493" s="252">
        <v>534</v>
      </c>
      <c r="J493" s="674">
        <f t="shared" si="60"/>
        <v>363.12</v>
      </c>
      <c r="K493" s="674">
        <f t="shared" si="62"/>
        <v>5796.3450550056377</v>
      </c>
      <c r="L493" s="621">
        <v>5900</v>
      </c>
      <c r="M493" s="621"/>
      <c r="O493" s="669"/>
      <c r="P493" s="669"/>
      <c r="Q493" s="669"/>
      <c r="S493" s="669">
        <f t="shared" si="64"/>
        <v>3150600</v>
      </c>
      <c r="T493" s="864">
        <f t="shared" si="65"/>
        <v>3095248.2593730106</v>
      </c>
    </row>
    <row r="494" spans="1:20" ht="16.5" customHeight="1">
      <c r="A494" s="706">
        <f t="shared" si="61"/>
        <v>323</v>
      </c>
      <c r="B494" s="286" t="s">
        <v>436</v>
      </c>
      <c r="C494" s="689">
        <v>42545</v>
      </c>
      <c r="D494" s="690" t="s">
        <v>596</v>
      </c>
      <c r="E494" s="768">
        <v>37.5</v>
      </c>
      <c r="F494" s="769">
        <v>25.3</v>
      </c>
      <c r="G494" s="769">
        <v>23.9</v>
      </c>
      <c r="H494" s="759">
        <f t="shared" si="63"/>
        <v>0.68</v>
      </c>
      <c r="I494" s="252">
        <v>99</v>
      </c>
      <c r="J494" s="674">
        <f t="shared" si="60"/>
        <v>67.320000000000007</v>
      </c>
      <c r="K494" s="674">
        <f t="shared" si="62"/>
        <v>5796.3450550056377</v>
      </c>
      <c r="L494" s="621">
        <v>5900</v>
      </c>
      <c r="M494" s="621"/>
      <c r="O494" s="669"/>
      <c r="P494" s="669"/>
      <c r="Q494" s="669"/>
      <c r="S494" s="669">
        <f t="shared" si="64"/>
        <v>584100</v>
      </c>
      <c r="T494" s="864">
        <f t="shared" si="65"/>
        <v>573838.16044555814</v>
      </c>
    </row>
    <row r="495" spans="1:20" ht="16.5" customHeight="1">
      <c r="A495" s="706">
        <f t="shared" si="61"/>
        <v>324</v>
      </c>
      <c r="B495" s="286" t="s">
        <v>429</v>
      </c>
      <c r="C495" s="689">
        <v>42545</v>
      </c>
      <c r="D495" s="690" t="s">
        <v>599</v>
      </c>
      <c r="E495" s="768">
        <v>51</v>
      </c>
      <c r="F495" s="769">
        <v>37</v>
      </c>
      <c r="G495" s="769">
        <v>27</v>
      </c>
      <c r="H495" s="759">
        <f t="shared" si="63"/>
        <v>1.21</v>
      </c>
      <c r="I495" s="252">
        <v>628</v>
      </c>
      <c r="J495" s="674">
        <f t="shared" si="60"/>
        <v>759.88</v>
      </c>
      <c r="K495" s="674">
        <f t="shared" si="62"/>
        <v>10314.084583171796</v>
      </c>
      <c r="L495" s="621">
        <v>14000</v>
      </c>
      <c r="M495" s="621"/>
      <c r="O495" s="669"/>
      <c r="P495" s="669"/>
      <c r="Q495" s="669"/>
      <c r="S495" s="669">
        <f t="shared" si="64"/>
        <v>8792000</v>
      </c>
      <c r="T495" s="864">
        <f t="shared" si="65"/>
        <v>6477245.1182318879</v>
      </c>
    </row>
    <row r="496" spans="1:20" ht="16.5" customHeight="1">
      <c r="A496" s="706">
        <f t="shared" si="61"/>
        <v>325</v>
      </c>
      <c r="B496" s="286" t="s">
        <v>1437</v>
      </c>
      <c r="C496" s="689">
        <v>42545</v>
      </c>
      <c r="D496" s="690" t="s">
        <v>600</v>
      </c>
      <c r="E496" s="768">
        <v>29</v>
      </c>
      <c r="F496" s="769">
        <v>18</v>
      </c>
      <c r="G496" s="769">
        <v>18.8</v>
      </c>
      <c r="H496" s="759">
        <f t="shared" si="63"/>
        <v>0.39</v>
      </c>
      <c r="I496" s="252">
        <v>3000</v>
      </c>
      <c r="J496" s="674">
        <f t="shared" si="60"/>
        <v>1170</v>
      </c>
      <c r="K496" s="674">
        <f t="shared" si="62"/>
        <v>3324.3743697826449</v>
      </c>
      <c r="L496" s="621">
        <v>5200</v>
      </c>
      <c r="M496" s="621"/>
      <c r="O496" s="669"/>
      <c r="P496" s="669"/>
      <c r="Q496" s="669"/>
      <c r="S496" s="669">
        <f t="shared" si="64"/>
        <v>15600000</v>
      </c>
      <c r="T496" s="864">
        <f t="shared" si="65"/>
        <v>9973123.1093479339</v>
      </c>
    </row>
    <row r="497" spans="1:20" ht="16.5" customHeight="1">
      <c r="A497" s="706">
        <f t="shared" si="61"/>
        <v>326</v>
      </c>
      <c r="B497" s="286" t="s">
        <v>436</v>
      </c>
      <c r="C497" s="689">
        <v>42548</v>
      </c>
      <c r="D497" s="690" t="s">
        <v>601</v>
      </c>
      <c r="E497" s="768">
        <v>37.5</v>
      </c>
      <c r="F497" s="769">
        <v>25.3</v>
      </c>
      <c r="G497" s="769">
        <v>23.9</v>
      </c>
      <c r="H497" s="759">
        <f t="shared" si="63"/>
        <v>0.68</v>
      </c>
      <c r="I497" s="252">
        <v>509</v>
      </c>
      <c r="J497" s="674">
        <f t="shared" si="60"/>
        <v>346.12</v>
      </c>
      <c r="K497" s="674">
        <f t="shared" si="62"/>
        <v>5796.3450550056377</v>
      </c>
      <c r="L497" s="621">
        <v>5900</v>
      </c>
      <c r="M497" s="621"/>
      <c r="O497" s="669"/>
      <c r="P497" s="669"/>
      <c r="Q497" s="669"/>
      <c r="S497" s="669">
        <f t="shared" si="64"/>
        <v>3003100</v>
      </c>
      <c r="T497" s="864">
        <f t="shared" si="65"/>
        <v>2950339.6329978695</v>
      </c>
    </row>
    <row r="498" spans="1:20" ht="16.5" customHeight="1">
      <c r="A498" s="706">
        <f t="shared" si="61"/>
        <v>327</v>
      </c>
      <c r="B498" s="286" t="s">
        <v>436</v>
      </c>
      <c r="C498" s="689">
        <v>42548</v>
      </c>
      <c r="D498" s="690" t="s">
        <v>601</v>
      </c>
      <c r="E498" s="768">
        <v>37.5</v>
      </c>
      <c r="F498" s="769">
        <v>25.3</v>
      </c>
      <c r="G498" s="769">
        <v>23.9</v>
      </c>
      <c r="H498" s="759">
        <f t="shared" si="63"/>
        <v>0.68</v>
      </c>
      <c r="I498" s="252">
        <v>1104</v>
      </c>
      <c r="J498" s="674">
        <f t="shared" si="60"/>
        <v>750.72</v>
      </c>
      <c r="K498" s="674">
        <f t="shared" si="62"/>
        <v>5796.3450550056377</v>
      </c>
      <c r="L498" s="621">
        <v>5900</v>
      </c>
      <c r="M498" s="621"/>
      <c r="O498" s="669"/>
      <c r="P498" s="669"/>
      <c r="Q498" s="669"/>
      <c r="S498" s="669">
        <f t="shared" si="64"/>
        <v>6513600</v>
      </c>
      <c r="T498" s="864">
        <f t="shared" si="65"/>
        <v>6399164.9407262243</v>
      </c>
    </row>
    <row r="499" spans="1:20" ht="16.5" customHeight="1">
      <c r="A499" s="706">
        <f t="shared" si="61"/>
        <v>328</v>
      </c>
      <c r="B499" s="286" t="s">
        <v>1443</v>
      </c>
      <c r="C499" s="689">
        <v>42548</v>
      </c>
      <c r="D499" s="690" t="s">
        <v>602</v>
      </c>
      <c r="E499" s="768">
        <v>49</v>
      </c>
      <c r="F499" s="769">
        <v>38</v>
      </c>
      <c r="G499" s="769">
        <v>12</v>
      </c>
      <c r="H499" s="759">
        <f t="shared" si="63"/>
        <v>0.95</v>
      </c>
      <c r="I499" s="252">
        <v>522</v>
      </c>
      <c r="J499" s="674">
        <f t="shared" si="60"/>
        <v>495.9</v>
      </c>
      <c r="K499" s="674">
        <f t="shared" si="62"/>
        <v>8097.8350033166989</v>
      </c>
      <c r="L499" s="621">
        <v>10500</v>
      </c>
      <c r="M499" s="621"/>
      <c r="O499" s="669"/>
      <c r="P499" s="669"/>
      <c r="Q499" s="669"/>
      <c r="S499" s="669">
        <f t="shared" si="64"/>
        <v>5481000</v>
      </c>
      <c r="T499" s="864">
        <f t="shared" si="65"/>
        <v>4227069.8717313167</v>
      </c>
    </row>
    <row r="500" spans="1:20" ht="16.5" customHeight="1">
      <c r="A500" s="706">
        <f t="shared" si="61"/>
        <v>329</v>
      </c>
      <c r="B500" s="286" t="s">
        <v>389</v>
      </c>
      <c r="C500" s="689">
        <v>42549</v>
      </c>
      <c r="D500" s="690" t="s">
        <v>1061</v>
      </c>
      <c r="E500" s="768">
        <v>52</v>
      </c>
      <c r="F500" s="769">
        <v>24.5</v>
      </c>
      <c r="G500" s="769">
        <v>24.5</v>
      </c>
      <c r="H500" s="759">
        <f t="shared" si="63"/>
        <v>0.82</v>
      </c>
      <c r="I500" s="252">
        <v>1300</v>
      </c>
      <c r="J500" s="674">
        <f t="shared" si="60"/>
        <v>1066</v>
      </c>
      <c r="K500" s="674">
        <f t="shared" si="62"/>
        <v>6989.7102133891503</v>
      </c>
      <c r="L500" s="621">
        <v>5000</v>
      </c>
      <c r="M500" s="621"/>
      <c r="O500" s="669"/>
      <c r="P500" s="669"/>
      <c r="Q500" s="669"/>
      <c r="S500" s="669">
        <f t="shared" si="64"/>
        <v>6500000</v>
      </c>
      <c r="T500" s="864">
        <f t="shared" si="65"/>
        <v>9086623.2774058953</v>
      </c>
    </row>
    <row r="501" spans="1:20" ht="16.5" customHeight="1">
      <c r="A501" s="706">
        <f t="shared" si="61"/>
        <v>330</v>
      </c>
      <c r="B501" s="286" t="s">
        <v>392</v>
      </c>
      <c r="C501" s="689">
        <v>42549</v>
      </c>
      <c r="D501" s="690" t="s">
        <v>1061</v>
      </c>
      <c r="E501" s="768">
        <v>52</v>
      </c>
      <c r="F501" s="769">
        <v>32</v>
      </c>
      <c r="G501" s="769">
        <v>21</v>
      </c>
      <c r="H501" s="759">
        <f t="shared" si="63"/>
        <v>0.97</v>
      </c>
      <c r="I501" s="252">
        <v>338</v>
      </c>
      <c r="J501" s="674">
        <f t="shared" si="60"/>
        <v>327.86</v>
      </c>
      <c r="K501" s="674">
        <f t="shared" si="62"/>
        <v>8268.3157402286288</v>
      </c>
      <c r="L501" s="621">
        <v>5800</v>
      </c>
      <c r="M501" s="621"/>
      <c r="O501" s="669"/>
      <c r="P501" s="669"/>
      <c r="Q501" s="669"/>
      <c r="S501" s="669">
        <f t="shared" si="64"/>
        <v>1960400</v>
      </c>
      <c r="T501" s="864">
        <f t="shared" si="65"/>
        <v>2794690.7201972767</v>
      </c>
    </row>
    <row r="502" spans="1:20" ht="16.5" customHeight="1">
      <c r="A502" s="706">
        <f t="shared" si="61"/>
        <v>331</v>
      </c>
      <c r="B502" s="286" t="s">
        <v>626</v>
      </c>
      <c r="C502" s="689">
        <v>42549</v>
      </c>
      <c r="D502" s="690" t="s">
        <v>1061</v>
      </c>
      <c r="E502" s="768">
        <v>52</v>
      </c>
      <c r="F502" s="769">
        <v>43</v>
      </c>
      <c r="G502" s="769">
        <v>30</v>
      </c>
      <c r="H502" s="759">
        <f t="shared" si="63"/>
        <v>1.48</v>
      </c>
      <c r="I502" s="252">
        <v>316</v>
      </c>
      <c r="J502" s="674">
        <f t="shared" si="60"/>
        <v>467.68</v>
      </c>
      <c r="K502" s="674">
        <f t="shared" si="62"/>
        <v>12615.574531482858</v>
      </c>
      <c r="L502" s="621">
        <v>9290</v>
      </c>
      <c r="M502" s="621"/>
      <c r="O502" s="669"/>
      <c r="P502" s="669"/>
      <c r="Q502" s="669"/>
      <c r="S502" s="669">
        <f t="shared" si="64"/>
        <v>2935640</v>
      </c>
      <c r="T502" s="864">
        <f t="shared" si="65"/>
        <v>3986521.5519485832</v>
      </c>
    </row>
    <row r="503" spans="1:20" ht="16.5" customHeight="1">
      <c r="A503" s="706">
        <f t="shared" si="61"/>
        <v>332</v>
      </c>
      <c r="B503" s="286" t="s">
        <v>1062</v>
      </c>
      <c r="C503" s="689">
        <v>42550</v>
      </c>
      <c r="D503" s="690" t="s">
        <v>603</v>
      </c>
      <c r="E503" s="768">
        <v>39</v>
      </c>
      <c r="F503" s="769">
        <v>35</v>
      </c>
      <c r="G503" s="769">
        <v>7.5</v>
      </c>
      <c r="H503" s="759">
        <f t="shared" si="63"/>
        <v>0.7</v>
      </c>
      <c r="I503" s="252">
        <v>71</v>
      </c>
      <c r="J503" s="674">
        <f t="shared" si="60"/>
        <v>49.699999999999996</v>
      </c>
      <c r="K503" s="674">
        <f t="shared" si="62"/>
        <v>5966.8257919175676</v>
      </c>
      <c r="L503" s="621">
        <v>5600</v>
      </c>
      <c r="M503" s="621"/>
      <c r="O503" s="669"/>
      <c r="P503" s="669"/>
      <c r="Q503" s="669"/>
      <c r="S503" s="669">
        <f t="shared" si="64"/>
        <v>397600</v>
      </c>
      <c r="T503" s="864">
        <f t="shared" si="65"/>
        <v>423644.63122614729</v>
      </c>
    </row>
    <row r="504" spans="1:20" ht="16.5" customHeight="1">
      <c r="A504" s="706">
        <f t="shared" si="61"/>
        <v>333</v>
      </c>
      <c r="B504" s="286" t="s">
        <v>1029</v>
      </c>
      <c r="C504" s="689">
        <v>42550</v>
      </c>
      <c r="D504" s="690" t="s">
        <v>603</v>
      </c>
      <c r="E504" s="768">
        <v>23.5</v>
      </c>
      <c r="F504" s="769">
        <v>23.5</v>
      </c>
      <c r="G504" s="769">
        <v>30.5</v>
      </c>
      <c r="H504" s="759">
        <f t="shared" si="63"/>
        <v>0.56000000000000005</v>
      </c>
      <c r="I504" s="252">
        <v>535</v>
      </c>
      <c r="J504" s="674">
        <f t="shared" si="60"/>
        <v>299.60000000000002</v>
      </c>
      <c r="K504" s="674">
        <f t="shared" si="62"/>
        <v>4773.460633534055</v>
      </c>
      <c r="L504" s="621">
        <v>6500</v>
      </c>
      <c r="M504" s="621"/>
      <c r="O504" s="669"/>
      <c r="P504" s="669"/>
      <c r="Q504" s="669"/>
      <c r="S504" s="669">
        <f t="shared" si="64"/>
        <v>3477500</v>
      </c>
      <c r="T504" s="864">
        <f t="shared" si="65"/>
        <v>2553801.4389407192</v>
      </c>
    </row>
    <row r="505" spans="1:20" ht="16.5" customHeight="1">
      <c r="A505" s="706">
        <f t="shared" si="61"/>
        <v>334</v>
      </c>
      <c r="B505" s="286" t="s">
        <v>1063</v>
      </c>
      <c r="C505" s="689">
        <v>42550</v>
      </c>
      <c r="D505" s="690" t="s">
        <v>603</v>
      </c>
      <c r="E505" s="768">
        <v>42</v>
      </c>
      <c r="F505" s="769">
        <v>23</v>
      </c>
      <c r="G505" s="769">
        <v>9</v>
      </c>
      <c r="H505" s="759">
        <f t="shared" si="63"/>
        <v>0.47</v>
      </c>
      <c r="I505" s="252">
        <v>333</v>
      </c>
      <c r="J505" s="674">
        <f t="shared" si="60"/>
        <v>156.51</v>
      </c>
      <c r="K505" s="674">
        <f t="shared" si="62"/>
        <v>4006.2973174303665</v>
      </c>
      <c r="L505" s="621">
        <v>5700</v>
      </c>
      <c r="M505" s="621"/>
      <c r="O505" s="669"/>
      <c r="P505" s="669"/>
      <c r="Q505" s="669"/>
      <c r="S505" s="669">
        <f t="shared" si="64"/>
        <v>1898100</v>
      </c>
      <c r="T505" s="864">
        <f t="shared" si="65"/>
        <v>1334097.0067043121</v>
      </c>
    </row>
    <row r="506" spans="1:20" ht="16.5" customHeight="1">
      <c r="A506" s="706">
        <f t="shared" si="61"/>
        <v>335</v>
      </c>
      <c r="B506" s="286" t="s">
        <v>645</v>
      </c>
      <c r="C506" s="689">
        <v>42550</v>
      </c>
      <c r="D506" s="690" t="s">
        <v>1064</v>
      </c>
      <c r="E506" s="768">
        <v>45</v>
      </c>
      <c r="F506" s="769">
        <v>37</v>
      </c>
      <c r="G506" s="769">
        <v>27.5</v>
      </c>
      <c r="H506" s="759">
        <f t="shared" si="63"/>
        <v>1.1399999999999999</v>
      </c>
      <c r="I506" s="252">
        <v>1055</v>
      </c>
      <c r="J506" s="674">
        <f t="shared" si="60"/>
        <v>1202.6999999999998</v>
      </c>
      <c r="K506" s="674">
        <f t="shared" si="62"/>
        <v>9717.402003980038</v>
      </c>
      <c r="L506" s="621">
        <v>13800</v>
      </c>
      <c r="M506" s="621"/>
      <c r="O506" s="669"/>
      <c r="P506" s="669"/>
      <c r="Q506" s="669"/>
      <c r="S506" s="669">
        <f t="shared" si="64"/>
        <v>14559000</v>
      </c>
      <c r="T506" s="864">
        <f t="shared" si="65"/>
        <v>10251859.11419894</v>
      </c>
    </row>
    <row r="507" spans="1:20" ht="16.5" customHeight="1">
      <c r="A507" s="706">
        <f t="shared" si="61"/>
        <v>336</v>
      </c>
      <c r="B507" s="286" t="s">
        <v>645</v>
      </c>
      <c r="C507" s="689">
        <v>42550</v>
      </c>
      <c r="D507" s="690" t="s">
        <v>1064</v>
      </c>
      <c r="E507" s="768">
        <v>45</v>
      </c>
      <c r="F507" s="769">
        <v>37</v>
      </c>
      <c r="G507" s="769">
        <v>27.5</v>
      </c>
      <c r="H507" s="759">
        <f t="shared" si="63"/>
        <v>1.1399999999999999</v>
      </c>
      <c r="I507" s="252">
        <v>100</v>
      </c>
      <c r="J507" s="674">
        <f t="shared" si="60"/>
        <v>113.99999999999999</v>
      </c>
      <c r="K507" s="674">
        <f t="shared" si="62"/>
        <v>9717.402003980038</v>
      </c>
      <c r="L507" s="621">
        <v>13400</v>
      </c>
      <c r="M507" s="621"/>
      <c r="O507" s="669"/>
      <c r="P507" s="669"/>
      <c r="Q507" s="669"/>
      <c r="S507" s="669">
        <f t="shared" si="64"/>
        <v>1340000</v>
      </c>
      <c r="T507" s="864">
        <f t="shared" si="65"/>
        <v>971740.2003980038</v>
      </c>
    </row>
    <row r="508" spans="1:20" ht="16.5" customHeight="1">
      <c r="A508" s="706">
        <f t="shared" si="61"/>
        <v>337</v>
      </c>
      <c r="B508" s="286" t="s">
        <v>693</v>
      </c>
      <c r="C508" s="689">
        <v>42550</v>
      </c>
      <c r="D508" s="690" t="s">
        <v>1064</v>
      </c>
      <c r="E508" s="768">
        <v>44</v>
      </c>
      <c r="F508" s="769">
        <v>20</v>
      </c>
      <c r="G508" s="769"/>
      <c r="H508" s="759">
        <f t="shared" si="63"/>
        <v>0.09</v>
      </c>
      <c r="I508" s="252">
        <v>2000</v>
      </c>
      <c r="J508" s="674">
        <f t="shared" si="60"/>
        <v>180</v>
      </c>
      <c r="K508" s="674">
        <f t="shared" si="62"/>
        <v>767.16331610368729</v>
      </c>
      <c r="L508" s="621">
        <v>1300</v>
      </c>
      <c r="M508" s="621"/>
      <c r="O508" s="669"/>
      <c r="P508" s="669"/>
      <c r="Q508" s="669"/>
      <c r="S508" s="669">
        <f t="shared" si="64"/>
        <v>2600000</v>
      </c>
      <c r="T508" s="864">
        <f t="shared" si="65"/>
        <v>1534326.6322073746</v>
      </c>
    </row>
    <row r="509" spans="1:20" ht="16.5" customHeight="1">
      <c r="A509" s="706">
        <f t="shared" si="61"/>
        <v>338</v>
      </c>
      <c r="B509" s="286" t="s">
        <v>1244</v>
      </c>
      <c r="C509" s="689">
        <v>42550</v>
      </c>
      <c r="D509" s="690" t="s">
        <v>604</v>
      </c>
      <c r="E509" s="768">
        <v>140</v>
      </c>
      <c r="F509" s="769">
        <v>125.5</v>
      </c>
      <c r="G509" s="769"/>
      <c r="H509" s="759">
        <f t="shared" si="63"/>
        <v>1.76</v>
      </c>
      <c r="I509" s="252">
        <v>200</v>
      </c>
      <c r="J509" s="674">
        <f t="shared" si="60"/>
        <v>352</v>
      </c>
      <c r="K509" s="674">
        <f t="shared" si="62"/>
        <v>15002.304848249885</v>
      </c>
      <c r="L509" s="621">
        <v>9300</v>
      </c>
      <c r="M509" s="621"/>
      <c r="O509" s="669"/>
      <c r="P509" s="669"/>
      <c r="Q509" s="669"/>
      <c r="S509" s="669">
        <f t="shared" si="64"/>
        <v>1860000</v>
      </c>
      <c r="T509" s="864">
        <f t="shared" si="65"/>
        <v>3000460.9696499771</v>
      </c>
    </row>
    <row r="510" spans="1:20" ht="16.5" customHeight="1">
      <c r="A510" s="706">
        <f t="shared" si="61"/>
        <v>339</v>
      </c>
      <c r="B510" s="286" t="s">
        <v>1065</v>
      </c>
      <c r="C510" s="689">
        <v>42550</v>
      </c>
      <c r="D510" s="690" t="s">
        <v>605</v>
      </c>
      <c r="E510" s="768">
        <v>46</v>
      </c>
      <c r="F510" s="769">
        <v>39</v>
      </c>
      <c r="G510" s="769">
        <v>24.5</v>
      </c>
      <c r="H510" s="759">
        <f t="shared" si="63"/>
        <v>1.1599999999999999</v>
      </c>
      <c r="I510" s="252">
        <v>1320</v>
      </c>
      <c r="J510" s="674">
        <f t="shared" si="60"/>
        <v>1531.1999999999998</v>
      </c>
      <c r="K510" s="674">
        <f t="shared" si="62"/>
        <v>9887.8827408919697</v>
      </c>
      <c r="L510" s="621">
        <v>8600</v>
      </c>
      <c r="M510" s="621"/>
      <c r="O510" s="669"/>
      <c r="P510" s="669"/>
      <c r="Q510" s="669"/>
      <c r="S510" s="669">
        <f t="shared" si="64"/>
        <v>11352000</v>
      </c>
      <c r="T510" s="864">
        <f t="shared" si="65"/>
        <v>13052005.217977401</v>
      </c>
    </row>
    <row r="511" spans="1:20" ht="16.5" customHeight="1">
      <c r="A511" s="706">
        <f t="shared" si="61"/>
        <v>340</v>
      </c>
      <c r="B511" s="286" t="s">
        <v>1066</v>
      </c>
      <c r="C511" s="689">
        <v>42550</v>
      </c>
      <c r="D511" s="690" t="s">
        <v>605</v>
      </c>
      <c r="E511" s="768">
        <v>52</v>
      </c>
      <c r="F511" s="769">
        <v>45</v>
      </c>
      <c r="G511" s="769">
        <v>22</v>
      </c>
      <c r="H511" s="759">
        <f t="shared" si="63"/>
        <v>1.39</v>
      </c>
      <c r="I511" s="252">
        <v>320</v>
      </c>
      <c r="J511" s="674">
        <f t="shared" si="60"/>
        <v>444.79999999999995</v>
      </c>
      <c r="K511" s="674">
        <f t="shared" si="62"/>
        <v>11848.41121537917</v>
      </c>
      <c r="L511" s="621">
        <v>14500</v>
      </c>
      <c r="M511" s="621"/>
      <c r="O511" s="669"/>
      <c r="P511" s="669"/>
      <c r="Q511" s="669"/>
      <c r="S511" s="669">
        <f t="shared" si="64"/>
        <v>4640000</v>
      </c>
      <c r="T511" s="864">
        <f t="shared" si="65"/>
        <v>3791491.5889213346</v>
      </c>
    </row>
    <row r="512" spans="1:20" ht="16.5" customHeight="1">
      <c r="A512" s="706">
        <f t="shared" si="61"/>
        <v>341</v>
      </c>
      <c r="B512" s="286" t="s">
        <v>1067</v>
      </c>
      <c r="C512" s="689">
        <v>42550</v>
      </c>
      <c r="D512" s="690" t="s">
        <v>605</v>
      </c>
      <c r="E512" s="768">
        <v>53</v>
      </c>
      <c r="F512" s="769">
        <v>42</v>
      </c>
      <c r="G512" s="769">
        <v>27</v>
      </c>
      <c r="H512" s="759">
        <f t="shared" si="63"/>
        <v>1.4</v>
      </c>
      <c r="I512" s="252">
        <v>28</v>
      </c>
      <c r="J512" s="674">
        <f t="shared" si="60"/>
        <v>39.199999999999996</v>
      </c>
      <c r="K512" s="674">
        <f t="shared" si="62"/>
        <v>11933.651583835135</v>
      </c>
      <c r="L512" s="621">
        <v>14500</v>
      </c>
      <c r="M512" s="621"/>
      <c r="O512" s="669"/>
      <c r="P512" s="669"/>
      <c r="Q512" s="669"/>
      <c r="S512" s="669">
        <f t="shared" si="64"/>
        <v>406000</v>
      </c>
      <c r="T512" s="864">
        <f t="shared" si="65"/>
        <v>334142.24434738379</v>
      </c>
    </row>
    <row r="513" spans="1:20" ht="16.5" customHeight="1">
      <c r="A513" s="706">
        <f t="shared" si="61"/>
        <v>342</v>
      </c>
      <c r="B513" s="286" t="s">
        <v>959</v>
      </c>
      <c r="C513" s="689">
        <v>42550</v>
      </c>
      <c r="D513" s="690" t="s">
        <v>605</v>
      </c>
      <c r="E513" s="768">
        <v>46</v>
      </c>
      <c r="F513" s="769">
        <v>42</v>
      </c>
      <c r="G513" s="769">
        <v>26</v>
      </c>
      <c r="H513" s="759">
        <f t="shared" si="63"/>
        <v>1.29</v>
      </c>
      <c r="I513" s="252">
        <v>245</v>
      </c>
      <c r="J513" s="674">
        <f t="shared" si="60"/>
        <v>316.05</v>
      </c>
      <c r="K513" s="674">
        <f t="shared" si="62"/>
        <v>10996.007530819517</v>
      </c>
      <c r="L513" s="621">
        <v>9300</v>
      </c>
      <c r="M513" s="621"/>
      <c r="O513" s="669"/>
      <c r="P513" s="669"/>
      <c r="Q513" s="669"/>
      <c r="S513" s="669">
        <f t="shared" si="64"/>
        <v>2278500</v>
      </c>
      <c r="T513" s="864">
        <f t="shared" si="65"/>
        <v>2694021.845050782</v>
      </c>
    </row>
    <row r="514" spans="1:20" ht="16.5" customHeight="1">
      <c r="A514" s="706">
        <f t="shared" si="61"/>
        <v>343</v>
      </c>
      <c r="B514" s="286" t="s">
        <v>987</v>
      </c>
      <c r="C514" s="689">
        <v>42550</v>
      </c>
      <c r="D514" s="690" t="s">
        <v>605</v>
      </c>
      <c r="E514" s="768">
        <v>43</v>
      </c>
      <c r="F514" s="769">
        <v>40</v>
      </c>
      <c r="G514" s="769">
        <v>27</v>
      </c>
      <c r="H514" s="759">
        <f t="shared" si="63"/>
        <v>1.2</v>
      </c>
      <c r="I514" s="252">
        <v>52</v>
      </c>
      <c r="J514" s="674">
        <f t="shared" si="60"/>
        <v>62.4</v>
      </c>
      <c r="K514" s="674">
        <f t="shared" si="62"/>
        <v>10228.844214715829</v>
      </c>
      <c r="L514" s="621">
        <v>8800</v>
      </c>
      <c r="M514" s="621"/>
      <c r="O514" s="669"/>
      <c r="P514" s="669"/>
      <c r="Q514" s="669"/>
      <c r="S514" s="669">
        <f t="shared" si="64"/>
        <v>457600</v>
      </c>
      <c r="T514" s="864">
        <f t="shared" si="65"/>
        <v>531899.89916522312</v>
      </c>
    </row>
    <row r="515" spans="1:20" ht="16.5" customHeight="1">
      <c r="A515" s="706">
        <f t="shared" si="61"/>
        <v>344</v>
      </c>
      <c r="B515" s="286" t="s">
        <v>627</v>
      </c>
      <c r="C515" s="689">
        <v>42550</v>
      </c>
      <c r="D515" s="690" t="s">
        <v>606</v>
      </c>
      <c r="E515" s="768">
        <v>40</v>
      </c>
      <c r="F515" s="769">
        <v>30</v>
      </c>
      <c r="G515" s="769">
        <v>18.5</v>
      </c>
      <c r="H515" s="759">
        <f t="shared" si="63"/>
        <v>0.75</v>
      </c>
      <c r="I515" s="252">
        <v>410</v>
      </c>
      <c r="J515" s="674">
        <f t="shared" si="60"/>
        <v>307.5</v>
      </c>
      <c r="K515" s="674">
        <f t="shared" si="62"/>
        <v>6393.027634197394</v>
      </c>
      <c r="L515" s="621">
        <v>8800</v>
      </c>
      <c r="M515" s="621"/>
      <c r="O515" s="669"/>
      <c r="P515" s="669"/>
      <c r="Q515" s="669"/>
      <c r="S515" s="669">
        <f t="shared" si="64"/>
        <v>3608000</v>
      </c>
      <c r="T515" s="864">
        <f t="shared" si="65"/>
        <v>2621141.3300209315</v>
      </c>
    </row>
    <row r="516" spans="1:20" ht="16.5" customHeight="1">
      <c r="A516" s="706">
        <f t="shared" si="61"/>
        <v>345</v>
      </c>
      <c r="B516" s="286" t="s">
        <v>1439</v>
      </c>
      <c r="C516" s="689">
        <v>42550</v>
      </c>
      <c r="D516" s="690" t="s">
        <v>608</v>
      </c>
      <c r="E516" s="768">
        <v>39.299999999999997</v>
      </c>
      <c r="F516" s="769">
        <v>28</v>
      </c>
      <c r="G516" s="769">
        <v>28</v>
      </c>
      <c r="H516" s="759">
        <f t="shared" si="63"/>
        <v>0.82</v>
      </c>
      <c r="I516" s="252">
        <v>800</v>
      </c>
      <c r="J516" s="674">
        <f t="shared" si="60"/>
        <v>656</v>
      </c>
      <c r="K516" s="674">
        <f t="shared" si="62"/>
        <v>6989.7102133891503</v>
      </c>
      <c r="L516" s="621">
        <v>17000</v>
      </c>
      <c r="M516" s="621"/>
      <c r="O516" s="669"/>
      <c r="P516" s="669"/>
      <c r="Q516" s="669"/>
      <c r="S516" s="669">
        <f t="shared" si="64"/>
        <v>13600000</v>
      </c>
      <c r="T516" s="864">
        <f t="shared" si="65"/>
        <v>5591768.1707113199</v>
      </c>
    </row>
    <row r="517" spans="1:20" ht="16.5" customHeight="1">
      <c r="A517" s="706">
        <f t="shared" si="61"/>
        <v>346</v>
      </c>
      <c r="B517" s="286" t="s">
        <v>429</v>
      </c>
      <c r="C517" s="689">
        <v>42550</v>
      </c>
      <c r="D517" s="690" t="s">
        <v>611</v>
      </c>
      <c r="E517" s="768">
        <v>51</v>
      </c>
      <c r="F517" s="769">
        <v>37</v>
      </c>
      <c r="G517" s="769">
        <v>27</v>
      </c>
      <c r="H517" s="759">
        <f t="shared" si="63"/>
        <v>1.21</v>
      </c>
      <c r="I517" s="252">
        <v>628</v>
      </c>
      <c r="J517" s="674">
        <f t="shared" si="60"/>
        <v>759.88</v>
      </c>
      <c r="K517" s="674">
        <f t="shared" si="62"/>
        <v>10314.084583171796</v>
      </c>
      <c r="L517" s="621">
        <v>14000</v>
      </c>
      <c r="M517" s="621"/>
      <c r="O517" s="669"/>
      <c r="P517" s="669"/>
      <c r="Q517" s="669"/>
      <c r="S517" s="669">
        <f t="shared" si="64"/>
        <v>8792000</v>
      </c>
      <c r="T517" s="864">
        <f t="shared" si="65"/>
        <v>6477245.1182318879</v>
      </c>
    </row>
    <row r="518" spans="1:20" ht="16.5" customHeight="1">
      <c r="A518" s="706">
        <f t="shared" si="61"/>
        <v>347</v>
      </c>
      <c r="B518" s="286" t="s">
        <v>1068</v>
      </c>
      <c r="C518" s="689">
        <v>42550</v>
      </c>
      <c r="D518" s="690" t="s">
        <v>613</v>
      </c>
      <c r="E518" s="768">
        <v>122</v>
      </c>
      <c r="F518" s="720">
        <v>54</v>
      </c>
      <c r="G518" s="720">
        <v>180</v>
      </c>
      <c r="H518" s="759">
        <f t="shared" si="63"/>
        <v>8.4600000000000009</v>
      </c>
      <c r="I518" s="252">
        <v>53</v>
      </c>
      <c r="J518" s="674">
        <f t="shared" si="60"/>
        <v>448.38000000000005</v>
      </c>
      <c r="K518" s="674">
        <f t="shared" si="62"/>
        <v>72113.351713746611</v>
      </c>
      <c r="L518" s="621">
        <v>54530</v>
      </c>
      <c r="M518" s="621"/>
      <c r="O518" s="669"/>
      <c r="P518" s="669"/>
      <c r="Q518" s="669"/>
      <c r="S518" s="669">
        <f t="shared" si="64"/>
        <v>2890090</v>
      </c>
      <c r="T518" s="864">
        <f t="shared" si="65"/>
        <v>3822007.6408285704</v>
      </c>
    </row>
    <row r="519" spans="1:20" ht="16.5" customHeight="1">
      <c r="A519" s="706">
        <f t="shared" si="61"/>
        <v>348</v>
      </c>
      <c r="B519" s="286" t="s">
        <v>418</v>
      </c>
      <c r="C519" s="689">
        <v>42550</v>
      </c>
      <c r="D519" s="690" t="s">
        <v>613</v>
      </c>
      <c r="E519" s="768">
        <v>103</v>
      </c>
      <c r="F519" s="769">
        <v>50</v>
      </c>
      <c r="G519" s="720">
        <v>180</v>
      </c>
      <c r="H519" s="759">
        <f t="shared" si="63"/>
        <v>7.25</v>
      </c>
      <c r="I519" s="252">
        <v>120</v>
      </c>
      <c r="J519" s="674">
        <f t="shared" si="60"/>
        <v>870</v>
      </c>
      <c r="K519" s="674">
        <f t="shared" si="62"/>
        <v>61799.267130574808</v>
      </c>
      <c r="L519" s="621">
        <v>47449</v>
      </c>
      <c r="M519" s="621"/>
      <c r="O519" s="669"/>
      <c r="P519" s="669"/>
      <c r="Q519" s="669"/>
      <c r="S519" s="669">
        <f t="shared" si="64"/>
        <v>5693880</v>
      </c>
      <c r="T519" s="864">
        <f t="shared" si="65"/>
        <v>7415912.0556689771</v>
      </c>
    </row>
    <row r="520" spans="1:20" ht="16.5" customHeight="1">
      <c r="A520" s="706">
        <f t="shared" si="61"/>
        <v>349</v>
      </c>
      <c r="B520" s="286" t="s">
        <v>1069</v>
      </c>
      <c r="C520" s="689">
        <v>42550</v>
      </c>
      <c r="D520" s="690" t="s">
        <v>613</v>
      </c>
      <c r="E520" s="768">
        <v>74</v>
      </c>
      <c r="F520" s="769">
        <v>53</v>
      </c>
      <c r="G520" s="769">
        <v>142</v>
      </c>
      <c r="H520" s="759">
        <f t="shared" si="63"/>
        <v>5.13</v>
      </c>
      <c r="I520" s="252">
        <v>13</v>
      </c>
      <c r="J520" s="674">
        <f t="shared" si="60"/>
        <v>66.69</v>
      </c>
      <c r="K520" s="674">
        <f t="shared" si="62"/>
        <v>43728.309017910171</v>
      </c>
      <c r="L520" s="621">
        <v>45000</v>
      </c>
      <c r="M520" s="621"/>
      <c r="O520" s="669"/>
      <c r="P520" s="669"/>
      <c r="Q520" s="669"/>
      <c r="S520" s="669">
        <f t="shared" si="64"/>
        <v>585000</v>
      </c>
      <c r="T520" s="864">
        <f t="shared" si="65"/>
        <v>568468.01723283227</v>
      </c>
    </row>
    <row r="521" spans="1:20" ht="16.5" customHeight="1">
      <c r="A521" s="706">
        <f t="shared" si="61"/>
        <v>350</v>
      </c>
      <c r="B521" s="286" t="s">
        <v>495</v>
      </c>
      <c r="C521" s="689">
        <v>42550</v>
      </c>
      <c r="D521" s="690" t="s">
        <v>613</v>
      </c>
      <c r="E521" s="768">
        <v>142</v>
      </c>
      <c r="F521" s="769">
        <v>72</v>
      </c>
      <c r="G521" s="769">
        <v>58</v>
      </c>
      <c r="H521" s="759">
        <f t="shared" si="63"/>
        <v>5.76</v>
      </c>
      <c r="I521" s="252">
        <v>51</v>
      </c>
      <c r="J521" s="674">
        <f t="shared" si="60"/>
        <v>293.76</v>
      </c>
      <c r="K521" s="674">
        <f t="shared" si="62"/>
        <v>49098.452230635987</v>
      </c>
      <c r="L521" s="621">
        <v>30237</v>
      </c>
      <c r="M521" s="621"/>
      <c r="O521" s="669"/>
      <c r="P521" s="669"/>
      <c r="Q521" s="669"/>
      <c r="S521" s="669">
        <f t="shared" si="64"/>
        <v>1542087</v>
      </c>
      <c r="T521" s="864">
        <f t="shared" si="65"/>
        <v>2504021.0637624352</v>
      </c>
    </row>
    <row r="522" spans="1:20" ht="16.5" customHeight="1">
      <c r="A522" s="706">
        <f t="shared" si="61"/>
        <v>351</v>
      </c>
      <c r="B522" s="286" t="s">
        <v>651</v>
      </c>
      <c r="C522" s="689">
        <v>42551</v>
      </c>
      <c r="D522" s="690" t="s">
        <v>614</v>
      </c>
      <c r="E522" s="768">
        <v>52</v>
      </c>
      <c r="F522" s="769">
        <v>25</v>
      </c>
      <c r="G522" s="769">
        <v>25</v>
      </c>
      <c r="H522" s="759">
        <f t="shared" si="63"/>
        <v>0.84</v>
      </c>
      <c r="I522" s="252">
        <v>220</v>
      </c>
      <c r="J522" s="674">
        <f t="shared" si="60"/>
        <v>184.79999999999998</v>
      </c>
      <c r="K522" s="674">
        <f t="shared" si="62"/>
        <v>7160.1909503010811</v>
      </c>
      <c r="L522" s="621">
        <v>5800</v>
      </c>
      <c r="M522" s="621"/>
      <c r="O522" s="669"/>
      <c r="P522" s="669"/>
      <c r="Q522" s="669"/>
      <c r="S522" s="669">
        <f t="shared" si="64"/>
        <v>1276000</v>
      </c>
      <c r="T522" s="864">
        <f t="shared" si="65"/>
        <v>1575242.0090662378</v>
      </c>
    </row>
    <row r="523" spans="1:20" ht="16.5" customHeight="1">
      <c r="A523" s="706">
        <f t="shared" si="61"/>
        <v>352</v>
      </c>
      <c r="B523" s="286" t="s">
        <v>540</v>
      </c>
      <c r="C523" s="689">
        <v>42551</v>
      </c>
      <c r="D523" s="690" t="s">
        <v>614</v>
      </c>
      <c r="E523" s="768">
        <v>52</v>
      </c>
      <c r="F523" s="769">
        <v>28</v>
      </c>
      <c r="G523" s="769">
        <v>28</v>
      </c>
      <c r="H523" s="759">
        <f t="shared" si="63"/>
        <v>0.97</v>
      </c>
      <c r="I523" s="252">
        <v>529</v>
      </c>
      <c r="J523" s="674">
        <f t="shared" si="60"/>
        <v>513.13</v>
      </c>
      <c r="K523" s="674">
        <f t="shared" si="62"/>
        <v>8268.3157402286288</v>
      </c>
      <c r="L523" s="621">
        <v>6400</v>
      </c>
      <c r="M523" s="621"/>
      <c r="O523" s="669"/>
      <c r="P523" s="669"/>
      <c r="Q523" s="669"/>
      <c r="S523" s="669">
        <f t="shared" si="64"/>
        <v>3385600</v>
      </c>
      <c r="T523" s="864">
        <f t="shared" si="65"/>
        <v>4373939.0265809447</v>
      </c>
    </row>
    <row r="524" spans="1:20" ht="16.5" customHeight="1">
      <c r="A524" s="754"/>
      <c r="B524" s="700"/>
      <c r="C524" s="689"/>
      <c r="D524" s="690"/>
      <c r="E524" s="770"/>
      <c r="F524" s="771"/>
      <c r="G524" s="772"/>
      <c r="H524" s="701"/>
      <c r="I524" s="703"/>
      <c r="J524" s="703"/>
      <c r="K524" s="701"/>
      <c r="L524" s="621"/>
      <c r="M524" s="621"/>
      <c r="O524" s="669"/>
      <c r="P524" s="669"/>
      <c r="Q524" s="669"/>
      <c r="T524" s="694"/>
    </row>
    <row r="525" spans="1:20" ht="16.5" customHeight="1">
      <c r="A525" s="675"/>
      <c r="B525" s="676" t="s">
        <v>242</v>
      </c>
      <c r="C525" s="695"/>
      <c r="D525" s="696"/>
      <c r="E525" s="757"/>
      <c r="F525" s="757"/>
      <c r="G525" s="757"/>
      <c r="H525" s="760">
        <f>ROUND(SUM(H281:H524),2)</f>
        <v>459.34</v>
      </c>
      <c r="I525" s="498">
        <f>ROUND(SUM(I281:I524),2)</f>
        <v>89772</v>
      </c>
      <c r="J525" s="498">
        <f>ROUND(SUM(J281:J524),2)</f>
        <v>89968.960000000006</v>
      </c>
      <c r="K525" s="498"/>
      <c r="M525" s="621"/>
      <c r="O525" s="669"/>
      <c r="P525" s="669"/>
      <c r="Q525" s="669"/>
      <c r="R525" s="883">
        <f>S525-T525</f>
        <v>21458785</v>
      </c>
      <c r="S525" s="498">
        <f>ROUND(SUM(S281:S524),0)</f>
        <v>788357515</v>
      </c>
      <c r="T525" s="498">
        <f>ROUND(SUM(T281:T524),0)</f>
        <v>766898730</v>
      </c>
    </row>
    <row r="526" spans="1:20" ht="16.5" customHeight="1">
      <c r="A526" s="677"/>
      <c r="B526" s="678"/>
      <c r="C526" s="697"/>
      <c r="D526" s="698"/>
      <c r="E526" s="761"/>
      <c r="F526" s="761"/>
      <c r="G526" s="761"/>
      <c r="H526" s="671"/>
      <c r="I526" s="671"/>
      <c r="J526" s="671"/>
      <c r="K526" s="671"/>
      <c r="M526" s="621"/>
      <c r="O526" s="669"/>
      <c r="P526" s="669"/>
      <c r="Q526" s="669"/>
      <c r="R526" s="883"/>
      <c r="T526" s="670"/>
    </row>
    <row r="527" spans="1:20" s="670" customFormat="1" ht="16.5" customHeight="1">
      <c r="A527" s="669"/>
      <c r="B527" s="669"/>
      <c r="C527" s="697"/>
      <c r="D527" s="698"/>
      <c r="E527" s="715"/>
      <c r="F527" s="715"/>
      <c r="G527" s="715"/>
      <c r="H527" s="669"/>
      <c r="I527" s="669"/>
      <c r="J527" s="669"/>
      <c r="K527" s="669"/>
      <c r="L527" s="684"/>
      <c r="N527" s="669"/>
      <c r="O527" s="669"/>
      <c r="P527" s="669"/>
      <c r="Q527" s="669"/>
      <c r="R527" s="669"/>
      <c r="S527" s="669"/>
      <c r="T527" s="669"/>
    </row>
    <row r="528" spans="1:20" s="670" customFormat="1" ht="14.25" hidden="1">
      <c r="A528" s="530" t="str">
        <f>TH!$A$1</f>
        <v>Đơn vị: CÔNG TY TNHH SX TM KIM DUNG PHÁT</v>
      </c>
      <c r="C528" s="697"/>
      <c r="D528" s="698"/>
      <c r="E528" s="715"/>
      <c r="F528" s="715"/>
      <c r="G528" s="715"/>
      <c r="H528" s="282"/>
      <c r="I528" s="558"/>
      <c r="J528" s="558"/>
      <c r="K528" s="282"/>
      <c r="L528" s="684"/>
      <c r="N528" s="669"/>
      <c r="O528" s="669"/>
      <c r="P528" s="669"/>
      <c r="Q528" s="669"/>
      <c r="R528" s="669"/>
      <c r="S528" s="669"/>
      <c r="T528" s="669"/>
    </row>
    <row r="529" spans="1:20">
      <c r="A529" s="671" t="s">
        <v>1273</v>
      </c>
      <c r="B529" s="671"/>
      <c r="C529" s="697"/>
      <c r="D529" s="698"/>
      <c r="E529" s="761"/>
      <c r="F529" s="761"/>
      <c r="G529" s="761"/>
      <c r="H529" s="671"/>
      <c r="I529" s="671"/>
      <c r="J529" s="671"/>
      <c r="K529" s="671"/>
      <c r="M529" s="669"/>
      <c r="O529" s="669"/>
      <c r="P529" s="669"/>
      <c r="Q529" s="669"/>
    </row>
    <row r="530" spans="1:20" ht="18" customHeight="1">
      <c r="A530" s="671"/>
      <c r="B530" s="671"/>
      <c r="C530" s="697"/>
      <c r="D530" s="698"/>
      <c r="E530" s="761"/>
      <c r="F530" s="761"/>
      <c r="G530" s="761"/>
      <c r="H530" s="671"/>
      <c r="I530" s="671"/>
      <c r="J530" s="671"/>
      <c r="K530" s="671"/>
      <c r="M530" s="669"/>
      <c r="O530" s="669"/>
      <c r="P530" s="669"/>
      <c r="Q530" s="669"/>
    </row>
    <row r="531" spans="1:20" ht="24" customHeight="1">
      <c r="A531" s="1116" t="s">
        <v>35</v>
      </c>
      <c r="B531" s="1116" t="s">
        <v>238</v>
      </c>
      <c r="C531" s="1116" t="s">
        <v>723</v>
      </c>
      <c r="D531" s="1116" t="s">
        <v>724</v>
      </c>
      <c r="E531" s="1117" t="s">
        <v>725</v>
      </c>
      <c r="F531" s="1118"/>
      <c r="G531" s="1118"/>
      <c r="H531" s="1119"/>
      <c r="I531" s="1116" t="s">
        <v>239</v>
      </c>
      <c r="J531" s="1123" t="s">
        <v>735</v>
      </c>
      <c r="K531" s="1116" t="s">
        <v>729</v>
      </c>
      <c r="L531" s="411"/>
      <c r="M531" s="669"/>
      <c r="N531" s="1116" t="s">
        <v>238</v>
      </c>
      <c r="O531" s="1116" t="s">
        <v>730</v>
      </c>
      <c r="P531" s="1116" t="s">
        <v>197</v>
      </c>
      <c r="Q531" s="1116" t="s">
        <v>240</v>
      </c>
      <c r="R531" s="1116" t="s">
        <v>241</v>
      </c>
      <c r="S531" s="412"/>
    </row>
    <row r="532" spans="1:20" ht="24" customHeight="1">
      <c r="A532" s="1116"/>
      <c r="B532" s="1116"/>
      <c r="C532" s="1116"/>
      <c r="D532" s="1116"/>
      <c r="E532" s="717" t="s">
        <v>726</v>
      </c>
      <c r="F532" s="717" t="s">
        <v>727</v>
      </c>
      <c r="G532" s="717" t="s">
        <v>728</v>
      </c>
      <c r="H532" s="410" t="s">
        <v>733</v>
      </c>
      <c r="I532" s="1116"/>
      <c r="J532" s="1124"/>
      <c r="K532" s="1116"/>
      <c r="L532" s="411"/>
      <c r="M532" s="669"/>
      <c r="N532" s="1116"/>
      <c r="O532" s="1116"/>
      <c r="P532" s="1116"/>
      <c r="Q532" s="1116"/>
      <c r="R532" s="1116"/>
      <c r="S532" s="412"/>
    </row>
    <row r="533" spans="1:20" s="412" customFormat="1" ht="16.5" customHeight="1">
      <c r="A533" s="673">
        <f>IF(B533&lt;&gt;"",ROW()-(ROW()-1),"")</f>
        <v>1</v>
      </c>
      <c r="B533" s="286" t="s">
        <v>1443</v>
      </c>
      <c r="C533" s="689">
        <v>42556</v>
      </c>
      <c r="D533" s="690" t="s">
        <v>616</v>
      </c>
      <c r="E533" s="764">
        <v>49</v>
      </c>
      <c r="F533" s="763">
        <v>38</v>
      </c>
      <c r="G533" s="763">
        <v>12</v>
      </c>
      <c r="H533" s="759">
        <f t="shared" ref="H533:H559" si="66">IF(G533&lt;&gt;"",ROUND(((E533+F533)*2+5)*(F533+G533+3)/10000,2),ROUND(E533*F533/10000,2))</f>
        <v>0.95</v>
      </c>
      <c r="I533" s="674">
        <v>498</v>
      </c>
      <c r="J533" s="674">
        <f t="shared" ref="J533:J559" si="67">H533*I533</f>
        <v>473.09999999999997</v>
      </c>
      <c r="K533" s="674">
        <f t="shared" ref="K533:K559" si="68">H533*$R$553</f>
        <v>11673.570112762354</v>
      </c>
      <c r="L533" s="621">
        <v>10500</v>
      </c>
      <c r="M533" s="411"/>
      <c r="N533" s="190" t="s">
        <v>680</v>
      </c>
      <c r="O533" s="691">
        <v>42552</v>
      </c>
      <c r="P533" s="718">
        <v>7200</v>
      </c>
      <c r="Q533" s="708">
        <v>9000</v>
      </c>
      <c r="R533" s="8">
        <f t="shared" ref="R533:R534" si="69">ROUND(P533*Q533,0)</f>
        <v>64800000</v>
      </c>
      <c r="S533" s="669">
        <f t="shared" ref="S533" si="70">I533*L533</f>
        <v>5229000</v>
      </c>
      <c r="T533" s="864">
        <f>I533*K533</f>
        <v>5813437.9161556521</v>
      </c>
    </row>
    <row r="534" spans="1:20" s="412" customFormat="1" ht="16.5" customHeight="1">
      <c r="A534" s="673">
        <f t="shared" ref="A534:A559" si="71">IF(B534&lt;&gt;"",A533+1,"")</f>
        <v>2</v>
      </c>
      <c r="B534" s="286" t="s">
        <v>1255</v>
      </c>
      <c r="C534" s="689">
        <v>42557</v>
      </c>
      <c r="D534" s="690" t="s">
        <v>617</v>
      </c>
      <c r="E534" s="764">
        <v>52</v>
      </c>
      <c r="F534" s="763">
        <v>24.5</v>
      </c>
      <c r="G534" s="763">
        <v>24.5</v>
      </c>
      <c r="H534" s="759">
        <f t="shared" si="66"/>
        <v>0.82</v>
      </c>
      <c r="I534" s="674">
        <v>1320</v>
      </c>
      <c r="J534" s="674">
        <f t="shared" si="67"/>
        <v>1082.3999999999999</v>
      </c>
      <c r="K534" s="674">
        <f t="shared" si="68"/>
        <v>10076.134202594874</v>
      </c>
      <c r="L534" s="621">
        <v>5000</v>
      </c>
      <c r="M534" s="411"/>
      <c r="N534" s="187" t="s">
        <v>676</v>
      </c>
      <c r="O534" s="691">
        <v>42614</v>
      </c>
      <c r="P534" s="718">
        <v>3306</v>
      </c>
      <c r="Q534" s="708">
        <v>7600</v>
      </c>
      <c r="R534" s="8">
        <f t="shared" si="69"/>
        <v>25125600</v>
      </c>
      <c r="S534" s="669">
        <f t="shared" ref="S534" si="72">I534*L534</f>
        <v>6600000</v>
      </c>
      <c r="T534" s="864">
        <f>I534*K534</f>
        <v>13300497.147425234</v>
      </c>
    </row>
    <row r="535" spans="1:20" ht="16.5" customHeight="1">
      <c r="A535" s="673">
        <f t="shared" si="71"/>
        <v>3</v>
      </c>
      <c r="B535" s="286" t="s">
        <v>1256</v>
      </c>
      <c r="C535" s="689">
        <v>42557</v>
      </c>
      <c r="D535" s="690" t="s">
        <v>617</v>
      </c>
      <c r="E535" s="764">
        <v>52</v>
      </c>
      <c r="F535" s="763">
        <v>26.5</v>
      </c>
      <c r="G535" s="763">
        <v>26.5</v>
      </c>
      <c r="H535" s="759">
        <f t="shared" si="66"/>
        <v>0.91</v>
      </c>
      <c r="I535" s="674">
        <v>630</v>
      </c>
      <c r="J535" s="674">
        <f t="shared" si="67"/>
        <v>573.30000000000007</v>
      </c>
      <c r="K535" s="674">
        <f t="shared" si="68"/>
        <v>11182.051371172362</v>
      </c>
      <c r="L535" s="621">
        <v>5550</v>
      </c>
      <c r="M535" s="669"/>
      <c r="N535" s="414"/>
      <c r="O535" s="689"/>
      <c r="P535" s="718"/>
      <c r="Q535" s="708"/>
      <c r="R535" s="8"/>
      <c r="S535" s="669">
        <f t="shared" ref="S535:S558" si="73">I535*L535</f>
        <v>3496500</v>
      </c>
      <c r="T535" s="864">
        <f t="shared" ref="T535:T559" si="74">I535*K535</f>
        <v>7044692.3638385879</v>
      </c>
    </row>
    <row r="536" spans="1:20" ht="16.5" customHeight="1">
      <c r="A536" s="673">
        <f t="shared" si="71"/>
        <v>4</v>
      </c>
      <c r="B536" s="286" t="s">
        <v>594</v>
      </c>
      <c r="C536" s="689">
        <v>42557</v>
      </c>
      <c r="D536" s="690" t="s">
        <v>617</v>
      </c>
      <c r="E536" s="764">
        <v>50</v>
      </c>
      <c r="F536" s="763">
        <v>25</v>
      </c>
      <c r="G536" s="763">
        <v>30</v>
      </c>
      <c r="H536" s="759">
        <f t="shared" si="66"/>
        <v>0.9</v>
      </c>
      <c r="I536" s="674">
        <v>320</v>
      </c>
      <c r="J536" s="674">
        <f t="shared" si="67"/>
        <v>288</v>
      </c>
      <c r="K536" s="674">
        <f t="shared" si="68"/>
        <v>11059.171685774863</v>
      </c>
      <c r="L536" s="621">
        <v>5600</v>
      </c>
      <c r="M536" s="669"/>
      <c r="N536" s="755" t="s">
        <v>717</v>
      </c>
      <c r="O536" s="756"/>
      <c r="P536" s="757"/>
      <c r="Q536" s="498"/>
      <c r="R536" s="498">
        <f>SUM(R533:R535)</f>
        <v>89925600</v>
      </c>
      <c r="S536" s="669">
        <f t="shared" si="73"/>
        <v>1792000</v>
      </c>
      <c r="T536" s="864">
        <f t="shared" si="74"/>
        <v>3538934.9394479562</v>
      </c>
    </row>
    <row r="537" spans="1:20" ht="16.5" customHeight="1">
      <c r="A537" s="673">
        <f t="shared" si="71"/>
        <v>5</v>
      </c>
      <c r="B537" s="286" t="s">
        <v>1257</v>
      </c>
      <c r="C537" s="689">
        <v>42557</v>
      </c>
      <c r="D537" s="690" t="s">
        <v>618</v>
      </c>
      <c r="E537" s="764">
        <v>29</v>
      </c>
      <c r="F537" s="763">
        <v>29</v>
      </c>
      <c r="G537" s="763">
        <v>29.5</v>
      </c>
      <c r="H537" s="759">
        <f t="shared" si="66"/>
        <v>0.74</v>
      </c>
      <c r="I537" s="674">
        <v>230</v>
      </c>
      <c r="J537" s="674">
        <f t="shared" si="67"/>
        <v>170.2</v>
      </c>
      <c r="K537" s="674">
        <f t="shared" si="68"/>
        <v>9093.096719414887</v>
      </c>
      <c r="L537" s="621">
        <v>6700</v>
      </c>
      <c r="M537" s="669"/>
      <c r="N537" s="286" t="s">
        <v>857</v>
      </c>
      <c r="O537" s="691">
        <v>42581</v>
      </c>
      <c r="P537" s="251">
        <v>200</v>
      </c>
      <c r="Q537" s="251">
        <v>19000</v>
      </c>
      <c r="R537" s="8">
        <f t="shared" ref="R537:R540" si="75">ROUND(P537*Q537,0)</f>
        <v>3800000</v>
      </c>
      <c r="S537" s="669">
        <f t="shared" si="73"/>
        <v>1541000</v>
      </c>
      <c r="T537" s="864">
        <f t="shared" si="74"/>
        <v>2091412.2454654239</v>
      </c>
    </row>
    <row r="538" spans="1:20" ht="16.5" customHeight="1">
      <c r="A538" s="673">
        <f t="shared" si="71"/>
        <v>6</v>
      </c>
      <c r="B538" s="286" t="s">
        <v>1258</v>
      </c>
      <c r="C538" s="689">
        <v>42558</v>
      </c>
      <c r="D538" s="690" t="s">
        <v>619</v>
      </c>
      <c r="E538" s="764">
        <v>37.5</v>
      </c>
      <c r="F538" s="763">
        <v>25.3</v>
      </c>
      <c r="G538" s="763">
        <v>23.9</v>
      </c>
      <c r="H538" s="759">
        <f t="shared" si="66"/>
        <v>0.68</v>
      </c>
      <c r="I538" s="674">
        <v>1545</v>
      </c>
      <c r="J538" s="674">
        <f t="shared" si="67"/>
        <v>1050.6000000000001</v>
      </c>
      <c r="K538" s="674">
        <f t="shared" si="68"/>
        <v>8355.8186070298962</v>
      </c>
      <c r="L538" s="621">
        <v>5900</v>
      </c>
      <c r="M538" s="669"/>
      <c r="N538" s="187"/>
      <c r="O538" s="189"/>
      <c r="P538" s="251"/>
      <c r="Q538" s="251"/>
      <c r="R538" s="8">
        <f t="shared" si="75"/>
        <v>0</v>
      </c>
      <c r="S538" s="669">
        <f t="shared" si="73"/>
        <v>9115500</v>
      </c>
      <c r="T538" s="864">
        <f t="shared" si="74"/>
        <v>12909739.74786119</v>
      </c>
    </row>
    <row r="539" spans="1:20" ht="16.5" customHeight="1">
      <c r="A539" s="673">
        <f t="shared" si="71"/>
        <v>7</v>
      </c>
      <c r="B539" s="286" t="s">
        <v>1258</v>
      </c>
      <c r="C539" s="689">
        <v>42558</v>
      </c>
      <c r="D539" s="690" t="s">
        <v>619</v>
      </c>
      <c r="E539" s="764">
        <v>37.5</v>
      </c>
      <c r="F539" s="763">
        <v>25.3</v>
      </c>
      <c r="G539" s="763">
        <v>23.9</v>
      </c>
      <c r="H539" s="759">
        <f t="shared" si="66"/>
        <v>0.68</v>
      </c>
      <c r="I539" s="674">
        <v>559</v>
      </c>
      <c r="J539" s="674">
        <f t="shared" si="67"/>
        <v>380.12</v>
      </c>
      <c r="K539" s="674">
        <f t="shared" si="68"/>
        <v>8355.8186070298962</v>
      </c>
      <c r="L539" s="621">
        <v>7300</v>
      </c>
      <c r="M539" s="621"/>
      <c r="N539" s="187"/>
      <c r="O539" s="691"/>
      <c r="P539" s="251"/>
      <c r="Q539" s="251"/>
      <c r="R539" s="8">
        <f t="shared" si="75"/>
        <v>0</v>
      </c>
      <c r="S539" s="669">
        <f t="shared" si="73"/>
        <v>4080700</v>
      </c>
      <c r="T539" s="864">
        <f t="shared" si="74"/>
        <v>4670902.6013297122</v>
      </c>
    </row>
    <row r="540" spans="1:20" ht="16.5" customHeight="1">
      <c r="A540" s="673">
        <f t="shared" si="71"/>
        <v>8</v>
      </c>
      <c r="B540" s="286" t="s">
        <v>988</v>
      </c>
      <c r="C540" s="689">
        <v>42559</v>
      </c>
      <c r="D540" s="690" t="s">
        <v>620</v>
      </c>
      <c r="E540" s="764">
        <v>33</v>
      </c>
      <c r="F540" s="763">
        <v>33</v>
      </c>
      <c r="G540" s="763">
        <v>27</v>
      </c>
      <c r="H540" s="759">
        <f t="shared" si="66"/>
        <v>0.86</v>
      </c>
      <c r="I540" s="674">
        <v>548</v>
      </c>
      <c r="J540" s="674">
        <f t="shared" si="67"/>
        <v>471.28</v>
      </c>
      <c r="K540" s="674">
        <f t="shared" si="68"/>
        <v>10567.652944184869</v>
      </c>
      <c r="L540" s="621">
        <v>6650</v>
      </c>
      <c r="M540" s="621"/>
      <c r="N540" s="187"/>
      <c r="O540" s="691"/>
      <c r="P540" s="251"/>
      <c r="Q540" s="251"/>
      <c r="R540" s="8">
        <f t="shared" si="75"/>
        <v>0</v>
      </c>
      <c r="S540" s="669">
        <f t="shared" si="73"/>
        <v>3644200</v>
      </c>
      <c r="T540" s="864">
        <f t="shared" si="74"/>
        <v>5791073.813413308</v>
      </c>
    </row>
    <row r="541" spans="1:20" ht="16.5" customHeight="1">
      <c r="A541" s="673">
        <f t="shared" si="71"/>
        <v>9</v>
      </c>
      <c r="B541" s="286" t="s">
        <v>1070</v>
      </c>
      <c r="C541" s="689">
        <v>42563</v>
      </c>
      <c r="D541" s="690" t="s">
        <v>621</v>
      </c>
      <c r="E541" s="764">
        <v>88</v>
      </c>
      <c r="F541" s="763">
        <v>68</v>
      </c>
      <c r="G541" s="763">
        <v>15</v>
      </c>
      <c r="H541" s="759">
        <f t="shared" si="66"/>
        <v>2.73</v>
      </c>
      <c r="I541" s="674">
        <v>220</v>
      </c>
      <c r="J541" s="674">
        <f t="shared" si="67"/>
        <v>600.6</v>
      </c>
      <c r="K541" s="674">
        <f t="shared" si="68"/>
        <v>33546.154113517085</v>
      </c>
      <c r="L541" s="621">
        <v>28000</v>
      </c>
      <c r="M541" s="621"/>
      <c r="N541" s="414"/>
      <c r="O541" s="689"/>
      <c r="P541" s="718"/>
      <c r="Q541" s="708"/>
      <c r="R541" s="8"/>
      <c r="S541" s="669">
        <f t="shared" si="73"/>
        <v>6160000</v>
      </c>
      <c r="T541" s="864">
        <f t="shared" si="74"/>
        <v>7380153.9049737584</v>
      </c>
    </row>
    <row r="542" spans="1:20" ht="16.5" customHeight="1">
      <c r="A542" s="673">
        <f t="shared" si="71"/>
        <v>10</v>
      </c>
      <c r="B542" s="286" t="s">
        <v>917</v>
      </c>
      <c r="C542" s="689">
        <v>42563</v>
      </c>
      <c r="D542" s="690" t="s">
        <v>621</v>
      </c>
      <c r="E542" s="764">
        <v>51</v>
      </c>
      <c r="F542" s="763">
        <v>42</v>
      </c>
      <c r="G542" s="763">
        <v>25</v>
      </c>
      <c r="H542" s="759">
        <f t="shared" si="66"/>
        <v>1.34</v>
      </c>
      <c r="I542" s="674">
        <v>250</v>
      </c>
      <c r="J542" s="674">
        <f t="shared" si="67"/>
        <v>335</v>
      </c>
      <c r="K542" s="674">
        <f t="shared" si="68"/>
        <v>16465.877843264796</v>
      </c>
      <c r="L542" s="621">
        <v>9980</v>
      </c>
      <c r="M542" s="621"/>
      <c r="N542" s="755" t="s">
        <v>718</v>
      </c>
      <c r="O542" s="756"/>
      <c r="P542" s="757"/>
      <c r="Q542" s="498"/>
      <c r="R542" s="498">
        <f>SUM(R537:R541)</f>
        <v>3800000</v>
      </c>
      <c r="S542" s="669">
        <f t="shared" si="73"/>
        <v>2495000</v>
      </c>
      <c r="T542" s="864">
        <f t="shared" si="74"/>
        <v>4116469.460816199</v>
      </c>
    </row>
    <row r="543" spans="1:20" ht="16.5" customHeight="1">
      <c r="A543" s="673">
        <f t="shared" si="71"/>
        <v>11</v>
      </c>
      <c r="B543" s="286" t="s">
        <v>1071</v>
      </c>
      <c r="C543" s="689">
        <v>42563</v>
      </c>
      <c r="D543" s="690" t="s">
        <v>621</v>
      </c>
      <c r="E543" s="764">
        <v>43</v>
      </c>
      <c r="F543" s="763">
        <v>29</v>
      </c>
      <c r="G543" s="763">
        <v>26</v>
      </c>
      <c r="H543" s="759">
        <f t="shared" si="66"/>
        <v>0.86</v>
      </c>
      <c r="I543" s="674">
        <v>45</v>
      </c>
      <c r="J543" s="674">
        <f t="shared" si="67"/>
        <v>38.700000000000003</v>
      </c>
      <c r="K543" s="674">
        <f t="shared" si="68"/>
        <v>10567.652944184869</v>
      </c>
      <c r="L543" s="621">
        <v>8800</v>
      </c>
      <c r="M543" s="621"/>
      <c r="N543" s="414" t="s">
        <v>719</v>
      </c>
      <c r="O543" s="689"/>
      <c r="P543" s="718"/>
      <c r="Q543" s="708"/>
      <c r="R543" s="8">
        <f>R536</f>
        <v>89925600</v>
      </c>
      <c r="S543" s="669">
        <f t="shared" si="73"/>
        <v>396000</v>
      </c>
      <c r="T543" s="864">
        <f t="shared" si="74"/>
        <v>475544.38248831907</v>
      </c>
    </row>
    <row r="544" spans="1:20" ht="16.5" customHeight="1">
      <c r="A544" s="673">
        <f t="shared" si="71"/>
        <v>12</v>
      </c>
      <c r="B544" s="286" t="s">
        <v>474</v>
      </c>
      <c r="C544" s="689">
        <v>42563</v>
      </c>
      <c r="D544" s="690" t="s">
        <v>621</v>
      </c>
      <c r="E544" s="764">
        <v>47</v>
      </c>
      <c r="F544" s="763">
        <v>42</v>
      </c>
      <c r="G544" s="763">
        <v>25</v>
      </c>
      <c r="H544" s="759">
        <f t="shared" si="66"/>
        <v>1.28</v>
      </c>
      <c r="I544" s="674">
        <v>582</v>
      </c>
      <c r="J544" s="674">
        <f t="shared" si="67"/>
        <v>744.96</v>
      </c>
      <c r="K544" s="674">
        <f t="shared" si="68"/>
        <v>15728.599730879805</v>
      </c>
      <c r="L544" s="621">
        <v>9600</v>
      </c>
      <c r="M544" s="621"/>
      <c r="N544" s="414" t="s">
        <v>720</v>
      </c>
      <c r="O544" s="689"/>
      <c r="P544" s="718"/>
      <c r="Q544" s="708"/>
      <c r="R544" s="8">
        <f>R542</f>
        <v>3800000</v>
      </c>
      <c r="S544" s="669">
        <f t="shared" si="73"/>
        <v>5587200</v>
      </c>
      <c r="T544" s="864">
        <f t="shared" si="74"/>
        <v>9154045.0433720462</v>
      </c>
    </row>
    <row r="545" spans="1:20" ht="16.5" customHeight="1">
      <c r="A545" s="673">
        <f t="shared" si="71"/>
        <v>13</v>
      </c>
      <c r="B545" s="286" t="s">
        <v>1072</v>
      </c>
      <c r="C545" s="689">
        <v>42563</v>
      </c>
      <c r="D545" s="690" t="s">
        <v>621</v>
      </c>
      <c r="E545" s="764">
        <v>37</v>
      </c>
      <c r="F545" s="763">
        <v>37</v>
      </c>
      <c r="G545" s="763">
        <v>37</v>
      </c>
      <c r="H545" s="759">
        <f t="shared" si="66"/>
        <v>1.18</v>
      </c>
      <c r="I545" s="674">
        <v>55</v>
      </c>
      <c r="J545" s="674">
        <f t="shared" si="67"/>
        <v>64.899999999999991</v>
      </c>
      <c r="K545" s="674">
        <f t="shared" si="68"/>
        <v>14499.802876904818</v>
      </c>
      <c r="L545" s="621">
        <v>9000</v>
      </c>
      <c r="M545" s="621"/>
      <c r="N545" s="414" t="s">
        <v>721</v>
      </c>
      <c r="O545" s="689"/>
      <c r="P545" s="718"/>
      <c r="Q545" s="708"/>
      <c r="R545" s="8">
        <v>6250000</v>
      </c>
      <c r="S545" s="669">
        <f t="shared" si="73"/>
        <v>495000</v>
      </c>
      <c r="T545" s="864">
        <f t="shared" si="74"/>
        <v>797489.15822976502</v>
      </c>
    </row>
    <row r="546" spans="1:20" ht="16.5" customHeight="1">
      <c r="A546" s="673">
        <f t="shared" si="71"/>
        <v>14</v>
      </c>
      <c r="B546" s="286" t="s">
        <v>1068</v>
      </c>
      <c r="C546" s="689">
        <v>42563</v>
      </c>
      <c r="D546" s="690" t="s">
        <v>622</v>
      </c>
      <c r="E546" s="764">
        <v>122</v>
      </c>
      <c r="F546" s="763">
        <v>54</v>
      </c>
      <c r="G546" s="763">
        <v>180</v>
      </c>
      <c r="H546" s="759">
        <f t="shared" si="66"/>
        <v>8.4600000000000009</v>
      </c>
      <c r="I546" s="674">
        <v>19</v>
      </c>
      <c r="J546" s="674">
        <f t="shared" si="67"/>
        <v>160.74</v>
      </c>
      <c r="K546" s="674">
        <f t="shared" si="68"/>
        <v>103956.21384628372</v>
      </c>
      <c r="L546" s="621">
        <v>54530</v>
      </c>
      <c r="M546" s="621"/>
      <c r="N546" s="414" t="s">
        <v>734</v>
      </c>
      <c r="O546" s="689"/>
      <c r="P546" s="718"/>
      <c r="Q546" s="708"/>
      <c r="R546" s="8">
        <v>48510000</v>
      </c>
      <c r="S546" s="669">
        <f t="shared" si="73"/>
        <v>1036070</v>
      </c>
      <c r="T546" s="864">
        <f t="shared" si="74"/>
        <v>1975168.0630793907</v>
      </c>
    </row>
    <row r="547" spans="1:20" ht="16.5" customHeight="1">
      <c r="A547" s="673">
        <f t="shared" si="71"/>
        <v>15</v>
      </c>
      <c r="B547" s="286" t="s">
        <v>418</v>
      </c>
      <c r="C547" s="689">
        <v>42563</v>
      </c>
      <c r="D547" s="690" t="s">
        <v>622</v>
      </c>
      <c r="E547" s="764">
        <v>103</v>
      </c>
      <c r="F547" s="763">
        <v>50</v>
      </c>
      <c r="G547" s="763">
        <v>180</v>
      </c>
      <c r="H547" s="759">
        <f t="shared" si="66"/>
        <v>7.25</v>
      </c>
      <c r="I547" s="674">
        <v>60</v>
      </c>
      <c r="J547" s="674">
        <f t="shared" si="67"/>
        <v>435</v>
      </c>
      <c r="K547" s="674">
        <f t="shared" si="68"/>
        <v>89087.771913186385</v>
      </c>
      <c r="L547" s="621">
        <v>47449</v>
      </c>
      <c r="M547" s="621"/>
      <c r="N547" s="286"/>
      <c r="O547" s="189"/>
      <c r="P547" s="718"/>
      <c r="Q547" s="708"/>
      <c r="R547" s="8"/>
      <c r="S547" s="669">
        <f t="shared" si="73"/>
        <v>2846940</v>
      </c>
      <c r="T547" s="864">
        <f t="shared" si="74"/>
        <v>5345266.314791183</v>
      </c>
    </row>
    <row r="548" spans="1:20" ht="16.5" customHeight="1">
      <c r="A548" s="673">
        <f t="shared" si="71"/>
        <v>16</v>
      </c>
      <c r="B548" s="286" t="s">
        <v>429</v>
      </c>
      <c r="C548" s="689">
        <v>42604</v>
      </c>
      <c r="D548" s="690" t="s">
        <v>1259</v>
      </c>
      <c r="E548" s="764">
        <v>51</v>
      </c>
      <c r="F548" s="763">
        <v>37</v>
      </c>
      <c r="G548" s="763">
        <v>27</v>
      </c>
      <c r="H548" s="759">
        <f t="shared" si="66"/>
        <v>1.21</v>
      </c>
      <c r="I548" s="674">
        <v>489</v>
      </c>
      <c r="J548" s="674">
        <f t="shared" si="67"/>
        <v>591.68999999999994</v>
      </c>
      <c r="K548" s="674">
        <f t="shared" si="68"/>
        <v>14868.441933097314</v>
      </c>
      <c r="L548" s="621">
        <v>14000</v>
      </c>
      <c r="M548" s="621"/>
      <c r="N548" s="286"/>
      <c r="O548" s="689"/>
      <c r="P548" s="718"/>
      <c r="Q548" s="708"/>
      <c r="R548" s="8"/>
      <c r="S548" s="669">
        <f t="shared" si="73"/>
        <v>6846000</v>
      </c>
      <c r="T548" s="864">
        <f t="shared" si="74"/>
        <v>7270668.1052845865</v>
      </c>
    </row>
    <row r="549" spans="1:20" ht="16.5" customHeight="1">
      <c r="A549" s="673">
        <f t="shared" si="71"/>
        <v>17</v>
      </c>
      <c r="B549" s="286" t="s">
        <v>1262</v>
      </c>
      <c r="C549" s="689">
        <v>42605</v>
      </c>
      <c r="D549" s="690" t="s">
        <v>1260</v>
      </c>
      <c r="E549" s="764">
        <v>13.5</v>
      </c>
      <c r="F549" s="763">
        <v>13.5</v>
      </c>
      <c r="G549" s="763">
        <v>18</v>
      </c>
      <c r="H549" s="759">
        <f t="shared" si="66"/>
        <v>0.2</v>
      </c>
      <c r="I549" s="674">
        <v>1714</v>
      </c>
      <c r="J549" s="674">
        <f t="shared" si="67"/>
        <v>342.8</v>
      </c>
      <c r="K549" s="674">
        <f t="shared" si="68"/>
        <v>2457.5937079499695</v>
      </c>
      <c r="L549" s="621">
        <v>1530</v>
      </c>
      <c r="M549" s="621"/>
      <c r="N549" s="286"/>
      <c r="O549" s="689"/>
      <c r="P549" s="718"/>
      <c r="Q549" s="708"/>
      <c r="R549" s="8"/>
      <c r="S549" s="669">
        <f t="shared" si="73"/>
        <v>2622420</v>
      </c>
      <c r="T549" s="864">
        <f t="shared" si="74"/>
        <v>4212315.6154262479</v>
      </c>
    </row>
    <row r="550" spans="1:20" ht="16.5" customHeight="1">
      <c r="A550" s="673">
        <f t="shared" si="71"/>
        <v>18</v>
      </c>
      <c r="B550" s="286" t="s">
        <v>1263</v>
      </c>
      <c r="C550" s="689">
        <v>42605</v>
      </c>
      <c r="D550" s="690" t="s">
        <v>1260</v>
      </c>
      <c r="E550" s="764">
        <v>30</v>
      </c>
      <c r="F550" s="763">
        <v>30</v>
      </c>
      <c r="G550" s="763">
        <v>18</v>
      </c>
      <c r="H550" s="759">
        <f t="shared" si="66"/>
        <v>0.64</v>
      </c>
      <c r="I550" s="674">
        <v>218</v>
      </c>
      <c r="J550" s="674">
        <f t="shared" si="67"/>
        <v>139.52000000000001</v>
      </c>
      <c r="K550" s="674">
        <f t="shared" si="68"/>
        <v>7864.2998654399025</v>
      </c>
      <c r="L550" s="621">
        <v>10240</v>
      </c>
      <c r="M550" s="621"/>
      <c r="N550" s="755" t="s">
        <v>731</v>
      </c>
      <c r="O550" s="756"/>
      <c r="P550" s="757"/>
      <c r="Q550" s="498"/>
      <c r="R550" s="498">
        <f>SUM(R543:R548)</f>
        <v>148485600</v>
      </c>
      <c r="S550" s="669">
        <f t="shared" si="73"/>
        <v>2232320</v>
      </c>
      <c r="T550" s="864">
        <f t="shared" si="74"/>
        <v>1714417.3706658988</v>
      </c>
    </row>
    <row r="551" spans="1:20" ht="16.5" customHeight="1">
      <c r="A551" s="673">
        <f t="shared" si="71"/>
        <v>19</v>
      </c>
      <c r="B551" s="286" t="s">
        <v>1255</v>
      </c>
      <c r="C551" s="689">
        <v>42612</v>
      </c>
      <c r="D551" s="690" t="s">
        <v>1264</v>
      </c>
      <c r="E551" s="764">
        <v>52</v>
      </c>
      <c r="F551" s="763">
        <v>24.5</v>
      </c>
      <c r="G551" s="763">
        <v>24.5</v>
      </c>
      <c r="H551" s="759">
        <f t="shared" si="66"/>
        <v>0.82</v>
      </c>
      <c r="I551" s="674">
        <v>819</v>
      </c>
      <c r="J551" s="674">
        <f t="shared" si="67"/>
        <v>671.57999999999993</v>
      </c>
      <c r="K551" s="674">
        <f t="shared" si="68"/>
        <v>10076.134202594874</v>
      </c>
      <c r="L551" s="621">
        <v>5000</v>
      </c>
      <c r="M551" s="621"/>
      <c r="N551" s="415"/>
      <c r="O551" s="697"/>
      <c r="P551" s="719"/>
      <c r="Q551" s="687"/>
      <c r="R551" s="699"/>
      <c r="S551" s="669">
        <f t="shared" si="73"/>
        <v>4095000</v>
      </c>
      <c r="T551" s="864">
        <f t="shared" si="74"/>
        <v>8252353.9119252022</v>
      </c>
    </row>
    <row r="552" spans="1:20" ht="16.5" customHeight="1">
      <c r="A552" s="673">
        <f t="shared" si="71"/>
        <v>20</v>
      </c>
      <c r="B552" s="286" t="s">
        <v>1256</v>
      </c>
      <c r="C552" s="689">
        <v>42612</v>
      </c>
      <c r="D552" s="690" t="s">
        <v>1264</v>
      </c>
      <c r="E552" s="764">
        <v>52</v>
      </c>
      <c r="F552" s="763">
        <v>26.5</v>
      </c>
      <c r="G552" s="763">
        <v>26.5</v>
      </c>
      <c r="H552" s="759">
        <f t="shared" si="66"/>
        <v>0.91</v>
      </c>
      <c r="I552" s="674">
        <v>610</v>
      </c>
      <c r="J552" s="674">
        <f t="shared" si="67"/>
        <v>555.1</v>
      </c>
      <c r="K552" s="674">
        <f t="shared" si="68"/>
        <v>11182.051371172362</v>
      </c>
      <c r="L552" s="621">
        <v>5550</v>
      </c>
      <c r="M552" s="621"/>
      <c r="N552" s="415"/>
      <c r="O552" s="697"/>
      <c r="P552" s="719"/>
      <c r="Q552" s="687"/>
      <c r="R552" s="699"/>
      <c r="S552" s="669">
        <f t="shared" si="73"/>
        <v>3385500</v>
      </c>
      <c r="T552" s="864">
        <f t="shared" si="74"/>
        <v>6821051.3364151409</v>
      </c>
    </row>
    <row r="553" spans="1:20" ht="16.5" customHeight="1">
      <c r="A553" s="673">
        <f t="shared" si="71"/>
        <v>21</v>
      </c>
      <c r="B553" s="286" t="s">
        <v>441</v>
      </c>
      <c r="C553" s="689">
        <v>42612</v>
      </c>
      <c r="D553" s="690" t="s">
        <v>1264</v>
      </c>
      <c r="E553" s="764">
        <v>55</v>
      </c>
      <c r="F553" s="763">
        <v>45</v>
      </c>
      <c r="G553" s="763">
        <v>29</v>
      </c>
      <c r="H553" s="759">
        <f t="shared" si="66"/>
        <v>1.58</v>
      </c>
      <c r="I553" s="674">
        <v>599</v>
      </c>
      <c r="J553" s="674">
        <f t="shared" si="67"/>
        <v>946.42000000000007</v>
      </c>
      <c r="K553" s="674">
        <f t="shared" si="68"/>
        <v>19414.99029280476</v>
      </c>
      <c r="L553" s="621">
        <v>9700</v>
      </c>
      <c r="M553" s="621"/>
      <c r="N553" s="1120" t="s">
        <v>732</v>
      </c>
      <c r="O553" s="1121"/>
      <c r="P553" s="1121"/>
      <c r="Q553" s="1122"/>
      <c r="R553" s="760">
        <f>R550/J561</f>
        <v>12287.968539749847</v>
      </c>
      <c r="S553" s="669">
        <f t="shared" si="73"/>
        <v>5810300</v>
      </c>
      <c r="T553" s="864">
        <f t="shared" si="74"/>
        <v>11629579.185390051</v>
      </c>
    </row>
    <row r="554" spans="1:20" ht="16.5" customHeight="1">
      <c r="A554" s="673">
        <f t="shared" si="71"/>
        <v>22</v>
      </c>
      <c r="B554" s="286" t="s">
        <v>454</v>
      </c>
      <c r="C554" s="689">
        <v>42612</v>
      </c>
      <c r="D554" s="690" t="s">
        <v>1264</v>
      </c>
      <c r="E554" s="764">
        <v>61</v>
      </c>
      <c r="F554" s="763">
        <v>51</v>
      </c>
      <c r="G554" s="763">
        <v>30</v>
      </c>
      <c r="H554" s="759">
        <f t="shared" si="66"/>
        <v>1.92</v>
      </c>
      <c r="I554" s="674">
        <v>305</v>
      </c>
      <c r="J554" s="674">
        <f t="shared" si="67"/>
        <v>585.6</v>
      </c>
      <c r="K554" s="674">
        <f t="shared" si="68"/>
        <v>23592.899596319705</v>
      </c>
      <c r="L554" s="621">
        <v>10670</v>
      </c>
      <c r="M554" s="621"/>
      <c r="N554" s="282"/>
      <c r="O554" s="665"/>
      <c r="S554" s="669">
        <f t="shared" si="73"/>
        <v>3254350</v>
      </c>
      <c r="T554" s="864">
        <f t="shared" si="74"/>
        <v>7195834.37687751</v>
      </c>
    </row>
    <row r="555" spans="1:20" ht="16.5" customHeight="1">
      <c r="A555" s="673">
        <f t="shared" si="71"/>
        <v>23</v>
      </c>
      <c r="B555" s="286" t="s">
        <v>1446</v>
      </c>
      <c r="C555" s="689">
        <v>42612</v>
      </c>
      <c r="D555" s="690" t="s">
        <v>1265</v>
      </c>
      <c r="E555" s="764">
        <v>63</v>
      </c>
      <c r="F555" s="763">
        <v>53</v>
      </c>
      <c r="G555" s="763">
        <v>32</v>
      </c>
      <c r="H555" s="759">
        <f t="shared" si="66"/>
        <v>2.09</v>
      </c>
      <c r="I555" s="674">
        <v>100</v>
      </c>
      <c r="J555" s="674">
        <f t="shared" si="67"/>
        <v>209</v>
      </c>
      <c r="K555" s="674">
        <f t="shared" si="68"/>
        <v>25681.854248077179</v>
      </c>
      <c r="L555" s="621">
        <v>18300</v>
      </c>
      <c r="M555" s="621"/>
      <c r="N555" s="282"/>
      <c r="O555" s="665"/>
      <c r="S555" s="669">
        <f t="shared" si="73"/>
        <v>1830000</v>
      </c>
      <c r="T555" s="864">
        <f t="shared" si="74"/>
        <v>2568185.424807718</v>
      </c>
    </row>
    <row r="556" spans="1:20" ht="16.5" customHeight="1">
      <c r="A556" s="673">
        <f t="shared" si="71"/>
        <v>24</v>
      </c>
      <c r="B556" s="286" t="s">
        <v>1446</v>
      </c>
      <c r="C556" s="689">
        <v>42612</v>
      </c>
      <c r="D556" s="690" t="s">
        <v>1265</v>
      </c>
      <c r="E556" s="764">
        <v>63</v>
      </c>
      <c r="F556" s="763">
        <v>53</v>
      </c>
      <c r="G556" s="763">
        <v>32</v>
      </c>
      <c r="H556" s="759">
        <f t="shared" si="66"/>
        <v>2.09</v>
      </c>
      <c r="I556" s="674">
        <v>100</v>
      </c>
      <c r="J556" s="674">
        <f t="shared" si="67"/>
        <v>209</v>
      </c>
      <c r="K556" s="674">
        <f t="shared" si="68"/>
        <v>25681.854248077179</v>
      </c>
      <c r="L556" s="621">
        <v>18300</v>
      </c>
      <c r="M556" s="621"/>
      <c r="N556" s="282"/>
      <c r="O556" s="665"/>
      <c r="S556" s="669">
        <f t="shared" si="73"/>
        <v>1830000</v>
      </c>
      <c r="T556" s="864">
        <f t="shared" si="74"/>
        <v>2568185.424807718</v>
      </c>
    </row>
    <row r="557" spans="1:20" ht="16.5" customHeight="1">
      <c r="A557" s="673">
        <f t="shared" si="71"/>
        <v>25</v>
      </c>
      <c r="B557" s="286" t="s">
        <v>610</v>
      </c>
      <c r="C557" s="689">
        <v>42627</v>
      </c>
      <c r="D557" s="690" t="s">
        <v>1266</v>
      </c>
      <c r="E557" s="764">
        <v>80</v>
      </c>
      <c r="F557" s="763">
        <v>60</v>
      </c>
      <c r="G557" s="763">
        <v>50</v>
      </c>
      <c r="H557" s="759">
        <f t="shared" si="66"/>
        <v>3.22</v>
      </c>
      <c r="I557" s="674">
        <v>153</v>
      </c>
      <c r="J557" s="674">
        <f t="shared" si="67"/>
        <v>492.66</v>
      </c>
      <c r="K557" s="674">
        <f t="shared" si="68"/>
        <v>39567.258697994512</v>
      </c>
      <c r="L557" s="621">
        <v>22750</v>
      </c>
      <c r="M557" s="621"/>
      <c r="N557" s="282"/>
      <c r="O557" s="665"/>
      <c r="S557" s="669">
        <f t="shared" si="73"/>
        <v>3480750</v>
      </c>
      <c r="T557" s="864">
        <f t="shared" si="74"/>
        <v>6053790.58079316</v>
      </c>
    </row>
    <row r="558" spans="1:20" ht="16.5" customHeight="1">
      <c r="A558" s="673">
        <f t="shared" si="71"/>
        <v>26</v>
      </c>
      <c r="B558" s="286" t="s">
        <v>972</v>
      </c>
      <c r="C558" s="689">
        <v>42627</v>
      </c>
      <c r="D558" s="690" t="s">
        <v>1267</v>
      </c>
      <c r="E558" s="764">
        <v>55</v>
      </c>
      <c r="F558" s="763">
        <v>28</v>
      </c>
      <c r="G558" s="763">
        <v>22</v>
      </c>
      <c r="H558" s="759">
        <f t="shared" si="66"/>
        <v>0.91</v>
      </c>
      <c r="I558" s="674">
        <v>205</v>
      </c>
      <c r="J558" s="674">
        <f t="shared" si="67"/>
        <v>186.55</v>
      </c>
      <c r="K558" s="674">
        <f t="shared" si="68"/>
        <v>11182.051371172362</v>
      </c>
      <c r="L558" s="621">
        <v>13200</v>
      </c>
      <c r="M558" s="621"/>
      <c r="N558" s="282"/>
      <c r="O558" s="665"/>
      <c r="S558" s="669">
        <f t="shared" si="73"/>
        <v>2706000</v>
      </c>
      <c r="T558" s="864">
        <f t="shared" si="74"/>
        <v>2292320.5310903341</v>
      </c>
    </row>
    <row r="559" spans="1:20" ht="16.5" customHeight="1">
      <c r="A559" s="673">
        <f t="shared" si="71"/>
        <v>27</v>
      </c>
      <c r="B559" s="286" t="s">
        <v>1443</v>
      </c>
      <c r="C559" s="689">
        <v>42632</v>
      </c>
      <c r="D559" s="690" t="s">
        <v>1269</v>
      </c>
      <c r="E559" s="764">
        <v>49</v>
      </c>
      <c r="F559" s="763">
        <v>38</v>
      </c>
      <c r="G559" s="763">
        <v>12</v>
      </c>
      <c r="H559" s="759">
        <f t="shared" si="66"/>
        <v>0.95</v>
      </c>
      <c r="I559" s="674">
        <v>300</v>
      </c>
      <c r="J559" s="674">
        <f t="shared" si="67"/>
        <v>285</v>
      </c>
      <c r="K559" s="674">
        <f t="shared" si="68"/>
        <v>11673.570112762354</v>
      </c>
      <c r="L559" s="621">
        <v>10500</v>
      </c>
      <c r="M559" s="621"/>
      <c r="N559" s="282"/>
      <c r="O559" s="665"/>
      <c r="S559" s="669">
        <f>I559*L559</f>
        <v>3150000</v>
      </c>
      <c r="T559" s="864">
        <f t="shared" si="74"/>
        <v>3502071.0338287065</v>
      </c>
    </row>
    <row r="560" spans="1:20" ht="16.5" customHeight="1">
      <c r="A560" s="673" t="str">
        <f>IF(B560&lt;&gt;"",#REF!+1,"")</f>
        <v/>
      </c>
      <c r="B560" s="702"/>
      <c r="C560" s="689"/>
      <c r="D560" s="690"/>
      <c r="E560" s="764"/>
      <c r="F560" s="763"/>
      <c r="G560" s="763"/>
      <c r="H560" s="674"/>
      <c r="I560" s="252"/>
      <c r="J560" s="674"/>
      <c r="K560" s="674"/>
      <c r="L560" s="621"/>
      <c r="M560" s="621"/>
      <c r="N560" s="282"/>
      <c r="O560" s="665"/>
      <c r="S560" s="694"/>
      <c r="T560" s="694"/>
    </row>
    <row r="561" spans="1:20" ht="16.5" customHeight="1">
      <c r="A561" s="675"/>
      <c r="B561" s="676" t="s">
        <v>242</v>
      </c>
      <c r="C561" s="695"/>
      <c r="D561" s="696"/>
      <c r="E561" s="757"/>
      <c r="F561" s="757"/>
      <c r="G561" s="757"/>
      <c r="H561" s="760">
        <f>ROUND(SUM(H533:H560),2)</f>
        <v>46.18</v>
      </c>
      <c r="I561" s="498">
        <f>ROUND(SUM(I533:I560),2)</f>
        <v>12493</v>
      </c>
      <c r="J561" s="498">
        <f>ROUND(SUM(J533:J560),2)</f>
        <v>12083.82</v>
      </c>
      <c r="K561" s="498"/>
      <c r="M561" s="621"/>
      <c r="N561" s="282"/>
      <c r="O561" s="665"/>
      <c r="R561" s="883">
        <f>S561-T561</f>
        <v>-52727850</v>
      </c>
      <c r="S561" s="498">
        <f>ROUND(SUM(S533:S560),0)</f>
        <v>95757750</v>
      </c>
      <c r="T561" s="498">
        <f>ROUND(SUM(T533:T560),0)</f>
        <v>148485600</v>
      </c>
    </row>
    <row r="562" spans="1:20" s="694" customFormat="1" ht="15.75" customHeight="1">
      <c r="A562" s="677"/>
      <c r="B562" s="678"/>
      <c r="C562" s="665"/>
      <c r="D562" s="683"/>
      <c r="E562" s="761"/>
      <c r="F562" s="761"/>
      <c r="G562" s="761"/>
      <c r="H562" s="671"/>
      <c r="I562" s="671"/>
      <c r="J562" s="671"/>
      <c r="K562" s="671"/>
      <c r="L562" s="684"/>
      <c r="M562" s="621"/>
      <c r="N562" s="282"/>
      <c r="O562" s="665"/>
      <c r="P562" s="715"/>
      <c r="Q562" s="282"/>
      <c r="R562" s="883"/>
      <c r="S562" s="670"/>
      <c r="T562" s="670"/>
    </row>
    <row r="563" spans="1:20" s="670" customFormat="1" ht="15.75" hidden="1" customHeight="1">
      <c r="A563" s="530" t="str">
        <f>TH!$A$1</f>
        <v>Đơn vị: CÔNG TY TNHH SX TM KIM DUNG PHÁT</v>
      </c>
      <c r="C563" s="665"/>
      <c r="D563" s="683"/>
      <c r="E563" s="715"/>
      <c r="F563" s="715"/>
      <c r="G563" s="715"/>
      <c r="H563" s="282"/>
      <c r="I563" s="558"/>
      <c r="J563" s="558"/>
      <c r="K563" s="282"/>
      <c r="L563" s="684"/>
      <c r="M563" s="684"/>
      <c r="N563" s="282"/>
      <c r="O563" s="665"/>
      <c r="P563" s="715"/>
      <c r="Q563" s="282"/>
      <c r="R563" s="669"/>
      <c r="S563" s="669"/>
      <c r="T563" s="669"/>
    </row>
    <row r="564" spans="1:20" s="670" customFormat="1">
      <c r="A564" s="671" t="s">
        <v>716</v>
      </c>
      <c r="B564" s="671"/>
      <c r="C564" s="665"/>
      <c r="D564" s="683"/>
      <c r="E564" s="761"/>
      <c r="F564" s="761"/>
      <c r="G564" s="761"/>
      <c r="H564" s="671"/>
      <c r="I564" s="671"/>
      <c r="J564" s="671"/>
      <c r="K564" s="671"/>
      <c r="L564" s="684"/>
      <c r="M564" s="684"/>
      <c r="N564" s="282"/>
      <c r="O564" s="665"/>
      <c r="P564" s="715"/>
      <c r="Q564" s="282"/>
      <c r="R564" s="669"/>
      <c r="S564" s="669"/>
      <c r="T564" s="669"/>
    </row>
    <row r="565" spans="1:20" ht="18" customHeight="1">
      <c r="A565" s="671"/>
      <c r="B565" s="672"/>
      <c r="C565" s="665"/>
      <c r="E565" s="758"/>
      <c r="F565" s="758"/>
      <c r="G565" s="758"/>
      <c r="H565" s="672"/>
      <c r="I565" s="685"/>
      <c r="J565" s="685"/>
      <c r="K565" s="672"/>
      <c r="M565" s="684"/>
      <c r="N565" s="282"/>
      <c r="O565" s="665"/>
    </row>
    <row r="566" spans="1:20" ht="18.75" customHeight="1">
      <c r="A566" s="1116" t="s">
        <v>35</v>
      </c>
      <c r="B566" s="1116" t="s">
        <v>238</v>
      </c>
      <c r="C566" s="1116" t="s">
        <v>723</v>
      </c>
      <c r="D566" s="1116" t="s">
        <v>724</v>
      </c>
      <c r="E566" s="1117" t="s">
        <v>725</v>
      </c>
      <c r="F566" s="1118"/>
      <c r="G566" s="1118"/>
      <c r="H566" s="1119"/>
      <c r="I566" s="1116" t="s">
        <v>239</v>
      </c>
      <c r="J566" s="1123" t="s">
        <v>735</v>
      </c>
      <c r="K566" s="1116" t="s">
        <v>729</v>
      </c>
      <c r="L566" s="411"/>
      <c r="M566" s="684"/>
      <c r="N566" s="1116" t="s">
        <v>238</v>
      </c>
      <c r="O566" s="1116" t="s">
        <v>730</v>
      </c>
      <c r="P566" s="1116" t="s">
        <v>197</v>
      </c>
      <c r="Q566" s="1116" t="s">
        <v>240</v>
      </c>
      <c r="R566" s="1116" t="s">
        <v>241</v>
      </c>
      <c r="S566" s="412"/>
      <c r="T566" s="412"/>
    </row>
    <row r="567" spans="1:20" ht="18.75" customHeight="1">
      <c r="A567" s="1116"/>
      <c r="B567" s="1116"/>
      <c r="C567" s="1116"/>
      <c r="D567" s="1116"/>
      <c r="E567" s="717" t="s">
        <v>726</v>
      </c>
      <c r="F567" s="717" t="s">
        <v>727</v>
      </c>
      <c r="G567" s="717" t="s">
        <v>728</v>
      </c>
      <c r="H567" s="410" t="s">
        <v>733</v>
      </c>
      <c r="I567" s="1116"/>
      <c r="J567" s="1124"/>
      <c r="K567" s="1116"/>
      <c r="L567" s="411"/>
      <c r="M567" s="684"/>
      <c r="N567" s="1116"/>
      <c r="O567" s="1116"/>
      <c r="P567" s="1116"/>
      <c r="Q567" s="1116"/>
      <c r="R567" s="1116"/>
      <c r="S567" s="412"/>
      <c r="T567" s="412"/>
    </row>
    <row r="568" spans="1:20" s="412" customFormat="1" ht="17.25" customHeight="1">
      <c r="A568" s="673">
        <v>1</v>
      </c>
      <c r="B568" s="286" t="s">
        <v>1434</v>
      </c>
      <c r="C568" s="689">
        <v>42648</v>
      </c>
      <c r="D568" s="690" t="s">
        <v>1544</v>
      </c>
      <c r="E568" s="764">
        <v>41</v>
      </c>
      <c r="F568" s="763">
        <v>39</v>
      </c>
      <c r="G568" s="763">
        <v>20</v>
      </c>
      <c r="H568" s="759">
        <f t="shared" ref="H568" si="76">IF(G568&lt;&gt;"",ROUND(((E568+F568)*2+5)*(F568+G568+3)/10000,2),ROUND(E568*F568/10000,2))</f>
        <v>1.02</v>
      </c>
      <c r="I568" s="674">
        <v>50</v>
      </c>
      <c r="J568" s="674">
        <f t="shared" ref="J568" si="77">H568*I568</f>
        <v>51</v>
      </c>
      <c r="K568" s="674">
        <f t="shared" ref="K568:K610" si="78">H568*$R$599</f>
        <v>8605.1998042915038</v>
      </c>
      <c r="L568" s="621">
        <v>10900</v>
      </c>
      <c r="M568" s="411"/>
      <c r="N568" s="187" t="s">
        <v>676</v>
      </c>
      <c r="O568" s="691">
        <v>42644</v>
      </c>
      <c r="P568" s="251">
        <v>7969</v>
      </c>
      <c r="Q568" s="251">
        <v>7600</v>
      </c>
      <c r="R568" s="8">
        <f t="shared" ref="R568:R580" si="79">ROUND(P568*Q568,0)</f>
        <v>60564400</v>
      </c>
      <c r="S568" s="669">
        <f>I568*L568</f>
        <v>545000</v>
      </c>
      <c r="T568" s="864">
        <f>I568*K568</f>
        <v>430259.9902145752</v>
      </c>
    </row>
    <row r="569" spans="1:20" s="412" customFormat="1" ht="17.25" customHeight="1">
      <c r="A569" s="673">
        <f t="shared" ref="A569:A715" si="80">IF(B569&lt;&gt;"",A568+1,"")</f>
        <v>2</v>
      </c>
      <c r="B569" s="286" t="s">
        <v>1303</v>
      </c>
      <c r="C569" s="689">
        <v>42649</v>
      </c>
      <c r="D569" s="690" t="s">
        <v>1302</v>
      </c>
      <c r="E569" s="764">
        <v>52.5</v>
      </c>
      <c r="F569" s="763">
        <v>30.5</v>
      </c>
      <c r="G569" s="763">
        <v>8.5</v>
      </c>
      <c r="H569" s="759">
        <f t="shared" ref="H569:H715" si="81">IF(G569&lt;&gt;"",ROUND(((E569+F569)*2+5)*(F569+G569+3)/10000,2),ROUND(E569*F569/10000,2))</f>
        <v>0.72</v>
      </c>
      <c r="I569" s="674">
        <v>1018</v>
      </c>
      <c r="J569" s="674">
        <f t="shared" ref="J569:J715" si="82">H569*I569</f>
        <v>732.95999999999992</v>
      </c>
      <c r="K569" s="674">
        <f t="shared" si="78"/>
        <v>6074.2586853822377</v>
      </c>
      <c r="L569" s="621">
        <v>7700</v>
      </c>
      <c r="M569" s="411"/>
      <c r="N569" s="286" t="s">
        <v>676</v>
      </c>
      <c r="O569" s="691">
        <v>42648</v>
      </c>
      <c r="P569" s="251">
        <v>10100</v>
      </c>
      <c r="Q569" s="251">
        <v>7300</v>
      </c>
      <c r="R569" s="8">
        <f t="shared" si="79"/>
        <v>73730000</v>
      </c>
      <c r="S569" s="669">
        <f t="shared" ref="S569:S632" si="83">I569*L569</f>
        <v>7838600</v>
      </c>
      <c r="T569" s="864">
        <f t="shared" ref="T569:T632" si="84">I569*K569</f>
        <v>6183595.3417191179</v>
      </c>
    </row>
    <row r="570" spans="1:20" ht="17.25" customHeight="1">
      <c r="A570" s="673">
        <f t="shared" si="80"/>
        <v>3</v>
      </c>
      <c r="B570" s="286" t="s">
        <v>1304</v>
      </c>
      <c r="C570" s="689">
        <v>42649</v>
      </c>
      <c r="D570" s="690" t="s">
        <v>1302</v>
      </c>
      <c r="E570" s="764">
        <v>33</v>
      </c>
      <c r="F570" s="763">
        <v>31</v>
      </c>
      <c r="G570" s="763">
        <v>9.1999999999999993</v>
      </c>
      <c r="H570" s="759">
        <f t="shared" si="81"/>
        <v>0.56999999999999995</v>
      </c>
      <c r="I570" s="674">
        <v>1020</v>
      </c>
      <c r="J570" s="674">
        <f t="shared" si="82"/>
        <v>581.4</v>
      </c>
      <c r="K570" s="674">
        <f t="shared" si="78"/>
        <v>4808.7881259276046</v>
      </c>
      <c r="L570" s="621">
        <v>6400</v>
      </c>
      <c r="M570" s="621"/>
      <c r="N570" s="286" t="s">
        <v>690</v>
      </c>
      <c r="O570" s="691">
        <v>42648</v>
      </c>
      <c r="P570" s="251">
        <v>7166</v>
      </c>
      <c r="Q570" s="251">
        <v>8600</v>
      </c>
      <c r="R570" s="8">
        <f t="shared" ref="R570:R576" si="85">ROUND(P570*Q570,0)</f>
        <v>61627600</v>
      </c>
      <c r="S570" s="669">
        <f t="shared" si="83"/>
        <v>6528000</v>
      </c>
      <c r="T570" s="864">
        <f t="shared" si="84"/>
        <v>4904963.8884461569</v>
      </c>
    </row>
    <row r="571" spans="1:20" ht="17.25" customHeight="1">
      <c r="A571" s="673">
        <f t="shared" si="80"/>
        <v>4</v>
      </c>
      <c r="B571" s="286" t="s">
        <v>1255</v>
      </c>
      <c r="C571" s="689">
        <v>42651</v>
      </c>
      <c r="D571" s="690" t="s">
        <v>1305</v>
      </c>
      <c r="E571" s="764">
        <v>52</v>
      </c>
      <c r="F571" s="763">
        <v>24.5</v>
      </c>
      <c r="G571" s="763">
        <v>24.5</v>
      </c>
      <c r="H571" s="759">
        <f t="shared" si="81"/>
        <v>0.82</v>
      </c>
      <c r="I571" s="674">
        <v>926</v>
      </c>
      <c r="J571" s="674">
        <f t="shared" si="82"/>
        <v>759.31999999999994</v>
      </c>
      <c r="K571" s="674">
        <f t="shared" si="78"/>
        <v>6917.9057250186588</v>
      </c>
      <c r="L571" s="621">
        <v>5000</v>
      </c>
      <c r="M571" s="621"/>
      <c r="N571" s="286" t="s">
        <v>680</v>
      </c>
      <c r="O571" s="691">
        <v>42663</v>
      </c>
      <c r="P571" s="251">
        <v>8288</v>
      </c>
      <c r="Q571" s="251">
        <v>9000</v>
      </c>
      <c r="R571" s="8">
        <f t="shared" si="85"/>
        <v>74592000</v>
      </c>
      <c r="S571" s="669">
        <f t="shared" si="83"/>
        <v>4630000</v>
      </c>
      <c r="T571" s="864">
        <f t="shared" si="84"/>
        <v>6405980.7013672777</v>
      </c>
    </row>
    <row r="572" spans="1:20" ht="17.25" customHeight="1">
      <c r="A572" s="673">
        <f t="shared" si="80"/>
        <v>5</v>
      </c>
      <c r="B572" s="286" t="s">
        <v>1306</v>
      </c>
      <c r="C572" s="689">
        <v>42651</v>
      </c>
      <c r="D572" s="690" t="s">
        <v>823</v>
      </c>
      <c r="E572" s="764">
        <v>43</v>
      </c>
      <c r="F572" s="763">
        <v>42</v>
      </c>
      <c r="G572" s="763">
        <v>26</v>
      </c>
      <c r="H572" s="759">
        <f t="shared" si="81"/>
        <v>1.24</v>
      </c>
      <c r="I572" s="674">
        <v>140</v>
      </c>
      <c r="J572" s="674">
        <f t="shared" si="82"/>
        <v>173.6</v>
      </c>
      <c r="K572" s="674">
        <f t="shared" si="78"/>
        <v>10461.223291491631</v>
      </c>
      <c r="L572" s="621">
        <v>12400</v>
      </c>
      <c r="M572" s="621"/>
      <c r="N572" s="286" t="s">
        <v>680</v>
      </c>
      <c r="O572" s="691">
        <v>42675</v>
      </c>
      <c r="P572" s="251">
        <v>8778</v>
      </c>
      <c r="Q572" s="251">
        <v>9000</v>
      </c>
      <c r="R572" s="8">
        <f t="shared" si="85"/>
        <v>79002000</v>
      </c>
      <c r="S572" s="669">
        <f t="shared" si="83"/>
        <v>1736000</v>
      </c>
      <c r="T572" s="864">
        <f t="shared" si="84"/>
        <v>1464571.2608088283</v>
      </c>
    </row>
    <row r="573" spans="1:20" ht="17.25" customHeight="1">
      <c r="A573" s="673">
        <f t="shared" si="80"/>
        <v>6</v>
      </c>
      <c r="B573" s="286" t="s">
        <v>1307</v>
      </c>
      <c r="C573" s="689">
        <v>42651</v>
      </c>
      <c r="D573" s="690" t="s">
        <v>823</v>
      </c>
      <c r="E573" s="764">
        <v>49</v>
      </c>
      <c r="F573" s="763">
        <v>47</v>
      </c>
      <c r="G573" s="763">
        <v>27</v>
      </c>
      <c r="H573" s="759">
        <f t="shared" si="81"/>
        <v>1.52</v>
      </c>
      <c r="I573" s="674">
        <v>140</v>
      </c>
      <c r="J573" s="674">
        <f t="shared" si="82"/>
        <v>212.8</v>
      </c>
      <c r="K573" s="674">
        <f t="shared" si="78"/>
        <v>12823.435002473612</v>
      </c>
      <c r="L573" s="621">
        <v>14200</v>
      </c>
      <c r="M573" s="621"/>
      <c r="N573" s="286" t="s">
        <v>676</v>
      </c>
      <c r="O573" s="691">
        <v>42675</v>
      </c>
      <c r="P573" s="251">
        <v>10150</v>
      </c>
      <c r="Q573" s="251">
        <v>7300</v>
      </c>
      <c r="R573" s="8">
        <f t="shared" si="85"/>
        <v>74095000</v>
      </c>
      <c r="S573" s="669">
        <f t="shared" si="83"/>
        <v>1988000</v>
      </c>
      <c r="T573" s="864">
        <f t="shared" si="84"/>
        <v>1795280.9003463057</v>
      </c>
    </row>
    <row r="574" spans="1:20" ht="17.25" customHeight="1">
      <c r="A574" s="673">
        <f t="shared" si="80"/>
        <v>7</v>
      </c>
      <c r="B574" s="286" t="s">
        <v>1310</v>
      </c>
      <c r="C574" s="689">
        <v>42651</v>
      </c>
      <c r="D574" s="690" t="s">
        <v>823</v>
      </c>
      <c r="E574" s="764">
        <v>38</v>
      </c>
      <c r="F574" s="763">
        <v>37</v>
      </c>
      <c r="G574" s="763">
        <v>30</v>
      </c>
      <c r="H574" s="759">
        <f t="shared" si="81"/>
        <v>1.0900000000000001</v>
      </c>
      <c r="I574" s="674">
        <v>140</v>
      </c>
      <c r="J574" s="674">
        <f t="shared" si="82"/>
        <v>152.60000000000002</v>
      </c>
      <c r="K574" s="674">
        <f t="shared" si="78"/>
        <v>9195.7527320369991</v>
      </c>
      <c r="L574" s="621">
        <v>15300</v>
      </c>
      <c r="M574" s="621"/>
      <c r="N574" s="286" t="s">
        <v>853</v>
      </c>
      <c r="O574" s="691">
        <v>42689</v>
      </c>
      <c r="P574" s="251">
        <v>4777</v>
      </c>
      <c r="Q574" s="251">
        <v>8500</v>
      </c>
      <c r="R574" s="8">
        <f t="shared" si="85"/>
        <v>40604500</v>
      </c>
      <c r="S574" s="669">
        <f t="shared" si="83"/>
        <v>2142000</v>
      </c>
      <c r="T574" s="864">
        <f t="shared" si="84"/>
        <v>1287405.3824851799</v>
      </c>
    </row>
    <row r="575" spans="1:20" ht="17.25" customHeight="1">
      <c r="A575" s="673">
        <f t="shared" si="80"/>
        <v>8</v>
      </c>
      <c r="B575" s="286" t="s">
        <v>1308</v>
      </c>
      <c r="C575" s="689">
        <v>42651</v>
      </c>
      <c r="D575" s="690" t="s">
        <v>823</v>
      </c>
      <c r="E575" s="764">
        <v>40</v>
      </c>
      <c r="F575" s="763">
        <v>39</v>
      </c>
      <c r="G575" s="763">
        <v>32</v>
      </c>
      <c r="H575" s="759">
        <f t="shared" si="81"/>
        <v>1.21</v>
      </c>
      <c r="I575" s="674">
        <v>140</v>
      </c>
      <c r="J575" s="674">
        <f t="shared" si="82"/>
        <v>169.4</v>
      </c>
      <c r="K575" s="674">
        <f t="shared" si="78"/>
        <v>10208.129179600704</v>
      </c>
      <c r="L575" s="621">
        <v>16500</v>
      </c>
      <c r="M575" s="621"/>
      <c r="N575" s="187" t="s">
        <v>1248</v>
      </c>
      <c r="O575" s="691">
        <v>42689</v>
      </c>
      <c r="P575" s="251">
        <v>10008</v>
      </c>
      <c r="Q575" s="251">
        <v>8500</v>
      </c>
      <c r="R575" s="8">
        <f t="shared" si="85"/>
        <v>85068000</v>
      </c>
      <c r="S575" s="669">
        <f t="shared" si="83"/>
        <v>2310000</v>
      </c>
      <c r="T575" s="864">
        <f t="shared" si="84"/>
        <v>1429138.0851440986</v>
      </c>
    </row>
    <row r="576" spans="1:20" ht="17.25" customHeight="1">
      <c r="A576" s="673">
        <f t="shared" si="80"/>
        <v>9</v>
      </c>
      <c r="B576" s="286" t="s">
        <v>1309</v>
      </c>
      <c r="C576" s="689">
        <v>42651</v>
      </c>
      <c r="D576" s="690" t="s">
        <v>823</v>
      </c>
      <c r="E576" s="764">
        <v>42</v>
      </c>
      <c r="F576" s="763">
        <v>41</v>
      </c>
      <c r="G576" s="763">
        <v>34</v>
      </c>
      <c r="H576" s="759">
        <f t="shared" si="81"/>
        <v>1.33</v>
      </c>
      <c r="I576" s="674">
        <v>400</v>
      </c>
      <c r="J576" s="674">
        <f t="shared" si="82"/>
        <v>532</v>
      </c>
      <c r="K576" s="674">
        <f t="shared" si="78"/>
        <v>11220.505627164412</v>
      </c>
      <c r="L576" s="621">
        <v>19700</v>
      </c>
      <c r="M576" s="621"/>
      <c r="N576" s="187" t="s">
        <v>1245</v>
      </c>
      <c r="O576" s="691">
        <v>42699</v>
      </c>
      <c r="P576" s="251">
        <v>806</v>
      </c>
      <c r="Q576" s="251">
        <v>7600</v>
      </c>
      <c r="R576" s="8">
        <f t="shared" si="85"/>
        <v>6125600</v>
      </c>
      <c r="S576" s="669">
        <f t="shared" si="83"/>
        <v>7880000</v>
      </c>
      <c r="T576" s="864">
        <f t="shared" si="84"/>
        <v>4488202.2508657649</v>
      </c>
    </row>
    <row r="577" spans="1:20" ht="17.25" customHeight="1">
      <c r="A577" s="673">
        <f t="shared" si="80"/>
        <v>10</v>
      </c>
      <c r="B577" s="286" t="s">
        <v>1436</v>
      </c>
      <c r="C577" s="689">
        <v>42651</v>
      </c>
      <c r="D577" s="690" t="s">
        <v>823</v>
      </c>
      <c r="E577" s="764">
        <v>63</v>
      </c>
      <c r="F577" s="763">
        <v>53</v>
      </c>
      <c r="G577" s="763">
        <v>32</v>
      </c>
      <c r="H577" s="759">
        <f t="shared" si="81"/>
        <v>2.09</v>
      </c>
      <c r="I577" s="674">
        <v>100</v>
      </c>
      <c r="J577" s="674">
        <f t="shared" si="82"/>
        <v>209</v>
      </c>
      <c r="K577" s="674">
        <f t="shared" si="78"/>
        <v>17632.223128401216</v>
      </c>
      <c r="L577" s="621">
        <v>20100</v>
      </c>
      <c r="M577" s="621"/>
      <c r="N577" s="414" t="s">
        <v>1247</v>
      </c>
      <c r="O577" s="689">
        <v>42705</v>
      </c>
      <c r="P577" s="718">
        <v>6282</v>
      </c>
      <c r="Q577" s="708">
        <v>9200</v>
      </c>
      <c r="R577" s="8">
        <f t="shared" si="79"/>
        <v>57794400</v>
      </c>
      <c r="S577" s="669">
        <f t="shared" si="83"/>
        <v>2010000</v>
      </c>
      <c r="T577" s="864">
        <f t="shared" si="84"/>
        <v>1763222.3128401216</v>
      </c>
    </row>
    <row r="578" spans="1:20" ht="17.25" customHeight="1">
      <c r="A578" s="673">
        <f t="shared" si="80"/>
        <v>11</v>
      </c>
      <c r="B578" s="286" t="s">
        <v>1446</v>
      </c>
      <c r="C578" s="689">
        <v>42651</v>
      </c>
      <c r="D578" s="690" t="s">
        <v>823</v>
      </c>
      <c r="E578" s="764">
        <v>63</v>
      </c>
      <c r="F578" s="763">
        <v>53</v>
      </c>
      <c r="G578" s="763">
        <v>32</v>
      </c>
      <c r="H578" s="759">
        <f t="shared" si="81"/>
        <v>2.09</v>
      </c>
      <c r="I578" s="674">
        <v>170</v>
      </c>
      <c r="J578" s="674">
        <f t="shared" si="82"/>
        <v>355.29999999999995</v>
      </c>
      <c r="K578" s="674">
        <f t="shared" si="78"/>
        <v>17632.223128401216</v>
      </c>
      <c r="L578" s="621">
        <v>18300</v>
      </c>
      <c r="M578" s="621"/>
      <c r="N578" s="414" t="s">
        <v>1248</v>
      </c>
      <c r="O578" s="689">
        <v>42705</v>
      </c>
      <c r="P578" s="718">
        <v>4325</v>
      </c>
      <c r="Q578" s="708">
        <v>8500</v>
      </c>
      <c r="R578" s="8">
        <f t="shared" si="79"/>
        <v>36762500</v>
      </c>
      <c r="S578" s="669">
        <f t="shared" si="83"/>
        <v>3111000</v>
      </c>
      <c r="T578" s="864">
        <f t="shared" si="84"/>
        <v>2997477.9318282069</v>
      </c>
    </row>
    <row r="579" spans="1:20" ht="17.25" customHeight="1">
      <c r="A579" s="673">
        <f t="shared" si="80"/>
        <v>12</v>
      </c>
      <c r="B579" s="286" t="s">
        <v>1255</v>
      </c>
      <c r="C579" s="689">
        <v>42653</v>
      </c>
      <c r="D579" s="690" t="s">
        <v>1543</v>
      </c>
      <c r="E579" s="764">
        <v>52</v>
      </c>
      <c r="F579" s="763">
        <v>24.5</v>
      </c>
      <c r="G579" s="763">
        <v>24.5</v>
      </c>
      <c r="H579" s="759">
        <f t="shared" si="81"/>
        <v>0.82</v>
      </c>
      <c r="I579" s="674">
        <v>320</v>
      </c>
      <c r="J579" s="674">
        <f t="shared" si="82"/>
        <v>262.39999999999998</v>
      </c>
      <c r="K579" s="674">
        <f t="shared" si="78"/>
        <v>6917.9057250186588</v>
      </c>
      <c r="L579" s="621">
        <v>5000</v>
      </c>
      <c r="M579" s="621"/>
      <c r="N579" s="414" t="s">
        <v>1247</v>
      </c>
      <c r="O579" s="689">
        <v>42719</v>
      </c>
      <c r="P579" s="718">
        <v>1215</v>
      </c>
      <c r="Q579" s="708">
        <v>9200</v>
      </c>
      <c r="R579" s="8">
        <f t="shared" si="79"/>
        <v>11178000</v>
      </c>
      <c r="S579" s="669">
        <f t="shared" si="83"/>
        <v>1600000</v>
      </c>
      <c r="T579" s="864">
        <f t="shared" si="84"/>
        <v>2213729.8320059706</v>
      </c>
    </row>
    <row r="580" spans="1:20" ht="17.25" customHeight="1">
      <c r="A580" s="673">
        <f t="shared" si="80"/>
        <v>13</v>
      </c>
      <c r="B580" s="286" t="s">
        <v>441</v>
      </c>
      <c r="C580" s="689">
        <v>42653</v>
      </c>
      <c r="D580" s="690" t="s">
        <v>1543</v>
      </c>
      <c r="E580" s="764">
        <v>55</v>
      </c>
      <c r="F580" s="763">
        <v>45</v>
      </c>
      <c r="G580" s="763">
        <v>29</v>
      </c>
      <c r="H580" s="759">
        <f t="shared" si="81"/>
        <v>1.58</v>
      </c>
      <c r="I580" s="674">
        <v>659</v>
      </c>
      <c r="J580" s="674">
        <f t="shared" si="82"/>
        <v>1041.22</v>
      </c>
      <c r="K580" s="674">
        <f t="shared" si="78"/>
        <v>13329.623226255466</v>
      </c>
      <c r="L580" s="621">
        <v>9700</v>
      </c>
      <c r="M580" s="621"/>
      <c r="N580" s="414" t="s">
        <v>1250</v>
      </c>
      <c r="O580" s="689">
        <v>42719</v>
      </c>
      <c r="P580" s="718">
        <v>3085</v>
      </c>
      <c r="Q580" s="708">
        <v>9200</v>
      </c>
      <c r="R580" s="8">
        <f t="shared" si="79"/>
        <v>28382000</v>
      </c>
      <c r="S580" s="669">
        <f t="shared" si="83"/>
        <v>6392300</v>
      </c>
      <c r="T580" s="864">
        <f t="shared" si="84"/>
        <v>8784221.7061023526</v>
      </c>
    </row>
    <row r="581" spans="1:20" ht="17.25" customHeight="1">
      <c r="A581" s="673">
        <f t="shared" si="80"/>
        <v>14</v>
      </c>
      <c r="B581" s="286" t="s">
        <v>418</v>
      </c>
      <c r="C581" s="689">
        <v>42655</v>
      </c>
      <c r="D581" s="690" t="s">
        <v>1311</v>
      </c>
      <c r="E581" s="764">
        <v>103</v>
      </c>
      <c r="F581" s="763">
        <v>50</v>
      </c>
      <c r="G581" s="763">
        <v>180</v>
      </c>
      <c r="H581" s="759">
        <f t="shared" si="81"/>
        <v>7.25</v>
      </c>
      <c r="I581" s="674">
        <v>150</v>
      </c>
      <c r="J581" s="674">
        <f t="shared" si="82"/>
        <v>1087.5</v>
      </c>
      <c r="K581" s="674">
        <f t="shared" si="78"/>
        <v>61164.410373640589</v>
      </c>
      <c r="L581" s="621">
        <v>47449</v>
      </c>
      <c r="M581" s="621"/>
      <c r="N581" s="414"/>
      <c r="O581" s="689"/>
      <c r="P581" s="718"/>
      <c r="Q581" s="708"/>
      <c r="R581" s="8"/>
      <c r="S581" s="669">
        <f t="shared" si="83"/>
        <v>7117350</v>
      </c>
      <c r="T581" s="864">
        <f t="shared" si="84"/>
        <v>9174661.5560460892</v>
      </c>
    </row>
    <row r="582" spans="1:20" ht="17.25" customHeight="1">
      <c r="A582" s="673">
        <f t="shared" si="80"/>
        <v>15</v>
      </c>
      <c r="B582" s="286" t="s">
        <v>1443</v>
      </c>
      <c r="C582" s="689">
        <v>42656</v>
      </c>
      <c r="D582" s="690" t="s">
        <v>1312</v>
      </c>
      <c r="E582" s="764">
        <v>49</v>
      </c>
      <c r="F582" s="763">
        <v>38</v>
      </c>
      <c r="G582" s="763">
        <v>12</v>
      </c>
      <c r="H582" s="759">
        <f t="shared" si="81"/>
        <v>0.95</v>
      </c>
      <c r="I582" s="674">
        <v>520</v>
      </c>
      <c r="J582" s="674">
        <f t="shared" si="82"/>
        <v>494</v>
      </c>
      <c r="K582" s="674">
        <f t="shared" si="78"/>
        <v>8014.6468765460077</v>
      </c>
      <c r="L582" s="621">
        <v>10500</v>
      </c>
      <c r="M582" s="621"/>
      <c r="N582" s="755" t="s">
        <v>717</v>
      </c>
      <c r="O582" s="756"/>
      <c r="P582" s="757"/>
      <c r="Q582" s="498"/>
      <c r="R582" s="498">
        <f>SUM(R568:R581)</f>
        <v>689526000</v>
      </c>
      <c r="S582" s="669">
        <f t="shared" si="83"/>
        <v>5460000</v>
      </c>
      <c r="T582" s="864">
        <f t="shared" si="84"/>
        <v>4167616.3758039242</v>
      </c>
    </row>
    <row r="583" spans="1:20" ht="17.25" customHeight="1">
      <c r="A583" s="673">
        <f t="shared" si="80"/>
        <v>16</v>
      </c>
      <c r="B583" s="286" t="s">
        <v>1313</v>
      </c>
      <c r="C583" s="689">
        <v>42656</v>
      </c>
      <c r="D583" s="690" t="s">
        <v>1312</v>
      </c>
      <c r="E583" s="764">
        <v>35</v>
      </c>
      <c r="F583" s="763">
        <v>21</v>
      </c>
      <c r="G583" s="763">
        <v>23</v>
      </c>
      <c r="H583" s="759">
        <f t="shared" si="81"/>
        <v>0.55000000000000004</v>
      </c>
      <c r="I583" s="674">
        <v>50</v>
      </c>
      <c r="J583" s="674">
        <f t="shared" si="82"/>
        <v>27.500000000000004</v>
      </c>
      <c r="K583" s="674">
        <f t="shared" si="78"/>
        <v>4640.0587180003204</v>
      </c>
      <c r="L583" s="621">
        <v>5000</v>
      </c>
      <c r="M583" s="621"/>
      <c r="N583" s="286" t="s">
        <v>857</v>
      </c>
      <c r="O583" s="689">
        <v>42644</v>
      </c>
      <c r="P583" s="251">
        <v>800</v>
      </c>
      <c r="Q583" s="251">
        <v>19000</v>
      </c>
      <c r="R583" s="8">
        <f t="shared" ref="R583:R586" si="86">ROUND(P583*Q583,0)</f>
        <v>15200000</v>
      </c>
      <c r="S583" s="669">
        <f t="shared" si="83"/>
        <v>250000</v>
      </c>
      <c r="T583" s="864">
        <f t="shared" si="84"/>
        <v>232002.93590001602</v>
      </c>
    </row>
    <row r="584" spans="1:20" ht="17.25" customHeight="1">
      <c r="A584" s="673">
        <f t="shared" si="80"/>
        <v>17</v>
      </c>
      <c r="B584" s="286" t="s">
        <v>1315</v>
      </c>
      <c r="C584" s="689">
        <v>42656</v>
      </c>
      <c r="D584" s="690" t="s">
        <v>1314</v>
      </c>
      <c r="E584" s="764">
        <v>23.5</v>
      </c>
      <c r="F584" s="763">
        <v>23.5</v>
      </c>
      <c r="G584" s="763">
        <v>30.5</v>
      </c>
      <c r="H584" s="759">
        <f t="shared" si="81"/>
        <v>0.56000000000000005</v>
      </c>
      <c r="I584" s="674">
        <v>996</v>
      </c>
      <c r="J584" s="674">
        <f t="shared" si="82"/>
        <v>557.7600000000001</v>
      </c>
      <c r="K584" s="674">
        <f t="shared" si="78"/>
        <v>4724.4234219639629</v>
      </c>
      <c r="L584" s="621">
        <v>6700</v>
      </c>
      <c r="M584" s="621"/>
      <c r="N584" s="187" t="s">
        <v>857</v>
      </c>
      <c r="O584" s="691">
        <v>42689</v>
      </c>
      <c r="P584" s="251">
        <v>600</v>
      </c>
      <c r="Q584" s="251">
        <v>19000</v>
      </c>
      <c r="R584" s="8">
        <f t="shared" si="86"/>
        <v>11400000</v>
      </c>
      <c r="S584" s="669">
        <f t="shared" si="83"/>
        <v>6673200</v>
      </c>
      <c r="T584" s="864">
        <f t="shared" si="84"/>
        <v>4705525.7282761075</v>
      </c>
    </row>
    <row r="585" spans="1:20" ht="17.25" customHeight="1">
      <c r="A585" s="673">
        <f t="shared" si="80"/>
        <v>18</v>
      </c>
      <c r="B585" s="286" t="s">
        <v>1317</v>
      </c>
      <c r="C585" s="689">
        <v>42661</v>
      </c>
      <c r="D585" s="690" t="s">
        <v>1316</v>
      </c>
      <c r="E585" s="764">
        <v>36.5</v>
      </c>
      <c r="F585" s="763">
        <v>26.5</v>
      </c>
      <c r="G585" s="763">
        <v>26</v>
      </c>
      <c r="H585" s="759">
        <f t="shared" si="81"/>
        <v>0.73</v>
      </c>
      <c r="I585" s="674">
        <v>510</v>
      </c>
      <c r="J585" s="674">
        <f t="shared" si="82"/>
        <v>372.3</v>
      </c>
      <c r="K585" s="674">
        <f t="shared" si="78"/>
        <v>6158.6233893458793</v>
      </c>
      <c r="L585" s="621">
        <v>11000</v>
      </c>
      <c r="M585" s="621"/>
      <c r="N585" s="187" t="s">
        <v>813</v>
      </c>
      <c r="O585" s="689">
        <v>42644</v>
      </c>
      <c r="P585" s="251">
        <v>150</v>
      </c>
      <c r="Q585" s="251">
        <v>19545</v>
      </c>
      <c r="R585" s="8">
        <f t="shared" si="86"/>
        <v>2931750</v>
      </c>
      <c r="S585" s="669">
        <f t="shared" si="83"/>
        <v>5610000</v>
      </c>
      <c r="T585" s="864">
        <f t="shared" si="84"/>
        <v>3140897.9285663986</v>
      </c>
    </row>
    <row r="586" spans="1:20" ht="17.25" customHeight="1">
      <c r="A586" s="673">
        <f t="shared" si="80"/>
        <v>19</v>
      </c>
      <c r="B586" s="286" t="s">
        <v>1320</v>
      </c>
      <c r="C586" s="689">
        <v>42661</v>
      </c>
      <c r="D586" s="690" t="s">
        <v>1318</v>
      </c>
      <c r="E586" s="764">
        <v>58</v>
      </c>
      <c r="F586" s="763">
        <v>38</v>
      </c>
      <c r="G586" s="763"/>
      <c r="H586" s="759">
        <f t="shared" si="81"/>
        <v>0.22</v>
      </c>
      <c r="I586" s="674">
        <v>5070</v>
      </c>
      <c r="J586" s="674">
        <f t="shared" si="82"/>
        <v>1115.4000000000001</v>
      </c>
      <c r="K586" s="674">
        <f t="shared" si="78"/>
        <v>1856.0234872001281</v>
      </c>
      <c r="L586" s="621">
        <v>1102</v>
      </c>
      <c r="M586" s="621"/>
      <c r="N586" s="187"/>
      <c r="O586" s="689"/>
      <c r="P586" s="251"/>
      <c r="Q586" s="251"/>
      <c r="R586" s="8">
        <f t="shared" si="86"/>
        <v>0</v>
      </c>
      <c r="S586" s="669">
        <f t="shared" si="83"/>
        <v>5587140</v>
      </c>
      <c r="T586" s="864">
        <f t="shared" si="84"/>
        <v>9410039.0801046491</v>
      </c>
    </row>
    <row r="587" spans="1:20" ht="17.25" customHeight="1">
      <c r="A587" s="673">
        <f t="shared" si="80"/>
        <v>20</v>
      </c>
      <c r="B587" s="286" t="s">
        <v>1321</v>
      </c>
      <c r="C587" s="689">
        <v>42661</v>
      </c>
      <c r="D587" s="690" t="s">
        <v>1318</v>
      </c>
      <c r="E587" s="764">
        <v>100</v>
      </c>
      <c r="F587" s="763">
        <v>150</v>
      </c>
      <c r="G587" s="763"/>
      <c r="H587" s="759">
        <f t="shared" si="81"/>
        <v>1.5</v>
      </c>
      <c r="I587" s="674">
        <v>500</v>
      </c>
      <c r="J587" s="674">
        <f t="shared" si="82"/>
        <v>750</v>
      </c>
      <c r="K587" s="674">
        <f t="shared" si="78"/>
        <v>12654.705594546329</v>
      </c>
      <c r="L587" s="621">
        <v>7500</v>
      </c>
      <c r="M587" s="621"/>
      <c r="N587" s="414"/>
      <c r="O587" s="689"/>
      <c r="P587" s="718"/>
      <c r="Q587" s="708"/>
      <c r="R587" s="8"/>
      <c r="S587" s="669">
        <f t="shared" si="83"/>
        <v>3750000</v>
      </c>
      <c r="T587" s="864">
        <f t="shared" si="84"/>
        <v>6327352.7972731646</v>
      </c>
    </row>
    <row r="588" spans="1:20" ht="17.25" customHeight="1">
      <c r="A588" s="673">
        <f t="shared" si="80"/>
        <v>21</v>
      </c>
      <c r="B588" s="286" t="s">
        <v>1325</v>
      </c>
      <c r="C588" s="689">
        <v>42661</v>
      </c>
      <c r="D588" s="690" t="s">
        <v>1322</v>
      </c>
      <c r="E588" s="764">
        <v>36</v>
      </c>
      <c r="F588" s="763">
        <v>30</v>
      </c>
      <c r="G588" s="763">
        <v>23</v>
      </c>
      <c r="H588" s="759">
        <f t="shared" si="81"/>
        <v>0.77</v>
      </c>
      <c r="I588" s="674">
        <v>400</v>
      </c>
      <c r="J588" s="674">
        <f t="shared" si="82"/>
        <v>308</v>
      </c>
      <c r="K588" s="674">
        <f t="shared" si="78"/>
        <v>6496.0822052004487</v>
      </c>
      <c r="L588" s="621">
        <v>9500</v>
      </c>
      <c r="M588" s="621"/>
      <c r="N588" s="755" t="s">
        <v>718</v>
      </c>
      <c r="O588" s="756"/>
      <c r="P588" s="757"/>
      <c r="Q588" s="498"/>
      <c r="R588" s="498">
        <f>SUM(R583:R587)</f>
        <v>29531750</v>
      </c>
      <c r="S588" s="669">
        <f t="shared" si="83"/>
        <v>3800000</v>
      </c>
      <c r="T588" s="864">
        <f t="shared" si="84"/>
        <v>2598432.8820801796</v>
      </c>
    </row>
    <row r="589" spans="1:20" ht="17.25" customHeight="1">
      <c r="A589" s="673">
        <f t="shared" si="80"/>
        <v>22</v>
      </c>
      <c r="B589" s="286" t="s">
        <v>1326</v>
      </c>
      <c r="C589" s="689">
        <v>42661</v>
      </c>
      <c r="D589" s="690" t="s">
        <v>1322</v>
      </c>
      <c r="E589" s="764">
        <v>38</v>
      </c>
      <c r="F589" s="763">
        <v>38</v>
      </c>
      <c r="G589" s="763">
        <v>23</v>
      </c>
      <c r="H589" s="759">
        <f t="shared" si="81"/>
        <v>1</v>
      </c>
      <c r="I589" s="674">
        <v>338</v>
      </c>
      <c r="J589" s="674">
        <f t="shared" si="82"/>
        <v>338</v>
      </c>
      <c r="K589" s="674">
        <f t="shared" si="78"/>
        <v>8436.4703963642187</v>
      </c>
      <c r="L589" s="621">
        <v>11000</v>
      </c>
      <c r="M589" s="621"/>
      <c r="N589" s="414" t="s">
        <v>719</v>
      </c>
      <c r="O589" s="689"/>
      <c r="P589" s="718"/>
      <c r="Q589" s="708"/>
      <c r="R589" s="8">
        <f>R582</f>
        <v>689526000</v>
      </c>
      <c r="S589" s="669">
        <f t="shared" si="83"/>
        <v>3718000</v>
      </c>
      <c r="T589" s="864">
        <f t="shared" si="84"/>
        <v>2851526.9939711061</v>
      </c>
    </row>
    <row r="590" spans="1:20" ht="17.25" customHeight="1">
      <c r="A590" s="673">
        <f t="shared" si="80"/>
        <v>23</v>
      </c>
      <c r="B590" s="286" t="s">
        <v>1327</v>
      </c>
      <c r="C590" s="689">
        <v>42661</v>
      </c>
      <c r="D590" s="690" t="s">
        <v>1322</v>
      </c>
      <c r="E590" s="764">
        <v>31</v>
      </c>
      <c r="F590" s="763">
        <v>30</v>
      </c>
      <c r="G590" s="763">
        <v>21.5</v>
      </c>
      <c r="H590" s="759">
        <f t="shared" si="81"/>
        <v>0.69</v>
      </c>
      <c r="I590" s="674">
        <v>400</v>
      </c>
      <c r="J590" s="674">
        <f t="shared" si="82"/>
        <v>276</v>
      </c>
      <c r="K590" s="674">
        <f t="shared" si="78"/>
        <v>5821.1645734913109</v>
      </c>
      <c r="L590" s="621">
        <v>7200</v>
      </c>
      <c r="M590" s="621"/>
      <c r="N590" s="414" t="s">
        <v>720</v>
      </c>
      <c r="O590" s="689"/>
      <c r="P590" s="718"/>
      <c r="Q590" s="708"/>
      <c r="R590" s="8">
        <f>R588</f>
        <v>29531750</v>
      </c>
      <c r="S590" s="669">
        <f t="shared" si="83"/>
        <v>2880000</v>
      </c>
      <c r="T590" s="864">
        <f t="shared" si="84"/>
        <v>2328465.8293965245</v>
      </c>
    </row>
    <row r="591" spans="1:20" ht="17.25" customHeight="1">
      <c r="A591" s="673">
        <f t="shared" si="80"/>
        <v>24</v>
      </c>
      <c r="B591" s="286" t="s">
        <v>1329</v>
      </c>
      <c r="C591" s="689">
        <v>42661</v>
      </c>
      <c r="D591" s="690" t="s">
        <v>1324</v>
      </c>
      <c r="E591" s="764">
        <v>28</v>
      </c>
      <c r="F591" s="763">
        <v>28</v>
      </c>
      <c r="G591" s="763">
        <v>33.5</v>
      </c>
      <c r="H591" s="759">
        <f t="shared" si="81"/>
        <v>0.75</v>
      </c>
      <c r="I591" s="674">
        <v>203</v>
      </c>
      <c r="J591" s="674">
        <f t="shared" si="82"/>
        <v>152.25</v>
      </c>
      <c r="K591" s="674">
        <f t="shared" si="78"/>
        <v>6327.3527972731645</v>
      </c>
      <c r="L591" s="621">
        <v>8400</v>
      </c>
      <c r="M591" s="621"/>
      <c r="N591" s="414" t="s">
        <v>722</v>
      </c>
      <c r="O591" s="689"/>
      <c r="P591" s="718"/>
      <c r="Q591" s="708"/>
      <c r="R591" s="8"/>
      <c r="S591" s="669">
        <f t="shared" si="83"/>
        <v>1705200</v>
      </c>
      <c r="T591" s="864">
        <f t="shared" si="84"/>
        <v>1284452.6178464524</v>
      </c>
    </row>
    <row r="592" spans="1:20" ht="17.25" customHeight="1">
      <c r="A592" s="673">
        <f t="shared" si="80"/>
        <v>25</v>
      </c>
      <c r="B592" s="286" t="s">
        <v>481</v>
      </c>
      <c r="C592" s="689">
        <v>42661</v>
      </c>
      <c r="D592" s="690" t="s">
        <v>1324</v>
      </c>
      <c r="E592" s="764">
        <v>28</v>
      </c>
      <c r="F592" s="763">
        <v>28</v>
      </c>
      <c r="G592" s="763">
        <v>40</v>
      </c>
      <c r="H592" s="759">
        <f t="shared" si="81"/>
        <v>0.83</v>
      </c>
      <c r="I592" s="674">
        <v>200</v>
      </c>
      <c r="J592" s="674">
        <f t="shared" si="82"/>
        <v>166</v>
      </c>
      <c r="K592" s="674">
        <f t="shared" si="78"/>
        <v>7002.2704289823014</v>
      </c>
      <c r="L592" s="621">
        <v>6600</v>
      </c>
      <c r="M592" s="621"/>
      <c r="N592" s="414" t="s">
        <v>721</v>
      </c>
      <c r="O592" s="689"/>
      <c r="P592" s="718"/>
      <c r="Q592" s="708"/>
      <c r="R592" s="8">
        <v>6250000</v>
      </c>
      <c r="S592" s="669">
        <f t="shared" si="83"/>
        <v>1320000</v>
      </c>
      <c r="T592" s="864">
        <f t="shared" si="84"/>
        <v>1400454.0857964603</v>
      </c>
    </row>
    <row r="593" spans="1:20" ht="17.25" customHeight="1">
      <c r="A593" s="673">
        <f t="shared" si="80"/>
        <v>26</v>
      </c>
      <c r="B593" s="286" t="s">
        <v>1327</v>
      </c>
      <c r="C593" s="689">
        <v>42662</v>
      </c>
      <c r="D593" s="690" t="s">
        <v>1330</v>
      </c>
      <c r="E593" s="764">
        <v>31</v>
      </c>
      <c r="F593" s="763">
        <v>30</v>
      </c>
      <c r="G593" s="763">
        <v>21.5</v>
      </c>
      <c r="H593" s="759">
        <f t="shared" si="81"/>
        <v>0.69</v>
      </c>
      <c r="I593" s="674">
        <v>934</v>
      </c>
      <c r="J593" s="674">
        <f t="shared" si="82"/>
        <v>644.45999999999992</v>
      </c>
      <c r="K593" s="674">
        <f t="shared" si="78"/>
        <v>5821.1645734913109</v>
      </c>
      <c r="L593" s="621">
        <v>7200</v>
      </c>
      <c r="M593" s="621"/>
      <c r="N593" s="414" t="s">
        <v>734</v>
      </c>
      <c r="O593" s="689"/>
      <c r="P593" s="718"/>
      <c r="Q593" s="708"/>
      <c r="R593" s="8">
        <v>48555000</v>
      </c>
      <c r="S593" s="669">
        <f t="shared" si="83"/>
        <v>6724800</v>
      </c>
      <c r="T593" s="864">
        <f t="shared" si="84"/>
        <v>5436967.7116408842</v>
      </c>
    </row>
    <row r="594" spans="1:20" ht="17.25" customHeight="1">
      <c r="A594" s="673">
        <f t="shared" si="80"/>
        <v>27</v>
      </c>
      <c r="B594" s="286" t="s">
        <v>1256</v>
      </c>
      <c r="C594" s="689">
        <v>42662</v>
      </c>
      <c r="D594" s="690" t="s">
        <v>1331</v>
      </c>
      <c r="E594" s="764">
        <v>52</v>
      </c>
      <c r="F594" s="763">
        <v>26.5</v>
      </c>
      <c r="G594" s="763">
        <v>26.5</v>
      </c>
      <c r="H594" s="759">
        <f t="shared" si="81"/>
        <v>0.91</v>
      </c>
      <c r="I594" s="674">
        <v>617</v>
      </c>
      <c r="J594" s="674">
        <f t="shared" si="82"/>
        <v>561.47</v>
      </c>
      <c r="K594" s="674">
        <f t="shared" si="78"/>
        <v>7677.1880606914392</v>
      </c>
      <c r="L594" s="621">
        <v>5550</v>
      </c>
      <c r="M594" s="621"/>
      <c r="N594" s="286"/>
      <c r="O594" s="689"/>
      <c r="P594" s="718"/>
      <c r="Q594" s="708"/>
      <c r="R594" s="8"/>
      <c r="S594" s="669">
        <f t="shared" si="83"/>
        <v>3424350</v>
      </c>
      <c r="T594" s="864">
        <f t="shared" si="84"/>
        <v>4736825.0334466184</v>
      </c>
    </row>
    <row r="595" spans="1:20" ht="17.25" customHeight="1">
      <c r="A595" s="673">
        <f t="shared" si="80"/>
        <v>28</v>
      </c>
      <c r="B595" s="286" t="s">
        <v>626</v>
      </c>
      <c r="C595" s="689">
        <v>42662</v>
      </c>
      <c r="D595" s="690" t="s">
        <v>1331</v>
      </c>
      <c r="E595" s="764">
        <v>52</v>
      </c>
      <c r="F595" s="763">
        <v>43</v>
      </c>
      <c r="G595" s="763">
        <v>30</v>
      </c>
      <c r="H595" s="759">
        <f t="shared" si="81"/>
        <v>1.48</v>
      </c>
      <c r="I595" s="674">
        <v>322</v>
      </c>
      <c r="J595" s="674">
        <f t="shared" si="82"/>
        <v>476.56</v>
      </c>
      <c r="K595" s="674">
        <f t="shared" si="78"/>
        <v>12485.976186619044</v>
      </c>
      <c r="L595" s="621">
        <v>9290</v>
      </c>
      <c r="M595" s="621"/>
      <c r="N595" s="414"/>
      <c r="O595" s="689"/>
      <c r="P595" s="718"/>
      <c r="Q595" s="708"/>
      <c r="R595" s="8"/>
      <c r="S595" s="669">
        <f t="shared" si="83"/>
        <v>2991380</v>
      </c>
      <c r="T595" s="864">
        <f t="shared" si="84"/>
        <v>4020484.3320913319</v>
      </c>
    </row>
    <row r="596" spans="1:20" ht="17.25" customHeight="1">
      <c r="A596" s="673">
        <f t="shared" si="80"/>
        <v>29</v>
      </c>
      <c r="B596" s="286" t="s">
        <v>1441</v>
      </c>
      <c r="C596" s="689">
        <v>42664</v>
      </c>
      <c r="D596" s="690" t="s">
        <v>1332</v>
      </c>
      <c r="E596" s="764">
        <v>23</v>
      </c>
      <c r="F596" s="763">
        <v>23</v>
      </c>
      <c r="G596" s="763">
        <v>18</v>
      </c>
      <c r="H596" s="759">
        <f t="shared" si="81"/>
        <v>0.43</v>
      </c>
      <c r="I596" s="674">
        <v>1800</v>
      </c>
      <c r="J596" s="674">
        <f t="shared" si="82"/>
        <v>774</v>
      </c>
      <c r="K596" s="674">
        <f t="shared" si="78"/>
        <v>3627.6822704366141</v>
      </c>
      <c r="L596" s="621">
        <v>3970</v>
      </c>
      <c r="M596" s="621"/>
      <c r="N596" s="755" t="s">
        <v>731</v>
      </c>
      <c r="O596" s="756"/>
      <c r="P596" s="757"/>
      <c r="Q596" s="498"/>
      <c r="R596" s="498">
        <f>SUM(R589:R595)</f>
        <v>773862750</v>
      </c>
      <c r="S596" s="669">
        <f t="shared" si="83"/>
        <v>7146000</v>
      </c>
      <c r="T596" s="864">
        <f t="shared" si="84"/>
        <v>6529828.0867859051</v>
      </c>
    </row>
    <row r="597" spans="1:20" ht="17.25" customHeight="1">
      <c r="A597" s="673">
        <f t="shared" si="80"/>
        <v>30</v>
      </c>
      <c r="B597" s="286" t="s">
        <v>1307</v>
      </c>
      <c r="C597" s="689">
        <v>42664</v>
      </c>
      <c r="D597" s="690" t="s">
        <v>1332</v>
      </c>
      <c r="E597" s="764">
        <v>49</v>
      </c>
      <c r="F597" s="763">
        <v>47</v>
      </c>
      <c r="G597" s="763">
        <v>27</v>
      </c>
      <c r="H597" s="759">
        <f t="shared" si="81"/>
        <v>1.52</v>
      </c>
      <c r="I597" s="674">
        <v>30</v>
      </c>
      <c r="J597" s="674">
        <f t="shared" si="82"/>
        <v>45.6</v>
      </c>
      <c r="K597" s="674">
        <f t="shared" si="78"/>
        <v>12823.435002473612</v>
      </c>
      <c r="L597" s="621">
        <v>12400</v>
      </c>
      <c r="M597" s="621"/>
      <c r="N597" s="415"/>
      <c r="O597" s="697"/>
      <c r="P597" s="719"/>
      <c r="Q597" s="687"/>
      <c r="R597" s="699"/>
      <c r="S597" s="669">
        <f t="shared" si="83"/>
        <v>372000</v>
      </c>
      <c r="T597" s="864">
        <f t="shared" si="84"/>
        <v>384703.05007420835</v>
      </c>
    </row>
    <row r="598" spans="1:20" ht="17.25" customHeight="1">
      <c r="A598" s="673">
        <f t="shared" si="80"/>
        <v>31</v>
      </c>
      <c r="B598" s="286" t="s">
        <v>1307</v>
      </c>
      <c r="C598" s="689">
        <v>42664</v>
      </c>
      <c r="D598" s="690" t="s">
        <v>1332</v>
      </c>
      <c r="E598" s="764">
        <v>49</v>
      </c>
      <c r="F598" s="763">
        <v>47</v>
      </c>
      <c r="G598" s="763">
        <v>27</v>
      </c>
      <c r="H598" s="759">
        <f t="shared" si="81"/>
        <v>1.52</v>
      </c>
      <c r="I598" s="674">
        <v>30</v>
      </c>
      <c r="J598" s="674">
        <f t="shared" si="82"/>
        <v>45.6</v>
      </c>
      <c r="K598" s="674">
        <f t="shared" si="78"/>
        <v>12823.435002473612</v>
      </c>
      <c r="L598" s="621">
        <v>14200</v>
      </c>
      <c r="M598" s="621"/>
      <c r="N598" s="415"/>
      <c r="O598" s="697"/>
      <c r="P598" s="719"/>
      <c r="Q598" s="687"/>
      <c r="R598" s="699"/>
      <c r="S598" s="669">
        <f t="shared" si="83"/>
        <v>426000</v>
      </c>
      <c r="T598" s="864">
        <f t="shared" si="84"/>
        <v>384703.05007420835</v>
      </c>
    </row>
    <row r="599" spans="1:20" ht="17.25" customHeight="1">
      <c r="A599" s="673">
        <f t="shared" si="80"/>
        <v>32</v>
      </c>
      <c r="B599" s="286" t="s">
        <v>1310</v>
      </c>
      <c r="C599" s="689">
        <v>42664</v>
      </c>
      <c r="D599" s="690" t="s">
        <v>1332</v>
      </c>
      <c r="E599" s="764">
        <v>38</v>
      </c>
      <c r="F599" s="763">
        <v>37</v>
      </c>
      <c r="G599" s="763">
        <v>30</v>
      </c>
      <c r="H599" s="759">
        <f t="shared" si="81"/>
        <v>1.0900000000000001</v>
      </c>
      <c r="I599" s="674">
        <v>30</v>
      </c>
      <c r="J599" s="674">
        <f t="shared" si="82"/>
        <v>32.700000000000003</v>
      </c>
      <c r="K599" s="674">
        <f t="shared" si="78"/>
        <v>9195.7527320369991</v>
      </c>
      <c r="L599" s="621">
        <v>15300</v>
      </c>
      <c r="M599" s="621"/>
      <c r="N599" s="1120" t="s">
        <v>732</v>
      </c>
      <c r="O599" s="1121"/>
      <c r="P599" s="1121"/>
      <c r="Q599" s="1122"/>
      <c r="R599" s="760">
        <f>R596/J717</f>
        <v>8436.4703963642187</v>
      </c>
      <c r="S599" s="669">
        <f t="shared" si="83"/>
        <v>459000</v>
      </c>
      <c r="T599" s="864">
        <f t="shared" si="84"/>
        <v>275872.58196111</v>
      </c>
    </row>
    <row r="600" spans="1:20" s="694" customFormat="1" ht="17.25" customHeight="1">
      <c r="A600" s="673">
        <f t="shared" si="80"/>
        <v>33</v>
      </c>
      <c r="B600" s="286" t="s">
        <v>1308</v>
      </c>
      <c r="C600" s="689">
        <v>42664</v>
      </c>
      <c r="D600" s="690" t="s">
        <v>1332</v>
      </c>
      <c r="E600" s="764">
        <v>40</v>
      </c>
      <c r="F600" s="763">
        <v>39</v>
      </c>
      <c r="G600" s="763">
        <v>32</v>
      </c>
      <c r="H600" s="759">
        <f t="shared" si="81"/>
        <v>1.21</v>
      </c>
      <c r="I600" s="674">
        <v>30</v>
      </c>
      <c r="J600" s="674">
        <f t="shared" si="82"/>
        <v>36.299999999999997</v>
      </c>
      <c r="K600" s="674">
        <f t="shared" si="78"/>
        <v>10208.129179600704</v>
      </c>
      <c r="L600" s="621">
        <v>16500</v>
      </c>
      <c r="M600" s="621"/>
      <c r="N600" s="669"/>
      <c r="O600" s="682"/>
      <c r="P600" s="715"/>
      <c r="Q600" s="282"/>
      <c r="R600" s="669"/>
      <c r="S600" s="669">
        <f t="shared" si="83"/>
        <v>495000</v>
      </c>
      <c r="T600" s="864">
        <f t="shared" si="84"/>
        <v>306243.87538802112</v>
      </c>
    </row>
    <row r="601" spans="1:20" s="670" customFormat="1" ht="17.25" customHeight="1">
      <c r="A601" s="673">
        <f t="shared" si="80"/>
        <v>34</v>
      </c>
      <c r="B601" s="286" t="s">
        <v>1309</v>
      </c>
      <c r="C601" s="689">
        <v>42664</v>
      </c>
      <c r="D601" s="690" t="s">
        <v>1332</v>
      </c>
      <c r="E601" s="764">
        <v>42</v>
      </c>
      <c r="F601" s="763">
        <v>41</v>
      </c>
      <c r="G601" s="763">
        <v>34</v>
      </c>
      <c r="H601" s="759">
        <f t="shared" si="81"/>
        <v>1.33</v>
      </c>
      <c r="I601" s="674">
        <v>100</v>
      </c>
      <c r="J601" s="674">
        <f t="shared" si="82"/>
        <v>133</v>
      </c>
      <c r="K601" s="674">
        <f t="shared" si="78"/>
        <v>11220.505627164412</v>
      </c>
      <c r="L601" s="621">
        <v>19700</v>
      </c>
      <c r="M601" s="621"/>
      <c r="N601" s="669"/>
      <c r="O601" s="682"/>
      <c r="P601" s="715"/>
      <c r="Q601" s="282"/>
      <c r="R601" s="669"/>
      <c r="S601" s="669">
        <f t="shared" si="83"/>
        <v>1970000</v>
      </c>
      <c r="T601" s="864">
        <f t="shared" si="84"/>
        <v>1122050.5627164412</v>
      </c>
    </row>
    <row r="602" spans="1:20" ht="17.25" customHeight="1">
      <c r="A602" s="673">
        <f t="shared" si="80"/>
        <v>35</v>
      </c>
      <c r="B602" s="286" t="s">
        <v>1436</v>
      </c>
      <c r="C602" s="689">
        <v>42664</v>
      </c>
      <c r="D602" s="690" t="s">
        <v>1332</v>
      </c>
      <c r="E602" s="764">
        <v>63</v>
      </c>
      <c r="F602" s="763">
        <v>53</v>
      </c>
      <c r="G602" s="763">
        <v>32</v>
      </c>
      <c r="H602" s="759">
        <f t="shared" si="81"/>
        <v>2.09</v>
      </c>
      <c r="I602" s="674">
        <v>30</v>
      </c>
      <c r="J602" s="674">
        <f t="shared" si="82"/>
        <v>62.699999999999996</v>
      </c>
      <c r="K602" s="674">
        <f t="shared" si="78"/>
        <v>17632.223128401216</v>
      </c>
      <c r="L602" s="621">
        <v>20100</v>
      </c>
      <c r="M602" s="621"/>
      <c r="S602" s="669">
        <f t="shared" si="83"/>
        <v>603000</v>
      </c>
      <c r="T602" s="864">
        <f t="shared" si="84"/>
        <v>528966.69385203649</v>
      </c>
    </row>
    <row r="603" spans="1:20" ht="17.25" customHeight="1">
      <c r="A603" s="673">
        <f t="shared" si="80"/>
        <v>36</v>
      </c>
      <c r="B603" s="286" t="s">
        <v>1446</v>
      </c>
      <c r="C603" s="689">
        <v>42664</v>
      </c>
      <c r="D603" s="690" t="s">
        <v>1332</v>
      </c>
      <c r="E603" s="764">
        <v>63</v>
      </c>
      <c r="F603" s="763">
        <v>53</v>
      </c>
      <c r="G603" s="763">
        <v>32</v>
      </c>
      <c r="H603" s="759">
        <f t="shared" si="81"/>
        <v>2.09</v>
      </c>
      <c r="I603" s="674">
        <v>70</v>
      </c>
      <c r="J603" s="674">
        <f t="shared" si="82"/>
        <v>146.29999999999998</v>
      </c>
      <c r="K603" s="674">
        <f t="shared" si="78"/>
        <v>17632.223128401216</v>
      </c>
      <c r="L603" s="684">
        <v>18300</v>
      </c>
      <c r="M603" s="621"/>
      <c r="S603" s="669">
        <f t="shared" si="83"/>
        <v>1281000</v>
      </c>
      <c r="T603" s="864">
        <f t="shared" si="84"/>
        <v>1234255.6189880851</v>
      </c>
    </row>
    <row r="604" spans="1:20" ht="17.25" customHeight="1">
      <c r="A604" s="673">
        <f t="shared" si="80"/>
        <v>37</v>
      </c>
      <c r="B604" s="286" t="s">
        <v>1334</v>
      </c>
      <c r="C604" s="689">
        <v>42665</v>
      </c>
      <c r="D604" s="690" t="s">
        <v>1333</v>
      </c>
      <c r="E604" s="764">
        <v>49.5</v>
      </c>
      <c r="F604" s="763">
        <v>38.5</v>
      </c>
      <c r="G604" s="763">
        <v>32.5</v>
      </c>
      <c r="H604" s="759">
        <f t="shared" si="81"/>
        <v>1.34</v>
      </c>
      <c r="I604" s="674">
        <v>296</v>
      </c>
      <c r="J604" s="674">
        <f t="shared" si="82"/>
        <v>396.64000000000004</v>
      </c>
      <c r="K604" s="674">
        <f t="shared" si="78"/>
        <v>11304.870331128053</v>
      </c>
      <c r="L604" s="684">
        <v>12900</v>
      </c>
      <c r="M604" s="621"/>
      <c r="S604" s="669">
        <f t="shared" si="83"/>
        <v>3818400</v>
      </c>
      <c r="T604" s="864">
        <f t="shared" si="84"/>
        <v>3346241.618013904</v>
      </c>
    </row>
    <row r="605" spans="1:20" ht="17.25" customHeight="1">
      <c r="A605" s="673">
        <f t="shared" si="80"/>
        <v>38</v>
      </c>
      <c r="B605" s="286" t="s">
        <v>1335</v>
      </c>
      <c r="C605" s="689">
        <v>42665</v>
      </c>
      <c r="D605" s="690" t="s">
        <v>1333</v>
      </c>
      <c r="E605" s="764">
        <v>43</v>
      </c>
      <c r="F605" s="763">
        <v>27.5</v>
      </c>
      <c r="G605" s="763">
        <v>33</v>
      </c>
      <c r="H605" s="759">
        <f t="shared" si="81"/>
        <v>0.93</v>
      </c>
      <c r="I605" s="674">
        <v>100</v>
      </c>
      <c r="J605" s="674">
        <f t="shared" si="82"/>
        <v>93</v>
      </c>
      <c r="K605" s="674">
        <f t="shared" si="78"/>
        <v>7845.9174686187234</v>
      </c>
      <c r="L605" s="684">
        <v>6400</v>
      </c>
      <c r="S605" s="669">
        <f t="shared" si="83"/>
        <v>640000</v>
      </c>
      <c r="T605" s="864">
        <f t="shared" si="84"/>
        <v>784591.74686187238</v>
      </c>
    </row>
    <row r="606" spans="1:20" ht="17.25" customHeight="1">
      <c r="A606" s="673">
        <f t="shared" si="80"/>
        <v>39</v>
      </c>
      <c r="B606" s="286" t="s">
        <v>1336</v>
      </c>
      <c r="C606" s="689">
        <v>42665</v>
      </c>
      <c r="D606" s="690" t="s">
        <v>1333</v>
      </c>
      <c r="E606" s="764">
        <v>61</v>
      </c>
      <c r="F606" s="763">
        <v>30</v>
      </c>
      <c r="G606" s="763">
        <v>23</v>
      </c>
      <c r="H606" s="759">
        <f t="shared" si="81"/>
        <v>1.05</v>
      </c>
      <c r="I606" s="674">
        <v>52</v>
      </c>
      <c r="J606" s="674">
        <f t="shared" si="82"/>
        <v>54.6</v>
      </c>
      <c r="K606" s="674">
        <f t="shared" si="78"/>
        <v>8858.2939161824306</v>
      </c>
      <c r="L606" s="684">
        <v>10500</v>
      </c>
      <c r="S606" s="669">
        <f t="shared" si="83"/>
        <v>546000</v>
      </c>
      <c r="T606" s="864">
        <f t="shared" si="84"/>
        <v>460631.28364148637</v>
      </c>
    </row>
    <row r="607" spans="1:20" ht="17.25" customHeight="1">
      <c r="A607" s="673">
        <f t="shared" si="80"/>
        <v>40</v>
      </c>
      <c r="B607" s="286" t="s">
        <v>1338</v>
      </c>
      <c r="C607" s="689">
        <v>42665</v>
      </c>
      <c r="D607" s="690" t="s">
        <v>1337</v>
      </c>
      <c r="E607" s="764">
        <v>33</v>
      </c>
      <c r="F607" s="763">
        <v>31</v>
      </c>
      <c r="G607" s="763">
        <v>12.3</v>
      </c>
      <c r="H607" s="759">
        <f t="shared" si="81"/>
        <v>0.62</v>
      </c>
      <c r="I607" s="674">
        <v>526</v>
      </c>
      <c r="J607" s="674">
        <f t="shared" si="82"/>
        <v>326.12</v>
      </c>
      <c r="K607" s="674">
        <f t="shared" si="78"/>
        <v>5230.6116457458156</v>
      </c>
      <c r="L607" s="684">
        <v>7500</v>
      </c>
      <c r="S607" s="669">
        <f t="shared" si="83"/>
        <v>3945000</v>
      </c>
      <c r="T607" s="864">
        <f t="shared" si="84"/>
        <v>2751301.725662299</v>
      </c>
    </row>
    <row r="608" spans="1:20" ht="17.25" customHeight="1">
      <c r="A608" s="673">
        <f t="shared" si="80"/>
        <v>41</v>
      </c>
      <c r="B608" s="286" t="s">
        <v>1255</v>
      </c>
      <c r="C608" s="689">
        <v>42667</v>
      </c>
      <c r="D608" s="690" t="s">
        <v>1339</v>
      </c>
      <c r="E608" s="764">
        <v>52</v>
      </c>
      <c r="F608" s="763">
        <v>24.5</v>
      </c>
      <c r="G608" s="763">
        <v>24.5</v>
      </c>
      <c r="H608" s="759">
        <f t="shared" si="81"/>
        <v>0.82</v>
      </c>
      <c r="I608" s="674">
        <v>1188</v>
      </c>
      <c r="J608" s="674">
        <f t="shared" si="82"/>
        <v>974.16</v>
      </c>
      <c r="K608" s="674">
        <f t="shared" si="78"/>
        <v>6917.9057250186588</v>
      </c>
      <c r="L608" s="684">
        <v>5000</v>
      </c>
      <c r="S608" s="669">
        <f t="shared" si="83"/>
        <v>5940000</v>
      </c>
      <c r="T608" s="864">
        <f t="shared" si="84"/>
        <v>8218472.001322167</v>
      </c>
    </row>
    <row r="609" spans="1:20" ht="17.25" customHeight="1">
      <c r="A609" s="673">
        <f t="shared" si="80"/>
        <v>42</v>
      </c>
      <c r="B609" s="286" t="s">
        <v>625</v>
      </c>
      <c r="C609" s="689">
        <v>42667</v>
      </c>
      <c r="D609" s="690" t="s">
        <v>1339</v>
      </c>
      <c r="E609" s="764">
        <v>48</v>
      </c>
      <c r="F609" s="763">
        <v>40</v>
      </c>
      <c r="G609" s="763">
        <v>29</v>
      </c>
      <c r="H609" s="759">
        <f t="shared" si="81"/>
        <v>1.3</v>
      </c>
      <c r="I609" s="674">
        <v>215</v>
      </c>
      <c r="J609" s="674">
        <f t="shared" si="82"/>
        <v>279.5</v>
      </c>
      <c r="K609" s="674">
        <f t="shared" si="78"/>
        <v>10967.411515273485</v>
      </c>
      <c r="L609" s="684">
        <v>8000</v>
      </c>
      <c r="S609" s="669">
        <f t="shared" si="83"/>
        <v>1720000</v>
      </c>
      <c r="T609" s="864">
        <f t="shared" si="84"/>
        <v>2357993.4757837993</v>
      </c>
    </row>
    <row r="610" spans="1:20" ht="17.25" customHeight="1">
      <c r="A610" s="673">
        <f t="shared" si="80"/>
        <v>43</v>
      </c>
      <c r="B610" s="286" t="s">
        <v>1341</v>
      </c>
      <c r="C610" s="689">
        <v>42668</v>
      </c>
      <c r="D610" s="690" t="s">
        <v>1340</v>
      </c>
      <c r="E610" s="764">
        <v>37.5</v>
      </c>
      <c r="F610" s="763">
        <v>23.5</v>
      </c>
      <c r="G610" s="763">
        <v>23.5</v>
      </c>
      <c r="H610" s="759">
        <f t="shared" si="81"/>
        <v>0.64</v>
      </c>
      <c r="I610" s="674">
        <v>720</v>
      </c>
      <c r="J610" s="674">
        <f t="shared" si="82"/>
        <v>460.8</v>
      </c>
      <c r="K610" s="674">
        <f t="shared" si="78"/>
        <v>5399.3410536730999</v>
      </c>
      <c r="L610" s="684">
        <v>5900</v>
      </c>
      <c r="S610" s="669">
        <f t="shared" si="83"/>
        <v>4248000</v>
      </c>
      <c r="T610" s="864">
        <f t="shared" si="84"/>
        <v>3887525.5586446319</v>
      </c>
    </row>
    <row r="611" spans="1:20" ht="17.25" customHeight="1">
      <c r="A611" s="673">
        <f t="shared" si="80"/>
        <v>44</v>
      </c>
      <c r="B611" s="286" t="s">
        <v>1342</v>
      </c>
      <c r="C611" s="689">
        <v>42668</v>
      </c>
      <c r="D611" s="690" t="s">
        <v>1340</v>
      </c>
      <c r="E611" s="764">
        <v>33.700000000000003</v>
      </c>
      <c r="F611" s="763">
        <v>22.7</v>
      </c>
      <c r="G611" s="763">
        <v>19.3</v>
      </c>
      <c r="H611" s="759">
        <f t="shared" ref="H611:H700" si="87">IF(G611&lt;&gt;"",ROUND(((E611+F611)*2+5)*(F611+G611+3)/10000,2),ROUND(E611*F611/10000,2))</f>
        <v>0.53</v>
      </c>
      <c r="I611" s="674">
        <v>313</v>
      </c>
      <c r="J611" s="674">
        <f t="shared" ref="J611:J700" si="88">H611*I611</f>
        <v>165.89000000000001</v>
      </c>
      <c r="K611" s="674">
        <f t="shared" ref="K611:K700" si="89">H611*$R$599</f>
        <v>4471.3293100730361</v>
      </c>
      <c r="L611" s="684">
        <v>4900</v>
      </c>
      <c r="S611" s="669">
        <f t="shared" si="83"/>
        <v>1533700</v>
      </c>
      <c r="T611" s="864">
        <f t="shared" si="84"/>
        <v>1399526.0740528603</v>
      </c>
    </row>
    <row r="612" spans="1:20" ht="17.25" customHeight="1">
      <c r="A612" s="673">
        <f t="shared" si="80"/>
        <v>45</v>
      </c>
      <c r="B612" s="286" t="s">
        <v>1068</v>
      </c>
      <c r="C612" s="689">
        <v>42669</v>
      </c>
      <c r="D612" s="690" t="s">
        <v>1343</v>
      </c>
      <c r="E612" s="764">
        <v>122</v>
      </c>
      <c r="F612" s="763">
        <v>54</v>
      </c>
      <c r="G612" s="763">
        <v>180</v>
      </c>
      <c r="H612" s="759">
        <f t="shared" si="87"/>
        <v>8.4600000000000009</v>
      </c>
      <c r="I612" s="674">
        <v>60</v>
      </c>
      <c r="J612" s="674">
        <f t="shared" si="88"/>
        <v>507.6</v>
      </c>
      <c r="K612" s="674">
        <f t="shared" si="89"/>
        <v>71372.539553241295</v>
      </c>
      <c r="L612" s="684">
        <v>54530</v>
      </c>
      <c r="S612" s="669">
        <f t="shared" si="83"/>
        <v>3271800</v>
      </c>
      <c r="T612" s="864">
        <f t="shared" si="84"/>
        <v>4282352.3731944775</v>
      </c>
    </row>
    <row r="613" spans="1:20" ht="17.25" customHeight="1">
      <c r="A613" s="673">
        <f t="shared" si="80"/>
        <v>46</v>
      </c>
      <c r="B613" s="286" t="s">
        <v>418</v>
      </c>
      <c r="C613" s="689">
        <v>42669</v>
      </c>
      <c r="D613" s="690" t="s">
        <v>1343</v>
      </c>
      <c r="E613" s="764">
        <v>103</v>
      </c>
      <c r="F613" s="763">
        <v>50</v>
      </c>
      <c r="G613" s="763">
        <v>180</v>
      </c>
      <c r="H613" s="759">
        <f t="shared" si="87"/>
        <v>7.25</v>
      </c>
      <c r="I613" s="674">
        <v>154</v>
      </c>
      <c r="J613" s="674">
        <f t="shared" si="88"/>
        <v>1116.5</v>
      </c>
      <c r="K613" s="674">
        <f t="shared" si="89"/>
        <v>61164.410373640589</v>
      </c>
      <c r="L613" s="684">
        <v>47449</v>
      </c>
      <c r="S613" s="669">
        <f t="shared" si="83"/>
        <v>7307146</v>
      </c>
      <c r="T613" s="864">
        <f t="shared" si="84"/>
        <v>9419319.1975406501</v>
      </c>
    </row>
    <row r="614" spans="1:20" ht="17.25" customHeight="1">
      <c r="A614" s="673">
        <f t="shared" si="80"/>
        <v>47</v>
      </c>
      <c r="B614" s="286" t="s">
        <v>1444</v>
      </c>
      <c r="C614" s="689">
        <v>42669</v>
      </c>
      <c r="D614" s="690" t="s">
        <v>1345</v>
      </c>
      <c r="E614" s="764">
        <v>70</v>
      </c>
      <c r="F614" s="763">
        <v>45</v>
      </c>
      <c r="G614" s="763"/>
      <c r="H614" s="759">
        <f t="shared" si="87"/>
        <v>0.32</v>
      </c>
      <c r="I614" s="674">
        <v>520</v>
      </c>
      <c r="J614" s="674">
        <f t="shared" si="88"/>
        <v>166.4</v>
      </c>
      <c r="K614" s="674">
        <f t="shared" si="89"/>
        <v>2699.6705268365499</v>
      </c>
      <c r="L614" s="684">
        <v>3311</v>
      </c>
      <c r="S614" s="669">
        <f t="shared" si="83"/>
        <v>1721720</v>
      </c>
      <c r="T614" s="864">
        <f t="shared" si="84"/>
        <v>1403828.6739550061</v>
      </c>
    </row>
    <row r="615" spans="1:20" ht="17.25" customHeight="1">
      <c r="A615" s="673">
        <f t="shared" si="80"/>
        <v>48</v>
      </c>
      <c r="B615" s="286" t="s">
        <v>1444</v>
      </c>
      <c r="C615" s="689">
        <v>42669</v>
      </c>
      <c r="D615" s="690" t="s">
        <v>1345</v>
      </c>
      <c r="E615" s="764">
        <v>70</v>
      </c>
      <c r="F615" s="763">
        <v>45</v>
      </c>
      <c r="G615" s="763"/>
      <c r="H615" s="759">
        <f t="shared" si="87"/>
        <v>0.32</v>
      </c>
      <c r="I615" s="674">
        <v>550</v>
      </c>
      <c r="J615" s="674">
        <f t="shared" si="88"/>
        <v>176</v>
      </c>
      <c r="K615" s="674">
        <f t="shared" si="89"/>
        <v>2699.6705268365499</v>
      </c>
      <c r="L615" s="684">
        <v>3542</v>
      </c>
      <c r="S615" s="669">
        <f t="shared" si="83"/>
        <v>1948100</v>
      </c>
      <c r="T615" s="864">
        <f t="shared" si="84"/>
        <v>1484818.7897601025</v>
      </c>
    </row>
    <row r="616" spans="1:20" ht="17.25" customHeight="1">
      <c r="A616" s="673">
        <f t="shared" si="80"/>
        <v>49</v>
      </c>
      <c r="B616" s="286" t="s">
        <v>1348</v>
      </c>
      <c r="C616" s="689">
        <v>42670</v>
      </c>
      <c r="D616" s="690" t="s">
        <v>1347</v>
      </c>
      <c r="E616" s="764">
        <v>62</v>
      </c>
      <c r="F616" s="763">
        <v>42.5</v>
      </c>
      <c r="G616" s="763">
        <v>42.5</v>
      </c>
      <c r="H616" s="759">
        <f t="shared" si="87"/>
        <v>1.88</v>
      </c>
      <c r="I616" s="674">
        <v>100</v>
      </c>
      <c r="J616" s="674">
        <f t="shared" si="88"/>
        <v>188</v>
      </c>
      <c r="K616" s="674">
        <f t="shared" si="89"/>
        <v>15860.56434516473</v>
      </c>
      <c r="L616" s="684">
        <v>20000</v>
      </c>
      <c r="S616" s="669">
        <f t="shared" si="83"/>
        <v>2000000</v>
      </c>
      <c r="T616" s="864">
        <f t="shared" si="84"/>
        <v>1586056.434516473</v>
      </c>
    </row>
    <row r="617" spans="1:20" ht="17.25" customHeight="1">
      <c r="A617" s="673">
        <f t="shared" si="80"/>
        <v>50</v>
      </c>
      <c r="B617" s="286" t="s">
        <v>1351</v>
      </c>
      <c r="C617" s="689">
        <v>42670</v>
      </c>
      <c r="D617" s="690" t="s">
        <v>1350</v>
      </c>
      <c r="E617" s="764">
        <v>47.8</v>
      </c>
      <c r="F617" s="763">
        <v>24.4</v>
      </c>
      <c r="G617" s="763">
        <v>37</v>
      </c>
      <c r="H617" s="759">
        <f t="shared" si="87"/>
        <v>0.96</v>
      </c>
      <c r="I617" s="674">
        <v>25</v>
      </c>
      <c r="J617" s="674">
        <f t="shared" si="88"/>
        <v>24</v>
      </c>
      <c r="K617" s="674">
        <f t="shared" si="89"/>
        <v>8099.0115805096493</v>
      </c>
      <c r="L617" s="684">
        <v>7750</v>
      </c>
      <c r="S617" s="669">
        <f t="shared" si="83"/>
        <v>193750</v>
      </c>
      <c r="T617" s="864">
        <f t="shared" si="84"/>
        <v>202475.28951274123</v>
      </c>
    </row>
    <row r="618" spans="1:20" ht="17.25" customHeight="1">
      <c r="A618" s="673">
        <f t="shared" si="80"/>
        <v>51</v>
      </c>
      <c r="B618" s="286" t="s">
        <v>1441</v>
      </c>
      <c r="C618" s="689">
        <v>42676</v>
      </c>
      <c r="D618" s="690" t="s">
        <v>1352</v>
      </c>
      <c r="E618" s="764">
        <v>23</v>
      </c>
      <c r="F618" s="763">
        <v>23</v>
      </c>
      <c r="G618" s="763">
        <v>18</v>
      </c>
      <c r="H618" s="759">
        <f t="shared" si="87"/>
        <v>0.43</v>
      </c>
      <c r="I618" s="674">
        <v>1800</v>
      </c>
      <c r="J618" s="674">
        <f t="shared" si="88"/>
        <v>774</v>
      </c>
      <c r="K618" s="674">
        <f t="shared" si="89"/>
        <v>3627.6822704366141</v>
      </c>
      <c r="L618" s="684">
        <v>3970</v>
      </c>
      <c r="S618" s="669">
        <f t="shared" si="83"/>
        <v>7146000</v>
      </c>
      <c r="T618" s="864">
        <f t="shared" si="84"/>
        <v>6529828.0867859051</v>
      </c>
    </row>
    <row r="619" spans="1:20" ht="17.25" customHeight="1">
      <c r="A619" s="673">
        <f t="shared" si="80"/>
        <v>52</v>
      </c>
      <c r="B619" s="286" t="s">
        <v>1307</v>
      </c>
      <c r="C619" s="689">
        <v>42676</v>
      </c>
      <c r="D619" s="690" t="s">
        <v>1352</v>
      </c>
      <c r="E619" s="764">
        <v>49</v>
      </c>
      <c r="F619" s="763">
        <v>47</v>
      </c>
      <c r="G619" s="763">
        <v>27</v>
      </c>
      <c r="H619" s="759">
        <f t="shared" si="87"/>
        <v>1.52</v>
      </c>
      <c r="I619" s="674">
        <v>30</v>
      </c>
      <c r="J619" s="674">
        <f t="shared" si="88"/>
        <v>45.6</v>
      </c>
      <c r="K619" s="674">
        <f t="shared" si="89"/>
        <v>12823.435002473612</v>
      </c>
      <c r="L619" s="684">
        <v>12400</v>
      </c>
      <c r="S619" s="669">
        <f t="shared" si="83"/>
        <v>372000</v>
      </c>
      <c r="T619" s="864">
        <f t="shared" si="84"/>
        <v>384703.05007420835</v>
      </c>
    </row>
    <row r="620" spans="1:20" ht="17.25" customHeight="1">
      <c r="A620" s="673">
        <f t="shared" si="80"/>
        <v>53</v>
      </c>
      <c r="B620" s="286" t="s">
        <v>1307</v>
      </c>
      <c r="C620" s="689">
        <v>42676</v>
      </c>
      <c r="D620" s="690" t="s">
        <v>1352</v>
      </c>
      <c r="E620" s="764">
        <v>49</v>
      </c>
      <c r="F620" s="763">
        <v>47</v>
      </c>
      <c r="G620" s="763">
        <v>27</v>
      </c>
      <c r="H620" s="759">
        <f t="shared" si="87"/>
        <v>1.52</v>
      </c>
      <c r="I620" s="674">
        <v>30</v>
      </c>
      <c r="J620" s="674">
        <f t="shared" si="88"/>
        <v>45.6</v>
      </c>
      <c r="K620" s="674">
        <f t="shared" si="89"/>
        <v>12823.435002473612</v>
      </c>
      <c r="L620" s="684">
        <v>14200</v>
      </c>
      <c r="S620" s="669">
        <f t="shared" si="83"/>
        <v>426000</v>
      </c>
      <c r="T620" s="864">
        <f t="shared" si="84"/>
        <v>384703.05007420835</v>
      </c>
    </row>
    <row r="621" spans="1:20" ht="17.25" customHeight="1">
      <c r="A621" s="673">
        <f t="shared" si="80"/>
        <v>54</v>
      </c>
      <c r="B621" s="286" t="s">
        <v>1310</v>
      </c>
      <c r="C621" s="689">
        <v>42676</v>
      </c>
      <c r="D621" s="690" t="s">
        <v>1352</v>
      </c>
      <c r="E621" s="764">
        <v>38</v>
      </c>
      <c r="F621" s="763">
        <v>37</v>
      </c>
      <c r="G621" s="763">
        <v>30</v>
      </c>
      <c r="H621" s="759">
        <f t="shared" si="87"/>
        <v>1.0900000000000001</v>
      </c>
      <c r="I621" s="674">
        <v>30</v>
      </c>
      <c r="J621" s="674">
        <f t="shared" si="88"/>
        <v>32.700000000000003</v>
      </c>
      <c r="K621" s="674">
        <f t="shared" si="89"/>
        <v>9195.7527320369991</v>
      </c>
      <c r="L621" s="684">
        <v>15300</v>
      </c>
      <c r="S621" s="669">
        <f t="shared" si="83"/>
        <v>459000</v>
      </c>
      <c r="T621" s="864">
        <f t="shared" si="84"/>
        <v>275872.58196111</v>
      </c>
    </row>
    <row r="622" spans="1:20" ht="17.25" customHeight="1">
      <c r="A622" s="673">
        <f t="shared" si="80"/>
        <v>55</v>
      </c>
      <c r="B622" s="286" t="s">
        <v>1308</v>
      </c>
      <c r="C622" s="689">
        <v>42676</v>
      </c>
      <c r="D622" s="690" t="s">
        <v>1352</v>
      </c>
      <c r="E622" s="764">
        <v>40</v>
      </c>
      <c r="F622" s="763">
        <v>39</v>
      </c>
      <c r="G622" s="763">
        <v>32</v>
      </c>
      <c r="H622" s="759">
        <f t="shared" si="87"/>
        <v>1.21</v>
      </c>
      <c r="I622" s="674">
        <v>30</v>
      </c>
      <c r="J622" s="674">
        <f t="shared" si="88"/>
        <v>36.299999999999997</v>
      </c>
      <c r="K622" s="674">
        <f t="shared" si="89"/>
        <v>10208.129179600704</v>
      </c>
      <c r="L622" s="684">
        <v>16500</v>
      </c>
      <c r="S622" s="669">
        <f t="shared" si="83"/>
        <v>495000</v>
      </c>
      <c r="T622" s="864">
        <f t="shared" si="84"/>
        <v>306243.87538802112</v>
      </c>
    </row>
    <row r="623" spans="1:20" ht="17.25" customHeight="1">
      <c r="A623" s="673">
        <f t="shared" si="80"/>
        <v>56</v>
      </c>
      <c r="B623" s="286" t="s">
        <v>1309</v>
      </c>
      <c r="C623" s="689">
        <v>42676</v>
      </c>
      <c r="D623" s="690" t="s">
        <v>1352</v>
      </c>
      <c r="E623" s="764">
        <v>42</v>
      </c>
      <c r="F623" s="763">
        <v>41</v>
      </c>
      <c r="G623" s="763">
        <v>34</v>
      </c>
      <c r="H623" s="759">
        <f t="shared" si="87"/>
        <v>1.33</v>
      </c>
      <c r="I623" s="674">
        <v>100</v>
      </c>
      <c r="J623" s="674">
        <f t="shared" si="88"/>
        <v>133</v>
      </c>
      <c r="K623" s="674">
        <f t="shared" si="89"/>
        <v>11220.505627164412</v>
      </c>
      <c r="L623" s="684">
        <v>19700</v>
      </c>
      <c r="S623" s="669">
        <f t="shared" si="83"/>
        <v>1970000</v>
      </c>
      <c r="T623" s="864">
        <f t="shared" si="84"/>
        <v>1122050.5627164412</v>
      </c>
    </row>
    <row r="624" spans="1:20" ht="17.25" customHeight="1">
      <c r="A624" s="673">
        <f t="shared" si="80"/>
        <v>57</v>
      </c>
      <c r="B624" s="286" t="s">
        <v>1436</v>
      </c>
      <c r="C624" s="689">
        <v>42676</v>
      </c>
      <c r="D624" s="690" t="s">
        <v>1352</v>
      </c>
      <c r="E624" s="764">
        <v>63</v>
      </c>
      <c r="F624" s="763">
        <v>53</v>
      </c>
      <c r="G624" s="763">
        <v>32</v>
      </c>
      <c r="H624" s="759">
        <f t="shared" si="87"/>
        <v>2.09</v>
      </c>
      <c r="I624" s="674">
        <v>30</v>
      </c>
      <c r="J624" s="674">
        <f t="shared" si="88"/>
        <v>62.699999999999996</v>
      </c>
      <c r="K624" s="674">
        <f t="shared" si="89"/>
        <v>17632.223128401216</v>
      </c>
      <c r="L624" s="684">
        <v>20100</v>
      </c>
      <c r="S624" s="669">
        <f t="shared" si="83"/>
        <v>603000</v>
      </c>
      <c r="T624" s="864">
        <f t="shared" si="84"/>
        <v>528966.69385203649</v>
      </c>
    </row>
    <row r="625" spans="1:20" ht="17.25" customHeight="1">
      <c r="A625" s="673">
        <f t="shared" si="80"/>
        <v>58</v>
      </c>
      <c r="B625" s="286" t="s">
        <v>1446</v>
      </c>
      <c r="C625" s="689">
        <v>42676</v>
      </c>
      <c r="D625" s="690" t="s">
        <v>1352</v>
      </c>
      <c r="E625" s="764">
        <v>63</v>
      </c>
      <c r="F625" s="763">
        <v>53</v>
      </c>
      <c r="G625" s="763">
        <v>32</v>
      </c>
      <c r="H625" s="759">
        <f t="shared" si="87"/>
        <v>2.09</v>
      </c>
      <c r="I625" s="674">
        <v>70</v>
      </c>
      <c r="J625" s="674">
        <f t="shared" si="88"/>
        <v>146.29999999999998</v>
      </c>
      <c r="K625" s="674">
        <f t="shared" si="89"/>
        <v>17632.223128401216</v>
      </c>
      <c r="L625" s="684">
        <v>18300</v>
      </c>
      <c r="S625" s="669">
        <f t="shared" si="83"/>
        <v>1281000</v>
      </c>
      <c r="T625" s="864">
        <f t="shared" si="84"/>
        <v>1234255.6189880851</v>
      </c>
    </row>
    <row r="626" spans="1:20" ht="17.25" customHeight="1">
      <c r="A626" s="673">
        <f t="shared" si="80"/>
        <v>59</v>
      </c>
      <c r="B626" s="286" t="s">
        <v>1315</v>
      </c>
      <c r="C626" s="689">
        <v>42677</v>
      </c>
      <c r="D626" s="690" t="s">
        <v>1353</v>
      </c>
      <c r="E626" s="764">
        <v>23.5</v>
      </c>
      <c r="F626" s="763">
        <v>23.5</v>
      </c>
      <c r="G626" s="763">
        <v>30.5</v>
      </c>
      <c r="H626" s="759">
        <f t="shared" si="87"/>
        <v>0.56000000000000005</v>
      </c>
      <c r="I626" s="674">
        <v>974</v>
      </c>
      <c r="J626" s="674">
        <f t="shared" si="88"/>
        <v>545.44000000000005</v>
      </c>
      <c r="K626" s="674">
        <f t="shared" si="89"/>
        <v>4724.4234219639629</v>
      </c>
      <c r="L626" s="684">
        <v>6700</v>
      </c>
      <c r="S626" s="669">
        <f t="shared" si="83"/>
        <v>6525800</v>
      </c>
      <c r="T626" s="864">
        <f t="shared" si="84"/>
        <v>4601588.4129929002</v>
      </c>
    </row>
    <row r="627" spans="1:20" ht="17.25" customHeight="1">
      <c r="A627" s="673">
        <f t="shared" si="80"/>
        <v>60</v>
      </c>
      <c r="B627" s="286" t="s">
        <v>1443</v>
      </c>
      <c r="C627" s="689">
        <v>42679</v>
      </c>
      <c r="D627" s="690" t="s">
        <v>1354</v>
      </c>
      <c r="E627" s="764">
        <v>49</v>
      </c>
      <c r="F627" s="763">
        <v>38</v>
      </c>
      <c r="G627" s="763">
        <v>12</v>
      </c>
      <c r="H627" s="759">
        <f t="shared" si="87"/>
        <v>0.95</v>
      </c>
      <c r="I627" s="674">
        <v>450</v>
      </c>
      <c r="J627" s="674">
        <f t="shared" si="88"/>
        <v>427.5</v>
      </c>
      <c r="K627" s="674">
        <f t="shared" si="89"/>
        <v>8014.6468765460077</v>
      </c>
      <c r="L627" s="684">
        <v>10500</v>
      </c>
      <c r="S627" s="669">
        <f t="shared" si="83"/>
        <v>4725000</v>
      </c>
      <c r="T627" s="864">
        <f t="shared" si="84"/>
        <v>3606591.0944457036</v>
      </c>
    </row>
    <row r="628" spans="1:20" ht="17.25" customHeight="1">
      <c r="A628" s="673">
        <f t="shared" si="80"/>
        <v>61</v>
      </c>
      <c r="B628" s="286" t="s">
        <v>1443</v>
      </c>
      <c r="C628" s="689">
        <v>42679</v>
      </c>
      <c r="D628" s="690" t="s">
        <v>1354</v>
      </c>
      <c r="E628" s="764">
        <v>49</v>
      </c>
      <c r="F628" s="763">
        <v>38</v>
      </c>
      <c r="G628" s="763">
        <v>12</v>
      </c>
      <c r="H628" s="759">
        <f t="shared" si="87"/>
        <v>0.95</v>
      </c>
      <c r="I628" s="674">
        <v>200</v>
      </c>
      <c r="J628" s="674">
        <f t="shared" si="88"/>
        <v>190</v>
      </c>
      <c r="K628" s="674">
        <f t="shared" si="89"/>
        <v>8014.6468765460077</v>
      </c>
      <c r="L628" s="684">
        <v>10500</v>
      </c>
      <c r="S628" s="669">
        <f t="shared" si="83"/>
        <v>2100000</v>
      </c>
      <c r="T628" s="864">
        <f t="shared" si="84"/>
        <v>1602929.3753092014</v>
      </c>
    </row>
    <row r="629" spans="1:20" ht="17.25" customHeight="1">
      <c r="A629" s="673">
        <f t="shared" si="80"/>
        <v>62</v>
      </c>
      <c r="B629" s="286" t="s">
        <v>1355</v>
      </c>
      <c r="C629" s="689">
        <v>42679</v>
      </c>
      <c r="D629" s="690" t="s">
        <v>1354</v>
      </c>
      <c r="E629" s="764">
        <v>40</v>
      </c>
      <c r="F629" s="763">
        <v>30</v>
      </c>
      <c r="G629" s="763">
        <v>18.5</v>
      </c>
      <c r="H629" s="759">
        <f t="shared" si="87"/>
        <v>0.75</v>
      </c>
      <c r="I629" s="674">
        <v>530</v>
      </c>
      <c r="J629" s="674">
        <f t="shared" si="88"/>
        <v>397.5</v>
      </c>
      <c r="K629" s="674">
        <f t="shared" si="89"/>
        <v>6327.3527972731645</v>
      </c>
      <c r="L629" s="684">
        <v>8800</v>
      </c>
      <c r="S629" s="669">
        <f t="shared" si="83"/>
        <v>4664000</v>
      </c>
      <c r="T629" s="864">
        <f t="shared" si="84"/>
        <v>3353496.9825547771</v>
      </c>
    </row>
    <row r="630" spans="1:20" ht="17.25" customHeight="1">
      <c r="A630" s="673">
        <f t="shared" si="80"/>
        <v>63</v>
      </c>
      <c r="B630" s="286" t="s">
        <v>1366</v>
      </c>
      <c r="C630" s="689">
        <v>42683</v>
      </c>
      <c r="D630" s="690" t="s">
        <v>1363</v>
      </c>
      <c r="E630" s="764">
        <v>42</v>
      </c>
      <c r="F630" s="763">
        <v>20</v>
      </c>
      <c r="G630" s="763">
        <v>29</v>
      </c>
      <c r="H630" s="759">
        <f t="shared" si="87"/>
        <v>0.67</v>
      </c>
      <c r="I630" s="674">
        <v>233</v>
      </c>
      <c r="J630" s="674">
        <f t="shared" si="88"/>
        <v>156.11000000000001</v>
      </c>
      <c r="K630" s="674">
        <f t="shared" si="89"/>
        <v>5652.4351655640266</v>
      </c>
      <c r="L630" s="684">
        <v>7507</v>
      </c>
      <c r="S630" s="669">
        <f t="shared" si="83"/>
        <v>1749131</v>
      </c>
      <c r="T630" s="864">
        <f t="shared" si="84"/>
        <v>1317017.3935764183</v>
      </c>
    </row>
    <row r="631" spans="1:20" ht="17.25" customHeight="1">
      <c r="A631" s="673">
        <f t="shared" si="80"/>
        <v>64</v>
      </c>
      <c r="B631" s="286" t="s">
        <v>1367</v>
      </c>
      <c r="C631" s="689">
        <v>42683</v>
      </c>
      <c r="D631" s="690" t="s">
        <v>1363</v>
      </c>
      <c r="E631" s="764">
        <v>42</v>
      </c>
      <c r="F631" s="763">
        <v>24</v>
      </c>
      <c r="G631" s="763">
        <v>29</v>
      </c>
      <c r="H631" s="759">
        <f t="shared" si="87"/>
        <v>0.77</v>
      </c>
      <c r="I631" s="674">
        <v>13</v>
      </c>
      <c r="J631" s="674">
        <f t="shared" si="88"/>
        <v>10.01</v>
      </c>
      <c r="K631" s="674">
        <f t="shared" si="89"/>
        <v>6496.0822052004487</v>
      </c>
      <c r="L631" s="684">
        <v>8602</v>
      </c>
      <c r="S631" s="669">
        <f t="shared" si="83"/>
        <v>111826</v>
      </c>
      <c r="T631" s="864">
        <f t="shared" si="84"/>
        <v>84449.068667605839</v>
      </c>
    </row>
    <row r="632" spans="1:20" ht="17.25" customHeight="1">
      <c r="A632" s="673">
        <f t="shared" si="80"/>
        <v>65</v>
      </c>
      <c r="B632" s="286" t="s">
        <v>1368</v>
      </c>
      <c r="C632" s="689">
        <v>42683</v>
      </c>
      <c r="D632" s="690" t="s">
        <v>1363</v>
      </c>
      <c r="E632" s="764">
        <v>82</v>
      </c>
      <c r="F632" s="763">
        <v>52</v>
      </c>
      <c r="G632" s="763">
        <v>29</v>
      </c>
      <c r="H632" s="759">
        <f t="shared" si="87"/>
        <v>2.29</v>
      </c>
      <c r="I632" s="674">
        <v>42</v>
      </c>
      <c r="J632" s="674">
        <f t="shared" si="88"/>
        <v>96.18</v>
      </c>
      <c r="K632" s="674">
        <f t="shared" si="89"/>
        <v>19319.51720767406</v>
      </c>
      <c r="L632" s="684">
        <v>26344</v>
      </c>
      <c r="S632" s="669">
        <f t="shared" si="83"/>
        <v>1106448</v>
      </c>
      <c r="T632" s="864">
        <f t="shared" si="84"/>
        <v>811419.72272231057</v>
      </c>
    </row>
    <row r="633" spans="1:20" ht="17.25" customHeight="1">
      <c r="A633" s="673">
        <f t="shared" si="80"/>
        <v>66</v>
      </c>
      <c r="B633" s="286" t="s">
        <v>1369</v>
      </c>
      <c r="C633" s="689">
        <v>42683</v>
      </c>
      <c r="D633" s="690" t="s">
        <v>1363</v>
      </c>
      <c r="E633" s="764">
        <v>80</v>
      </c>
      <c r="F633" s="763">
        <v>27</v>
      </c>
      <c r="G633" s="763"/>
      <c r="H633" s="759">
        <f t="shared" si="87"/>
        <v>0.22</v>
      </c>
      <c r="I633" s="674">
        <v>164</v>
      </c>
      <c r="J633" s="674">
        <f t="shared" si="88"/>
        <v>36.08</v>
      </c>
      <c r="K633" s="674">
        <f t="shared" si="89"/>
        <v>1856.0234872001281</v>
      </c>
      <c r="L633" s="684">
        <v>1296</v>
      </c>
      <c r="S633" s="669">
        <f t="shared" ref="S633:S696" si="90">I633*L633</f>
        <v>212544</v>
      </c>
      <c r="T633" s="864">
        <f t="shared" ref="T633:T696" si="91">I633*K633</f>
        <v>304387.85190082103</v>
      </c>
    </row>
    <row r="634" spans="1:20" ht="17.25" customHeight="1">
      <c r="A634" s="673">
        <f t="shared" si="80"/>
        <v>67</v>
      </c>
      <c r="B634" s="286" t="s">
        <v>1370</v>
      </c>
      <c r="C634" s="689">
        <v>42683</v>
      </c>
      <c r="D634" s="690" t="s">
        <v>1363</v>
      </c>
      <c r="E634" s="764">
        <v>50</v>
      </c>
      <c r="F634" s="763">
        <v>27</v>
      </c>
      <c r="G634" s="763"/>
      <c r="H634" s="759">
        <f t="shared" si="87"/>
        <v>0.14000000000000001</v>
      </c>
      <c r="I634" s="674">
        <v>123</v>
      </c>
      <c r="J634" s="674">
        <f t="shared" si="88"/>
        <v>17.220000000000002</v>
      </c>
      <c r="K634" s="674">
        <f t="shared" si="89"/>
        <v>1181.1058554909907</v>
      </c>
      <c r="L634" s="684">
        <v>810</v>
      </c>
      <c r="S634" s="669">
        <f t="shared" si="90"/>
        <v>99630</v>
      </c>
      <c r="T634" s="864">
        <f t="shared" si="91"/>
        <v>145276.02022539187</v>
      </c>
    </row>
    <row r="635" spans="1:20" ht="17.25" customHeight="1">
      <c r="A635" s="673">
        <f t="shared" si="80"/>
        <v>68</v>
      </c>
      <c r="B635" s="286" t="s">
        <v>1373</v>
      </c>
      <c r="C635" s="689">
        <v>42683</v>
      </c>
      <c r="D635" s="690" t="s">
        <v>1371</v>
      </c>
      <c r="E635" s="764">
        <v>43.1</v>
      </c>
      <c r="F635" s="763">
        <v>27.9</v>
      </c>
      <c r="G635" s="763">
        <v>43.1</v>
      </c>
      <c r="H635" s="759">
        <f t="shared" si="87"/>
        <v>1.0900000000000001</v>
      </c>
      <c r="I635" s="674">
        <v>92</v>
      </c>
      <c r="J635" s="674">
        <f t="shared" si="88"/>
        <v>100.28</v>
      </c>
      <c r="K635" s="674">
        <f t="shared" si="89"/>
        <v>9195.7527320369991</v>
      </c>
      <c r="L635" s="621">
        <v>13500</v>
      </c>
      <c r="M635" s="621"/>
      <c r="S635" s="669">
        <f t="shared" si="90"/>
        <v>1242000</v>
      </c>
      <c r="T635" s="864">
        <f t="shared" si="91"/>
        <v>846009.25134740397</v>
      </c>
    </row>
    <row r="636" spans="1:20" ht="17.25" customHeight="1">
      <c r="A636" s="673">
        <f t="shared" si="80"/>
        <v>69</v>
      </c>
      <c r="B636" s="286" t="s">
        <v>1374</v>
      </c>
      <c r="C636" s="689">
        <v>42683</v>
      </c>
      <c r="D636" s="690" t="s">
        <v>1371</v>
      </c>
      <c r="E636" s="764">
        <v>43.1</v>
      </c>
      <c r="F636" s="763">
        <v>27.9</v>
      </c>
      <c r="G636" s="763">
        <v>40.6</v>
      </c>
      <c r="H636" s="759">
        <f t="shared" si="87"/>
        <v>1.05</v>
      </c>
      <c r="I636" s="674">
        <v>52</v>
      </c>
      <c r="J636" s="674">
        <f t="shared" si="88"/>
        <v>54.6</v>
      </c>
      <c r="K636" s="674">
        <f t="shared" si="89"/>
        <v>8858.2939161824306</v>
      </c>
      <c r="L636" s="684">
        <v>13500</v>
      </c>
      <c r="M636" s="621"/>
      <c r="S636" s="669">
        <f t="shared" si="90"/>
        <v>702000</v>
      </c>
      <c r="T636" s="864">
        <f t="shared" si="91"/>
        <v>460631.28364148637</v>
      </c>
    </row>
    <row r="637" spans="1:20" ht="17.25" customHeight="1">
      <c r="A637" s="673">
        <f t="shared" si="80"/>
        <v>70</v>
      </c>
      <c r="B637" s="286" t="s">
        <v>1375</v>
      </c>
      <c r="C637" s="689">
        <v>42683</v>
      </c>
      <c r="D637" s="690" t="s">
        <v>1371</v>
      </c>
      <c r="E637" s="764">
        <v>43.1</v>
      </c>
      <c r="F637" s="763">
        <v>27.9</v>
      </c>
      <c r="G637" s="763">
        <v>35.5</v>
      </c>
      <c r="H637" s="759">
        <f t="shared" si="87"/>
        <v>0.98</v>
      </c>
      <c r="I637" s="674">
        <v>192</v>
      </c>
      <c r="J637" s="674">
        <f t="shared" si="88"/>
        <v>188.16</v>
      </c>
      <c r="K637" s="674">
        <f t="shared" si="89"/>
        <v>8267.7409884369335</v>
      </c>
      <c r="L637" s="684">
        <v>13500</v>
      </c>
      <c r="M637" s="621"/>
      <c r="S637" s="669">
        <f t="shared" si="90"/>
        <v>2592000</v>
      </c>
      <c r="T637" s="864">
        <f t="shared" si="91"/>
        <v>1587406.2697798912</v>
      </c>
    </row>
    <row r="638" spans="1:20" ht="17.25" customHeight="1">
      <c r="A638" s="673">
        <f t="shared" si="80"/>
        <v>71</v>
      </c>
      <c r="B638" s="286" t="s">
        <v>1378</v>
      </c>
      <c r="C638" s="689">
        <v>42683</v>
      </c>
      <c r="D638" s="690" t="s">
        <v>1376</v>
      </c>
      <c r="E638" s="764">
        <v>47.5</v>
      </c>
      <c r="F638" s="763">
        <v>35.5</v>
      </c>
      <c r="G638" s="763">
        <v>27</v>
      </c>
      <c r="H638" s="759">
        <f t="shared" si="87"/>
        <v>1.1200000000000001</v>
      </c>
      <c r="I638" s="674">
        <v>364</v>
      </c>
      <c r="J638" s="674">
        <f t="shared" si="88"/>
        <v>407.68000000000006</v>
      </c>
      <c r="K638" s="674">
        <f t="shared" si="89"/>
        <v>9448.8468439279259</v>
      </c>
      <c r="L638" s="684">
        <v>13600</v>
      </c>
      <c r="S638" s="669">
        <f t="shared" si="90"/>
        <v>4950400</v>
      </c>
      <c r="T638" s="864">
        <f t="shared" si="91"/>
        <v>3439380.2511897651</v>
      </c>
    </row>
    <row r="639" spans="1:20" ht="17.25" customHeight="1">
      <c r="A639" s="673">
        <f t="shared" si="80"/>
        <v>72</v>
      </c>
      <c r="B639" s="286" t="s">
        <v>1379</v>
      </c>
      <c r="C639" s="689">
        <v>42683</v>
      </c>
      <c r="D639" s="690" t="s">
        <v>1376</v>
      </c>
      <c r="E639" s="764">
        <v>49.5</v>
      </c>
      <c r="F639" s="763">
        <v>32.5</v>
      </c>
      <c r="G639" s="763">
        <v>22</v>
      </c>
      <c r="H639" s="759">
        <f t="shared" si="87"/>
        <v>0.97</v>
      </c>
      <c r="I639" s="674">
        <v>20</v>
      </c>
      <c r="J639" s="674">
        <f t="shared" si="88"/>
        <v>19.399999999999999</v>
      </c>
      <c r="K639" s="674">
        <f t="shared" si="89"/>
        <v>8183.3762844732919</v>
      </c>
      <c r="L639" s="684">
        <v>11800</v>
      </c>
      <c r="S639" s="669">
        <f t="shared" si="90"/>
        <v>236000</v>
      </c>
      <c r="T639" s="864">
        <f t="shared" si="91"/>
        <v>163667.52568946584</v>
      </c>
    </row>
    <row r="640" spans="1:20" ht="17.25" customHeight="1">
      <c r="A640" s="673">
        <f t="shared" si="80"/>
        <v>73</v>
      </c>
      <c r="B640" s="286" t="s">
        <v>1380</v>
      </c>
      <c r="C640" s="689">
        <v>42684</v>
      </c>
      <c r="D640" s="690" t="s">
        <v>1377</v>
      </c>
      <c r="E640" s="764">
        <v>42</v>
      </c>
      <c r="F640" s="763">
        <v>42</v>
      </c>
      <c r="G640" s="763">
        <v>11</v>
      </c>
      <c r="H640" s="759">
        <f t="shared" si="87"/>
        <v>0.97</v>
      </c>
      <c r="I640" s="674">
        <v>200</v>
      </c>
      <c r="J640" s="674">
        <f t="shared" si="88"/>
        <v>194</v>
      </c>
      <c r="K640" s="674">
        <f t="shared" si="89"/>
        <v>8183.3762844732919</v>
      </c>
      <c r="L640" s="684">
        <v>7500</v>
      </c>
      <c r="S640" s="669">
        <f t="shared" si="90"/>
        <v>1500000</v>
      </c>
      <c r="T640" s="864">
        <f t="shared" si="91"/>
        <v>1636675.2568946583</v>
      </c>
    </row>
    <row r="641" spans="1:20" ht="17.25" customHeight="1">
      <c r="A641" s="673">
        <f t="shared" si="80"/>
        <v>74</v>
      </c>
      <c r="B641" s="286" t="s">
        <v>1382</v>
      </c>
      <c r="C641" s="689">
        <v>42684</v>
      </c>
      <c r="D641" s="690" t="s">
        <v>1381</v>
      </c>
      <c r="E641" s="764">
        <v>55.9</v>
      </c>
      <c r="F641" s="763">
        <v>28.1</v>
      </c>
      <c r="G641" s="763">
        <v>28.7</v>
      </c>
      <c r="H641" s="759">
        <f t="shared" si="87"/>
        <v>1.03</v>
      </c>
      <c r="I641" s="674">
        <v>300</v>
      </c>
      <c r="J641" s="674">
        <f t="shared" si="88"/>
        <v>309</v>
      </c>
      <c r="K641" s="674">
        <f t="shared" si="89"/>
        <v>8689.5645082551455</v>
      </c>
      <c r="L641" s="684">
        <v>7300</v>
      </c>
      <c r="S641" s="669">
        <f t="shared" si="90"/>
        <v>2190000</v>
      </c>
      <c r="T641" s="864">
        <f t="shared" si="91"/>
        <v>2606869.3524765437</v>
      </c>
    </row>
    <row r="642" spans="1:20" ht="17.25" customHeight="1">
      <c r="A642" s="673">
        <f t="shared" si="80"/>
        <v>75</v>
      </c>
      <c r="B642" s="286" t="s">
        <v>1383</v>
      </c>
      <c r="C642" s="689">
        <v>42684</v>
      </c>
      <c r="D642" s="690" t="s">
        <v>1381</v>
      </c>
      <c r="E642" s="764">
        <v>48</v>
      </c>
      <c r="F642" s="763">
        <v>40</v>
      </c>
      <c r="G642" s="763">
        <v>26</v>
      </c>
      <c r="H642" s="759">
        <f t="shared" si="87"/>
        <v>1.25</v>
      </c>
      <c r="I642" s="674">
        <v>35</v>
      </c>
      <c r="J642" s="674">
        <f t="shared" si="88"/>
        <v>43.75</v>
      </c>
      <c r="K642" s="674">
        <f t="shared" si="89"/>
        <v>10545.587995455273</v>
      </c>
      <c r="L642" s="684">
        <v>13200</v>
      </c>
      <c r="S642" s="669">
        <f t="shared" si="90"/>
        <v>462000</v>
      </c>
      <c r="T642" s="864">
        <f t="shared" si="91"/>
        <v>369095.57984093454</v>
      </c>
    </row>
    <row r="643" spans="1:20" ht="17.25" customHeight="1">
      <c r="A643" s="673">
        <f t="shared" si="80"/>
        <v>76</v>
      </c>
      <c r="B643" s="286" t="s">
        <v>1384</v>
      </c>
      <c r="C643" s="689">
        <v>42684</v>
      </c>
      <c r="D643" s="690" t="s">
        <v>1381</v>
      </c>
      <c r="E643" s="764">
        <v>90.5</v>
      </c>
      <c r="F643" s="763">
        <v>95.5</v>
      </c>
      <c r="G643" s="763">
        <v>10.6</v>
      </c>
      <c r="H643" s="759">
        <f t="shared" si="87"/>
        <v>4.1100000000000003</v>
      </c>
      <c r="I643" s="674">
        <v>37</v>
      </c>
      <c r="J643" s="674">
        <f t="shared" si="88"/>
        <v>152.07000000000002</v>
      </c>
      <c r="K643" s="674">
        <f t="shared" si="89"/>
        <v>34673.89332905694</v>
      </c>
      <c r="L643" s="684">
        <v>25200</v>
      </c>
      <c r="S643" s="669">
        <f t="shared" si="90"/>
        <v>932400</v>
      </c>
      <c r="T643" s="864">
        <f t="shared" si="91"/>
        <v>1282934.0531751069</v>
      </c>
    </row>
    <row r="644" spans="1:20" ht="17.25" customHeight="1">
      <c r="A644" s="673">
        <f t="shared" si="80"/>
        <v>77</v>
      </c>
      <c r="B644" s="286" t="s">
        <v>1385</v>
      </c>
      <c r="C644" s="689">
        <v>42684</v>
      </c>
      <c r="D644" s="690" t="s">
        <v>1381</v>
      </c>
      <c r="E644" s="764">
        <v>51</v>
      </c>
      <c r="F644" s="763">
        <v>40</v>
      </c>
      <c r="G644" s="763">
        <v>21</v>
      </c>
      <c r="H644" s="759">
        <f t="shared" si="87"/>
        <v>1.2</v>
      </c>
      <c r="I644" s="674">
        <v>85</v>
      </c>
      <c r="J644" s="674">
        <f t="shared" si="88"/>
        <v>102</v>
      </c>
      <c r="K644" s="674">
        <f t="shared" si="89"/>
        <v>10123.764475637063</v>
      </c>
      <c r="L644" s="684">
        <v>12600</v>
      </c>
      <c r="S644" s="669">
        <f t="shared" si="90"/>
        <v>1071000</v>
      </c>
      <c r="T644" s="864">
        <f t="shared" si="91"/>
        <v>860519.98042915028</v>
      </c>
    </row>
    <row r="645" spans="1:20" ht="17.25" customHeight="1">
      <c r="A645" s="673">
        <f t="shared" si="80"/>
        <v>78</v>
      </c>
      <c r="B645" s="286" t="s">
        <v>1442</v>
      </c>
      <c r="C645" s="689">
        <v>42684</v>
      </c>
      <c r="D645" s="690" t="s">
        <v>1386</v>
      </c>
      <c r="E645" s="764">
        <v>26.5</v>
      </c>
      <c r="F645" s="763">
        <v>26.5</v>
      </c>
      <c r="G645" s="763">
        <v>29</v>
      </c>
      <c r="H645" s="759">
        <f t="shared" si="87"/>
        <v>0.65</v>
      </c>
      <c r="I645" s="674">
        <v>300</v>
      </c>
      <c r="J645" s="674">
        <f t="shared" si="88"/>
        <v>195</v>
      </c>
      <c r="K645" s="674">
        <f t="shared" si="89"/>
        <v>5483.7057576367424</v>
      </c>
      <c r="L645" s="684">
        <v>6400</v>
      </c>
      <c r="S645" s="669">
        <f t="shared" si="90"/>
        <v>1920000</v>
      </c>
      <c r="T645" s="864">
        <f t="shared" si="91"/>
        <v>1645111.7272910227</v>
      </c>
    </row>
    <row r="646" spans="1:20" ht="17.25" customHeight="1">
      <c r="A646" s="673">
        <f t="shared" si="80"/>
        <v>79</v>
      </c>
      <c r="B646" s="286" t="s">
        <v>1388</v>
      </c>
      <c r="C646" s="689">
        <v>42686</v>
      </c>
      <c r="D646" s="690" t="s">
        <v>1387</v>
      </c>
      <c r="E646" s="764">
        <v>49</v>
      </c>
      <c r="F646" s="763">
        <v>38</v>
      </c>
      <c r="G646" s="763">
        <v>12.5</v>
      </c>
      <c r="H646" s="759">
        <f t="shared" si="87"/>
        <v>0.96</v>
      </c>
      <c r="I646" s="674">
        <v>319</v>
      </c>
      <c r="J646" s="674">
        <f t="shared" si="88"/>
        <v>306.24</v>
      </c>
      <c r="K646" s="674">
        <f t="shared" si="89"/>
        <v>8099.0115805096493</v>
      </c>
      <c r="L646" s="684">
        <v>10200</v>
      </c>
      <c r="S646" s="669">
        <f t="shared" si="90"/>
        <v>3253800</v>
      </c>
      <c r="T646" s="864">
        <f t="shared" si="91"/>
        <v>2583584.694182578</v>
      </c>
    </row>
    <row r="647" spans="1:20" ht="17.25" customHeight="1">
      <c r="A647" s="673">
        <f t="shared" si="80"/>
        <v>80</v>
      </c>
      <c r="B647" s="286" t="s">
        <v>1255</v>
      </c>
      <c r="C647" s="689">
        <v>42688</v>
      </c>
      <c r="D647" s="690" t="s">
        <v>1389</v>
      </c>
      <c r="E647" s="764">
        <v>52</v>
      </c>
      <c r="F647" s="763">
        <v>24.5</v>
      </c>
      <c r="G647" s="763">
        <v>24.5</v>
      </c>
      <c r="H647" s="759">
        <f t="shared" si="87"/>
        <v>0.82</v>
      </c>
      <c r="I647" s="674">
        <v>980</v>
      </c>
      <c r="J647" s="674">
        <f t="shared" si="88"/>
        <v>803.59999999999991</v>
      </c>
      <c r="K647" s="674">
        <f t="shared" si="89"/>
        <v>6917.9057250186588</v>
      </c>
      <c r="L647" s="684">
        <v>5000</v>
      </c>
      <c r="S647" s="669">
        <f t="shared" si="90"/>
        <v>4900000</v>
      </c>
      <c r="T647" s="864">
        <f t="shared" si="91"/>
        <v>6779547.610518286</v>
      </c>
    </row>
    <row r="648" spans="1:20" ht="17.25" customHeight="1">
      <c r="A648" s="673">
        <f t="shared" si="80"/>
        <v>81</v>
      </c>
      <c r="B648" s="286" t="s">
        <v>1256</v>
      </c>
      <c r="C648" s="689">
        <v>42688</v>
      </c>
      <c r="D648" s="690" t="s">
        <v>1389</v>
      </c>
      <c r="E648" s="764">
        <v>52</v>
      </c>
      <c r="F648" s="763">
        <v>26.5</v>
      </c>
      <c r="G648" s="763">
        <v>26.5</v>
      </c>
      <c r="H648" s="759">
        <f t="shared" si="87"/>
        <v>0.91</v>
      </c>
      <c r="I648" s="674">
        <v>1066</v>
      </c>
      <c r="J648" s="674">
        <f t="shared" si="88"/>
        <v>970.06000000000006</v>
      </c>
      <c r="K648" s="674">
        <f t="shared" si="89"/>
        <v>7677.1880606914392</v>
      </c>
      <c r="L648" s="684">
        <v>5550</v>
      </c>
      <c r="S648" s="669">
        <f t="shared" si="90"/>
        <v>5916300</v>
      </c>
      <c r="T648" s="864">
        <f t="shared" si="91"/>
        <v>8183882.4726970745</v>
      </c>
    </row>
    <row r="649" spans="1:20" ht="17.25" customHeight="1">
      <c r="A649" s="673">
        <f t="shared" si="80"/>
        <v>82</v>
      </c>
      <c r="B649" s="286" t="s">
        <v>392</v>
      </c>
      <c r="C649" s="689">
        <v>42688</v>
      </c>
      <c r="D649" s="690" t="s">
        <v>1389</v>
      </c>
      <c r="E649" s="764">
        <v>52</v>
      </c>
      <c r="F649" s="763">
        <v>32</v>
      </c>
      <c r="G649" s="763">
        <v>21</v>
      </c>
      <c r="H649" s="759">
        <f t="shared" si="87"/>
        <v>0.97</v>
      </c>
      <c r="I649" s="674">
        <v>560</v>
      </c>
      <c r="J649" s="674">
        <f t="shared" si="88"/>
        <v>543.19999999999993</v>
      </c>
      <c r="K649" s="674">
        <f t="shared" si="89"/>
        <v>8183.3762844732919</v>
      </c>
      <c r="L649" s="684">
        <v>5800</v>
      </c>
      <c r="S649" s="669">
        <f t="shared" si="90"/>
        <v>3248000</v>
      </c>
      <c r="T649" s="864">
        <f t="shared" si="91"/>
        <v>4582690.7193050431</v>
      </c>
    </row>
    <row r="650" spans="1:20" ht="17.25" customHeight="1">
      <c r="A650" s="673">
        <f t="shared" si="80"/>
        <v>83</v>
      </c>
      <c r="B650" s="286" t="s">
        <v>1541</v>
      </c>
      <c r="C650" s="689">
        <v>42689</v>
      </c>
      <c r="D650" s="690" t="s">
        <v>1540</v>
      </c>
      <c r="E650" s="764">
        <v>57</v>
      </c>
      <c r="F650" s="763">
        <v>39</v>
      </c>
      <c r="G650" s="763">
        <v>47</v>
      </c>
      <c r="H650" s="759">
        <f t="shared" si="87"/>
        <v>1.75</v>
      </c>
      <c r="I650" s="674">
        <v>127</v>
      </c>
      <c r="J650" s="674">
        <f t="shared" si="88"/>
        <v>222.25</v>
      </c>
      <c r="K650" s="674">
        <f t="shared" si="89"/>
        <v>14763.823193637383</v>
      </c>
      <c r="L650" s="684">
        <v>19500</v>
      </c>
      <c r="S650" s="669">
        <f t="shared" si="90"/>
        <v>2476500</v>
      </c>
      <c r="T650" s="864">
        <f t="shared" si="91"/>
        <v>1875005.5455919476</v>
      </c>
    </row>
    <row r="651" spans="1:20" ht="17.25" customHeight="1">
      <c r="A651" s="673">
        <f t="shared" si="80"/>
        <v>84</v>
      </c>
      <c r="B651" s="286" t="s">
        <v>1473</v>
      </c>
      <c r="C651" s="689">
        <v>42689</v>
      </c>
      <c r="D651" s="690" t="s">
        <v>1542</v>
      </c>
      <c r="E651" s="764">
        <v>50</v>
      </c>
      <c r="F651" s="763">
        <v>29.5</v>
      </c>
      <c r="G651" s="763">
        <v>19</v>
      </c>
      <c r="H651" s="759">
        <f t="shared" si="87"/>
        <v>0.84</v>
      </c>
      <c r="I651" s="674">
        <v>3900</v>
      </c>
      <c r="J651" s="674">
        <f t="shared" si="88"/>
        <v>3276</v>
      </c>
      <c r="K651" s="674">
        <f t="shared" si="89"/>
        <v>7086.635132945943</v>
      </c>
      <c r="L651" s="684">
        <v>4500</v>
      </c>
      <c r="S651" s="669">
        <f t="shared" si="90"/>
        <v>17550000</v>
      </c>
      <c r="T651" s="864">
        <f t="shared" si="91"/>
        <v>27637877.018489178</v>
      </c>
    </row>
    <row r="652" spans="1:20" ht="17.25" customHeight="1">
      <c r="A652" s="673">
        <f t="shared" si="80"/>
        <v>85</v>
      </c>
      <c r="B652" s="286" t="s">
        <v>1447</v>
      </c>
      <c r="C652" s="689">
        <v>42690</v>
      </c>
      <c r="D652" s="690" t="s">
        <v>1390</v>
      </c>
      <c r="E652" s="764">
        <v>43</v>
      </c>
      <c r="F652" s="763">
        <v>39</v>
      </c>
      <c r="G652" s="763">
        <v>27</v>
      </c>
      <c r="H652" s="759">
        <f t="shared" si="87"/>
        <v>1.17</v>
      </c>
      <c r="I652" s="674">
        <v>200</v>
      </c>
      <c r="J652" s="674">
        <f t="shared" si="88"/>
        <v>234</v>
      </c>
      <c r="K652" s="674">
        <f t="shared" si="89"/>
        <v>9870.670363746136</v>
      </c>
      <c r="L652" s="684">
        <v>12000</v>
      </c>
      <c r="S652" s="669">
        <f t="shared" si="90"/>
        <v>2400000</v>
      </c>
      <c r="T652" s="864">
        <f t="shared" si="91"/>
        <v>1974134.0727492273</v>
      </c>
    </row>
    <row r="653" spans="1:20" ht="17.25" customHeight="1">
      <c r="A653" s="673">
        <f t="shared" si="80"/>
        <v>86</v>
      </c>
      <c r="B653" s="286" t="s">
        <v>1392</v>
      </c>
      <c r="C653" s="689">
        <v>42691</v>
      </c>
      <c r="D653" s="690" t="s">
        <v>1391</v>
      </c>
      <c r="E653" s="764">
        <v>40</v>
      </c>
      <c r="F653" s="763">
        <v>29</v>
      </c>
      <c r="G653" s="763">
        <v>30</v>
      </c>
      <c r="H653" s="759">
        <f t="shared" si="87"/>
        <v>0.89</v>
      </c>
      <c r="I653" s="674">
        <v>509</v>
      </c>
      <c r="J653" s="674">
        <f t="shared" si="88"/>
        <v>453.01</v>
      </c>
      <c r="K653" s="674">
        <f t="shared" si="89"/>
        <v>7508.458652764155</v>
      </c>
      <c r="L653" s="684">
        <v>9409</v>
      </c>
      <c r="S653" s="669">
        <f t="shared" si="90"/>
        <v>4789181</v>
      </c>
      <c r="T653" s="864">
        <f t="shared" si="91"/>
        <v>3821805.4542569551</v>
      </c>
    </row>
    <row r="654" spans="1:20" ht="17.25" customHeight="1">
      <c r="A654" s="673">
        <f t="shared" si="80"/>
        <v>87</v>
      </c>
      <c r="B654" s="286" t="s">
        <v>1393</v>
      </c>
      <c r="C654" s="689">
        <v>42691</v>
      </c>
      <c r="D654" s="690" t="s">
        <v>1391</v>
      </c>
      <c r="E654" s="764">
        <v>44</v>
      </c>
      <c r="F654" s="763">
        <v>36</v>
      </c>
      <c r="G654" s="763">
        <v>20</v>
      </c>
      <c r="H654" s="759">
        <f t="shared" si="87"/>
        <v>0.97</v>
      </c>
      <c r="I654" s="674">
        <v>208</v>
      </c>
      <c r="J654" s="674">
        <f t="shared" si="88"/>
        <v>201.76</v>
      </c>
      <c r="K654" s="674">
        <f t="shared" si="89"/>
        <v>8183.3762844732919</v>
      </c>
      <c r="L654" s="684">
        <v>10409</v>
      </c>
      <c r="S654" s="669">
        <f t="shared" si="90"/>
        <v>2165072</v>
      </c>
      <c r="T654" s="864">
        <f t="shared" si="91"/>
        <v>1702142.2671704446</v>
      </c>
    </row>
    <row r="655" spans="1:20" ht="17.25" customHeight="1">
      <c r="A655" s="673">
        <f t="shared" si="80"/>
        <v>88</v>
      </c>
      <c r="B655" s="286" t="s">
        <v>1394</v>
      </c>
      <c r="C655" s="689">
        <v>42691</v>
      </c>
      <c r="D655" s="690" t="s">
        <v>1391</v>
      </c>
      <c r="E655" s="764">
        <v>45</v>
      </c>
      <c r="F655" s="763">
        <v>35</v>
      </c>
      <c r="G655" s="763">
        <v>26</v>
      </c>
      <c r="H655" s="759">
        <f t="shared" si="87"/>
        <v>1.06</v>
      </c>
      <c r="I655" s="674">
        <v>205</v>
      </c>
      <c r="J655" s="674">
        <f t="shared" si="88"/>
        <v>217.3</v>
      </c>
      <c r="K655" s="674">
        <f t="shared" si="89"/>
        <v>8942.6586201460723</v>
      </c>
      <c r="L655" s="684">
        <v>11400</v>
      </c>
      <c r="S655" s="669">
        <f t="shared" si="90"/>
        <v>2337000</v>
      </c>
      <c r="T655" s="864">
        <f t="shared" si="91"/>
        <v>1833245.0171299449</v>
      </c>
    </row>
    <row r="656" spans="1:20" ht="17.25" customHeight="1">
      <c r="A656" s="673">
        <f t="shared" si="80"/>
        <v>89</v>
      </c>
      <c r="B656" s="286" t="s">
        <v>532</v>
      </c>
      <c r="C656" s="689">
        <v>42692</v>
      </c>
      <c r="D656" s="690" t="s">
        <v>1396</v>
      </c>
      <c r="E656" s="764">
        <v>125</v>
      </c>
      <c r="F656" s="763">
        <v>185</v>
      </c>
      <c r="G656" s="763"/>
      <c r="H656" s="759">
        <f t="shared" si="87"/>
        <v>2.31</v>
      </c>
      <c r="I656" s="674">
        <v>500</v>
      </c>
      <c r="J656" s="674">
        <f t="shared" si="88"/>
        <v>1155</v>
      </c>
      <c r="K656" s="674">
        <f t="shared" si="89"/>
        <v>19488.246615601347</v>
      </c>
      <c r="L656" s="684">
        <v>12950</v>
      </c>
      <c r="S656" s="669">
        <f t="shared" si="90"/>
        <v>6475000</v>
      </c>
      <c r="T656" s="864">
        <f t="shared" si="91"/>
        <v>9744123.3078006729</v>
      </c>
    </row>
    <row r="657" spans="1:20" ht="17.25" customHeight="1">
      <c r="A657" s="673">
        <f t="shared" si="80"/>
        <v>90</v>
      </c>
      <c r="B657" s="286" t="s">
        <v>923</v>
      </c>
      <c r="C657" s="689">
        <v>42696</v>
      </c>
      <c r="D657" s="690" t="s">
        <v>1397</v>
      </c>
      <c r="E657" s="764">
        <v>50</v>
      </c>
      <c r="F657" s="763">
        <v>39</v>
      </c>
      <c r="G657" s="763">
        <v>31</v>
      </c>
      <c r="H657" s="759">
        <f t="shared" si="87"/>
        <v>1.34</v>
      </c>
      <c r="I657" s="674">
        <v>135</v>
      </c>
      <c r="J657" s="674">
        <f t="shared" si="88"/>
        <v>180.9</v>
      </c>
      <c r="K657" s="674">
        <f t="shared" si="89"/>
        <v>11304.870331128053</v>
      </c>
      <c r="L657" s="684">
        <v>19700</v>
      </c>
      <c r="S657" s="669">
        <f t="shared" si="90"/>
        <v>2659500</v>
      </c>
      <c r="T657" s="864">
        <f t="shared" si="91"/>
        <v>1526157.4947022873</v>
      </c>
    </row>
    <row r="658" spans="1:20" ht="17.25" customHeight="1">
      <c r="A658" s="673">
        <f t="shared" si="80"/>
        <v>91</v>
      </c>
      <c r="B658" s="286" t="s">
        <v>1434</v>
      </c>
      <c r="C658" s="689">
        <v>42696</v>
      </c>
      <c r="D658" s="690" t="s">
        <v>1398</v>
      </c>
      <c r="E658" s="764">
        <v>41</v>
      </c>
      <c r="F658" s="763">
        <v>39</v>
      </c>
      <c r="G658" s="763">
        <v>20</v>
      </c>
      <c r="H658" s="759">
        <f t="shared" si="87"/>
        <v>1.02</v>
      </c>
      <c r="I658" s="674">
        <v>300</v>
      </c>
      <c r="J658" s="674">
        <f t="shared" si="88"/>
        <v>306</v>
      </c>
      <c r="K658" s="674">
        <f t="shared" si="89"/>
        <v>8605.1998042915038</v>
      </c>
      <c r="L658" s="684">
        <v>10900</v>
      </c>
      <c r="S658" s="669">
        <f t="shared" si="90"/>
        <v>3270000</v>
      </c>
      <c r="T658" s="864">
        <f t="shared" si="91"/>
        <v>2581559.941287451</v>
      </c>
    </row>
    <row r="659" spans="1:20" ht="17.25" customHeight="1">
      <c r="A659" s="673">
        <f t="shared" si="80"/>
        <v>92</v>
      </c>
      <c r="B659" s="286" t="s">
        <v>1401</v>
      </c>
      <c r="C659" s="689">
        <v>42697</v>
      </c>
      <c r="D659" s="690" t="s">
        <v>1399</v>
      </c>
      <c r="E659" s="764">
        <v>44</v>
      </c>
      <c r="F659" s="763">
        <v>27.5</v>
      </c>
      <c r="G659" s="763">
        <v>22.5</v>
      </c>
      <c r="H659" s="759">
        <f t="shared" si="87"/>
        <v>0.78</v>
      </c>
      <c r="I659" s="674">
        <v>10170</v>
      </c>
      <c r="J659" s="674">
        <f t="shared" si="88"/>
        <v>7932.6</v>
      </c>
      <c r="K659" s="674">
        <f t="shared" si="89"/>
        <v>6580.4469091640904</v>
      </c>
      <c r="L659" s="684">
        <v>9000</v>
      </c>
      <c r="S659" s="669">
        <f t="shared" si="90"/>
        <v>91530000</v>
      </c>
      <c r="T659" s="864">
        <f t="shared" si="91"/>
        <v>66923145.066198796</v>
      </c>
    </row>
    <row r="660" spans="1:20" ht="17.25" customHeight="1">
      <c r="A660" s="673">
        <f t="shared" si="80"/>
        <v>93</v>
      </c>
      <c r="B660" s="286" t="s">
        <v>1255</v>
      </c>
      <c r="C660" s="689">
        <v>42697</v>
      </c>
      <c r="D660" s="690" t="s">
        <v>1402</v>
      </c>
      <c r="E660" s="764">
        <v>52</v>
      </c>
      <c r="F660" s="763">
        <v>24.5</v>
      </c>
      <c r="G660" s="763">
        <v>24.5</v>
      </c>
      <c r="H660" s="759">
        <f t="shared" si="87"/>
        <v>0.82</v>
      </c>
      <c r="I660" s="674">
        <v>637</v>
      </c>
      <c r="J660" s="674">
        <f t="shared" si="88"/>
        <v>522.33999999999992</v>
      </c>
      <c r="K660" s="674">
        <f t="shared" si="89"/>
        <v>6917.9057250186588</v>
      </c>
      <c r="L660" s="684">
        <v>5000</v>
      </c>
      <c r="S660" s="669">
        <f t="shared" si="90"/>
        <v>3185000</v>
      </c>
      <c r="T660" s="864">
        <f t="shared" si="91"/>
        <v>4406705.946836886</v>
      </c>
    </row>
    <row r="661" spans="1:20" ht="17.25" customHeight="1">
      <c r="A661" s="673">
        <f t="shared" si="80"/>
        <v>94</v>
      </c>
      <c r="B661" s="286" t="s">
        <v>1403</v>
      </c>
      <c r="C661" s="689">
        <v>42697</v>
      </c>
      <c r="D661" s="690" t="s">
        <v>1402</v>
      </c>
      <c r="E661" s="764">
        <v>55</v>
      </c>
      <c r="F661" s="763">
        <v>45</v>
      </c>
      <c r="G661" s="763">
        <v>30</v>
      </c>
      <c r="H661" s="759">
        <f t="shared" si="87"/>
        <v>1.6</v>
      </c>
      <c r="I661" s="674">
        <v>469</v>
      </c>
      <c r="J661" s="674">
        <f t="shared" si="88"/>
        <v>750.40000000000009</v>
      </c>
      <c r="K661" s="674">
        <f t="shared" si="89"/>
        <v>13498.352634182751</v>
      </c>
      <c r="L661" s="684">
        <v>9700</v>
      </c>
      <c r="S661" s="669">
        <f t="shared" si="90"/>
        <v>4549300</v>
      </c>
      <c r="T661" s="864">
        <f t="shared" si="91"/>
        <v>6330727.3854317106</v>
      </c>
    </row>
    <row r="662" spans="1:20" ht="17.25" customHeight="1">
      <c r="A662" s="673">
        <f t="shared" si="80"/>
        <v>95</v>
      </c>
      <c r="B662" s="286" t="s">
        <v>1443</v>
      </c>
      <c r="C662" s="689">
        <v>42699</v>
      </c>
      <c r="D662" s="690" t="s">
        <v>1404</v>
      </c>
      <c r="E662" s="764">
        <v>49</v>
      </c>
      <c r="F662" s="763">
        <v>38</v>
      </c>
      <c r="G662" s="763">
        <v>12</v>
      </c>
      <c r="H662" s="759">
        <f t="shared" si="87"/>
        <v>0.95</v>
      </c>
      <c r="I662" s="674">
        <v>520</v>
      </c>
      <c r="J662" s="674">
        <f t="shared" si="88"/>
        <v>494</v>
      </c>
      <c r="K662" s="674">
        <f t="shared" si="89"/>
        <v>8014.6468765460077</v>
      </c>
      <c r="L662" s="684">
        <v>10500</v>
      </c>
      <c r="S662" s="669">
        <f t="shared" si="90"/>
        <v>5460000</v>
      </c>
      <c r="T662" s="864">
        <f t="shared" si="91"/>
        <v>4167616.3758039242</v>
      </c>
    </row>
    <row r="663" spans="1:20" ht="17.25" customHeight="1">
      <c r="A663" s="673">
        <f t="shared" si="80"/>
        <v>96</v>
      </c>
      <c r="B663" s="286" t="s">
        <v>1443</v>
      </c>
      <c r="C663" s="689">
        <v>42699</v>
      </c>
      <c r="D663" s="690" t="s">
        <v>1404</v>
      </c>
      <c r="E663" s="764">
        <v>49</v>
      </c>
      <c r="F663" s="763">
        <v>38</v>
      </c>
      <c r="G663" s="763">
        <v>12</v>
      </c>
      <c r="H663" s="759">
        <f t="shared" si="87"/>
        <v>0.95</v>
      </c>
      <c r="I663" s="674">
        <v>506</v>
      </c>
      <c r="J663" s="674">
        <f t="shared" si="88"/>
        <v>480.7</v>
      </c>
      <c r="K663" s="674">
        <f t="shared" si="89"/>
        <v>8014.6468765460077</v>
      </c>
      <c r="L663" s="684">
        <v>10500</v>
      </c>
      <c r="S663" s="669">
        <f t="shared" si="90"/>
        <v>5313000</v>
      </c>
      <c r="T663" s="864">
        <f t="shared" si="91"/>
        <v>4055411.3195322799</v>
      </c>
    </row>
    <row r="664" spans="1:20" ht="17.25" customHeight="1">
      <c r="A664" s="673">
        <f t="shared" si="80"/>
        <v>97</v>
      </c>
      <c r="B664" s="286" t="s">
        <v>1378</v>
      </c>
      <c r="C664" s="689">
        <v>42699</v>
      </c>
      <c r="D664" s="690" t="s">
        <v>1405</v>
      </c>
      <c r="E664" s="764">
        <v>47.5</v>
      </c>
      <c r="F664" s="763">
        <v>35.5</v>
      </c>
      <c r="G664" s="763">
        <v>27</v>
      </c>
      <c r="H664" s="759">
        <f t="shared" si="87"/>
        <v>1.1200000000000001</v>
      </c>
      <c r="I664" s="674">
        <v>131</v>
      </c>
      <c r="J664" s="674">
        <f t="shared" si="88"/>
        <v>146.72000000000003</v>
      </c>
      <c r="K664" s="674">
        <f t="shared" si="89"/>
        <v>9448.8468439279259</v>
      </c>
      <c r="L664" s="684">
        <v>13600</v>
      </c>
      <c r="S664" s="669">
        <f t="shared" si="90"/>
        <v>1781600</v>
      </c>
      <c r="T664" s="864">
        <f t="shared" si="91"/>
        <v>1237798.9365545583</v>
      </c>
    </row>
    <row r="665" spans="1:20" ht="17.25" customHeight="1">
      <c r="A665" s="673">
        <f t="shared" si="80"/>
        <v>98</v>
      </c>
      <c r="B665" s="286" t="s">
        <v>1406</v>
      </c>
      <c r="C665" s="689">
        <v>42699</v>
      </c>
      <c r="D665" s="690" t="s">
        <v>1405</v>
      </c>
      <c r="E665" s="764">
        <v>29</v>
      </c>
      <c r="F665" s="763">
        <v>29</v>
      </c>
      <c r="G665" s="763">
        <v>44.5</v>
      </c>
      <c r="H665" s="759">
        <f t="shared" si="87"/>
        <v>0.93</v>
      </c>
      <c r="I665" s="674">
        <v>156</v>
      </c>
      <c r="J665" s="674">
        <f t="shared" si="88"/>
        <v>145.08000000000001</v>
      </c>
      <c r="K665" s="674">
        <f t="shared" si="89"/>
        <v>7845.9174686187234</v>
      </c>
      <c r="L665" s="684">
        <v>7200</v>
      </c>
      <c r="S665" s="669">
        <f t="shared" si="90"/>
        <v>1123200</v>
      </c>
      <c r="T665" s="864">
        <f t="shared" si="91"/>
        <v>1223963.1251045209</v>
      </c>
    </row>
    <row r="666" spans="1:20" ht="17.25" customHeight="1">
      <c r="A666" s="673">
        <f t="shared" si="80"/>
        <v>99</v>
      </c>
      <c r="B666" s="286" t="s">
        <v>1408</v>
      </c>
      <c r="C666" s="689">
        <v>42699</v>
      </c>
      <c r="D666" s="690" t="s">
        <v>1407</v>
      </c>
      <c r="E666" s="764">
        <v>47.5</v>
      </c>
      <c r="F666" s="763">
        <v>39.5</v>
      </c>
      <c r="G666" s="763">
        <v>25</v>
      </c>
      <c r="H666" s="759">
        <f t="shared" si="87"/>
        <v>1.21</v>
      </c>
      <c r="I666" s="674">
        <v>23</v>
      </c>
      <c r="J666" s="674">
        <f t="shared" si="88"/>
        <v>27.83</v>
      </c>
      <c r="K666" s="674">
        <f t="shared" si="89"/>
        <v>10208.129179600704</v>
      </c>
      <c r="L666" s="684">
        <v>13200</v>
      </c>
      <c r="S666" s="669">
        <f t="shared" si="90"/>
        <v>303600</v>
      </c>
      <c r="T666" s="864">
        <f t="shared" si="91"/>
        <v>234786.97113081621</v>
      </c>
    </row>
    <row r="667" spans="1:20" ht="17.25" customHeight="1">
      <c r="A667" s="673">
        <f t="shared" si="80"/>
        <v>100</v>
      </c>
      <c r="B667" s="286" t="s">
        <v>1409</v>
      </c>
      <c r="C667" s="689">
        <v>42699</v>
      </c>
      <c r="D667" s="690" t="s">
        <v>1407</v>
      </c>
      <c r="E667" s="764">
        <v>55.9</v>
      </c>
      <c r="F667" s="763">
        <v>28.8</v>
      </c>
      <c r="G667" s="763">
        <v>28.7</v>
      </c>
      <c r="H667" s="759">
        <f t="shared" si="87"/>
        <v>1.06</v>
      </c>
      <c r="I667" s="674">
        <v>500</v>
      </c>
      <c r="J667" s="674">
        <f t="shared" si="88"/>
        <v>530</v>
      </c>
      <c r="K667" s="674">
        <f t="shared" si="89"/>
        <v>8942.6586201460723</v>
      </c>
      <c r="L667" s="684">
        <v>7300</v>
      </c>
      <c r="S667" s="669">
        <f t="shared" si="90"/>
        <v>3650000</v>
      </c>
      <c r="T667" s="864">
        <f t="shared" si="91"/>
        <v>4471329.3100730358</v>
      </c>
    </row>
    <row r="668" spans="1:20" ht="17.25" customHeight="1">
      <c r="A668" s="673">
        <f t="shared" si="80"/>
        <v>101</v>
      </c>
      <c r="B668" s="286" t="s">
        <v>1446</v>
      </c>
      <c r="C668" s="689">
        <v>42700</v>
      </c>
      <c r="D668" s="690" t="s">
        <v>1414</v>
      </c>
      <c r="E668" s="764">
        <v>63</v>
      </c>
      <c r="F668" s="763">
        <v>53</v>
      </c>
      <c r="G668" s="763">
        <v>32</v>
      </c>
      <c r="H668" s="759">
        <f t="shared" si="87"/>
        <v>2.09</v>
      </c>
      <c r="I668" s="674">
        <v>200</v>
      </c>
      <c r="J668" s="674">
        <f t="shared" si="88"/>
        <v>418</v>
      </c>
      <c r="K668" s="674">
        <f t="shared" si="89"/>
        <v>17632.223128401216</v>
      </c>
      <c r="L668" s="621">
        <v>18300</v>
      </c>
      <c r="M668" s="621"/>
      <c r="S668" s="669">
        <f t="shared" si="90"/>
        <v>3660000</v>
      </c>
      <c r="T668" s="864">
        <f t="shared" si="91"/>
        <v>3526444.6256802431</v>
      </c>
    </row>
    <row r="669" spans="1:20" ht="17.25" customHeight="1">
      <c r="A669" s="673">
        <f t="shared" si="80"/>
        <v>102</v>
      </c>
      <c r="B669" s="286" t="s">
        <v>1335</v>
      </c>
      <c r="C669" s="689">
        <v>42700</v>
      </c>
      <c r="D669" s="690" t="s">
        <v>810</v>
      </c>
      <c r="E669" s="764">
        <v>43</v>
      </c>
      <c r="F669" s="763">
        <v>27.5</v>
      </c>
      <c r="G669" s="763">
        <v>33</v>
      </c>
      <c r="H669" s="759">
        <f t="shared" si="87"/>
        <v>0.93</v>
      </c>
      <c r="I669" s="674">
        <v>259</v>
      </c>
      <c r="J669" s="674">
        <f t="shared" si="88"/>
        <v>240.87</v>
      </c>
      <c r="K669" s="674">
        <f t="shared" si="89"/>
        <v>7845.9174686187234</v>
      </c>
      <c r="L669" s="684">
        <v>9800</v>
      </c>
      <c r="M669" s="621"/>
      <c r="S669" s="669">
        <f t="shared" si="90"/>
        <v>2538200</v>
      </c>
      <c r="T669" s="864">
        <f t="shared" si="91"/>
        <v>2032092.6243722495</v>
      </c>
    </row>
    <row r="670" spans="1:20" ht="17.25" customHeight="1">
      <c r="A670" s="673">
        <f t="shared" si="80"/>
        <v>103</v>
      </c>
      <c r="B670" s="286" t="s">
        <v>1415</v>
      </c>
      <c r="C670" s="689">
        <v>42700</v>
      </c>
      <c r="D670" s="690" t="s">
        <v>810</v>
      </c>
      <c r="E670" s="764">
        <v>72</v>
      </c>
      <c r="F670" s="763">
        <v>51.5</v>
      </c>
      <c r="G670" s="763">
        <v>4</v>
      </c>
      <c r="H670" s="759">
        <f t="shared" si="87"/>
        <v>1.47</v>
      </c>
      <c r="I670" s="674">
        <v>286</v>
      </c>
      <c r="J670" s="674">
        <f t="shared" si="88"/>
        <v>420.42</v>
      </c>
      <c r="K670" s="674">
        <f t="shared" si="89"/>
        <v>12401.611482655402</v>
      </c>
      <c r="L670" s="684">
        <v>7900</v>
      </c>
      <c r="M670" s="621"/>
      <c r="S670" s="669">
        <f t="shared" si="90"/>
        <v>2259400</v>
      </c>
      <c r="T670" s="864">
        <f t="shared" si="91"/>
        <v>3546860.8840394448</v>
      </c>
    </row>
    <row r="671" spans="1:20" ht="17.25" customHeight="1">
      <c r="A671" s="673">
        <f t="shared" si="80"/>
        <v>104</v>
      </c>
      <c r="B671" s="286" t="s">
        <v>1416</v>
      </c>
      <c r="C671" s="689">
        <v>42700</v>
      </c>
      <c r="D671" s="690" t="s">
        <v>810</v>
      </c>
      <c r="E671" s="764">
        <v>39.5</v>
      </c>
      <c r="F671" s="763">
        <v>32.299999999999997</v>
      </c>
      <c r="G671" s="763">
        <v>27.7</v>
      </c>
      <c r="H671" s="759">
        <f t="shared" si="87"/>
        <v>0.94</v>
      </c>
      <c r="I671" s="674">
        <v>308</v>
      </c>
      <c r="J671" s="674">
        <f t="shared" si="88"/>
        <v>289.52</v>
      </c>
      <c r="K671" s="674">
        <f t="shared" si="89"/>
        <v>7930.2821725823651</v>
      </c>
      <c r="L671" s="684">
        <v>9400</v>
      </c>
      <c r="S671" s="669">
        <f t="shared" si="90"/>
        <v>2895200</v>
      </c>
      <c r="T671" s="864">
        <f t="shared" si="91"/>
        <v>2442526.9091553683</v>
      </c>
    </row>
    <row r="672" spans="1:20" ht="17.25" customHeight="1">
      <c r="A672" s="673">
        <f t="shared" si="80"/>
        <v>105</v>
      </c>
      <c r="B672" s="286" t="s">
        <v>1418</v>
      </c>
      <c r="C672" s="689">
        <v>42701</v>
      </c>
      <c r="D672" s="690" t="s">
        <v>1417</v>
      </c>
      <c r="E672" s="764">
        <v>58</v>
      </c>
      <c r="F672" s="763">
        <v>41</v>
      </c>
      <c r="G672" s="763">
        <v>13</v>
      </c>
      <c r="H672" s="759">
        <f t="shared" si="87"/>
        <v>1.1599999999999999</v>
      </c>
      <c r="I672" s="674">
        <v>48</v>
      </c>
      <c r="J672" s="674">
        <f t="shared" si="88"/>
        <v>55.679999999999993</v>
      </c>
      <c r="K672" s="674">
        <f t="shared" si="89"/>
        <v>9786.3056597824925</v>
      </c>
      <c r="L672" s="684">
        <v>14900</v>
      </c>
      <c r="S672" s="669">
        <f t="shared" si="90"/>
        <v>715200</v>
      </c>
      <c r="T672" s="864">
        <f t="shared" si="91"/>
        <v>469742.67166955967</v>
      </c>
    </row>
    <row r="673" spans="1:20" ht="17.25" customHeight="1">
      <c r="A673" s="673">
        <f t="shared" si="80"/>
        <v>106</v>
      </c>
      <c r="B673" s="286" t="s">
        <v>1473</v>
      </c>
      <c r="C673" s="689">
        <v>42701</v>
      </c>
      <c r="D673" s="690" t="s">
        <v>1470</v>
      </c>
      <c r="E673" s="764">
        <v>50</v>
      </c>
      <c r="F673" s="763">
        <v>29.5</v>
      </c>
      <c r="G673" s="763">
        <v>19</v>
      </c>
      <c r="H673" s="759">
        <f t="shared" si="87"/>
        <v>0.84</v>
      </c>
      <c r="I673" s="674">
        <v>4000</v>
      </c>
      <c r="J673" s="674">
        <f t="shared" si="88"/>
        <v>3360</v>
      </c>
      <c r="K673" s="674">
        <f t="shared" si="89"/>
        <v>7086.635132945943</v>
      </c>
      <c r="L673" s="684">
        <v>4500</v>
      </c>
      <c r="S673" s="669">
        <f t="shared" si="90"/>
        <v>18000000</v>
      </c>
      <c r="T673" s="864">
        <f t="shared" si="91"/>
        <v>28346540.531783771</v>
      </c>
    </row>
    <row r="674" spans="1:20" ht="17.25" customHeight="1">
      <c r="A674" s="673">
        <f t="shared" si="80"/>
        <v>107</v>
      </c>
      <c r="B674" s="286" t="s">
        <v>1473</v>
      </c>
      <c r="C674" s="689">
        <v>42702</v>
      </c>
      <c r="D674" s="690" t="s">
        <v>1474</v>
      </c>
      <c r="E674" s="764">
        <v>50</v>
      </c>
      <c r="F674" s="763">
        <v>29.5</v>
      </c>
      <c r="G674" s="763">
        <v>19</v>
      </c>
      <c r="H674" s="759">
        <f t="shared" si="87"/>
        <v>0.84</v>
      </c>
      <c r="I674" s="674">
        <v>1700</v>
      </c>
      <c r="J674" s="674">
        <f t="shared" si="88"/>
        <v>1428</v>
      </c>
      <c r="K674" s="674">
        <f t="shared" si="89"/>
        <v>7086.635132945943</v>
      </c>
      <c r="L674" s="684">
        <v>4500</v>
      </c>
      <c r="S674" s="669">
        <f t="shared" si="90"/>
        <v>7650000</v>
      </c>
      <c r="T674" s="864">
        <f t="shared" si="91"/>
        <v>12047279.726008102</v>
      </c>
    </row>
    <row r="675" spans="1:20" ht="17.25" customHeight="1">
      <c r="A675" s="673">
        <f t="shared" si="80"/>
        <v>108</v>
      </c>
      <c r="B675" s="286" t="s">
        <v>1473</v>
      </c>
      <c r="C675" s="689">
        <v>42703</v>
      </c>
      <c r="D675" s="690" t="s">
        <v>1475</v>
      </c>
      <c r="E675" s="764">
        <v>50</v>
      </c>
      <c r="F675" s="763">
        <v>29.5</v>
      </c>
      <c r="G675" s="763">
        <v>19</v>
      </c>
      <c r="H675" s="759">
        <f t="shared" si="87"/>
        <v>0.84</v>
      </c>
      <c r="I675" s="674">
        <v>4000</v>
      </c>
      <c r="J675" s="674">
        <f t="shared" si="88"/>
        <v>3360</v>
      </c>
      <c r="K675" s="674">
        <f t="shared" si="89"/>
        <v>7086.635132945943</v>
      </c>
      <c r="L675" s="684">
        <v>4500</v>
      </c>
      <c r="S675" s="669">
        <f t="shared" si="90"/>
        <v>18000000</v>
      </c>
      <c r="T675" s="864">
        <f t="shared" si="91"/>
        <v>28346540.531783771</v>
      </c>
    </row>
    <row r="676" spans="1:20" ht="17.25" customHeight="1">
      <c r="A676" s="673">
        <f t="shared" si="80"/>
        <v>109</v>
      </c>
      <c r="B676" s="286" t="s">
        <v>1473</v>
      </c>
      <c r="C676" s="689">
        <v>42705</v>
      </c>
      <c r="D676" s="690" t="s">
        <v>1476</v>
      </c>
      <c r="E676" s="764">
        <v>50</v>
      </c>
      <c r="F676" s="763">
        <v>29.5</v>
      </c>
      <c r="G676" s="763">
        <v>19</v>
      </c>
      <c r="H676" s="759">
        <f t="shared" si="87"/>
        <v>0.84</v>
      </c>
      <c r="I676" s="674">
        <v>4000</v>
      </c>
      <c r="J676" s="674">
        <f t="shared" si="88"/>
        <v>3360</v>
      </c>
      <c r="K676" s="674">
        <f t="shared" si="89"/>
        <v>7086.635132945943</v>
      </c>
      <c r="L676" s="684">
        <v>4500</v>
      </c>
      <c r="S676" s="669">
        <f t="shared" si="90"/>
        <v>18000000</v>
      </c>
      <c r="T676" s="864">
        <f t="shared" si="91"/>
        <v>28346540.531783771</v>
      </c>
    </row>
    <row r="677" spans="1:20" ht="17.25" customHeight="1">
      <c r="A677" s="673">
        <f t="shared" si="80"/>
        <v>110</v>
      </c>
      <c r="B677" s="286" t="s">
        <v>1255</v>
      </c>
      <c r="C677" s="689">
        <v>42709</v>
      </c>
      <c r="D677" s="690" t="s">
        <v>1478</v>
      </c>
      <c r="E677" s="764">
        <v>52</v>
      </c>
      <c r="F677" s="763">
        <v>24.5</v>
      </c>
      <c r="G677" s="763">
        <v>24.5</v>
      </c>
      <c r="H677" s="759">
        <f t="shared" si="87"/>
        <v>0.82</v>
      </c>
      <c r="I677" s="674">
        <v>1870</v>
      </c>
      <c r="J677" s="674">
        <f t="shared" si="88"/>
        <v>1533.3999999999999</v>
      </c>
      <c r="K677" s="674">
        <f t="shared" si="89"/>
        <v>6917.9057250186588</v>
      </c>
      <c r="L677" s="684">
        <v>5000</v>
      </c>
      <c r="S677" s="669">
        <f t="shared" si="90"/>
        <v>9350000</v>
      </c>
      <c r="T677" s="864">
        <f t="shared" si="91"/>
        <v>12936483.705784893</v>
      </c>
    </row>
    <row r="678" spans="1:20" ht="17.25" customHeight="1">
      <c r="A678" s="673">
        <f t="shared" si="80"/>
        <v>111</v>
      </c>
      <c r="B678" s="286" t="s">
        <v>441</v>
      </c>
      <c r="C678" s="689">
        <v>42709</v>
      </c>
      <c r="D678" s="690" t="s">
        <v>1478</v>
      </c>
      <c r="E678" s="764">
        <v>55</v>
      </c>
      <c r="F678" s="763">
        <v>45</v>
      </c>
      <c r="G678" s="763">
        <v>29</v>
      </c>
      <c r="H678" s="759">
        <f t="shared" si="87"/>
        <v>1.58</v>
      </c>
      <c r="I678" s="674">
        <v>535</v>
      </c>
      <c r="J678" s="674">
        <f t="shared" si="88"/>
        <v>845.30000000000007</v>
      </c>
      <c r="K678" s="674">
        <f t="shared" si="89"/>
        <v>13329.623226255466</v>
      </c>
      <c r="L678" s="684">
        <v>9700</v>
      </c>
      <c r="S678" s="669">
        <f t="shared" si="90"/>
        <v>5189500</v>
      </c>
      <c r="T678" s="864">
        <f t="shared" si="91"/>
        <v>7131348.4260466741</v>
      </c>
    </row>
    <row r="679" spans="1:20" ht="17.25" customHeight="1">
      <c r="A679" s="673">
        <f t="shared" si="80"/>
        <v>112</v>
      </c>
      <c r="B679" s="286" t="s">
        <v>1256</v>
      </c>
      <c r="C679" s="689">
        <v>42709</v>
      </c>
      <c r="D679" s="690" t="s">
        <v>1478</v>
      </c>
      <c r="E679" s="764">
        <v>55</v>
      </c>
      <c r="F679" s="763">
        <v>26.5</v>
      </c>
      <c r="G679" s="763">
        <v>26.5</v>
      </c>
      <c r="H679" s="759">
        <f t="shared" si="87"/>
        <v>0.94</v>
      </c>
      <c r="I679" s="674">
        <v>520</v>
      </c>
      <c r="J679" s="674">
        <f t="shared" si="88"/>
        <v>488.79999999999995</v>
      </c>
      <c r="K679" s="674">
        <f t="shared" si="89"/>
        <v>7930.2821725823651</v>
      </c>
      <c r="L679" s="684">
        <v>5550</v>
      </c>
      <c r="S679" s="669">
        <f t="shared" si="90"/>
        <v>2886000</v>
      </c>
      <c r="T679" s="864">
        <f t="shared" si="91"/>
        <v>4123746.7297428297</v>
      </c>
    </row>
    <row r="680" spans="1:20" ht="17.25" customHeight="1">
      <c r="A680" s="673">
        <f t="shared" si="80"/>
        <v>113</v>
      </c>
      <c r="B680" s="286" t="s">
        <v>1480</v>
      </c>
      <c r="C680" s="689">
        <v>42710</v>
      </c>
      <c r="D680" s="690" t="s">
        <v>1479</v>
      </c>
      <c r="E680" s="764">
        <v>68</v>
      </c>
      <c r="F680" s="763">
        <v>35</v>
      </c>
      <c r="G680" s="763">
        <v>18</v>
      </c>
      <c r="H680" s="759">
        <f t="shared" si="87"/>
        <v>1.18</v>
      </c>
      <c r="I680" s="674">
        <v>52</v>
      </c>
      <c r="J680" s="674">
        <f t="shared" si="88"/>
        <v>61.36</v>
      </c>
      <c r="K680" s="674">
        <f t="shared" si="89"/>
        <v>9955.0350677097776</v>
      </c>
      <c r="L680" s="684">
        <v>11600</v>
      </c>
      <c r="S680" s="669">
        <f t="shared" si="90"/>
        <v>603200</v>
      </c>
      <c r="T680" s="864">
        <f t="shared" si="91"/>
        <v>517661.82352090842</v>
      </c>
    </row>
    <row r="681" spans="1:20" ht="17.25" customHeight="1">
      <c r="A681" s="673">
        <f t="shared" si="80"/>
        <v>114</v>
      </c>
      <c r="B681" s="286" t="s">
        <v>1481</v>
      </c>
      <c r="C681" s="689">
        <v>42710</v>
      </c>
      <c r="D681" s="690" t="s">
        <v>1479</v>
      </c>
      <c r="E681" s="764">
        <v>56</v>
      </c>
      <c r="F681" s="763">
        <v>42</v>
      </c>
      <c r="G681" s="763">
        <v>9.5</v>
      </c>
      <c r="H681" s="759">
        <f t="shared" si="87"/>
        <v>1.1000000000000001</v>
      </c>
      <c r="I681" s="674">
        <v>114</v>
      </c>
      <c r="J681" s="674">
        <f t="shared" si="88"/>
        <v>125.4</v>
      </c>
      <c r="K681" s="674">
        <f t="shared" si="89"/>
        <v>9280.1174360006407</v>
      </c>
      <c r="L681" s="684">
        <v>12000</v>
      </c>
      <c r="S681" s="669">
        <f t="shared" si="90"/>
        <v>1368000</v>
      </c>
      <c r="T681" s="864">
        <f t="shared" si="91"/>
        <v>1057933.387704073</v>
      </c>
    </row>
    <row r="682" spans="1:20" ht="17.25" customHeight="1">
      <c r="A682" s="673">
        <f t="shared" si="80"/>
        <v>115</v>
      </c>
      <c r="B682" s="286" t="s">
        <v>1484</v>
      </c>
      <c r="C682" s="689">
        <v>42710</v>
      </c>
      <c r="D682" s="690" t="s">
        <v>1482</v>
      </c>
      <c r="E682" s="764">
        <v>30</v>
      </c>
      <c r="F682" s="763">
        <v>16</v>
      </c>
      <c r="G682" s="763">
        <v>17.100000000000001</v>
      </c>
      <c r="H682" s="759">
        <f t="shared" si="87"/>
        <v>0.35</v>
      </c>
      <c r="I682" s="674">
        <v>879</v>
      </c>
      <c r="J682" s="674">
        <f t="shared" si="88"/>
        <v>307.64999999999998</v>
      </c>
      <c r="K682" s="674">
        <f t="shared" si="89"/>
        <v>2952.7646387274763</v>
      </c>
      <c r="L682" s="684">
        <v>3100</v>
      </c>
      <c r="S682" s="669">
        <f t="shared" si="90"/>
        <v>2724900</v>
      </c>
      <c r="T682" s="864">
        <f t="shared" si="91"/>
        <v>2595480.1174414516</v>
      </c>
    </row>
    <row r="683" spans="1:20" ht="17.25" customHeight="1">
      <c r="A683" s="673">
        <f t="shared" si="80"/>
        <v>116</v>
      </c>
      <c r="B683" s="286" t="s">
        <v>1485</v>
      </c>
      <c r="C683" s="689">
        <v>42710</v>
      </c>
      <c r="D683" s="690" t="s">
        <v>1482</v>
      </c>
      <c r="E683" s="764">
        <v>38.700000000000003</v>
      </c>
      <c r="F683" s="763">
        <v>20</v>
      </c>
      <c r="G683" s="763">
        <v>17.100000000000001</v>
      </c>
      <c r="H683" s="759">
        <f t="shared" si="87"/>
        <v>0.49</v>
      </c>
      <c r="I683" s="674">
        <v>523</v>
      </c>
      <c r="J683" s="674">
        <f t="shared" si="88"/>
        <v>256.27</v>
      </c>
      <c r="K683" s="674">
        <f t="shared" si="89"/>
        <v>4133.8704942184668</v>
      </c>
      <c r="L683" s="684">
        <v>4300</v>
      </c>
      <c r="S683" s="669">
        <f t="shared" si="90"/>
        <v>2248900</v>
      </c>
      <c r="T683" s="864">
        <f t="shared" si="91"/>
        <v>2162014.268476258</v>
      </c>
    </row>
    <row r="684" spans="1:20" ht="17.25" customHeight="1">
      <c r="A684" s="673">
        <f t="shared" si="80"/>
        <v>117</v>
      </c>
      <c r="B684" s="286" t="s">
        <v>1473</v>
      </c>
      <c r="C684" s="689">
        <v>42710</v>
      </c>
      <c r="D684" s="690" t="s">
        <v>1486</v>
      </c>
      <c r="E684" s="764">
        <v>50</v>
      </c>
      <c r="F684" s="763">
        <v>29.5</v>
      </c>
      <c r="G684" s="763">
        <v>19</v>
      </c>
      <c r="H684" s="759">
        <f t="shared" si="87"/>
        <v>0.84</v>
      </c>
      <c r="I684" s="674">
        <v>2400</v>
      </c>
      <c r="J684" s="674">
        <f t="shared" si="88"/>
        <v>2016</v>
      </c>
      <c r="K684" s="674">
        <f t="shared" si="89"/>
        <v>7086.635132945943</v>
      </c>
      <c r="L684" s="684">
        <v>7500</v>
      </c>
      <c r="S684" s="669">
        <f t="shared" si="90"/>
        <v>18000000</v>
      </c>
      <c r="T684" s="864">
        <f t="shared" si="91"/>
        <v>17007924.319070265</v>
      </c>
    </row>
    <row r="685" spans="1:20" ht="17.25" customHeight="1">
      <c r="A685" s="673">
        <f t="shared" si="80"/>
        <v>118</v>
      </c>
      <c r="B685" s="286" t="s">
        <v>1473</v>
      </c>
      <c r="C685" s="689">
        <v>42711</v>
      </c>
      <c r="D685" s="690" t="s">
        <v>1487</v>
      </c>
      <c r="E685" s="764">
        <v>50</v>
      </c>
      <c r="F685" s="763">
        <v>29.5</v>
      </c>
      <c r="G685" s="763">
        <v>19</v>
      </c>
      <c r="H685" s="759">
        <f t="shared" si="87"/>
        <v>0.84</v>
      </c>
      <c r="I685" s="674">
        <v>2400</v>
      </c>
      <c r="J685" s="674">
        <f t="shared" si="88"/>
        <v>2016</v>
      </c>
      <c r="K685" s="674">
        <f t="shared" si="89"/>
        <v>7086.635132945943</v>
      </c>
      <c r="L685" s="684">
        <v>7500</v>
      </c>
      <c r="S685" s="669">
        <f t="shared" si="90"/>
        <v>18000000</v>
      </c>
      <c r="T685" s="864">
        <f t="shared" si="91"/>
        <v>17007924.319070265</v>
      </c>
    </row>
    <row r="686" spans="1:20" ht="17.25" customHeight="1">
      <c r="A686" s="673">
        <f t="shared" si="80"/>
        <v>119</v>
      </c>
      <c r="B686" s="286" t="s">
        <v>1303</v>
      </c>
      <c r="C686" s="689">
        <v>42713</v>
      </c>
      <c r="D686" s="690" t="s">
        <v>1488</v>
      </c>
      <c r="E686" s="764">
        <v>52.5</v>
      </c>
      <c r="F686" s="763">
        <v>30.5</v>
      </c>
      <c r="G686" s="763">
        <v>8.5</v>
      </c>
      <c r="H686" s="759">
        <f t="shared" si="87"/>
        <v>0.72</v>
      </c>
      <c r="I686" s="674">
        <v>1510</v>
      </c>
      <c r="J686" s="674">
        <f t="shared" si="88"/>
        <v>1087.2</v>
      </c>
      <c r="K686" s="674">
        <f t="shared" si="89"/>
        <v>6074.2586853822377</v>
      </c>
      <c r="L686" s="684">
        <v>7700</v>
      </c>
      <c r="S686" s="669">
        <f t="shared" si="90"/>
        <v>11627000</v>
      </c>
      <c r="T686" s="864">
        <f t="shared" si="91"/>
        <v>9172130.6149271782</v>
      </c>
    </row>
    <row r="687" spans="1:20" ht="17.25" customHeight="1">
      <c r="A687" s="673">
        <f t="shared" si="80"/>
        <v>120</v>
      </c>
      <c r="B687" s="286" t="s">
        <v>1315</v>
      </c>
      <c r="C687" s="689">
        <v>42713</v>
      </c>
      <c r="D687" s="690" t="s">
        <v>1488</v>
      </c>
      <c r="E687" s="764">
        <v>23.5</v>
      </c>
      <c r="F687" s="763">
        <v>23.5</v>
      </c>
      <c r="G687" s="763">
        <v>30.5</v>
      </c>
      <c r="H687" s="759">
        <f t="shared" si="87"/>
        <v>0.56000000000000005</v>
      </c>
      <c r="I687" s="674">
        <v>1500</v>
      </c>
      <c r="J687" s="674">
        <f t="shared" si="88"/>
        <v>840.00000000000011</v>
      </c>
      <c r="K687" s="674">
        <f t="shared" si="89"/>
        <v>4724.4234219639629</v>
      </c>
      <c r="L687" s="684">
        <v>6700</v>
      </c>
      <c r="S687" s="669">
        <f t="shared" si="90"/>
        <v>10050000</v>
      </c>
      <c r="T687" s="864">
        <f t="shared" si="91"/>
        <v>7086635.1329459446</v>
      </c>
    </row>
    <row r="688" spans="1:20" ht="17.25" customHeight="1">
      <c r="A688" s="673">
        <f t="shared" si="80"/>
        <v>121</v>
      </c>
      <c r="B688" s="286" t="s">
        <v>1355</v>
      </c>
      <c r="C688" s="689">
        <v>42713</v>
      </c>
      <c r="D688" s="690" t="s">
        <v>1489</v>
      </c>
      <c r="E688" s="764">
        <v>40</v>
      </c>
      <c r="F688" s="763">
        <v>30</v>
      </c>
      <c r="G688" s="764">
        <v>18.5</v>
      </c>
      <c r="H688" s="759">
        <f t="shared" si="87"/>
        <v>0.75</v>
      </c>
      <c r="I688" s="674">
        <v>535</v>
      </c>
      <c r="J688" s="674">
        <f t="shared" si="88"/>
        <v>401.25</v>
      </c>
      <c r="K688" s="674">
        <f t="shared" si="89"/>
        <v>6327.3527972731645</v>
      </c>
      <c r="L688" s="684">
        <v>8800</v>
      </c>
      <c r="S688" s="669">
        <f t="shared" si="90"/>
        <v>4708000</v>
      </c>
      <c r="T688" s="864">
        <f t="shared" si="91"/>
        <v>3385133.7465411429</v>
      </c>
    </row>
    <row r="689" spans="1:20" ht="17.25" customHeight="1">
      <c r="A689" s="673">
        <f t="shared" si="80"/>
        <v>122</v>
      </c>
      <c r="B689" s="286" t="s">
        <v>954</v>
      </c>
      <c r="C689" s="689">
        <v>42713</v>
      </c>
      <c r="D689" s="690" t="s">
        <v>1489</v>
      </c>
      <c r="E689" s="764">
        <v>39</v>
      </c>
      <c r="F689" s="763">
        <v>30</v>
      </c>
      <c r="G689" s="763">
        <v>16</v>
      </c>
      <c r="H689" s="759">
        <f t="shared" si="87"/>
        <v>0.7</v>
      </c>
      <c r="I689" s="674">
        <v>46</v>
      </c>
      <c r="J689" s="674">
        <f t="shared" si="88"/>
        <v>32.199999999999996</v>
      </c>
      <c r="K689" s="674">
        <f t="shared" si="89"/>
        <v>5905.5292774549525</v>
      </c>
      <c r="L689" s="684">
        <v>8500</v>
      </c>
      <c r="S689" s="669">
        <f t="shared" si="90"/>
        <v>391000</v>
      </c>
      <c r="T689" s="864">
        <f t="shared" si="91"/>
        <v>271654.34676292783</v>
      </c>
    </row>
    <row r="690" spans="1:20" ht="17.25" customHeight="1">
      <c r="A690" s="673">
        <f t="shared" si="80"/>
        <v>123</v>
      </c>
      <c r="B690" s="286" t="s">
        <v>1434</v>
      </c>
      <c r="C690" s="689">
        <v>42716</v>
      </c>
      <c r="D690" s="690" t="s">
        <v>1490</v>
      </c>
      <c r="E690" s="764">
        <v>41</v>
      </c>
      <c r="F690" s="763">
        <v>39</v>
      </c>
      <c r="G690" s="763">
        <v>20</v>
      </c>
      <c r="H690" s="759">
        <f t="shared" si="87"/>
        <v>1.02</v>
      </c>
      <c r="I690" s="674">
        <v>600</v>
      </c>
      <c r="J690" s="674">
        <f t="shared" si="88"/>
        <v>612</v>
      </c>
      <c r="K690" s="674">
        <f t="shared" si="89"/>
        <v>8605.1998042915038</v>
      </c>
      <c r="L690" s="684">
        <v>10900</v>
      </c>
      <c r="S690" s="669">
        <f t="shared" si="90"/>
        <v>6540000</v>
      </c>
      <c r="T690" s="864">
        <f t="shared" si="91"/>
        <v>5163119.8825749019</v>
      </c>
    </row>
    <row r="691" spans="1:20" ht="17.25" customHeight="1">
      <c r="A691" s="673">
        <f t="shared" si="80"/>
        <v>124</v>
      </c>
      <c r="B691" s="286" t="s">
        <v>1473</v>
      </c>
      <c r="C691" s="689">
        <v>42716</v>
      </c>
      <c r="D691" s="690" t="s">
        <v>1491</v>
      </c>
      <c r="E691" s="764">
        <v>50</v>
      </c>
      <c r="F691" s="763">
        <v>29.5</v>
      </c>
      <c r="G691" s="763">
        <v>19</v>
      </c>
      <c r="H691" s="759">
        <f t="shared" si="87"/>
        <v>0.84</v>
      </c>
      <c r="I691" s="674">
        <v>800</v>
      </c>
      <c r="J691" s="674">
        <f t="shared" si="88"/>
        <v>672</v>
      </c>
      <c r="K691" s="674">
        <f t="shared" si="89"/>
        <v>7086.635132945943</v>
      </c>
      <c r="L691" s="684">
        <v>7500</v>
      </c>
      <c r="S691" s="669">
        <f t="shared" si="90"/>
        <v>6000000</v>
      </c>
      <c r="T691" s="864">
        <f t="shared" si="91"/>
        <v>5669308.1063567549</v>
      </c>
    </row>
    <row r="692" spans="1:20" ht="17.25" customHeight="1">
      <c r="A692" s="673">
        <f t="shared" si="80"/>
        <v>125</v>
      </c>
      <c r="B692" s="286" t="s">
        <v>1473</v>
      </c>
      <c r="C692" s="689">
        <v>42716</v>
      </c>
      <c r="D692" s="690" t="s">
        <v>1492</v>
      </c>
      <c r="E692" s="764">
        <v>50</v>
      </c>
      <c r="F692" s="763">
        <v>29.5</v>
      </c>
      <c r="G692" s="763">
        <v>19</v>
      </c>
      <c r="H692" s="759">
        <f t="shared" si="87"/>
        <v>0.84</v>
      </c>
      <c r="I692" s="674">
        <v>2400</v>
      </c>
      <c r="J692" s="674">
        <f t="shared" si="88"/>
        <v>2016</v>
      </c>
      <c r="K692" s="674">
        <f t="shared" si="89"/>
        <v>7086.635132945943</v>
      </c>
      <c r="L692" s="684">
        <v>7500</v>
      </c>
      <c r="S692" s="669">
        <f t="shared" si="90"/>
        <v>18000000</v>
      </c>
      <c r="T692" s="864">
        <f t="shared" si="91"/>
        <v>17007924.319070265</v>
      </c>
    </row>
    <row r="693" spans="1:20" ht="17.25" customHeight="1">
      <c r="A693" s="673">
        <f t="shared" si="80"/>
        <v>126</v>
      </c>
      <c r="B693" s="286" t="s">
        <v>1473</v>
      </c>
      <c r="C693" s="689">
        <v>42717</v>
      </c>
      <c r="D693" s="690" t="s">
        <v>1493</v>
      </c>
      <c r="E693" s="764">
        <v>50</v>
      </c>
      <c r="F693" s="763">
        <v>29.5</v>
      </c>
      <c r="G693" s="763">
        <v>19</v>
      </c>
      <c r="H693" s="759">
        <f t="shared" si="87"/>
        <v>0.84</v>
      </c>
      <c r="I693" s="674">
        <v>2400</v>
      </c>
      <c r="J693" s="674">
        <f t="shared" si="88"/>
        <v>2016</v>
      </c>
      <c r="K693" s="674">
        <f t="shared" si="89"/>
        <v>7086.635132945943</v>
      </c>
      <c r="L693" s="684">
        <v>7500</v>
      </c>
      <c r="S693" s="669">
        <f t="shared" si="90"/>
        <v>18000000</v>
      </c>
      <c r="T693" s="864">
        <f t="shared" si="91"/>
        <v>17007924.319070265</v>
      </c>
    </row>
    <row r="694" spans="1:20" ht="17.25" customHeight="1">
      <c r="A694" s="673">
        <f t="shared" si="80"/>
        <v>127</v>
      </c>
      <c r="B694" s="286" t="s">
        <v>1473</v>
      </c>
      <c r="C694" s="689">
        <v>42718</v>
      </c>
      <c r="D694" s="690" t="s">
        <v>1494</v>
      </c>
      <c r="E694" s="764">
        <v>50</v>
      </c>
      <c r="F694" s="763">
        <v>29.5</v>
      </c>
      <c r="G694" s="763">
        <v>19</v>
      </c>
      <c r="H694" s="759">
        <f t="shared" si="87"/>
        <v>0.84</v>
      </c>
      <c r="I694" s="674">
        <v>2400</v>
      </c>
      <c r="J694" s="674">
        <f t="shared" si="88"/>
        <v>2016</v>
      </c>
      <c r="K694" s="674">
        <f t="shared" si="89"/>
        <v>7086.635132945943</v>
      </c>
      <c r="L694" s="684">
        <v>7500</v>
      </c>
      <c r="S694" s="669">
        <f t="shared" si="90"/>
        <v>18000000</v>
      </c>
      <c r="T694" s="864">
        <f t="shared" si="91"/>
        <v>17007924.319070265</v>
      </c>
    </row>
    <row r="695" spans="1:20" ht="17.25" customHeight="1">
      <c r="A695" s="673">
        <f t="shared" si="80"/>
        <v>128</v>
      </c>
      <c r="B695" s="286" t="s">
        <v>1473</v>
      </c>
      <c r="C695" s="689">
        <v>42719</v>
      </c>
      <c r="D695" s="690" t="s">
        <v>1495</v>
      </c>
      <c r="E695" s="764">
        <v>50</v>
      </c>
      <c r="F695" s="763">
        <v>29.5</v>
      </c>
      <c r="G695" s="763">
        <v>19</v>
      </c>
      <c r="H695" s="759">
        <f t="shared" si="87"/>
        <v>0.84</v>
      </c>
      <c r="I695" s="674">
        <v>2400</v>
      </c>
      <c r="J695" s="674">
        <f t="shared" si="88"/>
        <v>2016</v>
      </c>
      <c r="K695" s="674">
        <f t="shared" si="89"/>
        <v>7086.635132945943</v>
      </c>
      <c r="L695" s="684">
        <v>7500</v>
      </c>
      <c r="S695" s="669">
        <f t="shared" si="90"/>
        <v>18000000</v>
      </c>
      <c r="T695" s="864">
        <f t="shared" si="91"/>
        <v>17007924.319070265</v>
      </c>
    </row>
    <row r="696" spans="1:20" ht="17.25" customHeight="1">
      <c r="A696" s="673">
        <f t="shared" si="80"/>
        <v>129</v>
      </c>
      <c r="B696" s="286" t="s">
        <v>1473</v>
      </c>
      <c r="C696" s="689">
        <v>42720</v>
      </c>
      <c r="D696" s="690" t="s">
        <v>1496</v>
      </c>
      <c r="E696" s="764">
        <v>50</v>
      </c>
      <c r="F696" s="763">
        <v>29.5</v>
      </c>
      <c r="G696" s="763">
        <v>19</v>
      </c>
      <c r="H696" s="759">
        <f t="shared" si="87"/>
        <v>0.84</v>
      </c>
      <c r="I696" s="674">
        <v>2400</v>
      </c>
      <c r="J696" s="674">
        <f t="shared" si="88"/>
        <v>2016</v>
      </c>
      <c r="K696" s="674">
        <f t="shared" si="89"/>
        <v>7086.635132945943</v>
      </c>
      <c r="L696" s="684">
        <v>7500</v>
      </c>
      <c r="S696" s="669">
        <f t="shared" si="90"/>
        <v>18000000</v>
      </c>
      <c r="T696" s="864">
        <f t="shared" si="91"/>
        <v>17007924.319070265</v>
      </c>
    </row>
    <row r="697" spans="1:20" ht="17.25" customHeight="1">
      <c r="A697" s="673">
        <f t="shared" si="80"/>
        <v>130</v>
      </c>
      <c r="B697" s="286" t="s">
        <v>1473</v>
      </c>
      <c r="C697" s="689">
        <v>42721</v>
      </c>
      <c r="D697" s="690" t="s">
        <v>1497</v>
      </c>
      <c r="E697" s="764">
        <v>50</v>
      </c>
      <c r="F697" s="763">
        <v>29.5</v>
      </c>
      <c r="G697" s="763">
        <v>19</v>
      </c>
      <c r="H697" s="759">
        <f t="shared" si="87"/>
        <v>0.84</v>
      </c>
      <c r="I697" s="674">
        <v>180</v>
      </c>
      <c r="J697" s="674">
        <f t="shared" si="88"/>
        <v>151.19999999999999</v>
      </c>
      <c r="K697" s="674">
        <f t="shared" si="89"/>
        <v>7086.635132945943</v>
      </c>
      <c r="L697" s="684">
        <v>7500</v>
      </c>
      <c r="S697" s="669">
        <f t="shared" ref="S697:S715" si="92">I697*L697</f>
        <v>1350000</v>
      </c>
      <c r="T697" s="864">
        <f t="shared" ref="T697:T715" si="93">I697*K697</f>
        <v>1275594.3239302698</v>
      </c>
    </row>
    <row r="698" spans="1:20" ht="17.25" customHeight="1">
      <c r="A698" s="673">
        <f t="shared" si="80"/>
        <v>131</v>
      </c>
      <c r="B698" s="286" t="s">
        <v>1499</v>
      </c>
      <c r="C698" s="689">
        <v>42724</v>
      </c>
      <c r="D698" s="690" t="s">
        <v>1498</v>
      </c>
      <c r="E698" s="764">
        <v>49</v>
      </c>
      <c r="F698" s="763">
        <v>38</v>
      </c>
      <c r="G698" s="763">
        <v>13</v>
      </c>
      <c r="H698" s="759">
        <f t="shared" si="87"/>
        <v>0.97</v>
      </c>
      <c r="I698" s="674">
        <v>397</v>
      </c>
      <c r="J698" s="674">
        <f t="shared" si="88"/>
        <v>385.09</v>
      </c>
      <c r="K698" s="674">
        <f t="shared" si="89"/>
        <v>8183.3762844732919</v>
      </c>
      <c r="L698" s="684">
        <v>10500</v>
      </c>
      <c r="S698" s="669">
        <f t="shared" si="92"/>
        <v>4168500</v>
      </c>
      <c r="T698" s="864">
        <f t="shared" si="93"/>
        <v>3248800.3849358968</v>
      </c>
    </row>
    <row r="699" spans="1:20" ht="17.25" customHeight="1">
      <c r="A699" s="673">
        <f t="shared" si="80"/>
        <v>132</v>
      </c>
      <c r="B699" s="286" t="s">
        <v>400</v>
      </c>
      <c r="C699" s="689">
        <v>42724</v>
      </c>
      <c r="D699" s="690" t="s">
        <v>1498</v>
      </c>
      <c r="E699" s="764">
        <v>49</v>
      </c>
      <c r="F699" s="763">
        <v>38</v>
      </c>
      <c r="G699" s="763">
        <v>12</v>
      </c>
      <c r="H699" s="759">
        <f t="shared" si="87"/>
        <v>0.95</v>
      </c>
      <c r="I699" s="674">
        <v>200</v>
      </c>
      <c r="J699" s="674">
        <f t="shared" si="88"/>
        <v>190</v>
      </c>
      <c r="K699" s="674">
        <f t="shared" si="89"/>
        <v>8014.6468765460077</v>
      </c>
      <c r="L699" s="684">
        <v>10500</v>
      </c>
      <c r="S699" s="669">
        <f t="shared" si="92"/>
        <v>2100000</v>
      </c>
      <c r="T699" s="864">
        <f t="shared" si="93"/>
        <v>1602929.3753092014</v>
      </c>
    </row>
    <row r="700" spans="1:20" ht="17.25" customHeight="1">
      <c r="A700" s="673">
        <f t="shared" si="80"/>
        <v>133</v>
      </c>
      <c r="B700" s="286" t="s">
        <v>400</v>
      </c>
      <c r="C700" s="689">
        <v>42724</v>
      </c>
      <c r="D700" s="690" t="s">
        <v>1498</v>
      </c>
      <c r="E700" s="764">
        <v>49</v>
      </c>
      <c r="F700" s="763">
        <v>38</v>
      </c>
      <c r="G700" s="763">
        <v>12</v>
      </c>
      <c r="H700" s="759">
        <f t="shared" si="87"/>
        <v>0.95</v>
      </c>
      <c r="I700" s="674">
        <v>389</v>
      </c>
      <c r="J700" s="674">
        <f t="shared" si="88"/>
        <v>369.54999999999995</v>
      </c>
      <c r="K700" s="674">
        <f t="shared" si="89"/>
        <v>8014.6468765460077</v>
      </c>
      <c r="L700" s="684">
        <v>10500</v>
      </c>
      <c r="S700" s="669">
        <f t="shared" si="92"/>
        <v>4084500</v>
      </c>
      <c r="T700" s="864">
        <f t="shared" si="93"/>
        <v>3117697.6349763968</v>
      </c>
    </row>
    <row r="701" spans="1:20" ht="17.25" customHeight="1">
      <c r="A701" s="673">
        <f t="shared" si="80"/>
        <v>134</v>
      </c>
      <c r="B701" s="286" t="s">
        <v>954</v>
      </c>
      <c r="C701" s="689">
        <v>42724</v>
      </c>
      <c r="D701" s="690" t="s">
        <v>1498</v>
      </c>
      <c r="E701" s="764">
        <v>39</v>
      </c>
      <c r="F701" s="763">
        <v>30</v>
      </c>
      <c r="G701" s="763">
        <v>16</v>
      </c>
      <c r="H701" s="759">
        <f t="shared" si="81"/>
        <v>0.7</v>
      </c>
      <c r="I701" s="674">
        <v>566</v>
      </c>
      <c r="J701" s="674">
        <f t="shared" si="82"/>
        <v>396.2</v>
      </c>
      <c r="K701" s="674">
        <f t="shared" ref="K701:K715" si="94">H701*$R$599</f>
        <v>5905.5292774549525</v>
      </c>
      <c r="L701" s="684">
        <v>8500</v>
      </c>
      <c r="S701" s="669">
        <f t="shared" si="92"/>
        <v>4811000</v>
      </c>
      <c r="T701" s="864">
        <f t="shared" si="93"/>
        <v>3342529.571039503</v>
      </c>
    </row>
    <row r="702" spans="1:20" ht="17.25" customHeight="1">
      <c r="A702" s="673">
        <f t="shared" si="80"/>
        <v>135</v>
      </c>
      <c r="B702" s="286" t="s">
        <v>1473</v>
      </c>
      <c r="C702" s="689">
        <v>42724</v>
      </c>
      <c r="D702" s="690" t="s">
        <v>1500</v>
      </c>
      <c r="E702" s="764">
        <v>50</v>
      </c>
      <c r="F702" s="763">
        <v>29.5</v>
      </c>
      <c r="G702" s="763">
        <v>19</v>
      </c>
      <c r="H702" s="759">
        <f t="shared" si="81"/>
        <v>0.84</v>
      </c>
      <c r="I702" s="674">
        <v>2400</v>
      </c>
      <c r="J702" s="674">
        <f t="shared" si="82"/>
        <v>2016</v>
      </c>
      <c r="K702" s="674">
        <f t="shared" si="94"/>
        <v>7086.635132945943</v>
      </c>
      <c r="L702" s="684">
        <v>7500</v>
      </c>
      <c r="S702" s="669">
        <f t="shared" si="92"/>
        <v>18000000</v>
      </c>
      <c r="T702" s="864">
        <f t="shared" si="93"/>
        <v>17007924.319070265</v>
      </c>
    </row>
    <row r="703" spans="1:20" ht="17.25" customHeight="1">
      <c r="A703" s="673">
        <f t="shared" si="80"/>
        <v>136</v>
      </c>
      <c r="B703" s="286" t="s">
        <v>1473</v>
      </c>
      <c r="C703" s="689">
        <v>42725</v>
      </c>
      <c r="D703" s="690" t="s">
        <v>1501</v>
      </c>
      <c r="E703" s="764">
        <v>50</v>
      </c>
      <c r="F703" s="763">
        <v>29.5</v>
      </c>
      <c r="G703" s="763">
        <v>19</v>
      </c>
      <c r="H703" s="759">
        <f t="shared" si="81"/>
        <v>0.84</v>
      </c>
      <c r="I703" s="674">
        <v>2400</v>
      </c>
      <c r="J703" s="674">
        <f t="shared" si="82"/>
        <v>2016</v>
      </c>
      <c r="K703" s="674">
        <f t="shared" si="94"/>
        <v>7086.635132945943</v>
      </c>
      <c r="L703" s="684">
        <v>7500</v>
      </c>
      <c r="S703" s="669">
        <f t="shared" si="92"/>
        <v>18000000</v>
      </c>
      <c r="T703" s="864">
        <f t="shared" si="93"/>
        <v>17007924.319070265</v>
      </c>
    </row>
    <row r="704" spans="1:20" ht="17.25" customHeight="1">
      <c r="A704" s="673">
        <f t="shared" si="80"/>
        <v>137</v>
      </c>
      <c r="B704" s="286" t="s">
        <v>1504</v>
      </c>
      <c r="C704" s="689">
        <v>42725</v>
      </c>
      <c r="D704" s="690" t="s">
        <v>1502</v>
      </c>
      <c r="E704" s="764">
        <v>90.5</v>
      </c>
      <c r="F704" s="763">
        <v>55.5</v>
      </c>
      <c r="G704" s="763">
        <v>10.6</v>
      </c>
      <c r="H704" s="759">
        <f t="shared" si="81"/>
        <v>2.0499999999999998</v>
      </c>
      <c r="I704" s="674">
        <v>66</v>
      </c>
      <c r="J704" s="674">
        <f t="shared" si="82"/>
        <v>135.29999999999998</v>
      </c>
      <c r="K704" s="674">
        <f t="shared" si="94"/>
        <v>17294.764312546646</v>
      </c>
      <c r="L704" s="684">
        <v>25300</v>
      </c>
      <c r="S704" s="669">
        <f t="shared" si="92"/>
        <v>1669800</v>
      </c>
      <c r="T704" s="864">
        <f t="shared" si="93"/>
        <v>1141454.4446280787</v>
      </c>
    </row>
    <row r="705" spans="1:20" ht="17.25" customHeight="1">
      <c r="A705" s="673">
        <f t="shared" si="80"/>
        <v>138</v>
      </c>
      <c r="B705" s="286" t="s">
        <v>1503</v>
      </c>
      <c r="C705" s="689">
        <v>42725</v>
      </c>
      <c r="D705" s="690" t="s">
        <v>1502</v>
      </c>
      <c r="E705" s="764">
        <v>54</v>
      </c>
      <c r="F705" s="763">
        <v>33</v>
      </c>
      <c r="G705" s="763">
        <v>25</v>
      </c>
      <c r="H705" s="759">
        <f t="shared" si="81"/>
        <v>1.0900000000000001</v>
      </c>
      <c r="I705" s="674">
        <v>64</v>
      </c>
      <c r="J705" s="674">
        <f t="shared" si="82"/>
        <v>69.760000000000005</v>
      </c>
      <c r="K705" s="674">
        <f t="shared" si="94"/>
        <v>9195.7527320369991</v>
      </c>
      <c r="L705" s="684">
        <v>18900</v>
      </c>
      <c r="S705" s="669">
        <f t="shared" si="92"/>
        <v>1209600</v>
      </c>
      <c r="T705" s="864">
        <f t="shared" si="93"/>
        <v>588528.17485036794</v>
      </c>
    </row>
    <row r="706" spans="1:20" ht="17.25" customHeight="1">
      <c r="A706" s="673">
        <f t="shared" si="80"/>
        <v>139</v>
      </c>
      <c r="B706" s="286" t="s">
        <v>1473</v>
      </c>
      <c r="C706" s="689">
        <v>42726</v>
      </c>
      <c r="D706" s="690" t="s">
        <v>1505</v>
      </c>
      <c r="E706" s="764">
        <v>50</v>
      </c>
      <c r="F706" s="763">
        <v>29.5</v>
      </c>
      <c r="G706" s="763">
        <v>19</v>
      </c>
      <c r="H706" s="759">
        <f t="shared" si="81"/>
        <v>0.84</v>
      </c>
      <c r="I706" s="674">
        <v>1939</v>
      </c>
      <c r="J706" s="674">
        <f t="shared" si="82"/>
        <v>1628.76</v>
      </c>
      <c r="K706" s="674">
        <f t="shared" si="94"/>
        <v>7086.635132945943</v>
      </c>
      <c r="L706" s="684">
        <v>7500</v>
      </c>
      <c r="S706" s="669">
        <f t="shared" si="92"/>
        <v>14542500</v>
      </c>
      <c r="T706" s="864">
        <f t="shared" si="93"/>
        <v>13740985.522782184</v>
      </c>
    </row>
    <row r="707" spans="1:20" ht="17.25" customHeight="1">
      <c r="A707" s="673">
        <f t="shared" si="80"/>
        <v>140</v>
      </c>
      <c r="B707" s="286" t="s">
        <v>1409</v>
      </c>
      <c r="C707" s="689">
        <v>42726</v>
      </c>
      <c r="D707" s="690" t="s">
        <v>1506</v>
      </c>
      <c r="E707" s="764">
        <v>55.9</v>
      </c>
      <c r="F707" s="763">
        <v>28.1</v>
      </c>
      <c r="G707" s="763">
        <v>28.7</v>
      </c>
      <c r="H707" s="759">
        <f t="shared" si="81"/>
        <v>1.03</v>
      </c>
      <c r="I707" s="674">
        <v>208</v>
      </c>
      <c r="J707" s="674">
        <f t="shared" si="82"/>
        <v>214.24</v>
      </c>
      <c r="K707" s="674">
        <f t="shared" si="94"/>
        <v>8689.5645082551455</v>
      </c>
      <c r="L707" s="684">
        <v>7300</v>
      </c>
      <c r="S707" s="669">
        <f t="shared" si="92"/>
        <v>1518400</v>
      </c>
      <c r="T707" s="864">
        <f t="shared" si="93"/>
        <v>1807429.4177170703</v>
      </c>
    </row>
    <row r="708" spans="1:20" ht="17.25" customHeight="1">
      <c r="A708" s="673">
        <f t="shared" si="80"/>
        <v>141</v>
      </c>
      <c r="B708" s="286" t="s">
        <v>1406</v>
      </c>
      <c r="C708" s="689">
        <v>42726</v>
      </c>
      <c r="D708" s="690" t="s">
        <v>1506</v>
      </c>
      <c r="E708" s="764">
        <v>29</v>
      </c>
      <c r="F708" s="763">
        <v>29</v>
      </c>
      <c r="G708" s="763">
        <v>44.5</v>
      </c>
      <c r="H708" s="759">
        <f t="shared" si="81"/>
        <v>0.93</v>
      </c>
      <c r="I708" s="674">
        <v>205</v>
      </c>
      <c r="J708" s="674">
        <f t="shared" si="82"/>
        <v>190.65</v>
      </c>
      <c r="K708" s="674">
        <f t="shared" si="94"/>
        <v>7845.9174686187234</v>
      </c>
      <c r="L708" s="684">
        <v>7200</v>
      </c>
      <c r="S708" s="669">
        <f t="shared" si="92"/>
        <v>1476000</v>
      </c>
      <c r="T708" s="864">
        <f t="shared" si="93"/>
        <v>1608413.0810668382</v>
      </c>
    </row>
    <row r="709" spans="1:20" ht="17.25" customHeight="1">
      <c r="A709" s="673">
        <f t="shared" si="80"/>
        <v>142</v>
      </c>
      <c r="B709" s="286" t="s">
        <v>1507</v>
      </c>
      <c r="C709" s="689">
        <v>42726</v>
      </c>
      <c r="D709" s="690" t="s">
        <v>1506</v>
      </c>
      <c r="E709" s="764">
        <v>58</v>
      </c>
      <c r="F709" s="763">
        <v>42.5</v>
      </c>
      <c r="G709" s="763">
        <v>20</v>
      </c>
      <c r="H709" s="759">
        <f t="shared" si="81"/>
        <v>1.35</v>
      </c>
      <c r="I709" s="674">
        <v>25</v>
      </c>
      <c r="J709" s="674">
        <f t="shared" si="82"/>
        <v>33.75</v>
      </c>
      <c r="K709" s="674">
        <f t="shared" si="94"/>
        <v>11389.235035091697</v>
      </c>
      <c r="L709" s="684">
        <v>17300</v>
      </c>
      <c r="S709" s="669">
        <f t="shared" si="92"/>
        <v>432500</v>
      </c>
      <c r="T709" s="864">
        <f t="shared" si="93"/>
        <v>284730.87587729242</v>
      </c>
    </row>
    <row r="710" spans="1:20" ht="17.25" customHeight="1">
      <c r="A710" s="673">
        <f t="shared" si="80"/>
        <v>143</v>
      </c>
      <c r="B710" s="286" t="s">
        <v>1473</v>
      </c>
      <c r="C710" s="689">
        <v>42728</v>
      </c>
      <c r="D710" s="690" t="s">
        <v>1508</v>
      </c>
      <c r="E710" s="764">
        <v>50</v>
      </c>
      <c r="F710" s="763">
        <v>29.5</v>
      </c>
      <c r="G710" s="763">
        <v>19</v>
      </c>
      <c r="H710" s="759">
        <f>IF(G710&lt;&gt;"",ROUND(((E710+F710)*2+5)*(F710+G710+3)/10000,2),ROUND(E710*F710/10000,2))</f>
        <v>0.84</v>
      </c>
      <c r="I710" s="674">
        <v>2400</v>
      </c>
      <c r="J710" s="674">
        <f t="shared" si="82"/>
        <v>2016</v>
      </c>
      <c r="K710" s="674">
        <f t="shared" si="94"/>
        <v>7086.635132945943</v>
      </c>
      <c r="L710" s="684">
        <v>7500</v>
      </c>
      <c r="S710" s="669">
        <f t="shared" si="92"/>
        <v>18000000</v>
      </c>
      <c r="T710" s="864">
        <f t="shared" si="93"/>
        <v>17007924.319070265</v>
      </c>
    </row>
    <row r="711" spans="1:20" ht="17.25" customHeight="1">
      <c r="A711" s="673">
        <f t="shared" si="80"/>
        <v>144</v>
      </c>
      <c r="B711" s="286" t="s">
        <v>1473</v>
      </c>
      <c r="C711" s="689">
        <v>42731</v>
      </c>
      <c r="D711" s="690" t="s">
        <v>1509</v>
      </c>
      <c r="E711" s="764">
        <v>50</v>
      </c>
      <c r="F711" s="763">
        <v>29.5</v>
      </c>
      <c r="G711" s="763">
        <v>19</v>
      </c>
      <c r="H711" s="759">
        <f>IF(G711&lt;&gt;"",ROUND(((E711+F711)*2+5)*(F711+G711+3)/10000,2),ROUND(E711*F711/10000,2))</f>
        <v>0.84</v>
      </c>
      <c r="I711" s="674">
        <v>2030</v>
      </c>
      <c r="J711" s="674">
        <f t="shared" si="82"/>
        <v>1705.2</v>
      </c>
      <c r="K711" s="674">
        <f t="shared" si="94"/>
        <v>7086.635132945943</v>
      </c>
      <c r="L711" s="684">
        <v>7500</v>
      </c>
      <c r="S711" s="669">
        <f t="shared" si="92"/>
        <v>15225000</v>
      </c>
      <c r="T711" s="864">
        <f t="shared" si="93"/>
        <v>14385869.319880264</v>
      </c>
    </row>
    <row r="712" spans="1:20" ht="17.25" customHeight="1">
      <c r="A712" s="673">
        <f t="shared" si="80"/>
        <v>145</v>
      </c>
      <c r="B712" s="286" t="s">
        <v>1388</v>
      </c>
      <c r="C712" s="689">
        <v>42732</v>
      </c>
      <c r="D712" s="690" t="s">
        <v>1510</v>
      </c>
      <c r="E712" s="764">
        <v>49</v>
      </c>
      <c r="F712" s="763">
        <v>38</v>
      </c>
      <c r="G712" s="763">
        <v>12.5</v>
      </c>
      <c r="H712" s="759">
        <f t="shared" si="81"/>
        <v>0.96</v>
      </c>
      <c r="I712" s="674">
        <v>509</v>
      </c>
      <c r="J712" s="674">
        <f t="shared" si="82"/>
        <v>488.64</v>
      </c>
      <c r="K712" s="674">
        <f t="shared" si="94"/>
        <v>8099.0115805096493</v>
      </c>
      <c r="L712" s="684">
        <v>10200</v>
      </c>
      <c r="S712" s="669">
        <f t="shared" si="92"/>
        <v>5191800</v>
      </c>
      <c r="T712" s="864">
        <f t="shared" si="93"/>
        <v>4122396.8944794117</v>
      </c>
    </row>
    <row r="713" spans="1:20" ht="17.25" customHeight="1">
      <c r="A713" s="673">
        <f t="shared" si="80"/>
        <v>146</v>
      </c>
      <c r="B713" s="286" t="s">
        <v>1255</v>
      </c>
      <c r="C713" s="689">
        <v>42732</v>
      </c>
      <c r="D713" s="690" t="s">
        <v>1511</v>
      </c>
      <c r="E713" s="764">
        <v>52</v>
      </c>
      <c r="F713" s="763">
        <v>24.5</v>
      </c>
      <c r="G713" s="763">
        <v>24.5</v>
      </c>
      <c r="H713" s="759">
        <f t="shared" si="81"/>
        <v>0.82</v>
      </c>
      <c r="I713" s="674">
        <v>1049</v>
      </c>
      <c r="J713" s="674">
        <f t="shared" si="82"/>
        <v>860.18</v>
      </c>
      <c r="K713" s="674">
        <f t="shared" si="94"/>
        <v>6917.9057250186588</v>
      </c>
      <c r="L713" s="684">
        <v>5000</v>
      </c>
      <c r="S713" s="669">
        <f t="shared" si="92"/>
        <v>5245000</v>
      </c>
      <c r="T713" s="864">
        <f t="shared" si="93"/>
        <v>7256883.1055445727</v>
      </c>
    </row>
    <row r="714" spans="1:20" ht="17.25" customHeight="1">
      <c r="A714" s="673">
        <f t="shared" si="80"/>
        <v>147</v>
      </c>
      <c r="B714" s="286" t="s">
        <v>1256</v>
      </c>
      <c r="C714" s="689">
        <v>42732</v>
      </c>
      <c r="D714" s="690" t="s">
        <v>1511</v>
      </c>
      <c r="E714" s="764">
        <v>52</v>
      </c>
      <c r="F714" s="763">
        <v>26.5</v>
      </c>
      <c r="G714" s="763">
        <v>26.5</v>
      </c>
      <c r="H714" s="759">
        <f t="shared" si="81"/>
        <v>0.91</v>
      </c>
      <c r="I714" s="674">
        <v>504</v>
      </c>
      <c r="J714" s="674">
        <f t="shared" si="82"/>
        <v>458.64000000000004</v>
      </c>
      <c r="K714" s="674">
        <f t="shared" si="94"/>
        <v>7677.1880606914392</v>
      </c>
      <c r="L714" s="684">
        <v>5550</v>
      </c>
      <c r="S714" s="669">
        <f t="shared" si="92"/>
        <v>2797200</v>
      </c>
      <c r="T714" s="864">
        <f t="shared" si="93"/>
        <v>3869302.7825884852</v>
      </c>
    </row>
    <row r="715" spans="1:20" ht="17.25" customHeight="1">
      <c r="A715" s="673">
        <f t="shared" si="80"/>
        <v>148</v>
      </c>
      <c r="B715" s="286" t="s">
        <v>400</v>
      </c>
      <c r="C715" s="689">
        <v>42734</v>
      </c>
      <c r="D715" s="690" t="s">
        <v>1512</v>
      </c>
      <c r="E715" s="764">
        <v>49</v>
      </c>
      <c r="F715" s="763">
        <v>38</v>
      </c>
      <c r="G715" s="763">
        <v>12</v>
      </c>
      <c r="H715" s="759">
        <f t="shared" si="81"/>
        <v>0.95</v>
      </c>
      <c r="I715" s="674">
        <v>540</v>
      </c>
      <c r="J715" s="674">
        <f t="shared" si="82"/>
        <v>513</v>
      </c>
      <c r="K715" s="674">
        <f t="shared" si="94"/>
        <v>8014.6468765460077</v>
      </c>
      <c r="L715" s="684">
        <v>10500</v>
      </c>
      <c r="S715" s="669">
        <f t="shared" si="92"/>
        <v>5670000</v>
      </c>
      <c r="T715" s="864">
        <f t="shared" si="93"/>
        <v>4327909.3133348441</v>
      </c>
    </row>
    <row r="716" spans="1:20" ht="17.25" customHeight="1">
      <c r="A716" s="673"/>
      <c r="B716" s="286"/>
      <c r="C716" s="689"/>
      <c r="D716" s="690"/>
      <c r="E716" s="764"/>
      <c r="F716" s="763"/>
      <c r="G716" s="763"/>
      <c r="H716" s="674"/>
      <c r="I716" s="674"/>
      <c r="J716" s="674"/>
      <c r="K716" s="674"/>
      <c r="R716" s="883">
        <f>S717-T717</f>
        <v>6521718</v>
      </c>
    </row>
    <row r="717" spans="1:20" ht="17.25" customHeight="1">
      <c r="A717" s="675"/>
      <c r="B717" s="676" t="s">
        <v>242</v>
      </c>
      <c r="C717" s="695"/>
      <c r="D717" s="696"/>
      <c r="E717" s="757"/>
      <c r="F717" s="757"/>
      <c r="G717" s="757"/>
      <c r="H717" s="760">
        <f>ROUND(SUM(H568:H716),2)</f>
        <v>175.69</v>
      </c>
      <c r="I717" s="498">
        <f>ROUND(SUM(I568:I716),2)</f>
        <v>109175</v>
      </c>
      <c r="J717" s="498">
        <f>ROUND(SUM(J568:J716),2)</f>
        <v>91728.26</v>
      </c>
      <c r="K717" s="498"/>
      <c r="S717" s="498">
        <f>ROUND(SUM(S567:S716),0)</f>
        <v>780384468</v>
      </c>
      <c r="T717" s="498">
        <f>ROUND(SUM(T567:T716),0)</f>
        <v>773862750</v>
      </c>
    </row>
  </sheetData>
  <mergeCells count="56">
    <mergeCell ref="N599:Q599"/>
    <mergeCell ref="O531:O532"/>
    <mergeCell ref="P531:P532"/>
    <mergeCell ref="Q531:Q532"/>
    <mergeCell ref="R531:R532"/>
    <mergeCell ref="N553:Q553"/>
    <mergeCell ref="N566:N567"/>
    <mergeCell ref="O566:O567"/>
    <mergeCell ref="P566:P567"/>
    <mergeCell ref="Q566:Q567"/>
    <mergeCell ref="R566:R567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43:Q43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A566:A567"/>
    <mergeCell ref="B566:B567"/>
    <mergeCell ref="C566:C567"/>
    <mergeCell ref="D566:D567"/>
    <mergeCell ref="I566:I567"/>
    <mergeCell ref="E566:H566"/>
    <mergeCell ref="A531:A532"/>
    <mergeCell ref="B531:B532"/>
    <mergeCell ref="C531:C532"/>
    <mergeCell ref="D531:D532"/>
    <mergeCell ref="I531:I532"/>
    <mergeCell ref="A279:A280"/>
    <mergeCell ref="B279:B280"/>
    <mergeCell ref="C279:C280"/>
    <mergeCell ref="D279:D280"/>
    <mergeCell ref="I279:I280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531:N532 N566:N567 N279:N280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43" customWidth="1"/>
    <col min="2" max="2" width="15.7109375" style="543" customWidth="1"/>
    <col min="3" max="3" width="16.85546875" style="543" customWidth="1"/>
    <col min="4" max="9" width="15.28515625" style="543" customWidth="1"/>
    <col min="10" max="10" width="10.140625" style="543" customWidth="1"/>
    <col min="11" max="11" width="5.85546875" style="543" customWidth="1"/>
    <col min="12" max="16384" width="10.28515625" style="543"/>
  </cols>
  <sheetData>
    <row r="1" spans="1:11" s="416" customFormat="1" ht="19.5" customHeight="1">
      <c r="A1" s="530" t="str">
        <f>TH!A1</f>
        <v>Đơn vị: CÔNG TY TNHH SX TM KIM DUNG PHÁT</v>
      </c>
      <c r="B1" s="530"/>
      <c r="D1" s="417"/>
      <c r="E1" s="417"/>
      <c r="F1" s="417"/>
      <c r="G1" s="1126" t="s">
        <v>243</v>
      </c>
      <c r="H1" s="1126"/>
      <c r="I1" s="1126"/>
      <c r="J1" s="418"/>
      <c r="K1" s="419"/>
    </row>
    <row r="2" spans="1:11" s="416" customFormat="1" ht="19.5" customHeight="1">
      <c r="A2" s="579" t="str">
        <f>TH!A2</f>
        <v>Địa chỉ: 1A227/1 Ấp 1, Phạm Văn Hai, Bình Chánh, TPHCM</v>
      </c>
      <c r="B2" s="530"/>
      <c r="D2" s="420"/>
      <c r="E2" s="420"/>
      <c r="F2" s="420"/>
      <c r="G2" s="1127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27"/>
      <c r="I2" s="1127"/>
      <c r="J2" s="418"/>
      <c r="K2" s="408">
        <v>1</v>
      </c>
    </row>
    <row r="3" spans="1:11" s="416" customFormat="1" ht="15">
      <c r="A3" s="531"/>
      <c r="B3" s="532"/>
      <c r="C3" s="420"/>
      <c r="D3" s="420"/>
      <c r="E3" s="420"/>
      <c r="F3" s="420"/>
      <c r="G3" s="1127"/>
      <c r="H3" s="1127"/>
      <c r="I3" s="1127"/>
      <c r="J3" s="418"/>
    </row>
    <row r="4" spans="1:11" s="534" customFormat="1" ht="17.25" customHeight="1">
      <c r="A4" s="1128" t="s">
        <v>244</v>
      </c>
      <c r="B4" s="1128"/>
      <c r="C4" s="1128"/>
      <c r="D4" s="1128"/>
      <c r="E4" s="1128"/>
      <c r="F4" s="1128"/>
      <c r="G4" s="1128"/>
      <c r="H4" s="1128"/>
      <c r="I4" s="1128"/>
      <c r="J4" s="533"/>
    </row>
    <row r="5" spans="1:11" s="535" customFormat="1" ht="17.25" customHeight="1">
      <c r="B5" s="536"/>
      <c r="C5" s="537" t="s">
        <v>337</v>
      </c>
      <c r="D5" s="536" t="str">
        <f>IF($K$2&lt;10,"0"&amp;$K$2&amp;"  năm 2011",$K$2&amp;"  năm 2011")</f>
        <v>01  năm 2011</v>
      </c>
      <c r="E5" s="536"/>
      <c r="F5" s="536"/>
      <c r="G5" s="536"/>
      <c r="H5" s="536"/>
      <c r="I5" s="536"/>
      <c r="J5" s="536"/>
    </row>
    <row r="6" spans="1:11" s="535" customFormat="1" ht="17.25" customHeight="1">
      <c r="B6" s="538"/>
      <c r="C6" s="1129" t="s">
        <v>245</v>
      </c>
      <c r="D6" s="1129"/>
      <c r="E6" s="1130"/>
      <c r="F6" s="1130"/>
      <c r="G6" s="1130"/>
      <c r="H6" s="654"/>
      <c r="I6" s="538"/>
      <c r="J6" s="536"/>
    </row>
    <row r="7" spans="1:11" s="540" customFormat="1" ht="9.75" customHeight="1">
      <c r="A7" s="539"/>
      <c r="B7" s="539"/>
      <c r="C7" s="539"/>
      <c r="D7" s="539"/>
      <c r="E7" s="539"/>
      <c r="F7" s="539"/>
      <c r="G7" s="539"/>
      <c r="H7" s="539"/>
      <c r="I7" s="539"/>
      <c r="J7" s="538"/>
    </row>
    <row r="8" spans="1:11" s="422" customFormat="1" ht="17.25" customHeight="1">
      <c r="A8" s="1131" t="s">
        <v>246</v>
      </c>
      <c r="B8" s="1132" t="s">
        <v>247</v>
      </c>
      <c r="C8" s="1132" t="s">
        <v>248</v>
      </c>
      <c r="D8" s="1132"/>
      <c r="E8" s="1132"/>
      <c r="F8" s="1132"/>
      <c r="G8" s="1132"/>
      <c r="H8" s="1132"/>
      <c r="I8" s="1132"/>
      <c r="J8" s="421"/>
    </row>
    <row r="9" spans="1:11" s="425" customFormat="1" ht="35.25" customHeight="1">
      <c r="A9" s="1131"/>
      <c r="B9" s="1132"/>
      <c r="C9" s="423" t="s">
        <v>368</v>
      </c>
      <c r="D9" s="423" t="s">
        <v>249</v>
      </c>
      <c r="E9" s="423" t="s">
        <v>369</v>
      </c>
      <c r="F9" s="423" t="s">
        <v>370</v>
      </c>
      <c r="G9" s="423" t="s">
        <v>250</v>
      </c>
      <c r="H9" s="423" t="s">
        <v>251</v>
      </c>
      <c r="I9" s="423" t="s">
        <v>371</v>
      </c>
      <c r="J9" s="424"/>
    </row>
    <row r="10" spans="1:11" s="428" customFormat="1" ht="15">
      <c r="A10" s="426" t="s">
        <v>2</v>
      </c>
      <c r="B10" s="427">
        <v>1</v>
      </c>
      <c r="C10" s="427">
        <v>2</v>
      </c>
      <c r="D10" s="427">
        <v>3</v>
      </c>
      <c r="E10" s="427">
        <v>4</v>
      </c>
      <c r="F10" s="427">
        <v>5</v>
      </c>
      <c r="G10" s="427">
        <v>6</v>
      </c>
      <c r="H10" s="427">
        <v>7</v>
      </c>
      <c r="I10" s="427">
        <v>8</v>
      </c>
      <c r="J10" s="418"/>
    </row>
    <row r="11" spans="1:11" s="535" customFormat="1" ht="24.75" customHeight="1">
      <c r="A11" s="541" t="s">
        <v>252</v>
      </c>
      <c r="B11" s="542">
        <f>ROUND(SUM(C11:I11),0)</f>
        <v>0</v>
      </c>
      <c r="C11" s="542">
        <v>0</v>
      </c>
      <c r="D11" s="542">
        <v>0</v>
      </c>
      <c r="E11" s="542">
        <v>0</v>
      </c>
      <c r="F11" s="542">
        <v>0</v>
      </c>
      <c r="G11" s="542">
        <v>0</v>
      </c>
      <c r="H11" s="542">
        <v>0</v>
      </c>
      <c r="I11" s="542">
        <v>0</v>
      </c>
      <c r="J11" s="536"/>
    </row>
    <row r="12" spans="1:11" s="535" customFormat="1" ht="24.75" customHeight="1">
      <c r="A12" s="541" t="s">
        <v>253</v>
      </c>
      <c r="B12" s="542">
        <f ca="1">ROUND(SUM(C12:I12),0)</f>
        <v>0</v>
      </c>
      <c r="C12" s="542">
        <f ca="1">IF(ISNA(VLOOKUP($E6,INDIRECT("DSSP"&amp;$K$2),5,0)),0,VLOOKUP($E6,INDIRECT("DSSP"&amp;$K$2),5,0))</f>
        <v>0</v>
      </c>
      <c r="D12" s="542">
        <f ca="1">IF(ISNA(VLOOKUP($E6,INDIRECT("DSSP"&amp;$K$2),6,0)),0,VLOOKUP($E6,INDIRECT("DSSP"&amp;$K$2),6,0))</f>
        <v>0</v>
      </c>
      <c r="E12" s="542">
        <f ca="1">IF(ISNA(VLOOKUP($E6,INDIRECT("DSSP"&amp;$K$2),7,0)),0,VLOOKUP($E6,INDIRECT("DSSP"&amp;$K$2),7,0))</f>
        <v>0</v>
      </c>
      <c r="F12" s="542">
        <f ca="1">IF(ISNA(VLOOKUP($E6,INDIRECT("DSSP"&amp;$K$2),8,0)),0,VLOOKUP($E6,INDIRECT("DSSP"&amp;$K$2),8,0))</f>
        <v>0</v>
      </c>
      <c r="G12" s="542">
        <f ca="1">IF(ISNA(VLOOKUP($E6,INDIRECT("DSSP"&amp;$K$2),9,0)),0,VLOOKUP($E6,INDIRECT("DSSP"&amp;$K$2),9,0))</f>
        <v>0</v>
      </c>
      <c r="H12" s="542">
        <f ca="1">IF(ISNA(VLOOKUP($E6,INDIRECT("DSSP"&amp;$K$2),10,0)),0,VLOOKUP($E6,INDIRECT("DSSP"&amp;$K$2),10,0))</f>
        <v>0</v>
      </c>
      <c r="I12" s="542">
        <f ca="1">IF(ISNA(VLOOKUP($E6,INDIRECT("DSSP"&amp;$K$2),11,0)),0,VLOOKUP($E6,INDIRECT("DSSP"&amp;$K$2),11,0))</f>
        <v>0</v>
      </c>
      <c r="J12" s="536"/>
    </row>
    <row r="13" spans="1:11" s="535" customFormat="1" ht="24.75" customHeight="1">
      <c r="A13" s="541" t="s">
        <v>254</v>
      </c>
      <c r="B13" s="542">
        <f ca="1">ROUND(IF(ISNA(VLOOKUP($E6,INDIRECT("DSSP"&amp;$K$2),13,0)),0,VLOOKUP($E6,INDIRECT("DSSP"&amp;$K$2),13,0)),0)</f>
        <v>0</v>
      </c>
      <c r="C13" s="542">
        <f t="shared" ref="C13:I13" ca="1" si="0">C12</f>
        <v>0</v>
      </c>
      <c r="D13" s="542">
        <f t="shared" ca="1" si="0"/>
        <v>0</v>
      </c>
      <c r="E13" s="542">
        <f t="shared" ca="1" si="0"/>
        <v>0</v>
      </c>
      <c r="F13" s="542"/>
      <c r="G13" s="542">
        <f t="shared" ca="1" si="0"/>
        <v>0</v>
      </c>
      <c r="H13" s="542"/>
      <c r="I13" s="542">
        <f t="shared" ca="1" si="0"/>
        <v>0</v>
      </c>
      <c r="J13" s="536"/>
    </row>
    <row r="14" spans="1:11" s="535" customFormat="1" ht="24.75" customHeight="1">
      <c r="A14" s="541" t="s">
        <v>255</v>
      </c>
      <c r="B14" s="542">
        <f ca="1">B12-B13</f>
        <v>0</v>
      </c>
      <c r="C14" s="542">
        <f t="shared" ref="C14:I14" ca="1" si="1">C12-C13</f>
        <v>0</v>
      </c>
      <c r="D14" s="542">
        <f t="shared" ca="1" si="1"/>
        <v>0</v>
      </c>
      <c r="E14" s="542">
        <f t="shared" ca="1" si="1"/>
        <v>0</v>
      </c>
      <c r="F14" s="542"/>
      <c r="G14" s="542">
        <f t="shared" ca="1" si="1"/>
        <v>0</v>
      </c>
      <c r="H14" s="542"/>
      <c r="I14" s="542">
        <f t="shared" ca="1" si="1"/>
        <v>0</v>
      </c>
      <c r="J14" s="536"/>
    </row>
    <row r="15" spans="1:11" s="535" customFormat="1" ht="15">
      <c r="B15" s="536"/>
      <c r="C15" s="536"/>
      <c r="D15" s="536"/>
      <c r="E15" s="536"/>
      <c r="F15" s="536"/>
      <c r="G15" s="536"/>
      <c r="H15" s="536"/>
      <c r="I15" s="536"/>
      <c r="J15" s="536"/>
    </row>
    <row r="16" spans="1:11" s="535" customFormat="1" ht="15">
      <c r="B16" s="536"/>
      <c r="C16" s="536"/>
      <c r="D16" s="536"/>
      <c r="E16" s="112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25"/>
      <c r="G16" s="1125"/>
      <c r="H16" s="1125"/>
      <c r="I16" s="1125"/>
      <c r="J16" s="536"/>
    </row>
    <row r="17" spans="2:10" s="535" customFormat="1" ht="15">
      <c r="B17" s="428" t="s">
        <v>256</v>
      </c>
      <c r="C17" s="536"/>
      <c r="D17" s="536"/>
      <c r="E17" s="1125" t="s">
        <v>12</v>
      </c>
      <c r="F17" s="1125"/>
      <c r="G17" s="1125"/>
      <c r="H17" s="1125"/>
      <c r="I17" s="1125"/>
      <c r="J17" s="536"/>
    </row>
    <row r="19" spans="2:10" ht="15">
      <c r="E19" s="544"/>
      <c r="F19" s="544"/>
    </row>
    <row r="26" spans="2:10">
      <c r="B26" s="521" t="s">
        <v>150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60" customWidth="1"/>
    <col min="2" max="2" width="9.140625" style="460" customWidth="1"/>
    <col min="3" max="3" width="9" style="461" customWidth="1"/>
    <col min="4" max="4" width="28.140625" style="460" customWidth="1"/>
    <col min="5" max="5" width="9.140625" style="460" customWidth="1"/>
    <col min="6" max="6" width="9.28515625" style="461" customWidth="1"/>
    <col min="7" max="7" width="9" style="460" customWidth="1"/>
    <col min="8" max="8" width="14.5703125" style="460" customWidth="1"/>
    <col min="9" max="9" width="6" style="460" customWidth="1"/>
    <col min="10" max="10" width="14.140625" style="460" customWidth="1"/>
    <col min="11" max="11" width="14.85546875" style="462" customWidth="1"/>
    <col min="12" max="12" width="14.42578125" style="460" customWidth="1"/>
    <col min="13" max="13" width="7.85546875" style="460" customWidth="1"/>
    <col min="14" max="14" width="9.140625" style="460" customWidth="1"/>
    <col min="15" max="15" width="11.7109375" style="460" customWidth="1"/>
    <col min="16" max="16" width="4.5703125" style="522" customWidth="1"/>
    <col min="17" max="17" width="11.140625" style="460" bestFit="1" customWidth="1"/>
    <col min="18" max="18" width="12" style="460" bestFit="1" customWidth="1"/>
    <col min="19" max="16384" width="9.140625" style="460"/>
  </cols>
  <sheetData>
    <row r="1" spans="1:18" ht="15" customHeight="1">
      <c r="A1" s="580" t="str">
        <f>TH!A1</f>
        <v>Đơn vị: CÔNG TY TNHH SX TM KIM DUNG PHÁT</v>
      </c>
      <c r="L1" s="1143" t="s">
        <v>276</v>
      </c>
      <c r="M1" s="1143"/>
      <c r="N1" s="1143"/>
      <c r="O1" s="1143"/>
    </row>
    <row r="2" spans="1:18" ht="15" customHeight="1">
      <c r="A2" s="459" t="str">
        <f>TH!A2</f>
        <v>Địa chỉ: 1A227/1 Ấp 1, Phạm Văn Hai, Bình Chánh, TPHCM</v>
      </c>
      <c r="L2" s="1142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2"/>
      <c r="N2" s="1142"/>
      <c r="O2" s="1142"/>
    </row>
    <row r="3" spans="1:18" ht="15" customHeight="1">
      <c r="L3" s="1142"/>
      <c r="M3" s="1142"/>
      <c r="N3" s="1142"/>
      <c r="O3" s="1142"/>
    </row>
    <row r="5" spans="1:18" s="465" customFormat="1" ht="24" customHeight="1">
      <c r="A5" s="1144" t="s">
        <v>277</v>
      </c>
      <c r="B5" s="1144"/>
      <c r="C5" s="1144"/>
      <c r="D5" s="1144"/>
      <c r="E5" s="1144"/>
      <c r="F5" s="1144"/>
      <c r="G5" s="1144"/>
      <c r="H5" s="1144"/>
      <c r="I5" s="1144"/>
      <c r="J5" s="1144"/>
      <c r="K5" s="1144"/>
      <c r="L5" s="1144"/>
      <c r="M5" s="1144"/>
      <c r="N5" s="1144"/>
      <c r="O5" s="1144"/>
      <c r="P5" s="523"/>
    </row>
    <row r="6" spans="1:18" s="465" customFormat="1" ht="21" customHeight="1">
      <c r="A6" s="1145" t="s">
        <v>372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523"/>
    </row>
    <row r="7" spans="1:18" s="465" customFormat="1" ht="21" customHeight="1">
      <c r="A7" s="1146" t="s">
        <v>319</v>
      </c>
      <c r="B7" s="1146"/>
      <c r="C7" s="1146"/>
      <c r="D7" s="1146"/>
      <c r="E7" s="1146"/>
      <c r="F7" s="1146"/>
      <c r="G7" s="1146"/>
      <c r="H7" s="1146"/>
      <c r="I7" s="1146"/>
      <c r="J7" s="1146"/>
      <c r="K7" s="1146"/>
      <c r="L7" s="1146"/>
      <c r="M7" s="1146"/>
      <c r="N7" s="1146"/>
      <c r="O7" s="1146"/>
      <c r="P7" s="523"/>
    </row>
    <row r="8" spans="1:18">
      <c r="D8" s="461"/>
    </row>
    <row r="9" spans="1:18" s="466" customFormat="1" ht="24" customHeight="1">
      <c r="A9" s="1133" t="s">
        <v>231</v>
      </c>
      <c r="B9" s="1136" t="s">
        <v>278</v>
      </c>
      <c r="C9" s="1137"/>
      <c r="D9" s="1137"/>
      <c r="E9" s="1137"/>
      <c r="F9" s="1137"/>
      <c r="G9" s="1137"/>
      <c r="H9" s="1138"/>
      <c r="I9" s="1136" t="s">
        <v>279</v>
      </c>
      <c r="J9" s="1137"/>
      <c r="K9" s="1137"/>
      <c r="L9" s="1138"/>
      <c r="M9" s="1139" t="s">
        <v>280</v>
      </c>
      <c r="N9" s="1139"/>
      <c r="O9" s="1139"/>
      <c r="P9" s="524"/>
    </row>
    <row r="10" spans="1:18" s="466" customFormat="1" ht="24" customHeight="1">
      <c r="A10" s="1134"/>
      <c r="B10" s="1136" t="s">
        <v>281</v>
      </c>
      <c r="C10" s="1138"/>
      <c r="D10" s="1133" t="s">
        <v>282</v>
      </c>
      <c r="E10" s="1133" t="s">
        <v>283</v>
      </c>
      <c r="F10" s="1133" t="s">
        <v>284</v>
      </c>
      <c r="G10" s="1133" t="s">
        <v>285</v>
      </c>
      <c r="H10" s="1133" t="s">
        <v>286</v>
      </c>
      <c r="I10" s="1136" t="s">
        <v>287</v>
      </c>
      <c r="J10" s="1138"/>
      <c r="K10" s="1140" t="s">
        <v>288</v>
      </c>
      <c r="L10" s="1133" t="s">
        <v>289</v>
      </c>
      <c r="M10" s="1139" t="s">
        <v>281</v>
      </c>
      <c r="N10" s="1139"/>
      <c r="O10" s="1139" t="s">
        <v>290</v>
      </c>
      <c r="P10" s="524"/>
    </row>
    <row r="11" spans="1:18" s="466" customFormat="1" ht="55.5" customHeight="1">
      <c r="A11" s="1135"/>
      <c r="B11" s="467" t="s">
        <v>291</v>
      </c>
      <c r="C11" s="467" t="s">
        <v>232</v>
      </c>
      <c r="D11" s="1135"/>
      <c r="E11" s="1135"/>
      <c r="F11" s="1135"/>
      <c r="G11" s="1135"/>
      <c r="H11" s="1135"/>
      <c r="I11" s="467" t="s">
        <v>292</v>
      </c>
      <c r="J11" s="467" t="s">
        <v>293</v>
      </c>
      <c r="K11" s="1141"/>
      <c r="L11" s="1135"/>
      <c r="M11" s="467" t="s">
        <v>15</v>
      </c>
      <c r="N11" s="467" t="s">
        <v>232</v>
      </c>
      <c r="O11" s="1139"/>
      <c r="P11" s="524"/>
    </row>
    <row r="12" spans="1:18" s="470" customFormat="1" ht="13.5">
      <c r="A12" s="468" t="s">
        <v>2</v>
      </c>
      <c r="B12" s="468" t="s">
        <v>3</v>
      </c>
      <c r="C12" s="468" t="s">
        <v>4</v>
      </c>
      <c r="D12" s="468" t="s">
        <v>5</v>
      </c>
      <c r="E12" s="468" t="s">
        <v>6</v>
      </c>
      <c r="F12" s="468" t="s">
        <v>131</v>
      </c>
      <c r="G12" s="468" t="s">
        <v>294</v>
      </c>
      <c r="H12" s="468">
        <v>1</v>
      </c>
      <c r="I12" s="468">
        <v>2</v>
      </c>
      <c r="J12" s="468">
        <v>3</v>
      </c>
      <c r="K12" s="469"/>
      <c r="L12" s="468">
        <v>4</v>
      </c>
      <c r="M12" s="468" t="s">
        <v>295</v>
      </c>
      <c r="N12" s="468" t="s">
        <v>296</v>
      </c>
      <c r="O12" s="468" t="s">
        <v>297</v>
      </c>
      <c r="P12" s="525"/>
    </row>
    <row r="13" spans="1:18" s="470" customFormat="1" ht="21.75" customHeight="1">
      <c r="A13" s="489" t="s">
        <v>295</v>
      </c>
      <c r="B13" s="491" t="s">
        <v>318</v>
      </c>
      <c r="C13" s="489"/>
      <c r="D13" s="489"/>
      <c r="E13" s="489"/>
      <c r="F13" s="489"/>
      <c r="G13" s="526"/>
      <c r="H13" s="496"/>
      <c r="I13" s="496"/>
      <c r="J13" s="496"/>
      <c r="K13" s="496"/>
      <c r="L13" s="8"/>
      <c r="M13" s="489"/>
      <c r="N13" s="489"/>
      <c r="O13" s="180"/>
      <c r="P13" s="525" t="str">
        <f>IF(D13='THE-TS'!$D$11,"x","")</f>
        <v/>
      </c>
    </row>
    <row r="14" spans="1:18" ht="21.75" customHeight="1">
      <c r="A14" s="490">
        <v>1</v>
      </c>
      <c r="B14" s="500" t="s">
        <v>360</v>
      </c>
      <c r="C14" s="471">
        <v>40682</v>
      </c>
      <c r="D14" s="208" t="s">
        <v>356</v>
      </c>
      <c r="E14" s="414" t="s">
        <v>298</v>
      </c>
      <c r="F14" s="499" t="s">
        <v>375</v>
      </c>
      <c r="G14" s="526" t="s">
        <v>362</v>
      </c>
      <c r="H14" s="252">
        <v>18000000</v>
      </c>
      <c r="I14" s="252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880" t="s">
        <v>1298</v>
      </c>
      <c r="N14" s="879">
        <v>42563</v>
      </c>
      <c r="O14" s="180" t="s">
        <v>1431</v>
      </c>
      <c r="P14" s="525" t="str">
        <f>IF(D14='THE-TS'!$D$11,"x","")</f>
        <v>x</v>
      </c>
      <c r="Q14" s="282">
        <f>J14/2</f>
        <v>750000</v>
      </c>
      <c r="R14" s="282"/>
    </row>
    <row r="15" spans="1:18" ht="21.75" customHeight="1">
      <c r="A15" s="490">
        <v>2</v>
      </c>
      <c r="B15" s="499" t="s">
        <v>361</v>
      </c>
      <c r="C15" s="471">
        <v>40686</v>
      </c>
      <c r="D15" s="208" t="s">
        <v>357</v>
      </c>
      <c r="E15" s="414" t="s">
        <v>298</v>
      </c>
      <c r="F15" s="499" t="s">
        <v>375</v>
      </c>
      <c r="G15" s="526" t="s">
        <v>363</v>
      </c>
      <c r="H15" s="252">
        <v>27000000</v>
      </c>
      <c r="I15" s="252">
        <v>5</v>
      </c>
      <c r="J15" s="8">
        <v>2250000</v>
      </c>
      <c r="K15" s="8">
        <v>24750000</v>
      </c>
      <c r="L15" s="8">
        <f t="shared" si="0"/>
        <v>27000000</v>
      </c>
      <c r="M15" s="880" t="s">
        <v>1298</v>
      </c>
      <c r="N15" s="879">
        <v>42563</v>
      </c>
      <c r="O15" s="180" t="s">
        <v>1431</v>
      </c>
      <c r="P15" s="525" t="str">
        <f>IF(D15='THE-TS'!$D$11,"x","")</f>
        <v/>
      </c>
      <c r="Q15" s="282">
        <f t="shared" ref="Q15:Q18" si="1">J15/2</f>
        <v>1125000</v>
      </c>
      <c r="R15" s="282"/>
    </row>
    <row r="16" spans="1:18" ht="21.75" customHeight="1">
      <c r="A16" s="490">
        <v>3</v>
      </c>
      <c r="B16" s="499" t="s">
        <v>332</v>
      </c>
      <c r="C16" s="471">
        <v>40710</v>
      </c>
      <c r="D16" s="208" t="s">
        <v>358</v>
      </c>
      <c r="E16" s="414" t="s">
        <v>298</v>
      </c>
      <c r="F16" s="499" t="s">
        <v>376</v>
      </c>
      <c r="G16" s="526" t="s">
        <v>364</v>
      </c>
      <c r="H16" s="252">
        <v>320000000</v>
      </c>
      <c r="I16" s="252">
        <v>5</v>
      </c>
      <c r="J16" s="8">
        <v>32000000</v>
      </c>
      <c r="K16" s="8">
        <v>288000000</v>
      </c>
      <c r="L16" s="8">
        <f t="shared" si="0"/>
        <v>320000000</v>
      </c>
      <c r="M16" s="880" t="s">
        <v>1298</v>
      </c>
      <c r="N16" s="879">
        <v>42563</v>
      </c>
      <c r="O16" s="180" t="s">
        <v>1431</v>
      </c>
      <c r="P16" s="525" t="str">
        <f>IF(D16='THE-TS'!$D$11,"x","")</f>
        <v/>
      </c>
      <c r="Q16" s="282">
        <f t="shared" si="1"/>
        <v>16000000</v>
      </c>
      <c r="R16" s="282"/>
    </row>
    <row r="17" spans="1:18" ht="21.75" customHeight="1">
      <c r="A17" s="490">
        <v>4</v>
      </c>
      <c r="B17" s="499" t="s">
        <v>332</v>
      </c>
      <c r="C17" s="471">
        <v>41756</v>
      </c>
      <c r="D17" s="208" t="s">
        <v>1424</v>
      </c>
      <c r="E17" s="473" t="s">
        <v>298</v>
      </c>
      <c r="F17" s="872" t="s">
        <v>1425</v>
      </c>
      <c r="G17" s="873" t="s">
        <v>1426</v>
      </c>
      <c r="H17" s="497">
        <v>500000000</v>
      </c>
      <c r="I17" s="497">
        <v>20</v>
      </c>
      <c r="J17" s="289">
        <v>25000000</v>
      </c>
      <c r="K17" s="289">
        <v>37500000</v>
      </c>
      <c r="L17" s="8">
        <f t="shared" si="0"/>
        <v>62500000</v>
      </c>
      <c r="M17" s="880"/>
      <c r="N17" s="879"/>
      <c r="O17" s="180"/>
      <c r="P17" s="525" t="str">
        <f>IF(D17='THE-TS'!$D$11,"x","")</f>
        <v/>
      </c>
      <c r="Q17" s="282">
        <f t="shared" si="1"/>
        <v>12500000</v>
      </c>
      <c r="R17" s="282"/>
    </row>
    <row r="18" spans="1:18" ht="21.75" customHeight="1">
      <c r="A18" s="490">
        <v>5</v>
      </c>
      <c r="B18" s="499" t="s">
        <v>332</v>
      </c>
      <c r="C18" s="471">
        <v>41761</v>
      </c>
      <c r="D18" s="208" t="s">
        <v>1301</v>
      </c>
      <c r="E18" s="473" t="s">
        <v>298</v>
      </c>
      <c r="F18" s="872" t="s">
        <v>1425</v>
      </c>
      <c r="G18" s="873" t="s">
        <v>1427</v>
      </c>
      <c r="H18" s="497">
        <v>500000000</v>
      </c>
      <c r="I18" s="497">
        <v>20</v>
      </c>
      <c r="J18" s="289">
        <v>12500000</v>
      </c>
      <c r="K18" s="289">
        <v>37500000</v>
      </c>
      <c r="L18" s="8">
        <f t="shared" si="0"/>
        <v>50000000</v>
      </c>
      <c r="M18" s="880" t="s">
        <v>1298</v>
      </c>
      <c r="N18" s="879">
        <v>42563</v>
      </c>
      <c r="O18" s="180" t="s">
        <v>1431</v>
      </c>
      <c r="P18" s="525" t="str">
        <f>IF(D18='THE-TS'!$D$11,"x","")</f>
        <v/>
      </c>
      <c r="Q18" s="282">
        <f t="shared" si="1"/>
        <v>6250000</v>
      </c>
      <c r="R18" s="282"/>
    </row>
    <row r="19" spans="1:18" ht="21.75" customHeight="1">
      <c r="A19" s="472"/>
      <c r="B19" s="492"/>
      <c r="C19" s="493"/>
      <c r="D19" s="494"/>
      <c r="E19" s="473"/>
      <c r="F19" s="493"/>
      <c r="G19" s="492"/>
      <c r="H19" s="497"/>
      <c r="I19" s="497"/>
      <c r="J19" s="289"/>
      <c r="K19" s="289"/>
      <c r="L19" s="289"/>
      <c r="M19" s="473"/>
      <c r="N19" s="473"/>
      <c r="O19" s="473"/>
      <c r="P19" s="525" t="str">
        <f>IF(D19='THE-TS'!$D$11,"x","")</f>
        <v/>
      </c>
      <c r="R19" s="487"/>
    </row>
    <row r="20" spans="1:18" s="476" customFormat="1" ht="21.75" customHeight="1">
      <c r="A20" s="474"/>
      <c r="B20" s="475"/>
      <c r="C20" s="474"/>
      <c r="D20" s="474" t="s">
        <v>299</v>
      </c>
      <c r="E20" s="474" t="s">
        <v>19</v>
      </c>
      <c r="F20" s="474" t="s">
        <v>19</v>
      </c>
      <c r="G20" s="474" t="s">
        <v>19</v>
      </c>
      <c r="H20" s="498">
        <f>SUM(H13:H19)</f>
        <v>1365000000</v>
      </c>
      <c r="I20" s="498"/>
      <c r="J20" s="498">
        <f>SUM(J13:J19)</f>
        <v>73250000</v>
      </c>
      <c r="K20" s="498">
        <f>SUM(K13:K19)</f>
        <v>404250000</v>
      </c>
      <c r="L20" s="498">
        <f>SUM(L13:L19)</f>
        <v>477500000</v>
      </c>
      <c r="M20" s="528" t="s">
        <v>19</v>
      </c>
      <c r="N20" s="528" t="s">
        <v>19</v>
      </c>
      <c r="O20" s="528" t="s">
        <v>19</v>
      </c>
      <c r="P20" s="525" t="str">
        <f>IF(D20='THE-TS'!$D$11,"x","")</f>
        <v/>
      </c>
    </row>
    <row r="21" spans="1:18" ht="6.75" customHeight="1">
      <c r="A21" s="415"/>
      <c r="B21" s="415"/>
      <c r="C21" s="477"/>
      <c r="D21" s="415"/>
      <c r="E21" s="477"/>
      <c r="F21" s="477"/>
      <c r="G21" s="477"/>
      <c r="H21" s="415"/>
      <c r="I21" s="415"/>
      <c r="J21" s="415"/>
      <c r="K21" s="478"/>
      <c r="L21" s="415"/>
      <c r="M21" s="415"/>
      <c r="N21" s="415"/>
      <c r="O21" s="415"/>
      <c r="P21" s="525" t="str">
        <f>IF(D21='THE-TS'!$D$11,"x","")</f>
        <v/>
      </c>
    </row>
    <row r="22" spans="1:18" ht="13.5" customHeight="1">
      <c r="A22" s="415"/>
      <c r="B22" s="415"/>
      <c r="C22" s="477"/>
      <c r="D22" s="415" t="s">
        <v>300</v>
      </c>
      <c r="E22" s="415"/>
      <c r="F22" s="477"/>
      <c r="G22" s="415"/>
      <c r="H22" s="462"/>
      <c r="I22" s="462"/>
      <c r="J22" s="529"/>
      <c r="L22" s="462"/>
      <c r="M22" s="415"/>
      <c r="N22" s="415"/>
      <c r="O22" s="415"/>
      <c r="P22" s="525" t="str">
        <f>IF(D22='THE-TS'!$D$11,"x","")</f>
        <v/>
      </c>
    </row>
    <row r="23" spans="1:18" ht="13.5" customHeight="1">
      <c r="A23" s="415"/>
      <c r="B23" s="415"/>
      <c r="C23" s="477"/>
      <c r="D23" s="415" t="s">
        <v>374</v>
      </c>
      <c r="E23" s="415"/>
      <c r="F23" s="477"/>
      <c r="G23" s="415"/>
      <c r="H23" s="487"/>
      <c r="I23" s="415"/>
      <c r="J23" s="495"/>
      <c r="K23" s="478"/>
      <c r="L23" s="415"/>
      <c r="M23" s="415"/>
      <c r="N23" s="415"/>
      <c r="O23" s="415"/>
      <c r="P23" s="525" t="str">
        <f>IF(D23='THE-TS'!$D$11,"x","")</f>
        <v/>
      </c>
    </row>
    <row r="24" spans="1:18" ht="13.5" customHeight="1">
      <c r="K24" s="479"/>
      <c r="L24" s="464" t="s">
        <v>373</v>
      </c>
      <c r="P24" s="525" t="str">
        <f>IF(D24='THE-TS'!$D$11,"x","")</f>
        <v/>
      </c>
    </row>
    <row r="25" spans="1:18" ht="13.5" customHeight="1">
      <c r="B25" s="461"/>
      <c r="D25" s="461" t="s">
        <v>11</v>
      </c>
      <c r="F25" s="461" t="s">
        <v>301</v>
      </c>
      <c r="I25" s="480"/>
      <c r="K25" s="477"/>
      <c r="L25" s="477" t="s">
        <v>109</v>
      </c>
      <c r="P25" s="525" t="str">
        <f>IF(D25='THE-TS'!$D$11,"x","")</f>
        <v/>
      </c>
    </row>
    <row r="26" spans="1:18" ht="13.5" customHeight="1">
      <c r="B26" s="461"/>
      <c r="D26" s="461"/>
      <c r="P26" s="525" t="str">
        <f>IF(D26='THE-TS'!$D$11,"x","")</f>
        <v/>
      </c>
    </row>
    <row r="27" spans="1:18" ht="13.5" customHeight="1">
      <c r="H27" s="481"/>
      <c r="J27" s="481"/>
      <c r="L27" s="481"/>
      <c r="P27" s="525" t="str">
        <f>IF(D27='THE-TS'!$D$11,"x","")</f>
        <v/>
      </c>
    </row>
    <row r="28" spans="1:18" ht="13.5" customHeight="1">
      <c r="H28" s="482"/>
      <c r="P28" s="525" t="str">
        <f>IF(D28='THE-TS'!$D$11,"x","")</f>
        <v/>
      </c>
    </row>
    <row r="29" spans="1:18" ht="13.5" customHeight="1">
      <c r="H29" s="482"/>
      <c r="J29" s="481"/>
      <c r="P29" s="525" t="str">
        <f>IF(D29='THE-TS'!$D$11,"x","")</f>
        <v/>
      </c>
    </row>
    <row r="30" spans="1:18" ht="13.5" customHeight="1">
      <c r="H30" s="482"/>
      <c r="P30" s="525" t="str">
        <f>IF(D30='THE-TS'!$D$11,"x","")</f>
        <v/>
      </c>
    </row>
    <row r="31" spans="1:18" ht="13.5" customHeight="1">
      <c r="H31" s="482"/>
      <c r="P31" s="525" t="str">
        <f>IF(D31='THE-TS'!$D$11,"x","")</f>
        <v/>
      </c>
    </row>
    <row r="32" spans="1:18" s="483" customFormat="1" ht="13.5" customHeight="1">
      <c r="C32" s="484"/>
      <c r="D32" s="484"/>
      <c r="F32" s="484"/>
      <c r="H32" s="485"/>
      <c r="K32" s="486"/>
      <c r="P32" s="525"/>
    </row>
    <row r="33" spans="8:16" ht="13.5">
      <c r="P33" s="525" t="str">
        <f>IF(D33='THE-TS'!$D$11,"x","")</f>
        <v/>
      </c>
    </row>
    <row r="34" spans="8:16" ht="13.5" customHeight="1">
      <c r="H34" s="482"/>
      <c r="P34" s="525" t="str">
        <f>IF(D34='THE-TS'!$D$11,"x","")</f>
        <v/>
      </c>
    </row>
    <row r="35" spans="8:16" ht="13.5">
      <c r="P35" s="52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2"/>
  <sheetViews>
    <sheetView topLeftCell="A8" workbookViewId="0">
      <selection activeCell="F21" sqref="F21:G27"/>
    </sheetView>
  </sheetViews>
  <sheetFormatPr defaultRowHeight="12.75"/>
  <cols>
    <col min="1" max="1" width="5" style="502" customWidth="1"/>
    <col min="2" max="2" width="10.140625" style="502" customWidth="1"/>
    <col min="3" max="3" width="11.5703125" style="502" customWidth="1"/>
    <col min="4" max="4" width="28.7109375" style="502" customWidth="1"/>
    <col min="5" max="5" width="13.28515625" style="502" customWidth="1"/>
    <col min="6" max="6" width="9.140625" style="502"/>
    <col min="7" max="7" width="14" style="502" customWidth="1"/>
    <col min="8" max="8" width="14.7109375" style="502" customWidth="1"/>
    <col min="9" max="10" width="9.140625" style="502"/>
    <col min="11" max="11" width="13.85546875" style="502" customWidth="1"/>
    <col min="12" max="16384" width="9.140625" style="502"/>
  </cols>
  <sheetData>
    <row r="1" spans="1:11" hidden="1"/>
    <row r="2" spans="1:11">
      <c r="A2" s="581" t="str">
        <f>TH!A1</f>
        <v>Đơn vị: CÔNG TY TNHH SX TM KIM DUNG PHÁT</v>
      </c>
      <c r="B2" s="501"/>
      <c r="C2" s="501"/>
      <c r="D2" s="501"/>
      <c r="E2" s="463"/>
      <c r="F2" s="1143" t="s">
        <v>302</v>
      </c>
      <c r="G2" s="1143"/>
      <c r="H2" s="1143"/>
    </row>
    <row r="3" spans="1:11">
      <c r="A3" s="516" t="str">
        <f>TH!A2</f>
        <v>Địa chỉ: 1A227/1 Ấp 1, Phạm Văn Hai, Bình Chánh, TPHCM</v>
      </c>
      <c r="B3" s="501"/>
      <c r="C3" s="501"/>
      <c r="D3" s="501"/>
      <c r="E3" s="464"/>
      <c r="F3" s="1142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42"/>
      <c r="H3" s="1142"/>
    </row>
    <row r="4" spans="1:11">
      <c r="A4" s="461"/>
      <c r="B4" s="461"/>
      <c r="C4" s="464"/>
      <c r="D4" s="464"/>
      <c r="E4" s="464"/>
      <c r="F4" s="1142"/>
      <c r="G4" s="1142"/>
      <c r="H4" s="1142"/>
    </row>
    <row r="5" spans="1:11">
      <c r="A5" s="461"/>
      <c r="B5" s="461"/>
      <c r="C5" s="464"/>
      <c r="D5" s="464"/>
      <c r="E5" s="464"/>
      <c r="F5" s="464"/>
      <c r="G5" s="464"/>
      <c r="H5" s="464"/>
    </row>
    <row r="6" spans="1:11" ht="23.25" customHeight="1" thickBot="1">
      <c r="A6" s="1148" t="s">
        <v>303</v>
      </c>
      <c r="B6" s="1148"/>
      <c r="C6" s="1148"/>
      <c r="D6" s="1148"/>
      <c r="E6" s="1148"/>
      <c r="F6" s="1148"/>
      <c r="G6" s="1148"/>
      <c r="H6" s="1148"/>
    </row>
    <row r="7" spans="1:11" ht="17.25" customHeight="1" thickBot="1">
      <c r="A7" s="1147" t="str">
        <f ca="1" xml:space="preserve"> IF(ROWS($1:1)&gt;COUNT(Dong3),"","Số: "&amp;OFFSET('SO-TS'!$G$1,SMALL(Dong3,ROWS($1:1)),))</f>
        <v>Số: SX01/11</v>
      </c>
      <c r="B7" s="1147"/>
      <c r="C7" s="1147"/>
      <c r="D7" s="1147"/>
      <c r="E7" s="1147"/>
      <c r="F7" s="1147"/>
      <c r="G7" s="1147"/>
      <c r="H7" s="1147"/>
      <c r="J7" s="517" t="s">
        <v>320</v>
      </c>
      <c r="K7" s="518" t="s">
        <v>326</v>
      </c>
    </row>
    <row r="8" spans="1:11" ht="17.25" customHeight="1">
      <c r="A8" s="114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9"/>
      <c r="C8" s="1149"/>
      <c r="D8" s="1149"/>
      <c r="E8" s="1149"/>
      <c r="F8" s="1149"/>
      <c r="G8" s="1149"/>
      <c r="H8" s="1149"/>
    </row>
    <row r="9" spans="1:11" ht="12" customHeight="1">
      <c r="A9" s="461"/>
      <c r="B9" s="461"/>
      <c r="C9" s="461"/>
      <c r="D9" s="461"/>
      <c r="E9" s="461"/>
      <c r="F9" s="461"/>
      <c r="G9" s="464"/>
      <c r="H9" s="464"/>
    </row>
    <row r="10" spans="1:11" ht="15" customHeight="1">
      <c r="A10" s="460" t="str">
        <f ca="1">"Căn cứ vào biên bản giao nhận TSCĐ "&amp;"  "&amp;A7&amp;"  "&amp;A8</f>
        <v>Căn cứ vào biên bản giao nhận TSCĐ   Số: SX01/11  Ngày   19   tháng   5  năm   2011</v>
      </c>
      <c r="B10" s="460"/>
      <c r="C10" s="460"/>
      <c r="D10" s="460"/>
      <c r="E10" s="460"/>
      <c r="F10" s="460"/>
      <c r="G10" s="460"/>
      <c r="H10" s="460"/>
    </row>
    <row r="11" spans="1:11" ht="15" customHeight="1">
      <c r="A11" s="460" t="s">
        <v>321</v>
      </c>
      <c r="B11" s="460"/>
      <c r="C11" s="460"/>
      <c r="D11" s="460" t="s">
        <v>356</v>
      </c>
      <c r="E11" s="460" t="str">
        <f ca="1" xml:space="preserve"> IF(ROWS($1:1)&gt;COUNT(Dong3),"","Số hiệu TSCĐ:   "&amp;OFFSET('SO-TS'!$G$1,SMALL(Dong3,ROWS($1:1)),))</f>
        <v>Số hiệu TSCĐ:   SX01/11</v>
      </c>
      <c r="F11" s="460"/>
      <c r="H11" s="460"/>
    </row>
    <row r="12" spans="1:11" ht="15" customHeight="1">
      <c r="A12" s="460" t="str">
        <f ca="1" xml:space="preserve"> IF(ROWS($1:1)&gt;COUNT(Dong3),"","Nước sản xuất:   "&amp;OFFSET('SO-TS'!$E$1,SMALL(Dong3,ROWS($1:1)),))</f>
        <v>Nước sản xuất:   Việt Nam</v>
      </c>
      <c r="B12" s="460"/>
      <c r="C12" s="460"/>
      <c r="D12" s="460"/>
      <c r="E12" s="460" t="s">
        <v>322</v>
      </c>
      <c r="F12" s="460"/>
      <c r="G12" s="460"/>
      <c r="H12" s="460"/>
    </row>
    <row r="13" spans="1:11" ht="15" customHeight="1">
      <c r="A13" s="46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0"/>
      <c r="C13" s="460"/>
      <c r="D13" s="460"/>
      <c r="E13" s="460" t="str">
        <f ca="1" xml:space="preserve"> IF(ROWS($1:1)&gt;COUNT(Dong3),"","Tháng, năm đưa vào sử dụng:    "&amp;OFFSET('SO-TS'!$F$1,SMALL(Dong3,ROWS($1:1)),))</f>
        <v>Tháng, năm đưa vào sử dụng:    06/2011</v>
      </c>
      <c r="F13" s="460"/>
      <c r="G13" s="460"/>
      <c r="H13" s="460"/>
    </row>
    <row r="14" spans="1:11" ht="15" customHeight="1">
      <c r="A14" s="460" t="s">
        <v>304</v>
      </c>
      <c r="B14" s="460"/>
      <c r="C14" s="460"/>
      <c r="D14" s="460"/>
      <c r="E14" s="460"/>
      <c r="F14" s="460"/>
      <c r="G14" s="460"/>
      <c r="H14" s="460"/>
    </row>
    <row r="15" spans="1:11" ht="15" customHeight="1">
      <c r="A15" s="460" t="s">
        <v>324</v>
      </c>
      <c r="B15" s="460"/>
      <c r="C15" s="460"/>
      <c r="D15" s="460"/>
      <c r="E15" s="460"/>
      <c r="F15" s="460"/>
      <c r="G15" s="460"/>
      <c r="H15" s="460"/>
    </row>
    <row r="16" spans="1:11" ht="15" customHeight="1">
      <c r="A16" s="519" t="s">
        <v>323</v>
      </c>
      <c r="B16" s="519"/>
      <c r="C16" s="519"/>
      <c r="D16" s="519"/>
      <c r="E16" s="519"/>
      <c r="F16" s="519"/>
      <c r="G16" s="519"/>
      <c r="H16" s="519"/>
    </row>
    <row r="17" spans="1:8" s="513" customFormat="1" ht="18" customHeight="1">
      <c r="A17" s="1152" t="s">
        <v>125</v>
      </c>
      <c r="B17" s="1153"/>
      <c r="C17" s="1156" t="s">
        <v>305</v>
      </c>
      <c r="D17" s="1157"/>
      <c r="E17" s="1158"/>
      <c r="F17" s="1159" t="s">
        <v>306</v>
      </c>
      <c r="G17" s="1160"/>
      <c r="H17" s="1161"/>
    </row>
    <row r="18" spans="1:8" s="513" customFormat="1" ht="28.5" customHeight="1">
      <c r="A18" s="1154"/>
      <c r="B18" s="1155"/>
      <c r="C18" s="488" t="s">
        <v>307</v>
      </c>
      <c r="D18" s="488" t="s">
        <v>0</v>
      </c>
      <c r="E18" s="488" t="s">
        <v>308</v>
      </c>
      <c r="F18" s="488" t="s">
        <v>309</v>
      </c>
      <c r="G18" s="488" t="s">
        <v>310</v>
      </c>
      <c r="H18" s="488" t="s">
        <v>311</v>
      </c>
    </row>
    <row r="19" spans="1:8" s="515" customFormat="1">
      <c r="A19" s="1162" t="s">
        <v>2</v>
      </c>
      <c r="B19" s="1163"/>
      <c r="C19" s="514" t="s">
        <v>3</v>
      </c>
      <c r="D19" s="514" t="s">
        <v>4</v>
      </c>
      <c r="E19" s="514">
        <v>1</v>
      </c>
      <c r="F19" s="514">
        <v>2</v>
      </c>
      <c r="G19" s="514">
        <v>3</v>
      </c>
      <c r="H19" s="514">
        <v>4</v>
      </c>
    </row>
    <row r="20" spans="1:8" ht="17.25" customHeight="1">
      <c r="A20" s="932">
        <f ca="1">IF(B20&lt;&gt;"",ROW()-19,"")</f>
        <v>1</v>
      </c>
      <c r="B20" s="933" t="str">
        <f ca="1" xml:space="preserve"> IF(ROWS($1:1)&gt;COUNT(Dong3),"",OFFSET('SO-TS'!G$1,SMALL(Dong3,ROWS($1:1)),))</f>
        <v>SX01/11</v>
      </c>
      <c r="C20" s="933" t="str">
        <f ca="1" xml:space="preserve"> IF(ROWS($1:1)&gt;COUNT(Dong3),"",OFFSET('SO-TS'!F$1,SMALL(Dong3,ROWS($1:1)),))</f>
        <v>06/2011</v>
      </c>
      <c r="D20" s="934" t="str">
        <f ca="1" xml:space="preserve"> IF(ROWS($1:1)&gt;COUNT(Dong3),"",OFFSET('SO-TS'!D$1,SMALL(Dong3,ROWS($1:1)),))</f>
        <v>Máy chap khe khổ 2m</v>
      </c>
      <c r="E20" s="935">
        <f ca="1" xml:space="preserve"> IF(ROWS($1:1)&gt;COUNT(Dong3),"",OFFSET('SO-TS'!H$1,SMALL(Dong3,ROWS($1:1)),))</f>
        <v>18000000</v>
      </c>
      <c r="F20" s="936" t="str">
        <f ca="1" xml:space="preserve"> IF(ROWS($1:1)&gt;COUNT(Dong3),"",RIGHT(OFFSET('SO-TS'!F$1,SMALL(Dong3,ROWS($1:1)),),4))</f>
        <v>2011</v>
      </c>
      <c r="G20" s="937">
        <f ca="1">IF(F20="",0,ROUND(IF(OR(ROWS($1:$1)&gt;COUNT(Dong3),(ROW()-19)&gt;OFFSET('SO-TS'!I$1,SMALL(Dong3,ROWS($1:$1)),)),0,IF(VALUE(LEFT(C20,2))&gt;0,$E$29/(OFFSET('SO-TS'!I$1,SMALL(Dong3,ROWS($1:$1)),))/12*(13-VALUE(LEFT(C20,2))),$E$29/(OFFSET('SO-TS'!I$1,SMALL(Dong3,ROWS($1:$1)),)))),0))</f>
        <v>2100000</v>
      </c>
      <c r="H20" s="937">
        <f ca="1">G20</f>
        <v>2100000</v>
      </c>
    </row>
    <row r="21" spans="1:8" ht="17.25" customHeight="1">
      <c r="A21" s="6"/>
      <c r="B21" s="938"/>
      <c r="C21" s="938"/>
      <c r="D21" s="939"/>
      <c r="E21" s="253"/>
      <c r="F21" s="527" t="e">
        <f ca="1">IF(OR(F20="",AND((ROW()-19)&gt;OFFSET('SO-TS'!I$1,SMALL(Dong3,ROWS(1:1)),)+1),$E$29-H20&lt;=0),"",IF(VALUE(F20)&gt;=VALUE(YEAR(TH!#REF!)),"",F20+1))</f>
        <v>#REF!</v>
      </c>
      <c r="G21" s="709" t="e">
        <f ca="1">IF(F21="",0,ROUND(IF(OR(ROWS($1:$1)&gt;COUNT(Dong3),(ROW()-19)&gt;OFFSET('SO-TS'!I$1,SMALL(Dong3,ROWS($1:$1)),)+1),0,IF($E$29-H20&lt;($E$29/(OFFSET('SO-TS'!I$1,SMALL(Dong3,ROWS($1:$1)),))+12),$E$29-H20,$E$29/(OFFSET('SO-TS'!I$1,SMALL(Dong3,ROWS($1:$1)),)))),0))</f>
        <v>#REF!</v>
      </c>
      <c r="H21" s="708" t="e">
        <f ca="1">IF(G21&lt;&gt;0,H20+G21,0)</f>
        <v>#REF!</v>
      </c>
    </row>
    <row r="22" spans="1:8" ht="17.25" customHeight="1">
      <c r="A22" s="6"/>
      <c r="B22" s="938"/>
      <c r="C22" s="938"/>
      <c r="D22" s="939"/>
      <c r="E22" s="253"/>
      <c r="F22" s="527" t="e">
        <f ca="1">IF(OR(F21="",AND((ROW()-19)&gt;OFFSET('SO-TS'!I$1,SMALL(Dong3,ROWS(2:2)),)+1),$E$29-H21&lt;=0),"",IF(VALUE(F21)&gt;=VALUE(YEAR(TH!#REF!)),"",F21+1))</f>
        <v>#REF!</v>
      </c>
      <c r="G22" s="709" t="e">
        <f ca="1">IF(F22="",0,ROUND(IF(OR(ROWS($1:$1)&gt;COUNT(Dong3),(ROW()-19)&gt;OFFSET('SO-TS'!I$1,SMALL(Dong3,ROWS($1:$1)),)+1),0,IF($E$29-H21&lt;($E$29/(OFFSET('SO-TS'!I$1,SMALL(Dong3,ROWS($1:$1)),))+12),$E$29-H21,$E$29/(OFFSET('SO-TS'!I$1,SMALL(Dong3,ROWS($1:$1)),)))),0))</f>
        <v>#REF!</v>
      </c>
      <c r="H22" s="708" t="e">
        <f t="shared" ref="H22:H27" ca="1" si="0">IF(G22&lt;&gt;0,H21+G22,0)</f>
        <v>#REF!</v>
      </c>
    </row>
    <row r="23" spans="1:8" ht="17.25" customHeight="1">
      <c r="A23" s="6"/>
      <c r="B23" s="938"/>
      <c r="C23" s="938"/>
      <c r="D23" s="939"/>
      <c r="E23" s="253"/>
      <c r="F23" s="527" t="e">
        <f ca="1">IF(OR(F22="",AND((ROW()-19)&gt;OFFSET('SO-TS'!I$1,SMALL(Dong3,ROWS(3:3)),)+1),$E$29-H22&lt;=0),"",IF(VALUE(F22)&gt;=VALUE(YEAR(TH!#REF!)),"",F22+1))</f>
        <v>#REF!</v>
      </c>
      <c r="G23" s="709" t="e">
        <f ca="1">IF(F23="",0,ROUND(IF(OR(ROWS($1:$1)&gt;COUNT(Dong3),(ROW()-19)&gt;OFFSET('SO-TS'!I$1,SMALL(Dong3,ROWS($1:$1)),)+1),0,IF($E$29-H22&lt;($E$29/(OFFSET('SO-TS'!I$1,SMALL(Dong3,ROWS($1:$1)),))+12),$E$29-H22,$E$29/(OFFSET('SO-TS'!I$1,SMALL(Dong3,ROWS($1:$1)),)))),0))</f>
        <v>#REF!</v>
      </c>
      <c r="H23" s="708" t="e">
        <f t="shared" ca="1" si="0"/>
        <v>#REF!</v>
      </c>
    </row>
    <row r="24" spans="1:8" ht="17.25" customHeight="1">
      <c r="A24" s="6"/>
      <c r="B24" s="938"/>
      <c r="C24" s="938"/>
      <c r="D24" s="939"/>
      <c r="E24" s="253"/>
      <c r="F24" s="527" t="e">
        <f ca="1">IF(OR(F23="",AND((ROW()-19)&gt;OFFSET('SO-TS'!I$1,SMALL(Dong3,ROWS(4:4)),)+1),$E$29-H23&lt;=0),"",IF(VALUE(F23)&gt;=VALUE(YEAR(TH!#REF!)),"",F23+1))</f>
        <v>#REF!</v>
      </c>
      <c r="G24" s="709" t="e">
        <f ca="1">IF(F24="",0,ROUND(IF(OR(ROWS($1:$1)&gt;COUNT(Dong3),(ROW()-19)&gt;OFFSET('SO-TS'!I$1,SMALL(Dong3,ROWS($1:$1)),)+1),0,IF($E$29-H23&lt;($E$29/(OFFSET('SO-TS'!I$1,SMALL(Dong3,ROWS($1:$1)),))+12),$E$29-H23,$E$29/(OFFSET('SO-TS'!I$1,SMALL(Dong3,ROWS($1:$1)),)))),0))</f>
        <v>#REF!</v>
      </c>
      <c r="H24" s="708" t="e">
        <f t="shared" ca="1" si="0"/>
        <v>#REF!</v>
      </c>
    </row>
    <row r="25" spans="1:8" ht="17.25" customHeight="1">
      <c r="A25" s="6"/>
      <c r="B25" s="938"/>
      <c r="C25" s="938"/>
      <c r="D25" s="939"/>
      <c r="E25" s="253"/>
      <c r="F25" s="527" t="e">
        <f ca="1">IF(OR(F24="",AND((ROW()-19)&gt;OFFSET('SO-TS'!I$1,SMALL(Dong3,ROWS(5:5)),)+1),$E$29-H24&lt;=0),"",IF(VALUE(F24)&gt;=VALUE(YEAR(TH!#REF!)),"",F24+1))</f>
        <v>#REF!</v>
      </c>
      <c r="G25" s="709" t="e">
        <f ca="1">IF(F25="",0,ROUND(IF(OR(ROWS($1:$1)&gt;COUNT(Dong3),(ROW()-19)&gt;OFFSET('SO-TS'!I$1,SMALL(Dong3,ROWS($1:$1)),)+1),0,IF($E$29-H24&lt;($E$29/(OFFSET('SO-TS'!I$1,SMALL(Dong3,ROWS($1:$1)),))+12),$E$29-H24,$E$29/(OFFSET('SO-TS'!I$1,SMALL(Dong3,ROWS($1:$1)),)))),0))</f>
        <v>#REF!</v>
      </c>
      <c r="H25" s="708" t="e">
        <f t="shared" ca="1" si="0"/>
        <v>#REF!</v>
      </c>
    </row>
    <row r="26" spans="1:8" ht="17.25" customHeight="1">
      <c r="A26" s="6"/>
      <c r="B26" s="938"/>
      <c r="C26" s="938"/>
      <c r="D26" s="939"/>
      <c r="E26" s="253"/>
      <c r="F26" s="527" t="e">
        <f ca="1">IF(OR(F25="",AND((ROW()-19)&gt;OFFSET('SO-TS'!I$1,SMALL(Dong3,ROWS(6:6)),)+1),$E$29-H25&lt;=0),"",IF(VALUE(F25)&gt;=VALUE(YEAR(TH!#REF!)),"",F25+1))</f>
        <v>#REF!</v>
      </c>
      <c r="G26" s="709" t="e">
        <f ca="1">IF(F26="",0,ROUND(IF(OR(ROWS($1:$1)&gt;COUNT(Dong3),(ROW()-19)&gt;OFFSET('SO-TS'!I$1,SMALL(Dong3,ROWS($1:$1)),)+1),0,IF($E$29-H25&lt;($E$29/(OFFSET('SO-TS'!I$1,SMALL(Dong3,ROWS($1:$1)),))+12),$E$29-H25,$E$29/(OFFSET('SO-TS'!I$1,SMALL(Dong3,ROWS($1:$1)),)))),0))</f>
        <v>#REF!</v>
      </c>
      <c r="H26" s="708" t="e">
        <f t="shared" ca="1" si="0"/>
        <v>#REF!</v>
      </c>
    </row>
    <row r="27" spans="1:8" ht="17.25" customHeight="1">
      <c r="A27" s="6"/>
      <c r="B27" s="938"/>
      <c r="C27" s="938"/>
      <c r="D27" s="939"/>
      <c r="E27" s="253"/>
      <c r="F27" s="527" t="e">
        <f ca="1">IF(OR(F26="",AND((ROW()-19)&gt;OFFSET('SO-TS'!I$1,SMALL(Dong3,ROWS(7:7)),)+1),$E$29-H26&lt;=0),"",IF(VALUE(F26)&gt;=VALUE(YEAR(TH!#REF!)),"",F26+1))</f>
        <v>#REF!</v>
      </c>
      <c r="G27" s="709" t="e">
        <f ca="1">IF(F27="",0,ROUND(IF(OR(ROWS($1:$1)&gt;COUNT(Dong3),(ROW()-19)&gt;OFFSET('SO-TS'!I$1,SMALL(Dong3,ROWS($1:$1)),)+1),0,IF($E$29-H26&lt;($E$29/(OFFSET('SO-TS'!I$1,SMALL(Dong3,ROWS($1:$1)),))+12),$E$29-H26,$E$29/(OFFSET('SO-TS'!I$1,SMALL(Dong3,ROWS($1:$1)),)))),0))</f>
        <v>#REF!</v>
      </c>
      <c r="H27" s="708" t="e">
        <f t="shared" ca="1" si="0"/>
        <v>#REF!</v>
      </c>
    </row>
    <row r="28" spans="1:8" ht="17.25" customHeight="1">
      <c r="A28" s="940" t="str">
        <f t="shared" ref="A28" si="1">IF(B28&lt;&gt;"",ROW()-19,"")</f>
        <v/>
      </c>
      <c r="B28" s="941"/>
      <c r="C28" s="942"/>
      <c r="D28" s="942"/>
      <c r="E28" s="943"/>
      <c r="F28" s="944"/>
      <c r="G28" s="943"/>
      <c r="H28" s="943"/>
    </row>
    <row r="29" spans="1:8" ht="17.25" customHeight="1">
      <c r="A29" s="474"/>
      <c r="B29" s="474" t="s">
        <v>312</v>
      </c>
      <c r="C29" s="503"/>
      <c r="D29" s="503"/>
      <c r="E29" s="528">
        <f ca="1">SUM(E20:E28)</f>
        <v>18000000</v>
      </c>
      <c r="F29" s="503"/>
      <c r="G29" s="528" t="e">
        <f ca="1">SUM(G20:G28)</f>
        <v>#REF!</v>
      </c>
      <c r="H29" s="528"/>
    </row>
    <row r="30" spans="1:8" ht="17.25" customHeight="1">
      <c r="A30" s="504"/>
      <c r="B30" s="504"/>
      <c r="C30" s="505"/>
      <c r="D30" s="505"/>
      <c r="E30" s="505"/>
      <c r="F30" s="505"/>
      <c r="G30" s="506"/>
      <c r="H30" s="506"/>
    </row>
    <row r="31" spans="1:8" ht="17.25" customHeight="1">
      <c r="A31" s="504"/>
      <c r="B31" s="504"/>
      <c r="C31" s="505"/>
      <c r="D31" s="505"/>
      <c r="E31" s="505"/>
      <c r="F31" s="505"/>
      <c r="G31" s="506"/>
      <c r="H31" s="506"/>
    </row>
    <row r="32" spans="1:8" ht="17.25" customHeight="1">
      <c r="A32" s="1164" t="s">
        <v>313</v>
      </c>
      <c r="B32" s="1164"/>
      <c r="C32" s="1164"/>
      <c r="D32" s="1164"/>
      <c r="E32" s="1164"/>
      <c r="F32" s="1164"/>
      <c r="G32" s="1164"/>
      <c r="H32" s="1164"/>
    </row>
    <row r="33" spans="1:8" ht="27" customHeight="1">
      <c r="A33" s="474" t="s">
        <v>35</v>
      </c>
      <c r="B33" s="1136" t="s">
        <v>314</v>
      </c>
      <c r="C33" s="1138"/>
      <c r="D33" s="503" t="s">
        <v>192</v>
      </c>
      <c r="E33" s="503" t="s">
        <v>315</v>
      </c>
      <c r="F33" s="503" t="s">
        <v>316</v>
      </c>
      <c r="G33" s="506"/>
      <c r="H33" s="506"/>
    </row>
    <row r="34" spans="1:8" ht="17.25" customHeight="1">
      <c r="A34" s="474" t="s">
        <v>2</v>
      </c>
      <c r="B34" s="474" t="s">
        <v>3</v>
      </c>
      <c r="C34" s="503"/>
      <c r="D34" s="503" t="s">
        <v>4</v>
      </c>
      <c r="E34" s="503">
        <v>1</v>
      </c>
      <c r="F34" s="503">
        <v>2</v>
      </c>
      <c r="G34" s="506"/>
      <c r="H34" s="506"/>
    </row>
    <row r="35" spans="1:8" ht="17.25" customHeight="1">
      <c r="A35" s="507"/>
      <c r="B35" s="507"/>
      <c r="C35" s="508"/>
      <c r="D35" s="508"/>
      <c r="E35" s="508"/>
      <c r="F35" s="508"/>
      <c r="G35" s="506"/>
      <c r="H35" s="506"/>
    </row>
    <row r="36" spans="1:8" ht="17.25" customHeight="1">
      <c r="A36" s="509"/>
      <c r="B36" s="509"/>
      <c r="C36" s="510"/>
      <c r="D36" s="510"/>
      <c r="E36" s="510"/>
      <c r="F36" s="510"/>
      <c r="G36" s="506"/>
      <c r="H36" s="506"/>
    </row>
    <row r="37" spans="1:8" ht="17.25" customHeight="1">
      <c r="A37" s="509"/>
      <c r="B37" s="509"/>
      <c r="C37" s="510"/>
      <c r="D37" s="510"/>
      <c r="E37" s="510"/>
      <c r="F37" s="510"/>
      <c r="G37" s="506"/>
      <c r="H37" s="506"/>
    </row>
    <row r="38" spans="1:8" ht="17.25" customHeight="1">
      <c r="A38" s="509"/>
      <c r="B38" s="509"/>
      <c r="C38" s="510"/>
      <c r="D38" s="510"/>
      <c r="E38" s="510"/>
      <c r="F38" s="510"/>
      <c r="G38" s="506"/>
      <c r="H38" s="506"/>
    </row>
    <row r="39" spans="1:8" ht="17.25" customHeight="1">
      <c r="A39" s="511"/>
      <c r="B39" s="511"/>
      <c r="C39" s="512"/>
      <c r="D39" s="512"/>
      <c r="E39" s="512"/>
      <c r="F39" s="512"/>
      <c r="G39" s="506"/>
      <c r="H39" s="506"/>
    </row>
    <row r="40" spans="1:8">
      <c r="A40" s="504"/>
      <c r="B40" s="504"/>
      <c r="C40" s="505"/>
      <c r="D40" s="505"/>
      <c r="E40" s="505"/>
      <c r="F40" s="505"/>
      <c r="G40" s="506"/>
      <c r="H40" s="506"/>
    </row>
    <row r="41" spans="1:8">
      <c r="A41" s="1165" t="str">
        <f ca="1" xml:space="preserve"> IF(ROWS($1:1)&gt;COUNT(Dong3),"","Ghi giảm TSCĐ chứng từ số:  "&amp;OFFSET('SO-TS'!$M$1,SMALL(Dong3,ROWS($1:1)),))</f>
        <v>Ghi giảm TSCĐ chứng từ số:  0000498</v>
      </c>
      <c r="B41" s="1165"/>
      <c r="C41" s="1165"/>
      <c r="D41" s="1165"/>
      <c r="E41" s="1165"/>
      <c r="F41" s="1165"/>
      <c r="G41" s="1165"/>
      <c r="H41" s="1165"/>
    </row>
    <row r="42" spans="1:8">
      <c r="A42" s="1165" t="str">
        <f ca="1" xml:space="preserve"> IF(ROWS($1:1)&gt;COUNT(Dong3),"","Lý do giảm:   "&amp;OFFSET('SO-TS'!$O$1,SMALL(Dong3,ROWS($1:1)),))</f>
        <v>Lý do giảm:   Bán TSCĐ</v>
      </c>
      <c r="B42" s="1165"/>
      <c r="C42" s="1165"/>
      <c r="D42" s="1165"/>
      <c r="E42" s="1165"/>
      <c r="F42" s="1165"/>
      <c r="G42" s="1165"/>
      <c r="H42" s="1165"/>
    </row>
    <row r="43" spans="1:8">
      <c r="A43" s="484"/>
      <c r="B43" s="484"/>
      <c r="C43" s="479"/>
      <c r="D43" s="479"/>
      <c r="E43" s="1151" t="s">
        <v>365</v>
      </c>
      <c r="F43" s="1151"/>
      <c r="G43" s="1151"/>
      <c r="H43" s="1151"/>
    </row>
    <row r="44" spans="1:8">
      <c r="A44" s="1147" t="s">
        <v>317</v>
      </c>
      <c r="B44" s="1147"/>
      <c r="C44" s="1147" t="s">
        <v>12</v>
      </c>
      <c r="D44" s="1147"/>
      <c r="E44" s="1143" t="s">
        <v>109</v>
      </c>
      <c r="F44" s="1143"/>
      <c r="G44" s="1143"/>
      <c r="H44" s="1143"/>
    </row>
    <row r="45" spans="1:8">
      <c r="A45" s="461"/>
      <c r="B45" s="461"/>
      <c r="C45" s="464"/>
      <c r="D45" s="464"/>
      <c r="E45" s="464"/>
      <c r="F45" s="464"/>
      <c r="G45" s="464"/>
      <c r="H45" s="464"/>
    </row>
    <row r="46" spans="1:8">
      <c r="A46" s="461"/>
      <c r="B46" s="461"/>
      <c r="C46" s="464"/>
      <c r="D46" s="464"/>
      <c r="E46" s="464"/>
      <c r="F46" s="464"/>
      <c r="G46" s="464"/>
      <c r="H46" s="464"/>
    </row>
    <row r="47" spans="1:8">
      <c r="A47" s="461"/>
      <c r="B47" s="461"/>
      <c r="C47" s="464"/>
      <c r="D47" s="464"/>
      <c r="E47" s="464"/>
      <c r="F47" s="464"/>
      <c r="G47" s="464"/>
      <c r="H47" s="464"/>
    </row>
    <row r="48" spans="1:8">
      <c r="A48" s="461"/>
      <c r="B48" s="461"/>
      <c r="C48" s="464"/>
      <c r="D48" s="464"/>
      <c r="E48" s="464"/>
      <c r="F48" s="464"/>
      <c r="G48" s="464"/>
      <c r="H48" s="464"/>
    </row>
    <row r="49" spans="1:8">
      <c r="A49" s="461"/>
      <c r="B49" s="461"/>
      <c r="C49" s="464"/>
      <c r="D49" s="464"/>
      <c r="E49" s="464"/>
      <c r="F49" s="464"/>
      <c r="G49" s="464"/>
      <c r="H49" s="464"/>
    </row>
    <row r="50" spans="1:8">
      <c r="A50" s="461"/>
      <c r="B50" s="461"/>
      <c r="C50" s="464"/>
      <c r="D50" s="464"/>
      <c r="E50" s="464"/>
      <c r="F50" s="464"/>
      <c r="G50" s="464"/>
      <c r="H50" s="464"/>
    </row>
    <row r="51" spans="1:8">
      <c r="A51" s="461"/>
      <c r="B51" s="461"/>
      <c r="C51" s="464"/>
      <c r="D51" s="464"/>
      <c r="E51" s="464"/>
      <c r="F51" s="464"/>
      <c r="G51" s="464"/>
      <c r="H51" s="464"/>
    </row>
    <row r="52" spans="1:8">
      <c r="A52" s="1150" t="s">
        <v>150</v>
      </c>
      <c r="B52" s="1150"/>
      <c r="C52" s="479"/>
      <c r="D52" s="479"/>
      <c r="E52" s="1151" t="s">
        <v>103</v>
      </c>
      <c r="F52" s="1151"/>
      <c r="G52" s="1151"/>
      <c r="H52" s="1151"/>
    </row>
  </sheetData>
  <dataConsolidate/>
  <mergeCells count="19">
    <mergeCell ref="A52:B52"/>
    <mergeCell ref="E52:H52"/>
    <mergeCell ref="E43:H43"/>
    <mergeCell ref="A17:B18"/>
    <mergeCell ref="C17:E17"/>
    <mergeCell ref="F17:H17"/>
    <mergeCell ref="A19:B19"/>
    <mergeCell ref="A32:H32"/>
    <mergeCell ref="B33:C33"/>
    <mergeCell ref="A41:H41"/>
    <mergeCell ref="A42:H42"/>
    <mergeCell ref="F3:H4"/>
    <mergeCell ref="F2:H2"/>
    <mergeCell ref="A44:B44"/>
    <mergeCell ref="C44:D44"/>
    <mergeCell ref="E44:H44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54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2017-03-28T23:44:46Z</cp:lastPrinted>
  <dcterms:created xsi:type="dcterms:W3CDTF">1996-10-14T23:33:28Z</dcterms:created>
  <dcterms:modified xsi:type="dcterms:W3CDTF">2017-03-29T01:05:28Z</dcterms:modified>
</cp:coreProperties>
</file>