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897" activeTab="12"/>
  </bookViews>
  <sheets>
    <sheet name="TH" sheetId="15" r:id="rId1"/>
    <sheet name="CC -7" sheetId="35" r:id="rId2"/>
    <sheet name="L - 7" sheetId="36" r:id="rId3"/>
    <sheet name="CC - 8" sheetId="37" r:id="rId4"/>
    <sheet name="L - 8" sheetId="38" r:id="rId5"/>
    <sheet name="CC -9" sheetId="39" r:id="rId6"/>
    <sheet name="L - 9" sheetId="40" r:id="rId7"/>
    <sheet name="CC -10" sheetId="41" r:id="rId8"/>
    <sheet name="L - 10" sheetId="42" r:id="rId9"/>
    <sheet name="CC -11" sheetId="43" r:id="rId10"/>
    <sheet name="L - 11" sheetId="44" r:id="rId11"/>
    <sheet name="CC -12" sheetId="45" r:id="rId12"/>
    <sheet name="L - 12" sheetId="46" r:id="rId13"/>
  </sheets>
  <definedNames>
    <definedName name="____a1" hidden="1">{"'Sheet1'!$L$16"}</definedName>
    <definedName name="_a1" localSheetId="3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" hidden="1">{"'Sheet1'!$L$16"}</definedName>
    <definedName name="_a1" localSheetId="5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3" hidden="1">'CC - 8'!$A$7:$AS$7</definedName>
    <definedName name="_xlnm._FilterDatabase" localSheetId="7" hidden="1">'CC -10'!$A$7:$AS$7</definedName>
    <definedName name="_xlnm._FilterDatabase" localSheetId="9" hidden="1">'CC -11'!$A$7:$AS$7</definedName>
    <definedName name="_xlnm._FilterDatabase" localSheetId="11" hidden="1">'CC -12'!$A$7:$AS$7</definedName>
    <definedName name="_xlnm._FilterDatabase" localSheetId="1" hidden="1">'CC -7'!$A$7:$AS$7</definedName>
    <definedName name="_xlnm._FilterDatabase" localSheetId="5" hidden="1">'CC -9'!$A$7:$AS$7</definedName>
    <definedName name="_xlnm._FilterDatabase" localSheetId="8" hidden="1">'L - 10'!$A$7:$AE$10</definedName>
    <definedName name="_xlnm._FilterDatabase" localSheetId="10" hidden="1">'L - 11'!$A$7:$AE$10</definedName>
    <definedName name="_xlnm._FilterDatabase" localSheetId="12" hidden="1">'L - 12'!$A$7:$AE$10</definedName>
    <definedName name="_xlnm._FilterDatabase" localSheetId="2" hidden="1">'L - 7'!$A$7:$AE$10</definedName>
    <definedName name="_xlnm._FilterDatabase" localSheetId="4" hidden="1">'L - 8'!$A$7:$AE$10</definedName>
    <definedName name="_xlnm._FilterDatabase" localSheetId="6" hidden="1">'L - 9'!$A$7:$AE$10</definedName>
    <definedName name="_xlnm._FilterDatabase" localSheetId="0" hidden="1">TH!$A$10:$Z$12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3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" hidden="1">{#N/A,#N/A,FALSE,"Chi tiÆt"}</definedName>
    <definedName name="dh" localSheetId="5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0" hidden="1">{#N/A,#N/A,FALSE,"Chi tiÆt"}</definedName>
    <definedName name="dh" hidden="1">{#N/A,#N/A,FALSE,"Chi tiÆt"}</definedName>
    <definedName name="DS">TH!$B$11:$X$20</definedName>
    <definedName name="GFSAH" localSheetId="3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" hidden="1">{"'Sheet1'!$L$16"}</definedName>
    <definedName name="GFSAH" localSheetId="5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0" hidden="1">{"'Sheet1'!$L$16"}</definedName>
    <definedName name="GFSAH" hidden="1">{"'Sheet1'!$L$16"}</definedName>
    <definedName name="GJFXJXJ" localSheetId="3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" hidden="1">{#N/A,#N/A,FALSE,"Chi tiÆt"}</definedName>
    <definedName name="GJFXJXJ" localSheetId="5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3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" hidden="1">{"'Sheet1'!$L$16"}</definedName>
    <definedName name="h" localSheetId="5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0" hidden="1">{"'Sheet1'!$L$16"}</definedName>
    <definedName name="h" hidden="1">{"'Sheet1'!$L$16"}</definedName>
    <definedName name="hsgdkhog" localSheetId="3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" hidden="1">{#N/A,#N/A,FALSE,"Chi tiÆt"}</definedName>
    <definedName name="hsgdkhog" localSheetId="5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3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" hidden="1">{"'Sheet1'!$L$16"}</definedName>
    <definedName name="HTML_Control" localSheetId="5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3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" hidden="1">{"'Sheet1'!$L$16"}</definedName>
    <definedName name="huy" localSheetId="5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0" hidden="1">{"'Sheet1'!$L$16"}</definedName>
    <definedName name="huy" hidden="1">{"'Sheet1'!$L$16"}</definedName>
    <definedName name="khkl" localSheetId="3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" hidden="1">{"'Sheet1'!$L$16"}</definedName>
    <definedName name="khkl" localSheetId="5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0" hidden="1">{"'Sheet1'!$L$16"}</definedName>
    <definedName name="khkl" hidden="1">{"'Sheet1'!$L$16"}</definedName>
    <definedName name="kjjh" localSheetId="3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" hidden="1">{"'Sheet1'!$L$16"}</definedName>
    <definedName name="kjjh" localSheetId="5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0" hidden="1">{"'Sheet1'!$L$16"}</definedName>
    <definedName name="kjjh" hidden="1">{"'Sheet1'!$L$16"}</definedName>
    <definedName name="KTLDLAN3" localSheetId="3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" hidden="1">{"'Sheet1'!$L$16"}</definedName>
    <definedName name="KTLDLAN3" localSheetId="5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0" hidden="1">{"'Sheet1'!$L$16"}</definedName>
    <definedName name="KTLDLAN3" hidden="1">{"'Sheet1'!$L$16"}</definedName>
    <definedName name="_xlnm.Print_Area" localSheetId="3">'CC - 8'!$A$1:$AS$41</definedName>
    <definedName name="_xlnm.Print_Area" localSheetId="7">'CC -10'!$A$1:$AS$41</definedName>
    <definedName name="_xlnm.Print_Area" localSheetId="9">'CC -11'!$A$1:$AS$41</definedName>
    <definedName name="_xlnm.Print_Area" localSheetId="11">'CC -12'!$A$1:$AS$41</definedName>
    <definedName name="_xlnm.Print_Area" localSheetId="1">'CC -7'!$A$1:$AS$41</definedName>
    <definedName name="_xlnm.Print_Area" localSheetId="5">'CC -9'!$A$1:$AS$41</definedName>
    <definedName name="ưer" localSheetId="3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" hidden="1">{"'Sheet1'!$L$16"}</definedName>
    <definedName name="ưer" localSheetId="5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0" hidden="1">{"'Sheet1'!$L$16"}</definedName>
    <definedName name="ưer" hidden="1">{"'Sheet1'!$L$16"}</definedName>
    <definedName name="UU" localSheetId="3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" hidden="1">{"'Sheet1'!$L$16"}</definedName>
    <definedName name="UU" localSheetId="5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0" hidden="1">{"'Sheet1'!$L$16"}</definedName>
    <definedName name="UU" hidden="1">{"'Sheet1'!$L$16"}</definedName>
    <definedName name="wrn.chi._.tiÆt." localSheetId="3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" hidden="1">{#N/A,#N/A,FALSE,"Chi tiÆt"}</definedName>
    <definedName name="wrn.chi._.tiÆt." localSheetId="5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A14" i="15" l="1"/>
  <c r="A13" i="15"/>
  <c r="R16" i="46" l="1"/>
  <c r="P16" i="46"/>
  <c r="O16" i="46"/>
  <c r="N16" i="46"/>
  <c r="E16" i="46"/>
  <c r="D16" i="46"/>
  <c r="C16" i="46"/>
  <c r="R15" i="46"/>
  <c r="P15" i="46"/>
  <c r="O15" i="46"/>
  <c r="N15" i="46"/>
  <c r="E15" i="46"/>
  <c r="D15" i="46"/>
  <c r="C15" i="46"/>
  <c r="R17" i="46"/>
  <c r="P17" i="46"/>
  <c r="O17" i="46"/>
  <c r="N17" i="46"/>
  <c r="E17" i="46"/>
  <c r="D17" i="46"/>
  <c r="C17" i="46"/>
  <c r="AL16" i="45"/>
  <c r="D16" i="45"/>
  <c r="C16" i="45"/>
  <c r="AL14" i="45"/>
  <c r="D14" i="45"/>
  <c r="C14" i="45"/>
  <c r="AL18" i="45"/>
  <c r="D18" i="45"/>
  <c r="C18" i="45"/>
  <c r="R16" i="44"/>
  <c r="P16" i="44"/>
  <c r="O16" i="44"/>
  <c r="N16" i="44"/>
  <c r="E16" i="44"/>
  <c r="D16" i="44"/>
  <c r="C16" i="44"/>
  <c r="R15" i="44"/>
  <c r="P15" i="44"/>
  <c r="O15" i="44"/>
  <c r="N15" i="44"/>
  <c r="E15" i="44"/>
  <c r="D15" i="44"/>
  <c r="C15" i="44"/>
  <c r="R17" i="44"/>
  <c r="P17" i="44"/>
  <c r="O17" i="44"/>
  <c r="N17" i="44"/>
  <c r="E17" i="44"/>
  <c r="D17" i="44"/>
  <c r="C17" i="44"/>
  <c r="AL16" i="43"/>
  <c r="D16" i="43"/>
  <c r="C16" i="43"/>
  <c r="AL14" i="43"/>
  <c r="D14" i="43"/>
  <c r="C14" i="43"/>
  <c r="AL18" i="43"/>
  <c r="D18" i="43"/>
  <c r="C18" i="43"/>
  <c r="R16" i="42"/>
  <c r="P16" i="42"/>
  <c r="O16" i="42"/>
  <c r="N16" i="42"/>
  <c r="E16" i="42"/>
  <c r="D16" i="42"/>
  <c r="C16" i="42"/>
  <c r="R15" i="42"/>
  <c r="P15" i="42"/>
  <c r="O15" i="42"/>
  <c r="N15" i="42"/>
  <c r="E15" i="42"/>
  <c r="D15" i="42"/>
  <c r="C15" i="42"/>
  <c r="R17" i="42"/>
  <c r="P17" i="42"/>
  <c r="O17" i="42"/>
  <c r="N17" i="42"/>
  <c r="E17" i="42"/>
  <c r="D17" i="42"/>
  <c r="C17" i="42"/>
  <c r="AL16" i="41"/>
  <c r="D16" i="41"/>
  <c r="C16" i="41"/>
  <c r="AL14" i="41"/>
  <c r="D14" i="41"/>
  <c r="C14" i="41"/>
  <c r="AL18" i="41"/>
  <c r="D18" i="41"/>
  <c r="C18" i="41"/>
  <c r="R16" i="40"/>
  <c r="P16" i="40"/>
  <c r="O16" i="40"/>
  <c r="N16" i="40"/>
  <c r="E16" i="40"/>
  <c r="D16" i="40"/>
  <c r="C16" i="40"/>
  <c r="R15" i="40"/>
  <c r="P15" i="40"/>
  <c r="O15" i="40"/>
  <c r="N15" i="40"/>
  <c r="E15" i="40"/>
  <c r="D15" i="40"/>
  <c r="C15" i="40"/>
  <c r="R17" i="40"/>
  <c r="P17" i="40"/>
  <c r="O17" i="40"/>
  <c r="N17" i="40"/>
  <c r="E17" i="40"/>
  <c r="D17" i="40"/>
  <c r="C17" i="40"/>
  <c r="AL16" i="39"/>
  <c r="D16" i="39"/>
  <c r="C16" i="39"/>
  <c r="AL14" i="39"/>
  <c r="D14" i="39"/>
  <c r="C14" i="39"/>
  <c r="AL18" i="39"/>
  <c r="D18" i="39"/>
  <c r="C18" i="39"/>
  <c r="R16" i="38"/>
  <c r="P16" i="38"/>
  <c r="O16" i="38"/>
  <c r="N16" i="38"/>
  <c r="E16" i="38"/>
  <c r="D16" i="38"/>
  <c r="C16" i="38"/>
  <c r="R15" i="38"/>
  <c r="P15" i="38"/>
  <c r="O15" i="38"/>
  <c r="N15" i="38"/>
  <c r="E15" i="38"/>
  <c r="D15" i="38"/>
  <c r="C15" i="38"/>
  <c r="R17" i="38"/>
  <c r="P17" i="38"/>
  <c r="O17" i="38"/>
  <c r="N17" i="38"/>
  <c r="E17" i="38"/>
  <c r="D17" i="38"/>
  <c r="C17" i="38"/>
  <c r="AL16" i="37"/>
  <c r="D16" i="37"/>
  <c r="C16" i="37"/>
  <c r="AL14" i="37"/>
  <c r="D14" i="37"/>
  <c r="C14" i="37"/>
  <c r="AL18" i="37"/>
  <c r="D18" i="37"/>
  <c r="C18" i="37"/>
  <c r="R16" i="36"/>
  <c r="P16" i="36"/>
  <c r="O16" i="36"/>
  <c r="N16" i="36"/>
  <c r="E16" i="36"/>
  <c r="D16" i="36"/>
  <c r="C16" i="36"/>
  <c r="R15" i="36"/>
  <c r="P15" i="36"/>
  <c r="O15" i="36"/>
  <c r="N15" i="36"/>
  <c r="E15" i="36"/>
  <c r="D15" i="36"/>
  <c r="C15" i="36"/>
  <c r="R17" i="36"/>
  <c r="P17" i="36"/>
  <c r="O17" i="36"/>
  <c r="N17" i="36"/>
  <c r="E17" i="36"/>
  <c r="D17" i="36"/>
  <c r="C17" i="36"/>
  <c r="AL16" i="35"/>
  <c r="D16" i="35"/>
  <c r="C16" i="35"/>
  <c r="AL14" i="35"/>
  <c r="D14" i="35"/>
  <c r="C14" i="35"/>
  <c r="AL18" i="35"/>
  <c r="D18" i="35"/>
  <c r="C18" i="35"/>
  <c r="A16" i="15" l="1"/>
  <c r="A12" i="15"/>
  <c r="A15" i="15"/>
  <c r="AL12" i="45" l="1"/>
  <c r="D12" i="45"/>
  <c r="C12" i="45"/>
  <c r="AL12" i="43"/>
  <c r="D12" i="43"/>
  <c r="C12" i="43"/>
  <c r="AL12" i="41"/>
  <c r="D12" i="41"/>
  <c r="C12" i="41"/>
  <c r="AL12" i="39"/>
  <c r="D12" i="39"/>
  <c r="C12" i="39"/>
  <c r="AL12" i="37"/>
  <c r="D12" i="37"/>
  <c r="C12" i="37"/>
  <c r="AL12" i="35"/>
  <c r="D12" i="35"/>
  <c r="C12" i="35"/>
  <c r="R14" i="46" l="1"/>
  <c r="P14" i="46"/>
  <c r="O14" i="46"/>
  <c r="N14" i="46"/>
  <c r="E14" i="46"/>
  <c r="D14" i="46"/>
  <c r="C14" i="46"/>
  <c r="R10" i="46"/>
  <c r="P10" i="46"/>
  <c r="O10" i="46"/>
  <c r="N10" i="46"/>
  <c r="E10" i="46"/>
  <c r="D10" i="46"/>
  <c r="C10" i="46"/>
  <c r="E4" i="46"/>
  <c r="S21" i="46" s="1"/>
  <c r="AL9" i="45"/>
  <c r="D9" i="45"/>
  <c r="C9" i="45"/>
  <c r="F5" i="45"/>
  <c r="G5" i="45" s="1"/>
  <c r="S1" i="45"/>
  <c r="R14" i="44"/>
  <c r="P14" i="44"/>
  <c r="O14" i="44"/>
  <c r="N14" i="44"/>
  <c r="E14" i="44"/>
  <c r="D14" i="44"/>
  <c r="C14" i="44"/>
  <c r="R10" i="44"/>
  <c r="P10" i="44"/>
  <c r="O10" i="44"/>
  <c r="N10" i="44"/>
  <c r="E10" i="44"/>
  <c r="D10" i="44"/>
  <c r="C10" i="44"/>
  <c r="E4" i="44"/>
  <c r="S21" i="44" s="1"/>
  <c r="AL9" i="43"/>
  <c r="D9" i="43"/>
  <c r="C9" i="43"/>
  <c r="F5" i="43"/>
  <c r="G5" i="43" s="1"/>
  <c r="S1" i="43"/>
  <c r="R14" i="42"/>
  <c r="P14" i="42"/>
  <c r="O14" i="42"/>
  <c r="N14" i="42"/>
  <c r="E14" i="42"/>
  <c r="D14" i="42"/>
  <c r="C14" i="42"/>
  <c r="R10" i="42"/>
  <c r="P10" i="42"/>
  <c r="O10" i="42"/>
  <c r="N10" i="42"/>
  <c r="E10" i="42"/>
  <c r="D10" i="42"/>
  <c r="C10" i="42"/>
  <c r="E4" i="42"/>
  <c r="S21" i="42" s="1"/>
  <c r="AL9" i="41"/>
  <c r="D9" i="41"/>
  <c r="C9" i="41"/>
  <c r="F5" i="41"/>
  <c r="G5" i="41" s="1"/>
  <c r="S1" i="41"/>
  <c r="E12" i="46" l="1"/>
  <c r="R12" i="46"/>
  <c r="E12" i="44"/>
  <c r="R12" i="44"/>
  <c r="N12" i="46"/>
  <c r="P12" i="44"/>
  <c r="O12" i="44"/>
  <c r="P12" i="46"/>
  <c r="N12" i="44"/>
  <c r="O12" i="46"/>
  <c r="F6" i="43"/>
  <c r="E19" i="42"/>
  <c r="R19" i="42"/>
  <c r="E19" i="44"/>
  <c r="R19" i="44"/>
  <c r="F6" i="45"/>
  <c r="F6" i="41"/>
  <c r="N12" i="42"/>
  <c r="E19" i="46"/>
  <c r="P19" i="42"/>
  <c r="D1" i="42"/>
  <c r="P19" i="44"/>
  <c r="D1" i="44"/>
  <c r="O19" i="46"/>
  <c r="P19" i="46"/>
  <c r="N19" i="46"/>
  <c r="R19" i="46"/>
  <c r="D1" i="46"/>
  <c r="G6" i="45"/>
  <c r="H5" i="45"/>
  <c r="N19" i="44"/>
  <c r="O19" i="44"/>
  <c r="G6" i="43"/>
  <c r="H5" i="43"/>
  <c r="N19" i="42"/>
  <c r="O12" i="42"/>
  <c r="P12" i="42"/>
  <c r="R12" i="42"/>
  <c r="O19" i="42"/>
  <c r="G6" i="41"/>
  <c r="H5" i="41"/>
  <c r="E12" i="42"/>
  <c r="R14" i="40"/>
  <c r="P14" i="40"/>
  <c r="O14" i="40"/>
  <c r="N14" i="40"/>
  <c r="E14" i="40"/>
  <c r="D14" i="40"/>
  <c r="C14" i="40"/>
  <c r="R10" i="40"/>
  <c r="P10" i="40"/>
  <c r="O10" i="40"/>
  <c r="N10" i="40"/>
  <c r="E10" i="40"/>
  <c r="D10" i="40"/>
  <c r="C10" i="40"/>
  <c r="E4" i="40"/>
  <c r="S21" i="40" s="1"/>
  <c r="AL9" i="39"/>
  <c r="D9" i="39"/>
  <c r="C9" i="39"/>
  <c r="F5" i="39"/>
  <c r="G5" i="39" s="1"/>
  <c r="S1" i="39"/>
  <c r="R14" i="38"/>
  <c r="P14" i="38"/>
  <c r="O14" i="38"/>
  <c r="N14" i="38"/>
  <c r="E14" i="38"/>
  <c r="D14" i="38"/>
  <c r="C14" i="38"/>
  <c r="R10" i="38"/>
  <c r="P10" i="38"/>
  <c r="O10" i="38"/>
  <c r="N10" i="38"/>
  <c r="E10" i="38"/>
  <c r="D10" i="38"/>
  <c r="C10" i="38"/>
  <c r="E4" i="38"/>
  <c r="S21" i="38" s="1"/>
  <c r="AL9" i="37"/>
  <c r="D9" i="37"/>
  <c r="C9" i="37"/>
  <c r="F5" i="37"/>
  <c r="F6" i="37" s="1"/>
  <c r="S1" i="37"/>
  <c r="R14" i="36"/>
  <c r="P14" i="36"/>
  <c r="O14" i="36"/>
  <c r="N14" i="36"/>
  <c r="E14" i="36"/>
  <c r="D14" i="36"/>
  <c r="C14" i="36"/>
  <c r="R10" i="36"/>
  <c r="P10" i="36"/>
  <c r="O10" i="36"/>
  <c r="N10" i="36"/>
  <c r="E10" i="36"/>
  <c r="D10" i="36"/>
  <c r="C10" i="36"/>
  <c r="E4" i="36"/>
  <c r="S21" i="36" s="1"/>
  <c r="AL9" i="35"/>
  <c r="D9" i="35"/>
  <c r="C9" i="35"/>
  <c r="F5" i="35"/>
  <c r="F6" i="35" s="1"/>
  <c r="S1" i="35"/>
  <c r="D1" i="36" l="1"/>
  <c r="D1" i="38"/>
  <c r="N12" i="40"/>
  <c r="P19" i="40"/>
  <c r="I5" i="45"/>
  <c r="H6" i="45"/>
  <c r="R12" i="38"/>
  <c r="P19" i="38"/>
  <c r="O12" i="40"/>
  <c r="N19" i="40"/>
  <c r="I5" i="43"/>
  <c r="H6" i="43"/>
  <c r="E19" i="40"/>
  <c r="R19" i="40"/>
  <c r="I5" i="41"/>
  <c r="H6" i="41"/>
  <c r="R12" i="36"/>
  <c r="P19" i="36"/>
  <c r="N12" i="38"/>
  <c r="E19" i="38"/>
  <c r="R19" i="38"/>
  <c r="P12" i="40"/>
  <c r="R12" i="40"/>
  <c r="O19" i="40"/>
  <c r="F6" i="39"/>
  <c r="D1" i="40"/>
  <c r="G6" i="39"/>
  <c r="H5" i="39"/>
  <c r="E12" i="40"/>
  <c r="N12" i="36"/>
  <c r="E19" i="36"/>
  <c r="R19" i="36"/>
  <c r="O12" i="38"/>
  <c r="N19" i="38"/>
  <c r="O12" i="36"/>
  <c r="P12" i="38"/>
  <c r="O19" i="38"/>
  <c r="G5" i="37"/>
  <c r="E12" i="38"/>
  <c r="N19" i="36"/>
  <c r="P12" i="36"/>
  <c r="O19" i="36"/>
  <c r="G5" i="35"/>
  <c r="E12" i="36"/>
  <c r="J5" i="45" l="1"/>
  <c r="I6" i="45"/>
  <c r="J5" i="43"/>
  <c r="I6" i="43"/>
  <c r="J5" i="41"/>
  <c r="I6" i="41"/>
  <c r="I5" i="39"/>
  <c r="H6" i="39"/>
  <c r="G6" i="37"/>
  <c r="H5" i="37"/>
  <c r="G6" i="35"/>
  <c r="H5" i="35"/>
  <c r="A17" i="15"/>
  <c r="A11" i="15"/>
  <c r="J6" i="45" l="1"/>
  <c r="K5" i="45"/>
  <c r="J6" i="43"/>
  <c r="K5" i="43"/>
  <c r="J6" i="41"/>
  <c r="K5" i="41"/>
  <c r="J5" i="39"/>
  <c r="I6" i="39"/>
  <c r="I5" i="37"/>
  <c r="H6" i="37"/>
  <c r="I5" i="35"/>
  <c r="H6" i="35"/>
  <c r="K6" i="45" l="1"/>
  <c r="L5" i="45"/>
  <c r="K6" i="43"/>
  <c r="L5" i="43"/>
  <c r="K6" i="41"/>
  <c r="L5" i="41"/>
  <c r="J6" i="39"/>
  <c r="K5" i="39"/>
  <c r="J5" i="37"/>
  <c r="I6" i="37"/>
  <c r="J5" i="35"/>
  <c r="I6" i="35"/>
  <c r="M5" i="45" l="1"/>
  <c r="L6" i="45"/>
  <c r="M5" i="43"/>
  <c r="L6" i="43"/>
  <c r="M5" i="41"/>
  <c r="L6" i="41"/>
  <c r="K6" i="39"/>
  <c r="L5" i="39"/>
  <c r="J6" i="37"/>
  <c r="K5" i="37"/>
  <c r="J6" i="35"/>
  <c r="K5" i="35"/>
  <c r="J18" i="15"/>
  <c r="F18" i="15"/>
  <c r="N5" i="45" l="1"/>
  <c r="M6" i="45"/>
  <c r="N5" i="43"/>
  <c r="M6" i="43"/>
  <c r="N5" i="41"/>
  <c r="M6" i="41"/>
  <c r="M5" i="39"/>
  <c r="L6" i="39"/>
  <c r="K6" i="37"/>
  <c r="L5" i="37"/>
  <c r="K6" i="35"/>
  <c r="L5" i="35"/>
  <c r="N6" i="45" l="1"/>
  <c r="O5" i="45"/>
  <c r="N6" i="43"/>
  <c r="O5" i="43"/>
  <c r="N6" i="41"/>
  <c r="O5" i="41"/>
  <c r="N5" i="39"/>
  <c r="M6" i="39"/>
  <c r="M5" i="37"/>
  <c r="L6" i="37"/>
  <c r="M5" i="35"/>
  <c r="L6" i="35"/>
  <c r="O6" i="45" l="1"/>
  <c r="P5" i="45"/>
  <c r="O6" i="43"/>
  <c r="P5" i="43"/>
  <c r="O6" i="41"/>
  <c r="P5" i="41"/>
  <c r="N6" i="39"/>
  <c r="O5" i="39"/>
  <c r="N5" i="37"/>
  <c r="M6" i="37"/>
  <c r="N5" i="35"/>
  <c r="M6" i="35"/>
  <c r="J19" i="15" a="1"/>
  <c r="J19" i="15" s="1"/>
  <c r="Q5" i="45" l="1"/>
  <c r="P6" i="45"/>
  <c r="Q5" i="43"/>
  <c r="P6" i="43"/>
  <c r="Q5" i="41"/>
  <c r="P6" i="41"/>
  <c r="O6" i="39"/>
  <c r="P5" i="39"/>
  <c r="N6" i="37"/>
  <c r="O5" i="37"/>
  <c r="N6" i="35"/>
  <c r="O5" i="35"/>
  <c r="R5" i="45" l="1"/>
  <c r="Q6" i="45"/>
  <c r="R5" i="43"/>
  <c r="Q6" i="43"/>
  <c r="R5" i="41"/>
  <c r="Q6" i="41"/>
  <c r="Q5" i="39"/>
  <c r="P6" i="39"/>
  <c r="O6" i="37"/>
  <c r="P5" i="37"/>
  <c r="O6" i="35"/>
  <c r="P5" i="35"/>
  <c r="R6" i="45" l="1"/>
  <c r="S5" i="45"/>
  <c r="R6" i="43"/>
  <c r="S5" i="43"/>
  <c r="R6" i="41"/>
  <c r="S5" i="41"/>
  <c r="R5" i="39"/>
  <c r="Q6" i="39"/>
  <c r="Q5" i="37"/>
  <c r="P6" i="37"/>
  <c r="Q5" i="35"/>
  <c r="P6" i="35"/>
  <c r="E18" i="15"/>
  <c r="S6" i="45" l="1"/>
  <c r="T5" i="45"/>
  <c r="S6" i="43"/>
  <c r="T5" i="43"/>
  <c r="S6" i="41"/>
  <c r="T5" i="41"/>
  <c r="R6" i="39"/>
  <c r="S5" i="39"/>
  <c r="R5" i="37"/>
  <c r="Q6" i="37"/>
  <c r="R5" i="35"/>
  <c r="Q6" i="35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P19" i="15" a="1"/>
  <c r="P19" i="15" s="1"/>
  <c r="Q19" i="15" a="1"/>
  <c r="Q19" i="15" s="1"/>
  <c r="R19" i="15" a="1"/>
  <c r="R19" i="15" s="1"/>
  <c r="S19" i="15" a="1"/>
  <c r="S19" i="15" s="1"/>
  <c r="T19" i="15" a="1"/>
  <c r="T19" i="15" s="1"/>
  <c r="U19" i="15" a="1"/>
  <c r="U19" i="15" s="1"/>
  <c r="U18" i="15"/>
  <c r="K18" i="15"/>
  <c r="L18" i="15"/>
  <c r="M18" i="15"/>
  <c r="N18" i="15"/>
  <c r="O18" i="15"/>
  <c r="P18" i="15"/>
  <c r="Q18" i="15"/>
  <c r="R18" i="15"/>
  <c r="S18" i="15"/>
  <c r="T18" i="15"/>
  <c r="G18" i="15"/>
  <c r="H18" i="15"/>
  <c r="A6" i="15"/>
  <c r="U5" i="45" l="1"/>
  <c r="T6" i="45"/>
  <c r="U5" i="43"/>
  <c r="T6" i="43"/>
  <c r="U5" i="41"/>
  <c r="T6" i="41"/>
  <c r="S6" i="39"/>
  <c r="T5" i="39"/>
  <c r="R6" i="37"/>
  <c r="S5" i="37"/>
  <c r="R6" i="35"/>
  <c r="S5" i="35"/>
  <c r="V5" i="45" l="1"/>
  <c r="U6" i="45"/>
  <c r="V5" i="43"/>
  <c r="U6" i="43"/>
  <c r="V5" i="41"/>
  <c r="U6" i="41"/>
  <c r="U5" i="39"/>
  <c r="T6" i="39"/>
  <c r="S6" i="37"/>
  <c r="T5" i="37"/>
  <c r="S6" i="35"/>
  <c r="T5" i="35"/>
  <c r="V6" i="45" l="1"/>
  <c r="W5" i="45"/>
  <c r="V6" i="43"/>
  <c r="W5" i="43"/>
  <c r="V6" i="41"/>
  <c r="W5" i="41"/>
  <c r="V5" i="39"/>
  <c r="U6" i="39"/>
  <c r="U5" i="37"/>
  <c r="T6" i="37"/>
  <c r="U5" i="35"/>
  <c r="T6" i="35"/>
  <c r="W6" i="45" l="1"/>
  <c r="X5" i="45"/>
  <c r="W6" i="43"/>
  <c r="X5" i="43"/>
  <c r="W6" i="41"/>
  <c r="X5" i="41"/>
  <c r="V6" i="39"/>
  <c r="W5" i="39"/>
  <c r="V5" i="37"/>
  <c r="U6" i="37"/>
  <c r="V5" i="35"/>
  <c r="U6" i="35"/>
  <c r="Y5" i="45" l="1"/>
  <c r="X6" i="45"/>
  <c r="Y5" i="43"/>
  <c r="X6" i="43"/>
  <c r="Y5" i="41"/>
  <c r="X6" i="41"/>
  <c r="W6" i="39"/>
  <c r="X5" i="39"/>
  <c r="V6" i="37"/>
  <c r="W5" i="37"/>
  <c r="V6" i="35"/>
  <c r="W5" i="35"/>
  <c r="Z5" i="45" l="1"/>
  <c r="Y6" i="45"/>
  <c r="Z5" i="43"/>
  <c r="Y6" i="43"/>
  <c r="Z5" i="41"/>
  <c r="Y6" i="41"/>
  <c r="Y5" i="39"/>
  <c r="X6" i="39"/>
  <c r="W6" i="37"/>
  <c r="X5" i="37"/>
  <c r="W6" i="35"/>
  <c r="X5" i="35"/>
  <c r="Z6" i="45" l="1"/>
  <c r="AA5" i="45"/>
  <c r="Z6" i="43"/>
  <c r="AA5" i="43"/>
  <c r="Z6" i="41"/>
  <c r="AA5" i="41"/>
  <c r="Z5" i="39"/>
  <c r="Y6" i="39"/>
  <c r="Y5" i="37"/>
  <c r="X6" i="37"/>
  <c r="Y5" i="35"/>
  <c r="X6" i="35"/>
  <c r="AA6" i="45" l="1"/>
  <c r="AB5" i="45"/>
  <c r="AA6" i="43"/>
  <c r="AB5" i="43"/>
  <c r="AA6" i="41"/>
  <c r="AB5" i="41"/>
  <c r="Z6" i="39"/>
  <c r="AA5" i="39"/>
  <c r="Z5" i="37"/>
  <c r="Y6" i="37"/>
  <c r="Z5" i="35"/>
  <c r="Y6" i="35"/>
  <c r="AC5" i="45" l="1"/>
  <c r="AB6" i="45"/>
  <c r="AC5" i="43"/>
  <c r="AB6" i="43"/>
  <c r="AC5" i="41"/>
  <c r="AB6" i="41"/>
  <c r="AA6" i="39"/>
  <c r="AB5" i="39"/>
  <c r="Z6" i="37"/>
  <c r="AA5" i="37"/>
  <c r="Z6" i="35"/>
  <c r="AA5" i="35"/>
  <c r="AD5" i="45" l="1"/>
  <c r="AC6" i="45"/>
  <c r="AD5" i="43"/>
  <c r="AC6" i="43"/>
  <c r="AD5" i="41"/>
  <c r="AC6" i="41"/>
  <c r="AC5" i="39"/>
  <c r="AB6" i="39"/>
  <c r="AA6" i="37"/>
  <c r="AB5" i="37"/>
  <c r="AA6" i="35"/>
  <c r="AB5" i="35"/>
  <c r="AD6" i="45" l="1"/>
  <c r="AE5" i="45"/>
  <c r="AD6" i="43"/>
  <c r="AE5" i="43"/>
  <c r="AD6" i="41"/>
  <c r="AE5" i="41"/>
  <c r="AD5" i="39"/>
  <c r="AC6" i="39"/>
  <c r="AC5" i="37"/>
  <c r="AB6" i="37"/>
  <c r="AC5" i="35"/>
  <c r="AB6" i="35"/>
  <c r="AE6" i="45" l="1"/>
  <c r="AF5" i="45"/>
  <c r="AE6" i="43"/>
  <c r="AF5" i="43"/>
  <c r="AE6" i="41"/>
  <c r="AF5" i="41"/>
  <c r="AD6" i="39"/>
  <c r="AE5" i="39"/>
  <c r="AD5" i="37"/>
  <c r="AC6" i="37"/>
  <c r="AD5" i="35"/>
  <c r="AC6" i="35"/>
  <c r="AG5" i="45" l="1"/>
  <c r="AF6" i="45"/>
  <c r="AG5" i="43"/>
  <c r="AF6" i="43"/>
  <c r="AG5" i="41"/>
  <c r="AF6" i="41"/>
  <c r="AE6" i="39"/>
  <c r="AF5" i="39"/>
  <c r="AD6" i="37"/>
  <c r="AE5" i="37"/>
  <c r="AD6" i="35"/>
  <c r="AE5" i="35"/>
  <c r="AH5" i="45" l="1"/>
  <c r="AG6" i="45"/>
  <c r="AH5" i="43"/>
  <c r="AG6" i="43"/>
  <c r="AH5" i="41"/>
  <c r="AG6" i="41"/>
  <c r="AG5" i="39"/>
  <c r="AF6" i="39"/>
  <c r="AE6" i="37"/>
  <c r="AF5" i="37"/>
  <c r="AE6" i="35"/>
  <c r="AF5" i="35"/>
  <c r="AH6" i="45" l="1"/>
  <c r="AI5" i="45"/>
  <c r="AH6" i="43"/>
  <c r="AI5" i="43"/>
  <c r="AH6" i="41"/>
  <c r="AI5" i="41"/>
  <c r="AH5" i="39"/>
  <c r="AG6" i="39"/>
  <c r="AG5" i="37"/>
  <c r="AF6" i="37"/>
  <c r="AG5" i="35"/>
  <c r="AF6" i="35"/>
  <c r="AI6" i="45" l="1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K14" i="45" l="1"/>
  <c r="AK18" i="45"/>
  <c r="AK16" i="45"/>
  <c r="AM14" i="45"/>
  <c r="H15" i="46" s="1"/>
  <c r="AM18" i="45"/>
  <c r="H17" i="46" s="1"/>
  <c r="AM16" i="45"/>
  <c r="H16" i="46" s="1"/>
  <c r="AM14" i="43"/>
  <c r="H15" i="44" s="1"/>
  <c r="AM18" i="43"/>
  <c r="H17" i="44" s="1"/>
  <c r="AM16" i="43"/>
  <c r="H16" i="44" s="1"/>
  <c r="AK18" i="43"/>
  <c r="AK16" i="43"/>
  <c r="AK14" i="43"/>
  <c r="AK14" i="41"/>
  <c r="AM14" i="41"/>
  <c r="H15" i="42" s="1"/>
  <c r="AM16" i="41"/>
  <c r="H16" i="42" s="1"/>
  <c r="AK16" i="41"/>
  <c r="AM18" i="41"/>
  <c r="H17" i="42" s="1"/>
  <c r="AK18" i="41"/>
  <c r="AM12" i="45"/>
  <c r="AK12" i="45"/>
  <c r="AN12" i="45" s="1"/>
  <c r="AM12" i="43"/>
  <c r="AK12" i="43"/>
  <c r="AK12" i="41"/>
  <c r="AM12" i="41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N16" i="45" l="1"/>
  <c r="F16" i="46"/>
  <c r="F17" i="46"/>
  <c r="AN18" i="45"/>
  <c r="F15" i="46"/>
  <c r="AN14" i="45"/>
  <c r="F15" i="44"/>
  <c r="AN14" i="43"/>
  <c r="AN16" i="43"/>
  <c r="F16" i="44"/>
  <c r="AN18" i="43"/>
  <c r="F17" i="44"/>
  <c r="AN18" i="41"/>
  <c r="F17" i="42"/>
  <c r="AN16" i="41"/>
  <c r="F16" i="42"/>
  <c r="AN14" i="41"/>
  <c r="F15" i="42"/>
  <c r="AM14" i="39"/>
  <c r="H15" i="40" s="1"/>
  <c r="AM16" i="39"/>
  <c r="H16" i="40" s="1"/>
  <c r="AK18" i="39"/>
  <c r="AM18" i="39"/>
  <c r="H17" i="40" s="1"/>
  <c r="AK16" i="39"/>
  <c r="AK14" i="39"/>
  <c r="AN12" i="41"/>
  <c r="AN12" i="43"/>
  <c r="AM12" i="39"/>
  <c r="AK12" i="39"/>
  <c r="AN12" i="39" s="1"/>
  <c r="H14" i="46"/>
  <c r="H14" i="44"/>
  <c r="H14" i="42"/>
  <c r="F14" i="46"/>
  <c r="AN9" i="45"/>
  <c r="F10" i="46"/>
  <c r="AN9" i="43"/>
  <c r="F14" i="44"/>
  <c r="AN9" i="41"/>
  <c r="F10" i="42"/>
  <c r="F14" i="42"/>
  <c r="AM9" i="39"/>
  <c r="H10" i="40" s="1"/>
  <c r="AK9" i="39"/>
  <c r="AI6" i="37"/>
  <c r="AJ5" i="37"/>
  <c r="AJ6" i="37" s="1"/>
  <c r="AI6" i="35"/>
  <c r="AJ5" i="35"/>
  <c r="AJ6" i="35" s="1"/>
  <c r="L15" i="46" l="1"/>
  <c r="J15" i="46"/>
  <c r="L17" i="46"/>
  <c r="J17" i="46"/>
  <c r="J16" i="46"/>
  <c r="L16" i="46"/>
  <c r="L17" i="44"/>
  <c r="J17" i="44"/>
  <c r="J16" i="44"/>
  <c r="L16" i="44"/>
  <c r="J15" i="44"/>
  <c r="L15" i="44"/>
  <c r="L15" i="42"/>
  <c r="J15" i="42"/>
  <c r="L16" i="42"/>
  <c r="J16" i="42"/>
  <c r="L17" i="42"/>
  <c r="J17" i="42"/>
  <c r="F15" i="40"/>
  <c r="AN14" i="39"/>
  <c r="F17" i="40"/>
  <c r="AN18" i="39"/>
  <c r="AN16" i="39"/>
  <c r="F16" i="40"/>
  <c r="AK14" i="37"/>
  <c r="AM16" i="37"/>
  <c r="H16" i="38" s="1"/>
  <c r="AM18" i="37"/>
  <c r="H17" i="38" s="1"/>
  <c r="AK16" i="37"/>
  <c r="AK18" i="37"/>
  <c r="AM14" i="37"/>
  <c r="H15" i="38" s="1"/>
  <c r="AK14" i="35"/>
  <c r="AM16" i="35"/>
  <c r="H16" i="36" s="1"/>
  <c r="AM18" i="35"/>
  <c r="H17" i="36" s="1"/>
  <c r="AK18" i="35"/>
  <c r="AM14" i="35"/>
  <c r="H15" i="36" s="1"/>
  <c r="AK16" i="35"/>
  <c r="U2" i="44"/>
  <c r="AM12" i="37"/>
  <c r="AK12" i="37"/>
  <c r="AM12" i="35"/>
  <c r="AK12" i="35"/>
  <c r="U2" i="46"/>
  <c r="U2" i="42"/>
  <c r="H14" i="40"/>
  <c r="L10" i="46"/>
  <c r="J10" i="46"/>
  <c r="J14" i="46"/>
  <c r="L14" i="46"/>
  <c r="L10" i="44"/>
  <c r="J10" i="44"/>
  <c r="J14" i="44"/>
  <c r="L14" i="44"/>
  <c r="J14" i="42"/>
  <c r="L14" i="42"/>
  <c r="L10" i="42"/>
  <c r="J10" i="42"/>
  <c r="F14" i="40"/>
  <c r="AN9" i="39"/>
  <c r="F10" i="40"/>
  <c r="AK9" i="37"/>
  <c r="AM9" i="37"/>
  <c r="H10" i="38" s="1"/>
  <c r="AK9" i="35"/>
  <c r="AM9" i="35"/>
  <c r="H10" i="36" s="1"/>
  <c r="J16" i="40" l="1"/>
  <c r="L16" i="40"/>
  <c r="L17" i="40"/>
  <c r="J17" i="40"/>
  <c r="L15" i="40"/>
  <c r="J15" i="40"/>
  <c r="F17" i="38"/>
  <c r="AN18" i="37"/>
  <c r="AN16" i="37"/>
  <c r="F16" i="38"/>
  <c r="F15" i="38"/>
  <c r="AN14" i="37"/>
  <c r="AN16" i="35"/>
  <c r="F16" i="36"/>
  <c r="AN18" i="35"/>
  <c r="F17" i="36"/>
  <c r="AN14" i="35"/>
  <c r="F15" i="36"/>
  <c r="G15" i="46"/>
  <c r="I15" i="46"/>
  <c r="G16" i="46"/>
  <c r="I16" i="46"/>
  <c r="I17" i="46"/>
  <c r="G17" i="46"/>
  <c r="G16" i="44"/>
  <c r="I15" i="44"/>
  <c r="I16" i="44"/>
  <c r="G15" i="44"/>
  <c r="G17" i="44"/>
  <c r="I17" i="44"/>
  <c r="G10" i="44"/>
  <c r="G15" i="42"/>
  <c r="I15" i="42"/>
  <c r="G16" i="42"/>
  <c r="I16" i="42"/>
  <c r="G17" i="42"/>
  <c r="I17" i="42"/>
  <c r="AN12" i="37"/>
  <c r="AN12" i="35"/>
  <c r="G10" i="42"/>
  <c r="I10" i="42"/>
  <c r="G14" i="42"/>
  <c r="I14" i="42"/>
  <c r="I14" i="46"/>
  <c r="G14" i="46"/>
  <c r="G10" i="46"/>
  <c r="I10" i="46"/>
  <c r="I10" i="44"/>
  <c r="I14" i="44"/>
  <c r="G14" i="44"/>
  <c r="U2" i="40"/>
  <c r="H14" i="38"/>
  <c r="H14" i="36"/>
  <c r="L12" i="44"/>
  <c r="L12" i="46"/>
  <c r="L19" i="46"/>
  <c r="L19" i="44"/>
  <c r="L12" i="42"/>
  <c r="L19" i="42"/>
  <c r="L10" i="40"/>
  <c r="J10" i="40"/>
  <c r="J14" i="40"/>
  <c r="L14" i="40"/>
  <c r="F14" i="38"/>
  <c r="AN9" i="37"/>
  <c r="F10" i="38"/>
  <c r="F14" i="36"/>
  <c r="AN9" i="35"/>
  <c r="F10" i="36"/>
  <c r="L15" i="38" l="1"/>
  <c r="J15" i="38"/>
  <c r="J16" i="38"/>
  <c r="L16" i="38"/>
  <c r="J17" i="38"/>
  <c r="L17" i="38"/>
  <c r="L15" i="36"/>
  <c r="J15" i="36"/>
  <c r="L17" i="36"/>
  <c r="J17" i="36"/>
  <c r="J16" i="36"/>
  <c r="L16" i="36"/>
  <c r="K16" i="42"/>
  <c r="M16" i="42" s="1"/>
  <c r="Q16" i="42" s="1"/>
  <c r="S16" i="42" s="1"/>
  <c r="K15" i="44"/>
  <c r="M15" i="44" s="1"/>
  <c r="Q15" i="44" s="1"/>
  <c r="S15" i="44" s="1"/>
  <c r="K15" i="46"/>
  <c r="M15" i="46" s="1"/>
  <c r="Q15" i="46" s="1"/>
  <c r="S15" i="46" s="1"/>
  <c r="K16" i="46"/>
  <c r="M16" i="46" s="1"/>
  <c r="Q16" i="46" s="1"/>
  <c r="S16" i="46" s="1"/>
  <c r="K17" i="46"/>
  <c r="M17" i="46" s="1"/>
  <c r="Q17" i="46" s="1"/>
  <c r="S17" i="46" s="1"/>
  <c r="K16" i="44"/>
  <c r="M16" i="44" s="1"/>
  <c r="Q16" i="44" s="1"/>
  <c r="S16" i="44" s="1"/>
  <c r="K17" i="44"/>
  <c r="M17" i="44" s="1"/>
  <c r="Q17" i="44" s="1"/>
  <c r="S17" i="44" s="1"/>
  <c r="K10" i="44"/>
  <c r="K15" i="42"/>
  <c r="M15" i="42" s="1"/>
  <c r="Q15" i="42" s="1"/>
  <c r="S15" i="42" s="1"/>
  <c r="K17" i="42"/>
  <c r="M17" i="42" s="1"/>
  <c r="Q17" i="42" s="1"/>
  <c r="S17" i="42" s="1"/>
  <c r="G16" i="40"/>
  <c r="I16" i="40"/>
  <c r="G15" i="40"/>
  <c r="I15" i="40"/>
  <c r="G17" i="40"/>
  <c r="I17" i="40"/>
  <c r="K14" i="46"/>
  <c r="M14" i="46" s="1"/>
  <c r="G12" i="42"/>
  <c r="K10" i="46"/>
  <c r="M10" i="46" s="1"/>
  <c r="K14" i="42"/>
  <c r="M14" i="42" s="1"/>
  <c r="K10" i="42"/>
  <c r="M10" i="42" s="1"/>
  <c r="I12" i="42"/>
  <c r="K14" i="44"/>
  <c r="M14" i="44" s="1"/>
  <c r="G12" i="46"/>
  <c r="G19" i="46"/>
  <c r="I19" i="46"/>
  <c r="I12" i="46"/>
  <c r="I19" i="44"/>
  <c r="G19" i="44"/>
  <c r="I12" i="44"/>
  <c r="G12" i="44"/>
  <c r="I19" i="42"/>
  <c r="G19" i="42"/>
  <c r="I10" i="40"/>
  <c r="I14" i="40"/>
  <c r="G14" i="40"/>
  <c r="G10" i="40"/>
  <c r="U2" i="38"/>
  <c r="U2" i="36"/>
  <c r="M10" i="44"/>
  <c r="L19" i="40"/>
  <c r="L12" i="40"/>
  <c r="L10" i="38"/>
  <c r="J10" i="38"/>
  <c r="J14" i="38"/>
  <c r="L14" i="38"/>
  <c r="L10" i="36"/>
  <c r="J10" i="36"/>
  <c r="J14" i="36"/>
  <c r="L14" i="36"/>
  <c r="K12" i="46" l="1"/>
  <c r="M12" i="46"/>
  <c r="K15" i="40"/>
  <c r="M15" i="40" s="1"/>
  <c r="Q15" i="40" s="1"/>
  <c r="S15" i="40" s="1"/>
  <c r="K16" i="40"/>
  <c r="M16" i="40" s="1"/>
  <c r="Q16" i="40" s="1"/>
  <c r="S16" i="40" s="1"/>
  <c r="K17" i="40"/>
  <c r="M17" i="40" s="1"/>
  <c r="Q17" i="40" s="1"/>
  <c r="S17" i="40" s="1"/>
  <c r="G15" i="38"/>
  <c r="I16" i="38"/>
  <c r="G16" i="38"/>
  <c r="I15" i="38"/>
  <c r="G17" i="38"/>
  <c r="I17" i="38"/>
  <c r="G15" i="36"/>
  <c r="G16" i="36"/>
  <c r="I15" i="36"/>
  <c r="I16" i="36"/>
  <c r="G17" i="36"/>
  <c r="I17" i="36"/>
  <c r="K12" i="42"/>
  <c r="K19" i="46"/>
  <c r="K19" i="44"/>
  <c r="K12" i="44"/>
  <c r="M12" i="44"/>
  <c r="K19" i="42"/>
  <c r="K14" i="40"/>
  <c r="M14" i="40" s="1"/>
  <c r="G12" i="40"/>
  <c r="G19" i="40"/>
  <c r="K10" i="40"/>
  <c r="M10" i="40" s="1"/>
  <c r="I19" i="40"/>
  <c r="I12" i="40"/>
  <c r="G10" i="38"/>
  <c r="G14" i="38"/>
  <c r="I10" i="38"/>
  <c r="I14" i="38"/>
  <c r="I10" i="36"/>
  <c r="I14" i="36"/>
  <c r="G14" i="36"/>
  <c r="G10" i="36"/>
  <c r="Q10" i="46"/>
  <c r="Q12" i="46" s="1"/>
  <c r="Q14" i="46"/>
  <c r="M19" i="46"/>
  <c r="Q14" i="44"/>
  <c r="M19" i="44"/>
  <c r="Q10" i="44"/>
  <c r="Q12" i="44" s="1"/>
  <c r="Q14" i="42"/>
  <c r="M19" i="42"/>
  <c r="Q10" i="42"/>
  <c r="M12" i="42"/>
  <c r="L19" i="38"/>
  <c r="L12" i="38"/>
  <c r="L19" i="36"/>
  <c r="L12" i="36"/>
  <c r="K16" i="38" l="1"/>
  <c r="M16" i="38" s="1"/>
  <c r="Q16" i="38" s="1"/>
  <c r="S16" i="38" s="1"/>
  <c r="K15" i="38"/>
  <c r="M15" i="38" s="1"/>
  <c r="Q15" i="38" s="1"/>
  <c r="S15" i="38" s="1"/>
  <c r="K17" i="38"/>
  <c r="M17" i="38" s="1"/>
  <c r="Q17" i="38" s="1"/>
  <c r="S17" i="38" s="1"/>
  <c r="K16" i="36"/>
  <c r="M16" i="36" s="1"/>
  <c r="Q16" i="36" s="1"/>
  <c r="S16" i="36" s="1"/>
  <c r="K15" i="36"/>
  <c r="M15" i="36" s="1"/>
  <c r="Q15" i="36" s="1"/>
  <c r="S15" i="36" s="1"/>
  <c r="K17" i="36"/>
  <c r="M17" i="36" s="1"/>
  <c r="Q17" i="36" s="1"/>
  <c r="S17" i="36" s="1"/>
  <c r="K10" i="36"/>
  <c r="G12" i="38"/>
  <c r="K12" i="40"/>
  <c r="K19" i="40"/>
  <c r="K10" i="38"/>
  <c r="M10" i="38" s="1"/>
  <c r="K14" i="38"/>
  <c r="M14" i="38" s="1"/>
  <c r="I19" i="38"/>
  <c r="G19" i="38"/>
  <c r="I12" i="38"/>
  <c r="G12" i="36"/>
  <c r="K14" i="36"/>
  <c r="M14" i="36" s="1"/>
  <c r="I12" i="36"/>
  <c r="G19" i="36"/>
  <c r="I19" i="36"/>
  <c r="Q19" i="46"/>
  <c r="S14" i="46"/>
  <c r="S19" i="46" s="1"/>
  <c r="S10" i="46"/>
  <c r="S12" i="46" s="1"/>
  <c r="S10" i="44"/>
  <c r="S12" i="44" s="1"/>
  <c r="Q19" i="44"/>
  <c r="S14" i="44"/>
  <c r="S19" i="44" s="1"/>
  <c r="Q12" i="42"/>
  <c r="S10" i="42"/>
  <c r="S12" i="42" s="1"/>
  <c r="Q19" i="42"/>
  <c r="S14" i="42"/>
  <c r="S19" i="42" s="1"/>
  <c r="Q14" i="40"/>
  <c r="M19" i="40"/>
  <c r="Q10" i="40"/>
  <c r="M12" i="40"/>
  <c r="M10" i="36"/>
  <c r="K12" i="38" l="1"/>
  <c r="K19" i="38"/>
  <c r="K19" i="36"/>
  <c r="K12" i="36"/>
  <c r="Q12" i="40"/>
  <c r="S10" i="40"/>
  <c r="S12" i="40" s="1"/>
  <c r="Q19" i="40"/>
  <c r="S14" i="40"/>
  <c r="S19" i="40" s="1"/>
  <c r="Q14" i="38"/>
  <c r="M19" i="38"/>
  <c r="Q10" i="38"/>
  <c r="M12" i="38"/>
  <c r="Q14" i="36"/>
  <c r="M19" i="36"/>
  <c r="Q10" i="36"/>
  <c r="M12" i="36"/>
  <c r="Q12" i="38" l="1"/>
  <c r="S10" i="38"/>
  <c r="S12" i="38" s="1"/>
  <c r="Q19" i="38"/>
  <c r="S14" i="38"/>
  <c r="S19" i="38" s="1"/>
  <c r="Q12" i="36"/>
  <c r="S10" i="36"/>
  <c r="S12" i="36" s="1"/>
  <c r="Q19" i="36"/>
  <c r="S14" i="36"/>
  <c r="S19" i="36" s="1"/>
</calcChain>
</file>

<file path=xl/sharedStrings.xml><?xml version="1.0" encoding="utf-8"?>
<sst xmlns="http://schemas.openxmlformats.org/spreadsheetml/2006/main" count="568" uniqueCount="99">
  <si>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</si>
  <si>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</si>
  <si>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</si>
  <si>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</si>
  <si>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</si>
  <si>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</si>
  <si>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</si>
  <si>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</si>
  <si>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</si>
  <si>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</si>
  <si>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</si>
  <si>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</si>
  <si>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</si>
  <si>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</si>
  <si>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</si>
  <si>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</si>
  <si>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</si>
  <si>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</si>
  <si>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</si>
  <si>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</si>
  <si>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</si>
  <si>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</si>
  <si>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</si>
  <si>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</si>
  <si>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</si>
  <si>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</si>
  <si>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</si>
  <si>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</si>
  <si>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</si>
  <si>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</si>
  <si>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</si>
  <si>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</si>
  <si>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</si>
  <si>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</si>
  <si>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</si>
  <si>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</si>
  <si>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</si>
  <si>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</si>
  <si>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</si>
  <si>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</si>
  <si>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</si>
  <si>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</si>
  <si>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</si>
  <si>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</si>
  <si>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</si>
  <si>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</si>
  <si>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</si>
  <si>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</si>
  <si>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</si>
  <si>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</si>
  <si>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</si>
  <si>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</si>
  <si>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</si>
  <si>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</si>
  <si>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</si>
  <si>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</si>
  <si>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</si>
  <si>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</si>
  <si>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</si>
  <si>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</si>
  <si>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</si>
  <si>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</si>
  <si>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</si>
  <si>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</si>
  <si>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</si>
  <si>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</si>
  <si>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</si>
  <si>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</si>
  <si>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</si>
  <si>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</si>
  <si>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</si>
  <si>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</si>
  <si>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</si>
  <si>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TQL</t>
  </si>
  <si>
    <t>SLĐ</t>
  </si>
  <si>
    <t>TL - Chi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</si>
  <si>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</si>
  <si>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</si>
  <si>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</si>
  <si>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</si>
  <si>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</si>
  <si>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</si>
  <si>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</si>
  <si>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</si>
  <si>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</si>
  <si>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CN01</t>
  </si>
  <si>
    <t>CN02</t>
  </si>
  <si>
    <t>CN03</t>
  </si>
  <si>
    <t>BP: Quản lý &amp; CN Trực Tiếp SX</t>
  </si>
  <si>
    <t>BP: Quản lý:</t>
  </si>
  <si>
    <t>Công Đoạn 1</t>
  </si>
  <si>
    <t>Diệp Văn Lân</t>
  </si>
  <si>
    <t>CN04</t>
  </si>
  <si>
    <t>Dương Thế Kiệt</t>
  </si>
  <si>
    <t>Lê Văn Hữu</t>
  </si>
  <si>
    <t>Công Đoạn 2</t>
  </si>
  <si>
    <t>Nguyễn T Bích Thủy</t>
  </si>
  <si>
    <t>Văn Phòng</t>
  </si>
  <si>
    <t>Lê Kim Ngọc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</si>
</sst>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69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19" fillId="0" borderId="2" xfId="0" applyFont="1" applyFill="1" applyBorder="1" applyAlignment="1">
      <alignment horizontal="left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12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56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30"/>
  <sheetViews>
    <sheetView topLeftCell="A8" workbookViewId="0">
      <pane ySplit="3" topLeftCell="A11" activePane="bottomLeft" state="frozen"/>
      <selection activeCell="A8" sqref="A8"/>
      <selection pane="bottomLeft" activeCell="E14" sqref="E14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5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5" customWidth="1"/>
    <col min="24" max="24" width="13.28515625" style="45" customWidth="1"/>
    <col min="25" max="26" width="11.85546875" style="45" customWidth="1"/>
    <col min="27" max="16384" width="9.140625" style="2"/>
  </cols>
  <sheetData>
    <row r="1" spans="1:26" ht="15">
      <c r="A1" s="1" t="s">
        <v>76</v>
      </c>
    </row>
    <row r="2" spans="1:26" ht="15">
      <c r="A2" s="1" t="s">
        <v>77</v>
      </c>
    </row>
    <row r="3" spans="1:26" ht="15">
      <c r="A3" s="1"/>
    </row>
    <row r="4" spans="1:26">
      <c r="A4" s="106"/>
      <c r="B4" s="106"/>
    </row>
    <row r="5" spans="1:26" ht="23.25" customHeight="1">
      <c r="A5" s="214" t="s">
        <v>35</v>
      </c>
      <c r="B5" s="214"/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</row>
    <row r="6" spans="1:26" ht="23.25" customHeight="1">
      <c r="A6" s="215" t="e">
        <f>"Tháng "&amp;#REF!&amp;" năm 2011"</f>
        <v>#REF!</v>
      </c>
      <c r="B6" s="215"/>
      <c r="C6" s="215"/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</row>
    <row r="7" spans="1:26" s="122" customFormat="1" ht="19.5" customHeight="1">
      <c r="A7" s="120"/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1"/>
      <c r="Z7" s="121"/>
    </row>
    <row r="8" spans="1:26" s="1" customFormat="1" ht="20.25" customHeight="1">
      <c r="A8" s="216" t="s">
        <v>19</v>
      </c>
      <c r="B8" s="216" t="s">
        <v>3</v>
      </c>
      <c r="C8" s="216" t="s">
        <v>1</v>
      </c>
      <c r="D8" s="216" t="s">
        <v>2</v>
      </c>
      <c r="E8" s="211" t="s">
        <v>56</v>
      </c>
      <c r="F8" s="211"/>
      <c r="G8" s="211" t="s">
        <v>36</v>
      </c>
      <c r="H8" s="211"/>
      <c r="I8" s="211" t="s">
        <v>24</v>
      </c>
      <c r="J8" s="211" t="s">
        <v>33</v>
      </c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2" t="s">
        <v>39</v>
      </c>
      <c r="W8" s="212" t="s">
        <v>23</v>
      </c>
      <c r="X8" s="212" t="s">
        <v>11</v>
      </c>
      <c r="Y8" s="104"/>
      <c r="Z8" s="104"/>
    </row>
    <row r="9" spans="1:26" s="1" customFormat="1" ht="20.25" customHeight="1">
      <c r="A9" s="216"/>
      <c r="B9" s="216"/>
      <c r="C9" s="216"/>
      <c r="D9" s="216"/>
      <c r="E9" s="165" t="s">
        <v>82</v>
      </c>
      <c r="F9" s="165">
        <v>2015</v>
      </c>
      <c r="G9" s="164" t="s">
        <v>57</v>
      </c>
      <c r="H9" s="164" t="s">
        <v>38</v>
      </c>
      <c r="I9" s="211"/>
      <c r="J9" s="164" t="s">
        <v>61</v>
      </c>
      <c r="K9" s="164" t="s">
        <v>62</v>
      </c>
      <c r="L9" s="164" t="s">
        <v>63</v>
      </c>
      <c r="M9" s="164" t="s">
        <v>64</v>
      </c>
      <c r="N9" s="164" t="s">
        <v>65</v>
      </c>
      <c r="O9" s="164" t="s">
        <v>66</v>
      </c>
      <c r="P9" s="164" t="s">
        <v>67</v>
      </c>
      <c r="Q9" s="164" t="s">
        <v>68</v>
      </c>
      <c r="R9" s="164" t="s">
        <v>69</v>
      </c>
      <c r="S9" s="164" t="s">
        <v>70</v>
      </c>
      <c r="T9" s="164" t="s">
        <v>71</v>
      </c>
      <c r="U9" s="164" t="s">
        <v>72</v>
      </c>
      <c r="V9" s="213"/>
      <c r="W9" s="213"/>
      <c r="X9" s="213"/>
      <c r="Y9" s="104"/>
      <c r="Z9" s="104"/>
    </row>
    <row r="10" spans="1:26" ht="14.25" customHeight="1">
      <c r="A10" s="124">
        <v>1</v>
      </c>
      <c r="B10" s="124">
        <v>1</v>
      </c>
      <c r="C10" s="124">
        <v>2</v>
      </c>
      <c r="D10" s="124">
        <v>3</v>
      </c>
      <c r="E10" s="124">
        <v>4</v>
      </c>
      <c r="F10" s="124">
        <v>5</v>
      </c>
      <c r="G10" s="124">
        <v>6</v>
      </c>
      <c r="H10" s="124">
        <v>7</v>
      </c>
      <c r="I10" s="124">
        <v>8</v>
      </c>
      <c r="J10" s="124">
        <v>9</v>
      </c>
      <c r="K10" s="124">
        <v>10</v>
      </c>
      <c r="L10" s="124">
        <v>11</v>
      </c>
      <c r="M10" s="124">
        <v>12</v>
      </c>
      <c r="N10" s="124">
        <v>13</v>
      </c>
      <c r="O10" s="124">
        <v>14</v>
      </c>
      <c r="P10" s="124">
        <v>15</v>
      </c>
      <c r="Q10" s="124">
        <v>16</v>
      </c>
      <c r="R10" s="124">
        <v>17</v>
      </c>
      <c r="S10" s="124">
        <v>18</v>
      </c>
      <c r="T10" s="124">
        <v>19</v>
      </c>
      <c r="U10" s="124">
        <v>20</v>
      </c>
      <c r="V10" s="124">
        <v>21</v>
      </c>
      <c r="W10" s="124">
        <v>22</v>
      </c>
      <c r="X10" s="124">
        <v>23</v>
      </c>
    </row>
    <row r="11" spans="1:26" s="154" customFormat="1" ht="21.75" customHeight="1">
      <c r="A11" s="151">
        <f>IF(B11&lt;&gt;"",ROW()-10,"")</f>
        <v>1</v>
      </c>
      <c r="B11" s="151" t="s">
        <v>84</v>
      </c>
      <c r="C11" s="155" t="s">
        <v>98</v>
      </c>
      <c r="D11" s="151" t="s">
        <v>97</v>
      </c>
      <c r="E11" s="182">
        <v>4000000</v>
      </c>
      <c r="F11" s="182"/>
      <c r="G11" s="147">
        <v>390000</v>
      </c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52"/>
      <c r="Z11" s="153"/>
    </row>
    <row r="12" spans="1:26" s="163" customFormat="1" ht="21.75" customHeight="1">
      <c r="A12" s="157">
        <f t="shared" ref="A12:A17" si="0">IF(B12&lt;&gt;"",ROW()-10,"")</f>
        <v>2</v>
      </c>
      <c r="B12" s="158" t="s">
        <v>85</v>
      </c>
      <c r="C12" s="159" t="s">
        <v>91</v>
      </c>
      <c r="D12" s="157" t="s">
        <v>90</v>
      </c>
      <c r="E12" s="160">
        <v>3200000</v>
      </c>
      <c r="F12" s="160"/>
      <c r="G12" s="160">
        <v>390000</v>
      </c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1"/>
      <c r="Z12" s="162"/>
    </row>
    <row r="13" spans="1:26" s="163" customFormat="1" ht="21.75" customHeight="1">
      <c r="A13" s="157">
        <f t="shared" si="0"/>
        <v>3</v>
      </c>
      <c r="B13" s="158" t="s">
        <v>86</v>
      </c>
      <c r="C13" s="210" t="s">
        <v>93</v>
      </c>
      <c r="D13" s="158" t="s">
        <v>90</v>
      </c>
      <c r="E13" s="160">
        <v>3000000</v>
      </c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1"/>
      <c r="Z13" s="162"/>
    </row>
    <row r="14" spans="1:26" s="163" customFormat="1" ht="21.75" customHeight="1">
      <c r="A14" s="157">
        <f t="shared" si="0"/>
        <v>4</v>
      </c>
      <c r="B14" s="158" t="s">
        <v>87</v>
      </c>
      <c r="C14" s="159" t="s">
        <v>94</v>
      </c>
      <c r="D14" s="157" t="s">
        <v>95</v>
      </c>
      <c r="E14" s="160">
        <v>3200000</v>
      </c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1"/>
      <c r="Z14" s="162"/>
    </row>
    <row r="15" spans="1:26" s="163" customFormat="1" ht="21.75" customHeight="1">
      <c r="A15" s="157">
        <f t="shared" si="0"/>
        <v>5</v>
      </c>
      <c r="B15" s="158" t="s">
        <v>92</v>
      </c>
      <c r="C15" s="210" t="s">
        <v>96</v>
      </c>
      <c r="D15" s="158" t="s">
        <v>95</v>
      </c>
      <c r="E15" s="160">
        <v>3000000</v>
      </c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1"/>
      <c r="Z15" s="162"/>
    </row>
    <row r="16" spans="1:26" ht="21.75" customHeight="1">
      <c r="A16" s="157" t="str">
        <f t="shared" si="0"/>
        <v/>
      </c>
      <c r="B16" s="17"/>
      <c r="C16" s="50"/>
      <c r="D16" s="136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04"/>
    </row>
    <row r="17" spans="1:25" ht="21.75" customHeight="1">
      <c r="A17" s="151" t="str">
        <f t="shared" si="0"/>
        <v/>
      </c>
      <c r="B17" s="137"/>
      <c r="C17" s="144"/>
      <c r="D17" s="143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04"/>
    </row>
    <row r="18" spans="1:25" ht="21.75" customHeight="1">
      <c r="A18" s="217" t="s">
        <v>25</v>
      </c>
      <c r="B18" s="218"/>
      <c r="C18" s="218"/>
      <c r="D18" s="148" t="s">
        <v>73</v>
      </c>
      <c r="E18" s="146">
        <f>SUM(E11:E17)</f>
        <v>16400000</v>
      </c>
      <c r="F18" s="146">
        <f>SUM(F11:F17)</f>
        <v>0</v>
      </c>
      <c r="G18" s="146">
        <f>SUM(G11:G17)</f>
        <v>780000</v>
      </c>
      <c r="H18" s="146">
        <f>SUM(H11:H17)</f>
        <v>0</v>
      </c>
      <c r="I18" s="146"/>
      <c r="J18" s="146">
        <f>SUMIF(J$11:J$17,"x",$E$11:$E$17)</f>
        <v>0</v>
      </c>
      <c r="K18" s="146">
        <f>SUMIF(K$11:K$17,"x",$E$11:$E$17)</f>
        <v>0</v>
      </c>
      <c r="L18" s="146">
        <f>SUMIF(L$11:L$17,"x",$E$11:$E$17)</f>
        <v>0</v>
      </c>
      <c r="M18" s="146">
        <f>SUMIF(M$11:M$17,"x",$E$11:$E$17)</f>
        <v>0</v>
      </c>
      <c r="N18" s="146">
        <f>SUMIF(N$11:N$17,"x",$E$11:$E$17)</f>
        <v>0</v>
      </c>
      <c r="O18" s="146">
        <f>SUMIF(O$11:O$17,"x",$E$11:$E$17)</f>
        <v>0</v>
      </c>
      <c r="P18" s="146">
        <f>SUMIF(P$11:P$17,"x",$E$11:$E$17)</f>
        <v>0</v>
      </c>
      <c r="Q18" s="146">
        <f>SUMIF(Q$11:Q$17,"x",$E$11:$E$17)</f>
        <v>0</v>
      </c>
      <c r="R18" s="146">
        <f>SUMIF(R$11:R$17,"x",$E$11:$E$17)</f>
        <v>0</v>
      </c>
      <c r="S18" s="146">
        <f>SUMIF(S$11:S$17,"x",$E$11:$E$17)</f>
        <v>0</v>
      </c>
      <c r="T18" s="146">
        <f>SUMIF(T$11:T$17,"x",$E$11:$E$17)</f>
        <v>0</v>
      </c>
      <c r="U18" s="146">
        <f>SUMIF(U$11:U$17,"x",$E$11:$E$17)</f>
        <v>0</v>
      </c>
      <c r="V18" s="146"/>
      <c r="W18" s="146"/>
      <c r="X18" s="146"/>
      <c r="Y18" s="104"/>
    </row>
    <row r="19" spans="1:25" ht="21.75" customHeight="1">
      <c r="A19" s="219"/>
      <c r="B19" s="220"/>
      <c r="C19" s="220"/>
      <c r="D19" s="148" t="s">
        <v>74</v>
      </c>
      <c r="E19" s="146"/>
      <c r="F19" s="146"/>
      <c r="G19" s="146"/>
      <c r="H19" s="146"/>
      <c r="I19" s="146"/>
      <c r="J19" s="146">
        <f t="array" ref="J19">SUM((J$11:J$17="x")*1)</f>
        <v>0</v>
      </c>
      <c r="K19" s="146">
        <f t="array" ref="K19">SUM((K$11:K$17="x")*1)</f>
        <v>0</v>
      </c>
      <c r="L19" s="146">
        <f t="array" ref="L19">SUM((L$11:L$17="x")*1)</f>
        <v>0</v>
      </c>
      <c r="M19" s="146">
        <f t="array" ref="M19">SUM((M$11:M$17="x")*1)</f>
        <v>0</v>
      </c>
      <c r="N19" s="146">
        <f t="array" ref="N19">SUM((N$11:N$17="x")*1)</f>
        <v>0</v>
      </c>
      <c r="O19" s="146">
        <f t="array" ref="O19">SUM((O$11:O$17="x")*1)</f>
        <v>0</v>
      </c>
      <c r="P19" s="146">
        <f t="array" ref="P19">SUM((P$11:P$17="x")*1)</f>
        <v>0</v>
      </c>
      <c r="Q19" s="146">
        <f t="array" ref="Q19">SUM((Q$11:Q$17="x")*1)</f>
        <v>0</v>
      </c>
      <c r="R19" s="146">
        <f t="array" ref="R19">SUM((R$11:R$17="x")*1)</f>
        <v>0</v>
      </c>
      <c r="S19" s="146">
        <f t="array" ref="S19">SUM((S$11:S$17="x")*1)</f>
        <v>0</v>
      </c>
      <c r="T19" s="146">
        <f t="array" ref="T19">SUM((T$11:T$17="x")*1)</f>
        <v>0</v>
      </c>
      <c r="U19" s="146">
        <f t="array" ref="U19">SUM((U$11:U$17="x")*1)</f>
        <v>0</v>
      </c>
      <c r="V19" s="146"/>
      <c r="W19" s="146"/>
      <c r="X19" s="146"/>
      <c r="Y19" s="104"/>
    </row>
    <row r="20" spans="1:25" ht="21.75" customHeight="1">
      <c r="A20" s="221"/>
      <c r="B20" s="222"/>
      <c r="C20" s="222"/>
      <c r="D20" s="148" t="s">
        <v>75</v>
      </c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04"/>
    </row>
    <row r="21" spans="1:25" ht="11.25" customHeight="1">
      <c r="A21" s="19"/>
      <c r="B21" s="19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</row>
    <row r="22" spans="1:25" ht="11.25" customHeight="1">
      <c r="A22" s="19"/>
      <c r="B22" s="19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105" t="s">
        <v>55</v>
      </c>
      <c r="X22" s="75"/>
    </row>
    <row r="23" spans="1:25" ht="16.5" customHeight="1">
      <c r="A23" s="19"/>
      <c r="B23" s="19"/>
      <c r="C23" s="20" t="s">
        <v>14</v>
      </c>
      <c r="D23" s="21"/>
      <c r="E23" s="22"/>
      <c r="F23" s="30"/>
      <c r="G23" s="30"/>
      <c r="H23" s="30"/>
      <c r="I23" s="23"/>
      <c r="J23" s="23"/>
      <c r="K23" s="205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46" t="s">
        <v>22</v>
      </c>
      <c r="X23" s="46"/>
    </row>
    <row r="24" spans="1:25" ht="11.25" customHeight="1">
      <c r="A24" s="19"/>
      <c r="B24" s="19"/>
      <c r="C24" s="20"/>
      <c r="D24" s="21"/>
      <c r="E24" s="22"/>
      <c r="F24" s="30"/>
      <c r="G24" s="30"/>
      <c r="H24" s="30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46"/>
      <c r="X24" s="46"/>
    </row>
    <row r="25" spans="1:25" ht="11.25" customHeight="1">
      <c r="A25" s="19"/>
      <c r="B25" s="19"/>
      <c r="C25" s="20"/>
      <c r="D25" s="21"/>
      <c r="E25" s="22"/>
      <c r="F25" s="30"/>
      <c r="G25" s="30"/>
      <c r="H25" s="30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46"/>
      <c r="X25" s="46"/>
    </row>
    <row r="26" spans="1:25" ht="11.25" customHeight="1">
      <c r="A26" s="19"/>
      <c r="B26" s="19"/>
      <c r="C26" s="20"/>
      <c r="D26" s="21"/>
      <c r="E26" s="22"/>
      <c r="F26" s="30"/>
      <c r="G26" s="30"/>
      <c r="H26" s="30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46"/>
      <c r="X26" s="46"/>
    </row>
    <row r="27" spans="1:25" ht="11.25" customHeight="1">
      <c r="A27" s="19"/>
      <c r="B27" s="19"/>
      <c r="C27" s="20"/>
      <c r="D27" s="21"/>
      <c r="E27" s="22"/>
      <c r="F27" s="30"/>
      <c r="G27" s="30"/>
      <c r="H27" s="30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6"/>
      <c r="X27" s="46"/>
    </row>
    <row r="28" spans="1:25" ht="11.25" customHeight="1">
      <c r="A28" s="19"/>
      <c r="B28" s="19"/>
      <c r="C28" s="20"/>
      <c r="D28" s="21"/>
      <c r="E28" s="22"/>
      <c r="F28" s="30"/>
      <c r="G28" s="30"/>
      <c r="H28" s="30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6"/>
      <c r="X28" s="46"/>
    </row>
    <row r="29" spans="1:25">
      <c r="A29" s="24"/>
      <c r="B29" s="24"/>
      <c r="C29" s="29" t="s">
        <v>21</v>
      </c>
      <c r="D29" s="21"/>
      <c r="E29" s="22"/>
      <c r="F29" s="30"/>
      <c r="G29" s="30"/>
      <c r="H29" s="30"/>
      <c r="I29" s="23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76"/>
      <c r="X29" s="47"/>
    </row>
    <row r="30" spans="1:25" ht="9" customHeight="1">
      <c r="C30" s="44"/>
      <c r="D30" s="44"/>
      <c r="E30" s="22"/>
      <c r="F30" s="48"/>
      <c r="G30" s="48"/>
      <c r="H30" s="4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9"/>
      <c r="X30" s="49"/>
    </row>
  </sheetData>
  <protectedRanges>
    <protectedRange password="CC78" sqref="B8:D9 W8:W9 Y8:JG11 J11:X11 C30:D30 B21:B30 G11:H12 V12:JG12 A8:A12 F30:JG30 A31:JG65263 F8:H8 J16:JG20 C16:H20 B10:X10 G15:H15 V15:JG15 A15:A30 E11:E15" name="Range1"/>
    <protectedRange password="CC78" sqref="C23:C28 W23:JG28 D23:H29 E30" name="Range1_1_1"/>
    <protectedRange password="CC78" sqref="C29 W29:JG29" name="Range1_3_1"/>
    <protectedRange password="CC78" sqref="A5:JG7" name="Range1_2"/>
    <protectedRange password="CC78" sqref="I8:V9 I11:I12 I15:I20" name="Range1_3"/>
    <protectedRange password="CC78" sqref="B16:B20" name="Range1_1"/>
    <protectedRange password="CC78" sqref="E8:E9 F9" name="Range1_4"/>
    <protectedRange password="CC78" sqref="J11:U12 J15:U15" name="Range1_11"/>
    <protectedRange password="CC78" sqref="C15:D15" name="Range1_5"/>
    <protectedRange password="CC78" sqref="B12:B15" name="Range1_6_1"/>
    <protectedRange password="CC78" sqref="D12" name="Range1_7_1"/>
    <protectedRange password="CC78" sqref="F11:F12 F15" name="Range1_8"/>
    <protectedRange password="CC78" sqref="V13:JG14 A13:A14 G13:H14" name="Range1_6"/>
    <protectedRange password="CC78" sqref="I13:I14" name="Range1_3_2"/>
    <protectedRange password="CC78" sqref="J13:U14" name="Range1_11_1"/>
    <protectedRange password="CC78" sqref="C13:D13" name="Range1_5_1"/>
    <protectedRange password="CC78" sqref="D14" name="Range1_7_1_1"/>
    <protectedRange password="CC78" sqref="F13:F14" name="Range1_8_1"/>
  </protectedRanges>
  <autoFilter ref="A10:Z12"/>
  <mergeCells count="14">
    <mergeCell ref="A18:C20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J8:U8"/>
    <mergeCell ref="V8:V9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E20" sqref="A20:XFD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3" customWidth="1"/>
    <col min="5" max="5" width="7.140625" style="2" customWidth="1"/>
    <col min="6" max="33" width="3.42578125" style="118" customWidth="1"/>
    <col min="34" max="36" width="3.42578125" style="119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4"/>
      <c r="B1" s="51"/>
      <c r="C1" s="51"/>
      <c r="D1" s="55"/>
      <c r="E1" s="51"/>
      <c r="F1" s="55"/>
      <c r="G1" s="55"/>
      <c r="H1" s="55"/>
      <c r="I1" s="55"/>
      <c r="J1" s="55"/>
      <c r="K1" s="114"/>
      <c r="L1" s="114"/>
      <c r="M1" s="114"/>
      <c r="N1" s="114"/>
      <c r="O1" s="114"/>
      <c r="P1" s="114"/>
      <c r="Q1" s="114"/>
      <c r="R1" s="114"/>
      <c r="S1" s="53" t="str">
        <f>CONCATENATE("BẢNG CHẤM CÔNG THÁNG ",TEXT($E$4,"mm")," NĂM ",TEXT($E$4,"yyyy"))</f>
        <v>BẢNG CHẤM CÔNG THÁNG 07 NĂM 2016</v>
      </c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52"/>
      <c r="AL1" s="52"/>
      <c r="AM1" s="240" t="s">
        <v>88</v>
      </c>
      <c r="AN1" s="241"/>
      <c r="AO1" s="241"/>
      <c r="AP1" s="241"/>
      <c r="AQ1" s="241"/>
      <c r="AR1" s="241"/>
      <c r="AS1" s="242"/>
      <c r="AT1" s="54"/>
    </row>
    <row r="2" spans="1:91" ht="20.25">
      <c r="A2" s="134"/>
      <c r="B2" s="55"/>
      <c r="C2" s="55"/>
      <c r="D2" s="55"/>
      <c r="E2" s="55"/>
      <c r="F2" s="55"/>
      <c r="G2" s="55"/>
      <c r="H2" s="55"/>
      <c r="I2" s="55"/>
      <c r="J2" s="55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4"/>
      <c r="B3" s="57"/>
      <c r="C3" s="57"/>
      <c r="D3" s="58"/>
      <c r="E3" s="58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0"/>
      <c r="D4" s="149"/>
      <c r="E4" s="61">
        <v>42552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3">
        <f>+E4</f>
        <v>42552</v>
      </c>
      <c r="G5" s="113">
        <f t="shared" ref="G5:AJ5" si="0">F5+1</f>
        <v>42553</v>
      </c>
      <c r="H5" s="113">
        <f t="shared" si="0"/>
        <v>42554</v>
      </c>
      <c r="I5" s="113">
        <f t="shared" si="0"/>
        <v>42555</v>
      </c>
      <c r="J5" s="113">
        <f t="shared" si="0"/>
        <v>42556</v>
      </c>
      <c r="K5" s="113">
        <f t="shared" si="0"/>
        <v>42557</v>
      </c>
      <c r="L5" s="113">
        <f t="shared" si="0"/>
        <v>42558</v>
      </c>
      <c r="M5" s="113">
        <f t="shared" si="0"/>
        <v>42559</v>
      </c>
      <c r="N5" s="113">
        <f t="shared" si="0"/>
        <v>42560</v>
      </c>
      <c r="O5" s="113">
        <f t="shared" si="0"/>
        <v>42561</v>
      </c>
      <c r="P5" s="113">
        <f t="shared" si="0"/>
        <v>42562</v>
      </c>
      <c r="Q5" s="113">
        <f t="shared" si="0"/>
        <v>42563</v>
      </c>
      <c r="R5" s="113">
        <f t="shared" si="0"/>
        <v>42564</v>
      </c>
      <c r="S5" s="113">
        <f t="shared" si="0"/>
        <v>42565</v>
      </c>
      <c r="T5" s="113">
        <f t="shared" si="0"/>
        <v>42566</v>
      </c>
      <c r="U5" s="113">
        <f t="shared" si="0"/>
        <v>42567</v>
      </c>
      <c r="V5" s="113">
        <f t="shared" si="0"/>
        <v>42568</v>
      </c>
      <c r="W5" s="113">
        <f t="shared" si="0"/>
        <v>42569</v>
      </c>
      <c r="X5" s="113">
        <f t="shared" si="0"/>
        <v>42570</v>
      </c>
      <c r="Y5" s="113">
        <f t="shared" si="0"/>
        <v>42571</v>
      </c>
      <c r="Z5" s="113">
        <f t="shared" si="0"/>
        <v>42572</v>
      </c>
      <c r="AA5" s="113">
        <f t="shared" si="0"/>
        <v>42573</v>
      </c>
      <c r="AB5" s="113">
        <f t="shared" si="0"/>
        <v>42574</v>
      </c>
      <c r="AC5" s="113">
        <f t="shared" si="0"/>
        <v>42575</v>
      </c>
      <c r="AD5" s="113">
        <f t="shared" si="0"/>
        <v>42576</v>
      </c>
      <c r="AE5" s="113">
        <f t="shared" si="0"/>
        <v>42577</v>
      </c>
      <c r="AF5" s="113">
        <f t="shared" si="0"/>
        <v>42578</v>
      </c>
      <c r="AG5" s="113">
        <f t="shared" si="0"/>
        <v>42579</v>
      </c>
      <c r="AH5" s="113">
        <f>AG5+1</f>
        <v>42580</v>
      </c>
      <c r="AI5" s="113">
        <f t="shared" si="0"/>
        <v>42581</v>
      </c>
      <c r="AJ5" s="113">
        <f t="shared" si="0"/>
        <v>42582</v>
      </c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66" t="str">
        <f>CHOOSE(WEEKDAY(F5),"C.Nhật","T.Hai","T.Ba","T.Tư","T.Năm","T.Sáu","T.Bảy")</f>
        <v>T.Sáu</v>
      </c>
      <c r="G6" s="166" t="str">
        <f t="shared" ref="G6:AJ6" si="1">CHOOSE(WEEKDAY(G5),"C.Nhật","T.Hai","T.Ba","T.Tư","T.Năm","T.Sáu","T.Bảy")</f>
        <v>T.Bảy</v>
      </c>
      <c r="H6" s="166" t="str">
        <f t="shared" si="1"/>
        <v>C.Nhật</v>
      </c>
      <c r="I6" s="166" t="str">
        <f t="shared" si="1"/>
        <v>T.Hai</v>
      </c>
      <c r="J6" s="166" t="str">
        <f t="shared" si="1"/>
        <v>T.Ba</v>
      </c>
      <c r="K6" s="166" t="str">
        <f t="shared" si="1"/>
        <v>T.Tư</v>
      </c>
      <c r="L6" s="166" t="str">
        <f t="shared" si="1"/>
        <v>T.Năm</v>
      </c>
      <c r="M6" s="166" t="str">
        <f t="shared" si="1"/>
        <v>T.Sáu</v>
      </c>
      <c r="N6" s="166" t="str">
        <f t="shared" si="1"/>
        <v>T.Bảy</v>
      </c>
      <c r="O6" s="166" t="str">
        <f t="shared" si="1"/>
        <v>C.Nhật</v>
      </c>
      <c r="P6" s="166" t="str">
        <f t="shared" si="1"/>
        <v>T.Hai</v>
      </c>
      <c r="Q6" s="166" t="str">
        <f t="shared" si="1"/>
        <v>T.Ba</v>
      </c>
      <c r="R6" s="166" t="str">
        <f t="shared" si="1"/>
        <v>T.Tư</v>
      </c>
      <c r="S6" s="166" t="str">
        <f t="shared" si="1"/>
        <v>T.Năm</v>
      </c>
      <c r="T6" s="166" t="str">
        <f t="shared" si="1"/>
        <v>T.Sáu</v>
      </c>
      <c r="U6" s="166" t="str">
        <f t="shared" si="1"/>
        <v>T.Bảy</v>
      </c>
      <c r="V6" s="166" t="str">
        <f t="shared" si="1"/>
        <v>C.Nhật</v>
      </c>
      <c r="W6" s="166" t="str">
        <f t="shared" si="1"/>
        <v>T.Hai</v>
      </c>
      <c r="X6" s="166" t="str">
        <f t="shared" si="1"/>
        <v>T.Ba</v>
      </c>
      <c r="Y6" s="166" t="str">
        <f t="shared" si="1"/>
        <v>T.Tư</v>
      </c>
      <c r="Z6" s="166" t="str">
        <f t="shared" si="1"/>
        <v>T.Năm</v>
      </c>
      <c r="AA6" s="166" t="str">
        <f t="shared" si="1"/>
        <v>T.Sáu</v>
      </c>
      <c r="AB6" s="166" t="str">
        <f t="shared" si="1"/>
        <v>T.Bảy</v>
      </c>
      <c r="AC6" s="166" t="str">
        <f t="shared" si="1"/>
        <v>C.Nhật</v>
      </c>
      <c r="AD6" s="166" t="str">
        <f t="shared" si="1"/>
        <v>T.Hai</v>
      </c>
      <c r="AE6" s="166" t="str">
        <f t="shared" si="1"/>
        <v>T.Ba</v>
      </c>
      <c r="AF6" s="166" t="str">
        <f t="shared" si="1"/>
        <v>T.Tư</v>
      </c>
      <c r="AG6" s="166" t="str">
        <f t="shared" si="1"/>
        <v>T.Năm</v>
      </c>
      <c r="AH6" s="166" t="str">
        <f t="shared" si="1"/>
        <v>T.Sáu</v>
      </c>
      <c r="AI6" s="166" t="str">
        <f t="shared" si="1"/>
        <v>T.Bảy</v>
      </c>
      <c r="AJ6" s="166" t="str">
        <f t="shared" si="1"/>
        <v>C.Nhật</v>
      </c>
      <c r="AK6" s="167" t="s">
        <v>16</v>
      </c>
      <c r="AL6" s="167" t="s">
        <v>31</v>
      </c>
      <c r="AM6" s="168" t="s">
        <v>17</v>
      </c>
      <c r="AN6" s="250"/>
      <c r="AO6" s="250"/>
      <c r="AP6" s="250"/>
      <c r="AQ6" s="250"/>
      <c r="AR6" s="250"/>
      <c r="AS6" s="244"/>
      <c r="AT6" s="2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69">
        <v>1</v>
      </c>
      <c r="B7" s="169">
        <v>1</v>
      </c>
      <c r="C7" s="169">
        <v>2</v>
      </c>
      <c r="D7" s="169">
        <v>3</v>
      </c>
      <c r="E7" s="169">
        <v>4</v>
      </c>
      <c r="F7" s="169">
        <v>5</v>
      </c>
      <c r="G7" s="169">
        <v>6</v>
      </c>
      <c r="H7" s="169">
        <v>7</v>
      </c>
      <c r="I7" s="169">
        <v>8</v>
      </c>
      <c r="J7" s="169">
        <v>9</v>
      </c>
      <c r="K7" s="169">
        <v>10</v>
      </c>
      <c r="L7" s="169">
        <v>11</v>
      </c>
      <c r="M7" s="169">
        <v>12</v>
      </c>
      <c r="N7" s="169">
        <v>13</v>
      </c>
      <c r="O7" s="169">
        <v>14</v>
      </c>
      <c r="P7" s="169">
        <v>15</v>
      </c>
      <c r="Q7" s="169">
        <v>16</v>
      </c>
      <c r="R7" s="169">
        <v>17</v>
      </c>
      <c r="S7" s="169">
        <v>18</v>
      </c>
      <c r="T7" s="169">
        <v>19</v>
      </c>
      <c r="U7" s="169">
        <v>20</v>
      </c>
      <c r="V7" s="169">
        <v>21</v>
      </c>
      <c r="W7" s="169">
        <v>22</v>
      </c>
      <c r="X7" s="169">
        <v>23</v>
      </c>
      <c r="Y7" s="169">
        <v>24</v>
      </c>
      <c r="Z7" s="169">
        <v>25</v>
      </c>
      <c r="AA7" s="169">
        <v>26</v>
      </c>
      <c r="AB7" s="169">
        <v>27</v>
      </c>
      <c r="AC7" s="169">
        <v>28</v>
      </c>
      <c r="AD7" s="169">
        <v>29</v>
      </c>
      <c r="AE7" s="169">
        <v>30</v>
      </c>
      <c r="AF7" s="169">
        <v>31</v>
      </c>
      <c r="AG7" s="169">
        <v>32</v>
      </c>
      <c r="AH7" s="169">
        <v>33</v>
      </c>
      <c r="AI7" s="169">
        <v>34</v>
      </c>
      <c r="AJ7" s="169">
        <v>35</v>
      </c>
      <c r="AK7" s="169">
        <v>36</v>
      </c>
      <c r="AL7" s="169">
        <v>37</v>
      </c>
      <c r="AM7" s="169">
        <v>38</v>
      </c>
      <c r="AN7" s="169">
        <v>39</v>
      </c>
      <c r="AO7" s="169">
        <v>40</v>
      </c>
      <c r="AP7" s="169">
        <v>41</v>
      </c>
      <c r="AQ7" s="169">
        <v>42</v>
      </c>
      <c r="AR7" s="169">
        <v>43</v>
      </c>
      <c r="AS7" s="169">
        <v>44</v>
      </c>
      <c r="AT7" s="18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2" customFormat="1" ht="21" customHeight="1">
      <c r="A8" s="170" t="s">
        <v>78</v>
      </c>
      <c r="B8" s="173" t="s">
        <v>89</v>
      </c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5"/>
      <c r="AT8" s="171"/>
    </row>
    <row r="9" spans="1:91" s="64" customFormat="1" ht="18" customHeight="1">
      <c r="A9" s="227">
        <v>1</v>
      </c>
      <c r="B9" s="227" t="s">
        <v>84</v>
      </c>
      <c r="C9" s="229" t="str">
        <f>VLOOKUP(B9,DS,2,0)</f>
        <v>Lê Kim Ngọc Thảo</v>
      </c>
      <c r="D9" s="231" t="str">
        <f>VLOOKUP(B9,DS,3,0)</f>
        <v>Văn Phòng</v>
      </c>
      <c r="E9" s="65" t="s">
        <v>32</v>
      </c>
      <c r="F9" s="138">
        <v>8</v>
      </c>
      <c r="G9" s="138">
        <v>8</v>
      </c>
      <c r="H9" s="138"/>
      <c r="I9" s="138">
        <v>8</v>
      </c>
      <c r="J9" s="138">
        <v>8</v>
      </c>
      <c r="K9" s="138">
        <v>8</v>
      </c>
      <c r="L9" s="138">
        <v>8</v>
      </c>
      <c r="M9" s="138">
        <v>8</v>
      </c>
      <c r="N9" s="138">
        <v>8</v>
      </c>
      <c r="O9" s="138"/>
      <c r="P9" s="138">
        <v>8</v>
      </c>
      <c r="Q9" s="138">
        <v>8</v>
      </c>
      <c r="R9" s="138">
        <v>8</v>
      </c>
      <c r="S9" s="138">
        <v>8</v>
      </c>
      <c r="T9" s="138">
        <v>8</v>
      </c>
      <c r="U9" s="138">
        <v>8</v>
      </c>
      <c r="V9" s="138"/>
      <c r="W9" s="138">
        <v>8</v>
      </c>
      <c r="X9" s="138">
        <v>8</v>
      </c>
      <c r="Y9" s="138">
        <v>8</v>
      </c>
      <c r="Z9" s="138">
        <v>8</v>
      </c>
      <c r="AA9" s="138">
        <v>8</v>
      </c>
      <c r="AB9" s="138">
        <v>8</v>
      </c>
      <c r="AC9" s="138"/>
      <c r="AD9" s="138">
        <v>8</v>
      </c>
      <c r="AE9" s="138">
        <v>8</v>
      </c>
      <c r="AF9" s="138">
        <v>8</v>
      </c>
      <c r="AG9" s="138">
        <v>8</v>
      </c>
      <c r="AH9" s="138">
        <v>8</v>
      </c>
      <c r="AI9" s="138">
        <v>8</v>
      </c>
      <c r="AJ9" s="138"/>
      <c r="AK9" s="233">
        <f>((SUM(F9:AJ9))/8)-(SUMIF($F$6:$AJ$6,"C.Nhật",F9:AJ9)/8)</f>
        <v>26</v>
      </c>
      <c r="AL9" s="233">
        <f>SUM(F10:AJ10)/8*1.5</f>
        <v>0</v>
      </c>
      <c r="AM9" s="235">
        <f>SUMIF($F$6:$AJ$6,"C.Nhật",$F9:$AJ10)/8*2</f>
        <v>0</v>
      </c>
      <c r="AN9" s="223">
        <f>SUM(AK9:AM10)</f>
        <v>26</v>
      </c>
      <c r="AO9" s="237">
        <v>0</v>
      </c>
      <c r="AP9" s="223"/>
      <c r="AQ9" s="223"/>
      <c r="AR9" s="223"/>
      <c r="AS9" s="225"/>
      <c r="AT9" s="18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28"/>
      <c r="B10" s="228"/>
      <c r="C10" s="230"/>
      <c r="D10" s="232"/>
      <c r="E10" s="66" t="s">
        <v>31</v>
      </c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234"/>
      <c r="AL10" s="234"/>
      <c r="AM10" s="236"/>
      <c r="AN10" s="224"/>
      <c r="AO10" s="238"/>
      <c r="AP10" s="224"/>
      <c r="AQ10" s="224"/>
      <c r="AR10" s="224"/>
      <c r="AS10" s="226"/>
      <c r="AT10" s="18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72" customFormat="1" ht="21" customHeight="1">
      <c r="A11" s="170" t="s">
        <v>79</v>
      </c>
      <c r="B11" s="173" t="s">
        <v>83</v>
      </c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5"/>
      <c r="AT11" s="171"/>
    </row>
    <row r="12" spans="1:91" s="64" customFormat="1" ht="18" customHeight="1">
      <c r="A12" s="227">
        <v>1</v>
      </c>
      <c r="B12" s="227" t="s">
        <v>85</v>
      </c>
      <c r="C12" s="229" t="str">
        <f>VLOOKUP(B12,DS,2,0)</f>
        <v>Diệp Văn Lân</v>
      </c>
      <c r="D12" s="231" t="str">
        <f>VLOOKUP(B12,DS,3,0)</f>
        <v>Công Đoạn 1</v>
      </c>
      <c r="E12" s="65" t="s">
        <v>32</v>
      </c>
      <c r="F12" s="138">
        <v>8</v>
      </c>
      <c r="G12" s="138">
        <v>8</v>
      </c>
      <c r="H12" s="138"/>
      <c r="I12" s="138">
        <v>8</v>
      </c>
      <c r="J12" s="138">
        <v>8</v>
      </c>
      <c r="K12" s="138">
        <v>8</v>
      </c>
      <c r="L12" s="138">
        <v>8</v>
      </c>
      <c r="M12" s="138">
        <v>8</v>
      </c>
      <c r="N12" s="138">
        <v>8</v>
      </c>
      <c r="O12" s="138"/>
      <c r="P12" s="138">
        <v>8</v>
      </c>
      <c r="Q12" s="138">
        <v>8</v>
      </c>
      <c r="R12" s="138">
        <v>8</v>
      </c>
      <c r="S12" s="138">
        <v>8</v>
      </c>
      <c r="T12" s="138">
        <v>8</v>
      </c>
      <c r="U12" s="138">
        <v>8</v>
      </c>
      <c r="V12" s="138"/>
      <c r="W12" s="138">
        <v>8</v>
      </c>
      <c r="X12" s="138">
        <v>8</v>
      </c>
      <c r="Y12" s="138">
        <v>8</v>
      </c>
      <c r="Z12" s="138">
        <v>8</v>
      </c>
      <c r="AA12" s="138">
        <v>8</v>
      </c>
      <c r="AB12" s="138">
        <v>8</v>
      </c>
      <c r="AC12" s="138"/>
      <c r="AD12" s="138">
        <v>8</v>
      </c>
      <c r="AE12" s="138">
        <v>8</v>
      </c>
      <c r="AF12" s="138">
        <v>8</v>
      </c>
      <c r="AG12" s="138">
        <v>8</v>
      </c>
      <c r="AH12" s="138">
        <v>8</v>
      </c>
      <c r="AI12" s="138">
        <v>8</v>
      </c>
      <c r="AJ12" s="138"/>
      <c r="AK12" s="233">
        <f t="shared" ref="AK12" si="2">((SUM(F12:AJ12))/8)-(SUMIF($F$6:$AJ$6,"C.Nhật",F12:AJ12)/8)</f>
        <v>26</v>
      </c>
      <c r="AL12" s="233">
        <f t="shared" ref="AL12" si="3">SUM(F13:AJ13)/8*1.5</f>
        <v>0</v>
      </c>
      <c r="AM12" s="235">
        <f>SUMIF($F$6:$AJ$6,"C.Nhật",$F12:$AJ13)/8*2</f>
        <v>0</v>
      </c>
      <c r="AN12" s="223">
        <f>SUM(AK12:AM13)</f>
        <v>26</v>
      </c>
      <c r="AO12" s="237">
        <v>0</v>
      </c>
      <c r="AP12" s="223"/>
      <c r="AQ12" s="223"/>
      <c r="AR12" s="223"/>
      <c r="AS12" s="225"/>
      <c r="AT12" s="204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64" customFormat="1" ht="18" customHeight="1">
      <c r="A13" s="228"/>
      <c r="B13" s="228"/>
      <c r="C13" s="230"/>
      <c r="D13" s="232"/>
      <c r="E13" s="66" t="s">
        <v>31</v>
      </c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234"/>
      <c r="AL13" s="234"/>
      <c r="AM13" s="236"/>
      <c r="AN13" s="224"/>
      <c r="AO13" s="238"/>
      <c r="AP13" s="224"/>
      <c r="AQ13" s="224"/>
      <c r="AR13" s="224"/>
      <c r="AS13" s="226"/>
      <c r="AT13" s="204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64" customFormat="1" ht="18" customHeight="1">
      <c r="A14" s="227">
        <v>2</v>
      </c>
      <c r="B14" s="227" t="s">
        <v>86</v>
      </c>
      <c r="C14" s="229" t="str">
        <f>VLOOKUP(B14,DS,2,0)</f>
        <v>Dương Thế Kiệt</v>
      </c>
      <c r="D14" s="231" t="str">
        <f>VLOOKUP(B14,DS,3,0)</f>
        <v>Công Đoạn 1</v>
      </c>
      <c r="E14" s="65" t="s">
        <v>32</v>
      </c>
      <c r="F14" s="138">
        <v>8</v>
      </c>
      <c r="G14" s="138">
        <v>8</v>
      </c>
      <c r="H14" s="138"/>
      <c r="I14" s="138">
        <v>8</v>
      </c>
      <c r="J14" s="138">
        <v>8</v>
      </c>
      <c r="K14" s="138">
        <v>8</v>
      </c>
      <c r="L14" s="138">
        <v>8</v>
      </c>
      <c r="M14" s="138">
        <v>8</v>
      </c>
      <c r="N14" s="138">
        <v>8</v>
      </c>
      <c r="O14" s="138"/>
      <c r="P14" s="138">
        <v>8</v>
      </c>
      <c r="Q14" s="138">
        <v>8</v>
      </c>
      <c r="R14" s="138">
        <v>8</v>
      </c>
      <c r="S14" s="138">
        <v>8</v>
      </c>
      <c r="T14" s="138">
        <v>8</v>
      </c>
      <c r="U14" s="138">
        <v>8</v>
      </c>
      <c r="V14" s="138"/>
      <c r="W14" s="138">
        <v>8</v>
      </c>
      <c r="X14" s="138">
        <v>8</v>
      </c>
      <c r="Y14" s="138">
        <v>8</v>
      </c>
      <c r="Z14" s="138">
        <v>8</v>
      </c>
      <c r="AA14" s="138">
        <v>8</v>
      </c>
      <c r="AB14" s="138">
        <v>8</v>
      </c>
      <c r="AC14" s="138"/>
      <c r="AD14" s="138">
        <v>8</v>
      </c>
      <c r="AE14" s="138">
        <v>8</v>
      </c>
      <c r="AF14" s="138">
        <v>8</v>
      </c>
      <c r="AG14" s="138">
        <v>8</v>
      </c>
      <c r="AH14" s="138">
        <v>8</v>
      </c>
      <c r="AI14" s="138">
        <v>8</v>
      </c>
      <c r="AJ14" s="138"/>
      <c r="AK14" s="233">
        <f t="shared" ref="AK14" si="4">((SUM(F14:AJ14))/8)-(SUMIF($F$6:$AJ$6,"C.Nhật",F14:AJ14)/8)</f>
        <v>26</v>
      </c>
      <c r="AL14" s="233">
        <f t="shared" ref="AL14" si="5">SUM(F15:AJ15)/8*1.5</f>
        <v>0</v>
      </c>
      <c r="AM14" s="235">
        <f>SUMIF($F$6:$AJ$6,"C.Nhật",$F14:$AJ15)/8*2</f>
        <v>0</v>
      </c>
      <c r="AN14" s="223">
        <f t="shared" ref="AN14" si="6">SUM(AK14:AM15)</f>
        <v>26</v>
      </c>
      <c r="AO14" s="237">
        <v>0</v>
      </c>
      <c r="AP14" s="223"/>
      <c r="AQ14" s="223"/>
      <c r="AR14" s="223"/>
      <c r="AS14" s="225"/>
      <c r="AT14" s="20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28"/>
      <c r="B15" s="228"/>
      <c r="C15" s="230"/>
      <c r="D15" s="232"/>
      <c r="E15" s="66" t="s">
        <v>31</v>
      </c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234"/>
      <c r="AL15" s="234"/>
      <c r="AM15" s="236"/>
      <c r="AN15" s="224"/>
      <c r="AO15" s="238"/>
      <c r="AP15" s="224"/>
      <c r="AQ15" s="224"/>
      <c r="AR15" s="224"/>
      <c r="AS15" s="226"/>
      <c r="AT15" s="20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27">
        <v>3</v>
      </c>
      <c r="B16" s="227" t="s">
        <v>87</v>
      </c>
      <c r="C16" s="229" t="str">
        <f>VLOOKUP(B16,DS,2,0)</f>
        <v>Lê Văn Hữu</v>
      </c>
      <c r="D16" s="231" t="str">
        <f>VLOOKUP(B16,DS,3,0)</f>
        <v>Công Đoạn 2</v>
      </c>
      <c r="E16" s="65" t="s">
        <v>32</v>
      </c>
      <c r="F16" s="138">
        <v>8</v>
      </c>
      <c r="G16" s="138">
        <v>8</v>
      </c>
      <c r="H16" s="138"/>
      <c r="I16" s="138">
        <v>8</v>
      </c>
      <c r="J16" s="138">
        <v>8</v>
      </c>
      <c r="K16" s="138">
        <v>8</v>
      </c>
      <c r="L16" s="138">
        <v>8</v>
      </c>
      <c r="M16" s="138">
        <v>8</v>
      </c>
      <c r="N16" s="138">
        <v>8</v>
      </c>
      <c r="O16" s="138"/>
      <c r="P16" s="138">
        <v>8</v>
      </c>
      <c r="Q16" s="138">
        <v>8</v>
      </c>
      <c r="R16" s="138">
        <v>8</v>
      </c>
      <c r="S16" s="138">
        <v>8</v>
      </c>
      <c r="T16" s="138">
        <v>8</v>
      </c>
      <c r="U16" s="138">
        <v>8</v>
      </c>
      <c r="V16" s="138"/>
      <c r="W16" s="138">
        <v>8</v>
      </c>
      <c r="X16" s="138">
        <v>8</v>
      </c>
      <c r="Y16" s="138">
        <v>8</v>
      </c>
      <c r="Z16" s="138">
        <v>8</v>
      </c>
      <c r="AA16" s="138">
        <v>8</v>
      </c>
      <c r="AB16" s="138">
        <v>8</v>
      </c>
      <c r="AC16" s="138"/>
      <c r="AD16" s="138">
        <v>8</v>
      </c>
      <c r="AE16" s="138">
        <v>8</v>
      </c>
      <c r="AF16" s="138">
        <v>8</v>
      </c>
      <c r="AG16" s="138">
        <v>8</v>
      </c>
      <c r="AH16" s="138">
        <v>8</v>
      </c>
      <c r="AI16" s="138">
        <v>8</v>
      </c>
      <c r="AJ16" s="138"/>
      <c r="AK16" s="233">
        <f t="shared" ref="AK16" si="7">((SUM(F16:AJ16))/8)-(SUMIF($F$6:$AJ$6,"C.Nhật",F16:AJ16)/8)</f>
        <v>26</v>
      </c>
      <c r="AL16" s="233">
        <f t="shared" ref="AL16" si="8">SUM(F17:AJ17)/8*1.5</f>
        <v>0</v>
      </c>
      <c r="AM16" s="235">
        <f>SUMIF($F$6:$AJ$6,"C.Nhật",$F16:$AJ17)/8*2</f>
        <v>0</v>
      </c>
      <c r="AN16" s="223">
        <f t="shared" ref="AN16" si="9">SUM(AK16:AM17)</f>
        <v>26</v>
      </c>
      <c r="AO16" s="237">
        <v>0</v>
      </c>
      <c r="AP16" s="223"/>
      <c r="AQ16" s="223"/>
      <c r="AR16" s="223"/>
      <c r="AS16" s="225"/>
      <c r="AT16" s="20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28"/>
      <c r="B17" s="228"/>
      <c r="C17" s="230"/>
      <c r="D17" s="232"/>
      <c r="E17" s="66" t="s">
        <v>31</v>
      </c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234"/>
      <c r="AL17" s="234"/>
      <c r="AM17" s="236"/>
      <c r="AN17" s="224"/>
      <c r="AO17" s="238"/>
      <c r="AP17" s="224"/>
      <c r="AQ17" s="224"/>
      <c r="AR17" s="224"/>
      <c r="AS17" s="226"/>
      <c r="AT17" s="20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27">
        <v>4</v>
      </c>
      <c r="B18" s="227" t="s">
        <v>92</v>
      </c>
      <c r="C18" s="229" t="str">
        <f>VLOOKUP(B18,DS,2,0)</f>
        <v>Nguyễn T Bích Thủy</v>
      </c>
      <c r="D18" s="231" t="str">
        <f>VLOOKUP(B18,DS,3,0)</f>
        <v>Công Đoạn 2</v>
      </c>
      <c r="E18" s="65" t="s">
        <v>32</v>
      </c>
      <c r="F18" s="138">
        <v>8</v>
      </c>
      <c r="G18" s="138">
        <v>8</v>
      </c>
      <c r="H18" s="138"/>
      <c r="I18" s="138">
        <v>8</v>
      </c>
      <c r="J18" s="138">
        <v>8</v>
      </c>
      <c r="K18" s="138">
        <v>8</v>
      </c>
      <c r="L18" s="138">
        <v>8</v>
      </c>
      <c r="M18" s="138">
        <v>8</v>
      </c>
      <c r="N18" s="138">
        <v>8</v>
      </c>
      <c r="O18" s="138"/>
      <c r="P18" s="138">
        <v>8</v>
      </c>
      <c r="Q18" s="138">
        <v>8</v>
      </c>
      <c r="R18" s="138">
        <v>8</v>
      </c>
      <c r="S18" s="138">
        <v>8</v>
      </c>
      <c r="T18" s="138">
        <v>8</v>
      </c>
      <c r="U18" s="138">
        <v>8</v>
      </c>
      <c r="V18" s="138"/>
      <c r="W18" s="138">
        <v>8</v>
      </c>
      <c r="X18" s="138">
        <v>8</v>
      </c>
      <c r="Y18" s="138">
        <v>8</v>
      </c>
      <c r="Z18" s="138">
        <v>8</v>
      </c>
      <c r="AA18" s="138">
        <v>8</v>
      </c>
      <c r="AB18" s="138">
        <v>8</v>
      </c>
      <c r="AC18" s="138"/>
      <c r="AD18" s="138">
        <v>8</v>
      </c>
      <c r="AE18" s="138">
        <v>8</v>
      </c>
      <c r="AF18" s="138">
        <v>8</v>
      </c>
      <c r="AG18" s="138">
        <v>8</v>
      </c>
      <c r="AH18" s="138">
        <v>8</v>
      </c>
      <c r="AI18" s="138">
        <v>8</v>
      </c>
      <c r="AJ18" s="138"/>
      <c r="AK18" s="233">
        <f t="shared" ref="AK18" si="10">((SUM(F18:AJ18))/8)-(SUMIF($F$6:$AJ$6,"C.Nhật",F18:AJ18)/8)</f>
        <v>26</v>
      </c>
      <c r="AL18" s="233">
        <f t="shared" ref="AL18" si="11">SUM(F19:AJ19)/8*1.5</f>
        <v>0</v>
      </c>
      <c r="AM18" s="235">
        <f>SUMIF($F$6:$AJ$6,"C.Nhật",$F18:$AJ19)/8*2</f>
        <v>0</v>
      </c>
      <c r="AN18" s="223">
        <f t="shared" ref="AN18" si="12">SUM(AK18:AM19)</f>
        <v>26</v>
      </c>
      <c r="AO18" s="237">
        <v>0</v>
      </c>
      <c r="AP18" s="223"/>
      <c r="AQ18" s="223"/>
      <c r="AR18" s="223"/>
      <c r="AS18" s="225"/>
      <c r="AT18" s="20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28"/>
      <c r="B19" s="228"/>
      <c r="C19" s="230"/>
      <c r="D19" s="232"/>
      <c r="E19" s="66" t="s">
        <v>31</v>
      </c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234"/>
      <c r="AL19" s="234"/>
      <c r="AM19" s="236"/>
      <c r="AN19" s="224"/>
      <c r="AO19" s="238"/>
      <c r="AP19" s="224"/>
      <c r="AQ19" s="224"/>
      <c r="AR19" s="224"/>
      <c r="AS19" s="226"/>
      <c r="AT19" s="20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2.75">
      <c r="A20" s="14"/>
      <c r="B20" s="68"/>
      <c r="C20" s="4"/>
      <c r="D20" s="109"/>
      <c r="E20" s="4"/>
      <c r="F20" s="72"/>
      <c r="G20" s="72"/>
      <c r="H20" s="69"/>
      <c r="I20" s="69"/>
      <c r="J20" s="115"/>
      <c r="K20" s="72"/>
      <c r="L20" s="69"/>
      <c r="M20" s="72"/>
      <c r="N20" s="72"/>
      <c r="O20" s="72"/>
      <c r="P20" s="72"/>
      <c r="Q20" s="69"/>
      <c r="R20" s="72"/>
      <c r="S20" s="72"/>
      <c r="T20" s="115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72"/>
      <c r="AJ20" s="72"/>
      <c r="AK20" s="4"/>
      <c r="AL20" s="4"/>
      <c r="AM20" s="95"/>
      <c r="AN20" s="71"/>
      <c r="AO20" s="71"/>
      <c r="AP20" s="71"/>
      <c r="AQ20" s="71"/>
      <c r="AR20" s="71"/>
      <c r="AS20" s="4"/>
      <c r="AT20" s="101"/>
    </row>
    <row r="21" spans="1:90" s="67" customFormat="1" ht="12.75">
      <c r="A21" s="14"/>
      <c r="B21" s="68"/>
      <c r="C21" s="14" t="s">
        <v>14</v>
      </c>
      <c r="D21" s="109"/>
      <c r="E21" s="4"/>
      <c r="F21" s="72"/>
      <c r="G21" s="72"/>
      <c r="H21" s="69"/>
      <c r="I21" s="69"/>
      <c r="J21" s="115"/>
      <c r="K21" s="72"/>
      <c r="L21" s="69"/>
      <c r="M21" s="72"/>
      <c r="N21" s="72"/>
      <c r="O21" s="72"/>
      <c r="P21" s="72"/>
      <c r="Q21" s="69"/>
      <c r="R21" s="72"/>
      <c r="S21" s="72"/>
      <c r="T21" s="115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72"/>
      <c r="AJ21" s="72"/>
      <c r="AK21" s="4"/>
      <c r="AL21" s="4"/>
      <c r="AM21" s="95"/>
      <c r="AN21" s="71"/>
      <c r="AO21" s="71"/>
      <c r="AP21" s="71"/>
      <c r="AQ21" s="71"/>
      <c r="AR21" s="71"/>
      <c r="AS21" s="4"/>
      <c r="AT21" s="101"/>
    </row>
    <row r="22" spans="1:90" s="67" customFormat="1" ht="12.75">
      <c r="A22" s="12"/>
      <c r="B22" s="12"/>
      <c r="C22" s="4"/>
      <c r="D22" s="109"/>
      <c r="E22" s="4"/>
      <c r="F22" s="72"/>
      <c r="G22" s="72"/>
      <c r="H22" s="116"/>
      <c r="I22" s="116"/>
      <c r="J22" s="116"/>
      <c r="K22" s="72"/>
      <c r="L22" s="116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6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101"/>
    </row>
    <row r="23" spans="1:90" s="70" customFormat="1" ht="15" customHeight="1">
      <c r="A23" s="12"/>
      <c r="B23" s="12"/>
      <c r="C23" s="4"/>
      <c r="D23" s="109"/>
      <c r="E23" s="4"/>
      <c r="F23" s="72"/>
      <c r="G23" s="72"/>
      <c r="H23" s="116"/>
      <c r="I23" s="116"/>
      <c r="J23" s="116"/>
      <c r="K23" s="72"/>
      <c r="L23" s="116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6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0" s="70" customFormat="1" ht="11.25">
      <c r="A24" s="12"/>
      <c r="B24" s="12"/>
      <c r="C24" s="4"/>
      <c r="D24" s="109"/>
      <c r="E24" s="4"/>
      <c r="F24" s="72"/>
      <c r="G24" s="72"/>
      <c r="H24" s="116"/>
      <c r="I24" s="116"/>
      <c r="J24" s="116"/>
      <c r="K24" s="72"/>
      <c r="L24" s="116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6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4"/>
    </row>
    <row r="25" spans="1:90" s="70" customFormat="1" ht="11.25">
      <c r="A25" s="12"/>
      <c r="B25" s="12"/>
      <c r="C25" s="4"/>
      <c r="D25" s="109"/>
      <c r="E25" s="4"/>
      <c r="F25" s="72"/>
      <c r="G25" s="72"/>
      <c r="H25" s="116"/>
      <c r="I25" s="116"/>
      <c r="J25" s="116"/>
      <c r="K25" s="72"/>
      <c r="L25" s="116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6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0" s="70" customFormat="1" ht="11.25">
      <c r="A26" s="10"/>
      <c r="B26" s="10"/>
      <c r="C26" s="14"/>
      <c r="D26" s="110"/>
      <c r="E26" s="74"/>
      <c r="F26" s="115"/>
      <c r="G26" s="117"/>
      <c r="H26" s="69"/>
      <c r="I26" s="69"/>
      <c r="J26" s="69"/>
      <c r="K26" s="117"/>
      <c r="L26" s="69"/>
      <c r="M26" s="117"/>
      <c r="N26" s="117"/>
      <c r="O26" s="117"/>
      <c r="P26" s="117"/>
      <c r="Q26" s="69"/>
      <c r="R26" s="115"/>
      <c r="S26" s="117"/>
      <c r="T26" s="117"/>
      <c r="U26" s="69"/>
      <c r="V26" s="117"/>
      <c r="W26" s="117"/>
      <c r="X26" s="69"/>
      <c r="Y26" s="117"/>
      <c r="Z26" s="117"/>
      <c r="AA26" s="117"/>
      <c r="AB26" s="117"/>
      <c r="AC26" s="117"/>
      <c r="AD26" s="69"/>
      <c r="AE26" s="117"/>
      <c r="AF26" s="117"/>
      <c r="AG26" s="117"/>
      <c r="AH26" s="117"/>
      <c r="AI26" s="117"/>
      <c r="AJ26" s="117"/>
      <c r="AK26" s="74"/>
      <c r="AM26" s="96"/>
      <c r="AN26" s="10"/>
      <c r="AO26" s="10"/>
      <c r="AP26" s="10"/>
      <c r="AQ26" s="10"/>
      <c r="AR26" s="10"/>
      <c r="AS26" s="14"/>
      <c r="AT26" s="4"/>
    </row>
    <row r="27" spans="1:90" s="70" customFormat="1" ht="12.75">
      <c r="A27" s="2"/>
      <c r="B27" s="2" t="s">
        <v>0</v>
      </c>
      <c r="C27" s="2"/>
      <c r="D27" s="183"/>
      <c r="E27" s="2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9"/>
      <c r="AI27" s="119"/>
      <c r="AJ27" s="119"/>
      <c r="AK27" s="2"/>
      <c r="AL27" s="2"/>
      <c r="AM27" s="97"/>
      <c r="AN27" s="2"/>
      <c r="AO27" s="2"/>
      <c r="AP27" s="2"/>
      <c r="AQ27" s="2"/>
      <c r="AR27" s="2"/>
      <c r="AS27" s="2"/>
      <c r="AT27" s="4"/>
    </row>
    <row r="28" spans="1:90" s="70" customFormat="1" ht="12.75">
      <c r="A28" s="2"/>
      <c r="B28" s="2"/>
      <c r="C28" s="2" t="s">
        <v>46</v>
      </c>
      <c r="D28" s="183"/>
      <c r="E28" s="2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9"/>
      <c r="AI28" s="119"/>
      <c r="AJ28" s="119"/>
      <c r="AK28" s="2"/>
      <c r="AL28" s="2"/>
      <c r="AM28" s="97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A12:A19 C12:E19" name="Range1_6_2"/>
    <protectedRange password="CC78" sqref="B12:B19" name="Range1_4_2"/>
  </protectedRanges>
  <mergeCells count="79">
    <mergeCell ref="C16:C17"/>
    <mergeCell ref="D16:D17"/>
    <mergeCell ref="AK16:AK17"/>
    <mergeCell ref="AO14:AO15"/>
    <mergeCell ref="AP14:AP15"/>
    <mergeCell ref="AQ14:AQ15"/>
    <mergeCell ref="AR14:AR15"/>
    <mergeCell ref="AS14:AS15"/>
    <mergeCell ref="A14:A15"/>
    <mergeCell ref="B14:B15"/>
    <mergeCell ref="C14:C15"/>
    <mergeCell ref="D14:D15"/>
    <mergeCell ref="AK14:AK15"/>
    <mergeCell ref="AS16:AS17"/>
    <mergeCell ref="AN16:AN17"/>
    <mergeCell ref="AP18:AP19"/>
    <mergeCell ref="AQ18:AQ19"/>
    <mergeCell ref="AR18:AR19"/>
    <mergeCell ref="AS18:AS19"/>
    <mergeCell ref="AO16:AO17"/>
    <mergeCell ref="AP16:AP17"/>
    <mergeCell ref="AQ16:AQ17"/>
    <mergeCell ref="AR16:AR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L14:AL15"/>
    <mergeCell ref="AM14:AM15"/>
    <mergeCell ref="AN14:AN15"/>
    <mergeCell ref="AL16:AL17"/>
    <mergeCell ref="AM16:AM17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O12:AO13"/>
    <mergeCell ref="A16:A17"/>
    <mergeCell ref="B16:B17"/>
    <mergeCell ref="AP12:AP13"/>
    <mergeCell ref="AQ12:AQ13"/>
    <mergeCell ref="AR12:AR13"/>
    <mergeCell ref="AS12:AS13"/>
  </mergeCells>
  <conditionalFormatting sqref="F5:AJ6 F9:AJ10">
    <cfRule type="expression" dxfId="55" priority="40" stopIfTrue="1">
      <formula>IF(WEEKDAY(F$5)=1,TRUE,FALSE)</formula>
    </cfRule>
  </conditionalFormatting>
  <conditionalFormatting sqref="F9:AJ10">
    <cfRule type="expression" dxfId="54" priority="39" stopIfTrue="1">
      <formula>IF(WEEKDAY(F$5)=1,TRUE,FALSE)</formula>
    </cfRule>
  </conditionalFormatting>
  <conditionalFormatting sqref="F12:AJ19">
    <cfRule type="expression" dxfId="53" priority="2" stopIfTrue="1">
      <formula>IF(WEEKDAY(F$5)=1,TRUE,FALSE)</formula>
    </cfRule>
  </conditionalFormatting>
  <conditionalFormatting sqref="F12:AJ19">
    <cfRule type="expression" dxfId="5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S19" activeCellId="1" sqref="S12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4"/>
      <c r="B1" s="187"/>
      <c r="C1" s="187"/>
      <c r="D1" s="258" t="str">
        <f>"BẢNG THANH TOÁN LƯƠNG THÁNG"&amp;" "&amp;TEXT($E$4,"mm")&amp;" / "&amp;TEXT($E$4,"yyyy")</f>
        <v>BẢNG THANH TOÁN LƯƠNG THÁNG 07 / 2016</v>
      </c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9"/>
      <c r="R1" s="260" t="s">
        <v>88</v>
      </c>
      <c r="S1" s="261"/>
      <c r="T1" s="262"/>
      <c r="U1" s="125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4"/>
      <c r="B2" s="187"/>
      <c r="C2" s="187"/>
      <c r="D2" s="187"/>
      <c r="E2" s="78"/>
      <c r="F2" s="187"/>
      <c r="G2" s="187"/>
      <c r="H2" s="187"/>
      <c r="I2" s="187"/>
      <c r="J2" s="79"/>
      <c r="K2" s="187"/>
      <c r="L2" s="187"/>
      <c r="M2" s="187"/>
      <c r="N2" s="187"/>
      <c r="O2" s="187"/>
      <c r="P2" s="187"/>
      <c r="Q2" s="187"/>
      <c r="R2" s="187"/>
      <c r="S2" s="187"/>
      <c r="T2" s="56"/>
      <c r="U2" s="77">
        <f>MAX(F10:F19)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4"/>
      <c r="B3" s="187"/>
      <c r="C3" s="187"/>
      <c r="D3" s="187"/>
      <c r="E3" s="78"/>
      <c r="F3" s="187"/>
      <c r="G3" s="187"/>
      <c r="H3" s="187"/>
      <c r="I3" s="187"/>
      <c r="J3" s="79"/>
      <c r="K3" s="187"/>
      <c r="L3" s="187"/>
      <c r="M3" s="187"/>
      <c r="N3" s="187"/>
      <c r="O3" s="187"/>
      <c r="P3" s="187"/>
      <c r="Q3" s="187"/>
      <c r="R3" s="187"/>
      <c r="S3" s="187"/>
      <c r="T3" s="56"/>
      <c r="U3" s="126"/>
      <c r="V3" s="127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1">
        <f>'CC -7'!$E$4</f>
        <v>42552</v>
      </c>
      <c r="F4" s="101"/>
      <c r="G4" s="101"/>
      <c r="H4" s="101"/>
      <c r="I4" s="101"/>
      <c r="J4" s="101"/>
      <c r="K4" s="101"/>
      <c r="L4" s="101"/>
      <c r="M4" s="101"/>
      <c r="N4" s="156">
        <v>0.08</v>
      </c>
      <c r="O4" s="156">
        <v>1.4999999999999999E-2</v>
      </c>
      <c r="P4" s="156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7" customFormat="1" ht="24" customHeight="1">
      <c r="A5" s="263" t="s">
        <v>19</v>
      </c>
      <c r="B5" s="263" t="s">
        <v>20</v>
      </c>
      <c r="C5" s="216" t="s">
        <v>1</v>
      </c>
      <c r="D5" s="216" t="s">
        <v>2</v>
      </c>
      <c r="E5" s="211" t="s">
        <v>56</v>
      </c>
      <c r="F5" s="265" t="s">
        <v>26</v>
      </c>
      <c r="G5" s="266"/>
      <c r="H5" s="266"/>
      <c r="I5" s="266"/>
      <c r="J5" s="266"/>
      <c r="K5" s="267"/>
      <c r="L5" s="254" t="s">
        <v>57</v>
      </c>
      <c r="M5" s="254" t="s">
        <v>5</v>
      </c>
      <c r="N5" s="216" t="s">
        <v>6</v>
      </c>
      <c r="O5" s="216"/>
      <c r="P5" s="216"/>
      <c r="Q5" s="254" t="s">
        <v>7</v>
      </c>
      <c r="R5" s="254" t="s">
        <v>8</v>
      </c>
      <c r="S5" s="254" t="s">
        <v>9</v>
      </c>
      <c r="T5" s="212" t="s">
        <v>10</v>
      </c>
      <c r="U5" s="101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4"/>
      <c r="B6" s="264"/>
      <c r="C6" s="216"/>
      <c r="D6" s="216"/>
      <c r="E6" s="211"/>
      <c r="F6" s="265" t="s">
        <v>59</v>
      </c>
      <c r="G6" s="267"/>
      <c r="H6" s="265" t="s">
        <v>81</v>
      </c>
      <c r="I6" s="266"/>
      <c r="J6" s="252" t="s">
        <v>27</v>
      </c>
      <c r="K6" s="254" t="s">
        <v>4</v>
      </c>
      <c r="L6" s="255"/>
      <c r="M6" s="255"/>
      <c r="N6" s="256" t="s">
        <v>12</v>
      </c>
      <c r="O6" s="254" t="s">
        <v>13</v>
      </c>
      <c r="P6" s="254" t="s">
        <v>34</v>
      </c>
      <c r="Q6" s="255"/>
      <c r="R6" s="255"/>
      <c r="S6" s="255"/>
      <c r="T6" s="213"/>
      <c r="U6" s="101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4"/>
      <c r="B7" s="264"/>
      <c r="C7" s="254"/>
      <c r="D7" s="254"/>
      <c r="E7" s="211"/>
      <c r="F7" s="186" t="s">
        <v>40</v>
      </c>
      <c r="G7" s="184" t="s">
        <v>18</v>
      </c>
      <c r="H7" s="186" t="s">
        <v>40</v>
      </c>
      <c r="I7" s="123" t="s">
        <v>18</v>
      </c>
      <c r="J7" s="253"/>
      <c r="K7" s="255"/>
      <c r="L7" s="268"/>
      <c r="M7" s="268"/>
      <c r="N7" s="257"/>
      <c r="O7" s="255"/>
      <c r="P7" s="255"/>
      <c r="Q7" s="255"/>
      <c r="R7" s="255"/>
      <c r="S7" s="255"/>
      <c r="T7" s="213"/>
      <c r="U7" s="101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0" t="s">
        <v>78</v>
      </c>
      <c r="B9" s="179" t="s">
        <v>89</v>
      </c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6" t="s">
        <v>84</v>
      </c>
      <c r="C10" s="86" t="str">
        <f t="shared" ref="C10" si="0">VLOOKUP(B10,DS,2,0)</f>
        <v>Lê Kim Ngọc Thảo</v>
      </c>
      <c r="D10" s="111" t="str">
        <f t="shared" ref="D10" si="1">VLOOKUP(B10,DS,3,0)</f>
        <v>Văn Phòng</v>
      </c>
      <c r="E10" s="87">
        <f t="shared" ref="E10" si="2">VLOOKUP(B10,DS,4,0)</f>
        <v>4000000</v>
      </c>
      <c r="F10" s="89">
        <f>VLOOKUP(B10,'CC -7'!$B$8:$AS$19,36,0)</f>
        <v>26</v>
      </c>
      <c r="G10" s="140">
        <f t="shared" ref="G10" si="3">ROUND(E10/$U$2*F10,0)</f>
        <v>4000000</v>
      </c>
      <c r="H10" s="89">
        <f>(VLOOKUP(B10,'CC -7'!$B$8:$AS$19,37,0)+VLOOKUP(B10,'CC -7'!$B$8:$AS$19,38,0))</f>
        <v>0</v>
      </c>
      <c r="I10" s="140">
        <f t="shared" ref="I10" si="4">ROUND(E10/$U$2*H10,0)</f>
        <v>0</v>
      </c>
      <c r="J10" s="90">
        <f t="shared" ref="J10" si="5">F10+H10</f>
        <v>26</v>
      </c>
      <c r="K10" s="37">
        <f>G10+I10</f>
        <v>4000000</v>
      </c>
      <c r="L10" s="87">
        <f t="shared" ref="L10" si="6">+F10*15000</f>
        <v>390000</v>
      </c>
      <c r="M10" s="38">
        <f t="shared" ref="M10" si="7">K10+L10</f>
        <v>4390000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8">M10-SUM(N10:P10)</f>
        <v>4390000</v>
      </c>
      <c r="R10" s="37">
        <f>VLOOKUP(B10,DS,23,0)</f>
        <v>0</v>
      </c>
      <c r="S10" s="43">
        <f t="shared" ref="S10" si="9">Q10-R10</f>
        <v>4390000</v>
      </c>
      <c r="T10" s="37"/>
      <c r="U10" s="101"/>
      <c r="V10" s="35"/>
      <c r="W10" s="28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188"/>
      <c r="B11" s="189"/>
      <c r="C11" s="190"/>
      <c r="D11" s="191"/>
      <c r="E11" s="192"/>
      <c r="F11" s="193"/>
      <c r="G11" s="194"/>
      <c r="H11" s="193"/>
      <c r="I11" s="194"/>
      <c r="J11" s="195"/>
      <c r="K11" s="196"/>
      <c r="L11" s="192"/>
      <c r="M11" s="197"/>
      <c r="N11" s="197"/>
      <c r="O11" s="197"/>
      <c r="P11" s="197"/>
      <c r="Q11" s="196"/>
      <c r="R11" s="196"/>
      <c r="S11" s="198"/>
      <c r="T11" s="196"/>
      <c r="U11" s="101"/>
      <c r="V11" s="35"/>
      <c r="W11" s="28"/>
      <c r="X11" s="5"/>
      <c r="Y11" s="5"/>
      <c r="Z11" s="5"/>
      <c r="AA11" s="4"/>
      <c r="AB11" s="4"/>
      <c r="AC11" s="4"/>
      <c r="AD11" s="4"/>
      <c r="AE11" s="4"/>
    </row>
    <row r="12" spans="1:31" s="32" customFormat="1" ht="21" customHeight="1">
      <c r="A12" s="251" t="s">
        <v>25</v>
      </c>
      <c r="B12" s="251"/>
      <c r="C12" s="251"/>
      <c r="D12" s="251"/>
      <c r="E12" s="135">
        <f>SUM(E9:E10)</f>
        <v>4000000</v>
      </c>
      <c r="F12" s="135"/>
      <c r="G12" s="135">
        <f>SUM(G9:G10)</f>
        <v>4000000</v>
      </c>
      <c r="H12" s="135"/>
      <c r="I12" s="135">
        <f>SUM(I9:I10)</f>
        <v>0</v>
      </c>
      <c r="J12" s="135"/>
      <c r="K12" s="135">
        <f>SUM(K9:K10)</f>
        <v>4000000</v>
      </c>
      <c r="L12" s="135">
        <f>SUM(L9:L10)</f>
        <v>390000</v>
      </c>
      <c r="M12" s="135">
        <f>SUM(M9:M10)</f>
        <v>4390000</v>
      </c>
      <c r="N12" s="135">
        <f>SUM(N9:N10)</f>
        <v>0</v>
      </c>
      <c r="O12" s="135">
        <f>SUM(O9:O10)</f>
        <v>0</v>
      </c>
      <c r="P12" s="135">
        <f>SUM(P9:P10)</f>
        <v>0</v>
      </c>
      <c r="Q12" s="135">
        <f>SUM(Q9:Q10)</f>
        <v>4390000</v>
      </c>
      <c r="R12" s="135">
        <f>SUM(R9:R10)</f>
        <v>0</v>
      </c>
      <c r="S12" s="135">
        <f>SUM(S9:S10)</f>
        <v>4390000</v>
      </c>
      <c r="T12" s="26"/>
      <c r="U12" s="101"/>
      <c r="V12" s="33"/>
      <c r="W12" s="33"/>
      <c r="X12" s="33"/>
      <c r="Y12" s="33"/>
      <c r="Z12" s="33"/>
    </row>
    <row r="13" spans="1:31" s="82" customFormat="1" ht="24" customHeight="1">
      <c r="A13" s="180" t="s">
        <v>79</v>
      </c>
      <c r="B13" s="179" t="s">
        <v>80</v>
      </c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01"/>
      <c r="V13" s="83"/>
      <c r="W13" s="83"/>
      <c r="X13" s="84"/>
      <c r="Y13" s="84"/>
      <c r="Z13" s="84"/>
      <c r="AA13" s="85"/>
      <c r="AB13" s="85"/>
      <c r="AC13" s="85"/>
      <c r="AD13" s="85"/>
      <c r="AE13" s="85"/>
    </row>
    <row r="14" spans="1:31" s="34" customFormat="1" ht="24" customHeight="1">
      <c r="A14" s="36">
        <v>1</v>
      </c>
      <c r="B14" s="136" t="s">
        <v>85</v>
      </c>
      <c r="C14" s="86" t="str">
        <f t="shared" ref="C14:C17" si="10">VLOOKUP(B14,DS,2,0)</f>
        <v>Diệp Văn Lân</v>
      </c>
      <c r="D14" s="111" t="str">
        <f t="shared" ref="D14:D17" si="11">VLOOKUP(B14,DS,3,0)</f>
        <v>Công Đoạn 1</v>
      </c>
      <c r="E14" s="87">
        <f t="shared" ref="E14:E17" si="12">VLOOKUP(B14,DS,4,0)</f>
        <v>3200000</v>
      </c>
      <c r="F14" s="89">
        <f>VLOOKUP(B14,'CC -7'!$B$8:$AS$19,36,0)</f>
        <v>26</v>
      </c>
      <c r="G14" s="140">
        <f t="shared" ref="G14:G17" si="13">ROUND(E14/$U$2*F14,0)</f>
        <v>3200000</v>
      </c>
      <c r="H14" s="89">
        <f>(VLOOKUP(B14,'CC -7'!$B$8:$AS$19,37,0)+VLOOKUP(B14,'CC -7'!$B$8:$AS$19,38,0))</f>
        <v>0</v>
      </c>
      <c r="I14" s="140">
        <f t="shared" ref="I14:I17" si="14">ROUND(E14/$U$2*H14,0)</f>
        <v>0</v>
      </c>
      <c r="J14" s="141">
        <f t="shared" ref="J14:K17" si="15">F14+H14</f>
        <v>26</v>
      </c>
      <c r="K14" s="37">
        <f t="shared" si="15"/>
        <v>3200000</v>
      </c>
      <c r="L14" s="87">
        <f t="shared" ref="L14:L17" si="16">+F14*15000</f>
        <v>390000</v>
      </c>
      <c r="M14" s="38">
        <f t="shared" ref="M14:M17" si="17">K14+L14</f>
        <v>3590000</v>
      </c>
      <c r="N14" s="38">
        <f>IF(VLOOKUP(B14,DS,9,0)="x",'L - 7'!E14*$N$4,0)</f>
        <v>0</v>
      </c>
      <c r="O14" s="38">
        <f t="shared" ref="O14:O17" si="18">IF(VLOOKUP(B14,DS,9,0)="x",E14*0.015,0)</f>
        <v>0</v>
      </c>
      <c r="P14" s="38">
        <f t="shared" ref="P14:P17" si="19">IF(VLOOKUP(B14,DS,9,0)="x",E14*0.01,0)</f>
        <v>0</v>
      </c>
      <c r="Q14" s="37">
        <f>M14-SUM(N14:P14)</f>
        <v>3590000</v>
      </c>
      <c r="R14" s="37">
        <f t="shared" ref="R14:R17" si="20">VLOOKUP(B14,DS,23,0)</f>
        <v>0</v>
      </c>
      <c r="S14" s="43">
        <f>Q14-R14</f>
        <v>3590000</v>
      </c>
      <c r="T14" s="37"/>
      <c r="U14" s="101"/>
      <c r="V14" s="35"/>
      <c r="W14" s="28"/>
      <c r="X14" s="5"/>
      <c r="Y14" s="5"/>
      <c r="Z14" s="5"/>
      <c r="AA14" s="4"/>
      <c r="AB14" s="4"/>
      <c r="AC14" s="4"/>
      <c r="AD14" s="4"/>
      <c r="AE14" s="4"/>
    </row>
    <row r="15" spans="1:31" s="34" customFormat="1" ht="24" customHeight="1">
      <c r="A15" s="36">
        <v>2</v>
      </c>
      <c r="B15" s="136" t="s">
        <v>86</v>
      </c>
      <c r="C15" s="86" t="str">
        <f t="shared" ref="C15:C16" si="21">VLOOKUP(B15,DS,2,0)</f>
        <v>Dương Thế Kiệt</v>
      </c>
      <c r="D15" s="111" t="str">
        <f t="shared" ref="D15:D16" si="22">VLOOKUP(B15,DS,3,0)</f>
        <v>Công Đoạn 1</v>
      </c>
      <c r="E15" s="87">
        <f t="shared" ref="E15:E16" si="23">VLOOKUP(B15,DS,4,0)</f>
        <v>3000000</v>
      </c>
      <c r="F15" s="89">
        <f>VLOOKUP(B15,'CC -7'!$B$8:$AS$19,36,0)</f>
        <v>26</v>
      </c>
      <c r="G15" s="140">
        <f t="shared" ref="G15:G16" si="24">ROUND(E15/$U$2*F15,0)</f>
        <v>3000000</v>
      </c>
      <c r="H15" s="89">
        <f>(VLOOKUP(B15,'CC -7'!$B$8:$AS$19,37,0)+VLOOKUP(B15,'CC -7'!$B$8:$AS$19,38,0))</f>
        <v>0</v>
      </c>
      <c r="I15" s="140">
        <f t="shared" ref="I15:I16" si="25">ROUND(E15/$U$2*H15,0)</f>
        <v>0</v>
      </c>
      <c r="J15" s="141">
        <f t="shared" ref="J15:J16" si="26">F15+H15</f>
        <v>26</v>
      </c>
      <c r="K15" s="37">
        <f t="shared" ref="K15:K16" si="27">G15+I15</f>
        <v>3000000</v>
      </c>
      <c r="L15" s="87">
        <f t="shared" ref="L15:L16" si="28">+F15*15000</f>
        <v>390000</v>
      </c>
      <c r="M15" s="38">
        <f t="shared" ref="M15:M16" si="29">K15+L15</f>
        <v>3390000</v>
      </c>
      <c r="N15" s="38">
        <f>IF(VLOOKUP(B15,DS,9,0)="x",'L - 7'!E15*$N$4,0)</f>
        <v>0</v>
      </c>
      <c r="O15" s="38">
        <f t="shared" ref="O15:O16" si="30">IF(VLOOKUP(B15,DS,9,0)="x",E15*0.015,0)</f>
        <v>0</v>
      </c>
      <c r="P15" s="38">
        <f t="shared" ref="P15:P16" si="31">IF(VLOOKUP(B15,DS,9,0)="x",E15*0.01,0)</f>
        <v>0</v>
      </c>
      <c r="Q15" s="37">
        <f t="shared" ref="Q15:Q16" si="32">M15-SUM(N15:P15)</f>
        <v>3390000</v>
      </c>
      <c r="R15" s="37">
        <f t="shared" ref="R15:R16" si="33">VLOOKUP(B15,DS,23,0)</f>
        <v>0</v>
      </c>
      <c r="S15" s="43">
        <f t="shared" ref="S15:S16" si="34">Q15-R15</f>
        <v>3390000</v>
      </c>
      <c r="T15" s="37"/>
      <c r="U15" s="101"/>
      <c r="V15" s="35"/>
      <c r="W15" s="28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3</v>
      </c>
      <c r="B16" s="136" t="s">
        <v>87</v>
      </c>
      <c r="C16" s="86" t="str">
        <f t="shared" si="21"/>
        <v>Lê Văn Hữu</v>
      </c>
      <c r="D16" s="111" t="str">
        <f t="shared" si="22"/>
        <v>Công Đoạn 2</v>
      </c>
      <c r="E16" s="87">
        <f t="shared" si="23"/>
        <v>3200000</v>
      </c>
      <c r="F16" s="89">
        <f>VLOOKUP(B16,'CC -7'!$B$8:$AS$19,36,0)</f>
        <v>26</v>
      </c>
      <c r="G16" s="140">
        <f t="shared" si="24"/>
        <v>3200000</v>
      </c>
      <c r="H16" s="89">
        <f>(VLOOKUP(B16,'CC -7'!$B$8:$AS$19,37,0)+VLOOKUP(B16,'CC -7'!$B$8:$AS$19,38,0))</f>
        <v>0</v>
      </c>
      <c r="I16" s="140">
        <f t="shared" si="25"/>
        <v>0</v>
      </c>
      <c r="J16" s="141">
        <f t="shared" si="26"/>
        <v>26</v>
      </c>
      <c r="K16" s="37">
        <f t="shared" si="27"/>
        <v>3200000</v>
      </c>
      <c r="L16" s="87">
        <f t="shared" si="28"/>
        <v>390000</v>
      </c>
      <c r="M16" s="38">
        <f t="shared" si="29"/>
        <v>3590000</v>
      </c>
      <c r="N16" s="38">
        <f>IF(VLOOKUP(B16,DS,9,0)="x",'L - 7'!E16*$N$4,0)</f>
        <v>0</v>
      </c>
      <c r="O16" s="38">
        <f t="shared" si="30"/>
        <v>0</v>
      </c>
      <c r="P16" s="38">
        <f t="shared" si="31"/>
        <v>0</v>
      </c>
      <c r="Q16" s="37">
        <f t="shared" si="32"/>
        <v>3590000</v>
      </c>
      <c r="R16" s="37">
        <f t="shared" si="33"/>
        <v>0</v>
      </c>
      <c r="S16" s="43">
        <f t="shared" si="34"/>
        <v>3590000</v>
      </c>
      <c r="T16" s="37"/>
      <c r="U16" s="101"/>
      <c r="V16" s="35"/>
      <c r="W16" s="28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4</v>
      </c>
      <c r="B17" s="136" t="s">
        <v>92</v>
      </c>
      <c r="C17" s="86" t="str">
        <f t="shared" si="10"/>
        <v>Nguyễn T Bích Thủy</v>
      </c>
      <c r="D17" s="111" t="str">
        <f t="shared" si="11"/>
        <v>Công Đoạn 2</v>
      </c>
      <c r="E17" s="87">
        <f t="shared" si="12"/>
        <v>3000000</v>
      </c>
      <c r="F17" s="89">
        <f>VLOOKUP(B17,'CC -7'!$B$8:$AS$19,36,0)</f>
        <v>26</v>
      </c>
      <c r="G17" s="140">
        <f t="shared" si="13"/>
        <v>3000000</v>
      </c>
      <c r="H17" s="89">
        <f>(VLOOKUP(B17,'CC -7'!$B$8:$AS$19,37,0)+VLOOKUP(B17,'CC -7'!$B$8:$AS$19,38,0))</f>
        <v>0</v>
      </c>
      <c r="I17" s="140">
        <f t="shared" si="14"/>
        <v>0</v>
      </c>
      <c r="J17" s="141">
        <f t="shared" si="15"/>
        <v>26</v>
      </c>
      <c r="K17" s="37">
        <f t="shared" si="15"/>
        <v>3000000</v>
      </c>
      <c r="L17" s="87">
        <f t="shared" si="16"/>
        <v>390000</v>
      </c>
      <c r="M17" s="38">
        <f t="shared" si="17"/>
        <v>3390000</v>
      </c>
      <c r="N17" s="38">
        <f>IF(VLOOKUP(B17,DS,9,0)="x",'L - 7'!E17*$N$4,0)</f>
        <v>0</v>
      </c>
      <c r="O17" s="38">
        <f t="shared" si="18"/>
        <v>0</v>
      </c>
      <c r="P17" s="38">
        <f t="shared" si="19"/>
        <v>0</v>
      </c>
      <c r="Q17" s="37">
        <f t="shared" ref="Q17" si="35">M17-SUM(N17:P17)</f>
        <v>3390000</v>
      </c>
      <c r="R17" s="37">
        <f t="shared" si="20"/>
        <v>0</v>
      </c>
      <c r="S17" s="43">
        <f t="shared" ref="S17" si="36">Q17-R17</f>
        <v>3390000</v>
      </c>
      <c r="T17" s="37"/>
      <c r="U17" s="101"/>
      <c r="V17" s="35"/>
      <c r="W17" s="28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77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76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2" customFormat="1" ht="21" customHeight="1">
      <c r="A19" s="251" t="s">
        <v>25</v>
      </c>
      <c r="B19" s="251"/>
      <c r="C19" s="251"/>
      <c r="D19" s="251"/>
      <c r="E19" s="135">
        <f>SUM(E13:E18)</f>
        <v>12400000</v>
      </c>
      <c r="F19" s="135"/>
      <c r="G19" s="135">
        <f>SUM(G13:G18)</f>
        <v>12400000</v>
      </c>
      <c r="H19" s="135"/>
      <c r="I19" s="135">
        <f>SUM(I13:I18)</f>
        <v>0</v>
      </c>
      <c r="J19" s="135"/>
      <c r="K19" s="135">
        <f>SUM(K13:K18)</f>
        <v>12400000</v>
      </c>
      <c r="L19" s="135">
        <f>SUM(L13:L18)</f>
        <v>1560000</v>
      </c>
      <c r="M19" s="135">
        <f>SUM(M13:M18)</f>
        <v>13960000</v>
      </c>
      <c r="N19" s="135">
        <f>SUM(N13:N18)</f>
        <v>0</v>
      </c>
      <c r="O19" s="135">
        <f>SUM(O13:O18)</f>
        <v>0</v>
      </c>
      <c r="P19" s="135">
        <f>SUM(P13:P18)</f>
        <v>0</v>
      </c>
      <c r="Q19" s="135">
        <f>SUM(Q13:Q18)</f>
        <v>13960000</v>
      </c>
      <c r="R19" s="135">
        <f>SUM(R13:R18)</f>
        <v>0</v>
      </c>
      <c r="S19" s="135">
        <f>SUM(S13:S18)</f>
        <v>13960000</v>
      </c>
      <c r="T19" s="26"/>
      <c r="U19" s="101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2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28"/>
      <c r="E21" s="129"/>
      <c r="F21" s="75"/>
      <c r="G21" s="75"/>
      <c r="H21" s="75"/>
      <c r="I21" s="75"/>
      <c r="J21" s="130"/>
      <c r="K21" s="129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07   năm 2016</v>
      </c>
      <c r="T21" s="75"/>
      <c r="U21" s="131"/>
      <c r="V21" s="35"/>
      <c r="W21" s="35"/>
      <c r="X21" s="35"/>
      <c r="Y21" s="35"/>
      <c r="Z21" s="35"/>
    </row>
    <row r="22" spans="1:31" s="34" customFormat="1" ht="12.75">
      <c r="A22" s="29"/>
      <c r="B22" s="29"/>
      <c r="C22" s="29" t="s">
        <v>60</v>
      </c>
      <c r="D22" s="132"/>
      <c r="E22" s="76"/>
      <c r="F22" s="131"/>
      <c r="G22" s="76"/>
      <c r="H22" s="76"/>
      <c r="I22" s="76"/>
      <c r="J22" s="133"/>
      <c r="K22" s="35"/>
      <c r="L22" s="29"/>
      <c r="M22" s="142"/>
      <c r="N22" s="20"/>
      <c r="O22" s="20"/>
      <c r="P22" s="20"/>
      <c r="Q22" s="20"/>
      <c r="S22" s="131" t="s">
        <v>22</v>
      </c>
      <c r="T22" s="131"/>
      <c r="U22" s="131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3:W13 Q5:T7 E5:I6 D19 N5:P6 L5 L22 J6:K7 L7 A25:T58 U31:U58 N18:S18 V25:IK58 J18:L18 A59:IK65326 AF13:IK13 V12:IK12 D12 Q11:S11 W11 AF11:IK11 A11:B12 A10:B10 AF5:IK10 W10 Q10:S10" name="Range1"/>
    <protectedRange password="CC78" sqref="F7:H7" name="Range1_4"/>
    <protectedRange password="CC78" sqref="V22:IK23 S22:T23 N22:Q23 E22:I23" name="Range1_1_1"/>
    <protectedRange password="CC78" sqref="U1 W1:IK3 V4:IK4 B4:T4 R2:S3 B1:Q3 U18:U30 X13:AE13 U11:U13 X11:AE11 X5:AE10 U4:U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4:S17 AF14:IK17 A14:B17 W14:W17" name="Range1_5"/>
    <protectedRange password="CC78" sqref="X14:AE17 U14:U17" name="Range1_2_3"/>
    <protectedRange password="CC78" sqref="V14:V17" name="Range1_1_3"/>
    <protectedRange password="CC78" sqref="K10:K11 K14:K17" name="Range1_6"/>
    <protectedRange password="CC78" sqref="A2:A3" name="Range1_2_1_3"/>
    <protectedRange password="CC78" sqref="E12:T12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16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20" sqref="A20:XFD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3" customWidth="1"/>
    <col min="5" max="5" width="7.140625" style="2" customWidth="1"/>
    <col min="6" max="33" width="3.42578125" style="118" customWidth="1"/>
    <col min="34" max="36" width="3.42578125" style="119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4"/>
      <c r="B1" s="51"/>
      <c r="C1" s="51"/>
      <c r="D1" s="55"/>
      <c r="E1" s="51"/>
      <c r="F1" s="55"/>
      <c r="G1" s="55"/>
      <c r="H1" s="55"/>
      <c r="I1" s="55"/>
      <c r="J1" s="55"/>
      <c r="K1" s="114"/>
      <c r="L1" s="114"/>
      <c r="M1" s="114"/>
      <c r="N1" s="114"/>
      <c r="O1" s="114"/>
      <c r="P1" s="114"/>
      <c r="Q1" s="114"/>
      <c r="R1" s="114"/>
      <c r="S1" s="53" t="str">
        <f>CONCATENATE("BẢNG CHẤM CÔNG THÁNG ",TEXT($E$4,"mm")," NĂM ",TEXT($E$4,"yyyy"))</f>
        <v>BẢNG CHẤM CÔNG THÁNG 08 NĂM 2016</v>
      </c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52"/>
      <c r="AL1" s="52"/>
      <c r="AM1" s="240" t="s">
        <v>88</v>
      </c>
      <c r="AN1" s="241"/>
      <c r="AO1" s="241"/>
      <c r="AP1" s="241"/>
      <c r="AQ1" s="241"/>
      <c r="AR1" s="241"/>
      <c r="AS1" s="242"/>
      <c r="AT1" s="54"/>
    </row>
    <row r="2" spans="1:91" ht="20.25">
      <c r="A2" s="134"/>
      <c r="B2" s="55"/>
      <c r="C2" s="55"/>
      <c r="D2" s="55"/>
      <c r="E2" s="55"/>
      <c r="F2" s="55"/>
      <c r="G2" s="55"/>
      <c r="H2" s="55"/>
      <c r="I2" s="55"/>
      <c r="J2" s="55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4"/>
      <c r="B3" s="57"/>
      <c r="C3" s="57"/>
      <c r="D3" s="58"/>
      <c r="E3" s="58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0"/>
      <c r="D4" s="149"/>
      <c r="E4" s="61">
        <v>42583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3">
        <f>+E4</f>
        <v>42583</v>
      </c>
      <c r="G5" s="113">
        <f t="shared" ref="G5:AJ5" si="0">F5+1</f>
        <v>42584</v>
      </c>
      <c r="H5" s="113">
        <f t="shared" si="0"/>
        <v>42585</v>
      </c>
      <c r="I5" s="113">
        <f t="shared" si="0"/>
        <v>42586</v>
      </c>
      <c r="J5" s="113">
        <f t="shared" si="0"/>
        <v>42587</v>
      </c>
      <c r="K5" s="113">
        <f t="shared" si="0"/>
        <v>42588</v>
      </c>
      <c r="L5" s="113">
        <f t="shared" si="0"/>
        <v>42589</v>
      </c>
      <c r="M5" s="113">
        <f t="shared" si="0"/>
        <v>42590</v>
      </c>
      <c r="N5" s="113">
        <f t="shared" si="0"/>
        <v>42591</v>
      </c>
      <c r="O5" s="113">
        <f t="shared" si="0"/>
        <v>42592</v>
      </c>
      <c r="P5" s="113">
        <f t="shared" si="0"/>
        <v>42593</v>
      </c>
      <c r="Q5" s="113">
        <f t="shared" si="0"/>
        <v>42594</v>
      </c>
      <c r="R5" s="113">
        <f t="shared" si="0"/>
        <v>42595</v>
      </c>
      <c r="S5" s="113">
        <f t="shared" si="0"/>
        <v>42596</v>
      </c>
      <c r="T5" s="113">
        <f t="shared" si="0"/>
        <v>42597</v>
      </c>
      <c r="U5" s="113">
        <f t="shared" si="0"/>
        <v>42598</v>
      </c>
      <c r="V5" s="113">
        <f t="shared" si="0"/>
        <v>42599</v>
      </c>
      <c r="W5" s="113">
        <f t="shared" si="0"/>
        <v>42600</v>
      </c>
      <c r="X5" s="113">
        <f t="shared" si="0"/>
        <v>42601</v>
      </c>
      <c r="Y5" s="113">
        <f t="shared" si="0"/>
        <v>42602</v>
      </c>
      <c r="Z5" s="113">
        <f t="shared" si="0"/>
        <v>42603</v>
      </c>
      <c r="AA5" s="113">
        <f t="shared" si="0"/>
        <v>42604</v>
      </c>
      <c r="AB5" s="113">
        <f t="shared" si="0"/>
        <v>42605</v>
      </c>
      <c r="AC5" s="113">
        <f t="shared" si="0"/>
        <v>42606</v>
      </c>
      <c r="AD5" s="113">
        <f t="shared" si="0"/>
        <v>42607</v>
      </c>
      <c r="AE5" s="113">
        <f t="shared" si="0"/>
        <v>42608</v>
      </c>
      <c r="AF5" s="113">
        <f t="shared" si="0"/>
        <v>42609</v>
      </c>
      <c r="AG5" s="113">
        <f t="shared" si="0"/>
        <v>42610</v>
      </c>
      <c r="AH5" s="113">
        <f>AG5+1</f>
        <v>42611</v>
      </c>
      <c r="AI5" s="113">
        <f t="shared" si="0"/>
        <v>42612</v>
      </c>
      <c r="AJ5" s="113">
        <f t="shared" si="0"/>
        <v>42613</v>
      </c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66" t="str">
        <f>CHOOSE(WEEKDAY(F5),"C.Nhật","T.Hai","T.Ba","T.Tư","T.Năm","T.Sáu","T.Bảy")</f>
        <v>T.Hai</v>
      </c>
      <c r="G6" s="166" t="str">
        <f t="shared" ref="G6:AJ6" si="1">CHOOSE(WEEKDAY(G5),"C.Nhật","T.Hai","T.Ba","T.Tư","T.Năm","T.Sáu","T.Bảy")</f>
        <v>T.Ba</v>
      </c>
      <c r="H6" s="166" t="str">
        <f t="shared" si="1"/>
        <v>T.Tư</v>
      </c>
      <c r="I6" s="166" t="str">
        <f t="shared" si="1"/>
        <v>T.Năm</v>
      </c>
      <c r="J6" s="166" t="str">
        <f t="shared" si="1"/>
        <v>T.Sáu</v>
      </c>
      <c r="K6" s="166" t="str">
        <f t="shared" si="1"/>
        <v>T.Bảy</v>
      </c>
      <c r="L6" s="166" t="str">
        <f t="shared" si="1"/>
        <v>C.Nhật</v>
      </c>
      <c r="M6" s="166" t="str">
        <f t="shared" si="1"/>
        <v>T.Hai</v>
      </c>
      <c r="N6" s="166" t="str">
        <f t="shared" si="1"/>
        <v>T.Ba</v>
      </c>
      <c r="O6" s="166" t="str">
        <f t="shared" si="1"/>
        <v>T.Tư</v>
      </c>
      <c r="P6" s="166" t="str">
        <f t="shared" si="1"/>
        <v>T.Năm</v>
      </c>
      <c r="Q6" s="166" t="str">
        <f t="shared" si="1"/>
        <v>T.Sáu</v>
      </c>
      <c r="R6" s="166" t="str">
        <f t="shared" si="1"/>
        <v>T.Bảy</v>
      </c>
      <c r="S6" s="166" t="str">
        <f t="shared" si="1"/>
        <v>C.Nhật</v>
      </c>
      <c r="T6" s="166" t="str">
        <f t="shared" si="1"/>
        <v>T.Hai</v>
      </c>
      <c r="U6" s="166" t="str">
        <f t="shared" si="1"/>
        <v>T.Ba</v>
      </c>
      <c r="V6" s="166" t="str">
        <f t="shared" si="1"/>
        <v>T.Tư</v>
      </c>
      <c r="W6" s="166" t="str">
        <f t="shared" si="1"/>
        <v>T.Năm</v>
      </c>
      <c r="X6" s="166" t="str">
        <f t="shared" si="1"/>
        <v>T.Sáu</v>
      </c>
      <c r="Y6" s="166" t="str">
        <f t="shared" si="1"/>
        <v>T.Bảy</v>
      </c>
      <c r="Z6" s="166" t="str">
        <f t="shared" si="1"/>
        <v>C.Nhật</v>
      </c>
      <c r="AA6" s="166" t="str">
        <f t="shared" si="1"/>
        <v>T.Hai</v>
      </c>
      <c r="AB6" s="166" t="str">
        <f t="shared" si="1"/>
        <v>T.Ba</v>
      </c>
      <c r="AC6" s="166" t="str">
        <f t="shared" si="1"/>
        <v>T.Tư</v>
      </c>
      <c r="AD6" s="166" t="str">
        <f t="shared" si="1"/>
        <v>T.Năm</v>
      </c>
      <c r="AE6" s="166" t="str">
        <f t="shared" si="1"/>
        <v>T.Sáu</v>
      </c>
      <c r="AF6" s="166" t="str">
        <f t="shared" si="1"/>
        <v>T.Bảy</v>
      </c>
      <c r="AG6" s="166" t="str">
        <f t="shared" si="1"/>
        <v>C.Nhật</v>
      </c>
      <c r="AH6" s="166" t="str">
        <f t="shared" si="1"/>
        <v>T.Hai</v>
      </c>
      <c r="AI6" s="166" t="str">
        <f t="shared" si="1"/>
        <v>T.Ba</v>
      </c>
      <c r="AJ6" s="166" t="str">
        <f t="shared" si="1"/>
        <v>T.Tư</v>
      </c>
      <c r="AK6" s="167" t="s">
        <v>16</v>
      </c>
      <c r="AL6" s="167" t="s">
        <v>31</v>
      </c>
      <c r="AM6" s="168" t="s">
        <v>17</v>
      </c>
      <c r="AN6" s="250"/>
      <c r="AO6" s="250"/>
      <c r="AP6" s="250"/>
      <c r="AQ6" s="250"/>
      <c r="AR6" s="250"/>
      <c r="AS6" s="244"/>
      <c r="AT6" s="2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69">
        <v>1</v>
      </c>
      <c r="B7" s="169">
        <v>1</v>
      </c>
      <c r="C7" s="169">
        <v>2</v>
      </c>
      <c r="D7" s="169">
        <v>3</v>
      </c>
      <c r="E7" s="169">
        <v>4</v>
      </c>
      <c r="F7" s="169">
        <v>5</v>
      </c>
      <c r="G7" s="169">
        <v>6</v>
      </c>
      <c r="H7" s="169">
        <v>7</v>
      </c>
      <c r="I7" s="169">
        <v>8</v>
      </c>
      <c r="J7" s="169">
        <v>9</v>
      </c>
      <c r="K7" s="169">
        <v>10</v>
      </c>
      <c r="L7" s="169">
        <v>11</v>
      </c>
      <c r="M7" s="169">
        <v>12</v>
      </c>
      <c r="N7" s="169">
        <v>13</v>
      </c>
      <c r="O7" s="169">
        <v>14</v>
      </c>
      <c r="P7" s="169">
        <v>15</v>
      </c>
      <c r="Q7" s="169">
        <v>16</v>
      </c>
      <c r="R7" s="169">
        <v>17</v>
      </c>
      <c r="S7" s="169">
        <v>18</v>
      </c>
      <c r="T7" s="169">
        <v>19</v>
      </c>
      <c r="U7" s="169">
        <v>20</v>
      </c>
      <c r="V7" s="169">
        <v>21</v>
      </c>
      <c r="W7" s="169">
        <v>22</v>
      </c>
      <c r="X7" s="169">
        <v>23</v>
      </c>
      <c r="Y7" s="169">
        <v>24</v>
      </c>
      <c r="Z7" s="169">
        <v>25</v>
      </c>
      <c r="AA7" s="169">
        <v>26</v>
      </c>
      <c r="AB7" s="169">
        <v>27</v>
      </c>
      <c r="AC7" s="169">
        <v>28</v>
      </c>
      <c r="AD7" s="169">
        <v>29</v>
      </c>
      <c r="AE7" s="169">
        <v>30</v>
      </c>
      <c r="AF7" s="169">
        <v>31</v>
      </c>
      <c r="AG7" s="169">
        <v>32</v>
      </c>
      <c r="AH7" s="169">
        <v>33</v>
      </c>
      <c r="AI7" s="169">
        <v>34</v>
      </c>
      <c r="AJ7" s="169">
        <v>35</v>
      </c>
      <c r="AK7" s="169">
        <v>36</v>
      </c>
      <c r="AL7" s="169">
        <v>37</v>
      </c>
      <c r="AM7" s="169">
        <v>38</v>
      </c>
      <c r="AN7" s="169">
        <v>39</v>
      </c>
      <c r="AO7" s="169">
        <v>40</v>
      </c>
      <c r="AP7" s="169">
        <v>41</v>
      </c>
      <c r="AQ7" s="169">
        <v>42</v>
      </c>
      <c r="AR7" s="169">
        <v>43</v>
      </c>
      <c r="AS7" s="169">
        <v>44</v>
      </c>
      <c r="AT7" s="18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2" customFormat="1" ht="21" customHeight="1">
      <c r="A8" s="170" t="s">
        <v>78</v>
      </c>
      <c r="B8" s="173" t="s">
        <v>89</v>
      </c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5"/>
      <c r="AT8" s="171"/>
    </row>
    <row r="9" spans="1:91" s="64" customFormat="1" ht="18" customHeight="1">
      <c r="A9" s="227">
        <v>1</v>
      </c>
      <c r="B9" s="227" t="s">
        <v>84</v>
      </c>
      <c r="C9" s="229" t="str">
        <f>VLOOKUP(B9,DS,2,0)</f>
        <v>Lê Kim Ngọc Thảo</v>
      </c>
      <c r="D9" s="231" t="str">
        <f>VLOOKUP(B9,DS,3,0)</f>
        <v>Văn Phòng</v>
      </c>
      <c r="E9" s="65" t="s">
        <v>32</v>
      </c>
      <c r="F9" s="138">
        <v>8</v>
      </c>
      <c r="G9" s="138">
        <v>8</v>
      </c>
      <c r="H9" s="138">
        <v>8</v>
      </c>
      <c r="I9" s="138">
        <v>8</v>
      </c>
      <c r="J9" s="138">
        <v>8</v>
      </c>
      <c r="K9" s="138">
        <v>8</v>
      </c>
      <c r="L9" s="138"/>
      <c r="M9" s="138">
        <v>8</v>
      </c>
      <c r="N9" s="138">
        <v>8</v>
      </c>
      <c r="O9" s="138">
        <v>8</v>
      </c>
      <c r="P9" s="138">
        <v>8</v>
      </c>
      <c r="Q9" s="138">
        <v>8</v>
      </c>
      <c r="R9" s="138">
        <v>8</v>
      </c>
      <c r="S9" s="138"/>
      <c r="T9" s="138">
        <v>8</v>
      </c>
      <c r="U9" s="138">
        <v>8</v>
      </c>
      <c r="V9" s="138">
        <v>8</v>
      </c>
      <c r="W9" s="138">
        <v>8</v>
      </c>
      <c r="X9" s="138">
        <v>8</v>
      </c>
      <c r="Y9" s="138">
        <v>8</v>
      </c>
      <c r="Z9" s="138"/>
      <c r="AA9" s="138">
        <v>8</v>
      </c>
      <c r="AB9" s="138">
        <v>8</v>
      </c>
      <c r="AC9" s="138">
        <v>8</v>
      </c>
      <c r="AD9" s="138">
        <v>8</v>
      </c>
      <c r="AE9" s="138">
        <v>8</v>
      </c>
      <c r="AF9" s="138">
        <v>8</v>
      </c>
      <c r="AG9" s="138"/>
      <c r="AH9" s="138">
        <v>8</v>
      </c>
      <c r="AI9" s="138">
        <v>8</v>
      </c>
      <c r="AJ9" s="138">
        <v>8</v>
      </c>
      <c r="AK9" s="233">
        <f>((SUM(F9:AJ9))/8)-(SUMIF($F$6:$AJ$6,"C.Nhật",F9:AJ9)/8)</f>
        <v>27</v>
      </c>
      <c r="AL9" s="233">
        <f>SUM(F10:AJ10)/8*1.5</f>
        <v>0</v>
      </c>
      <c r="AM9" s="235">
        <f>SUMIF($F$6:$AJ$6,"C.Nhật",$F9:$AJ10)/8*2</f>
        <v>0</v>
      </c>
      <c r="AN9" s="223">
        <f>SUM(AK9:AM10)</f>
        <v>27</v>
      </c>
      <c r="AO9" s="237">
        <v>0</v>
      </c>
      <c r="AP9" s="223"/>
      <c r="AQ9" s="223"/>
      <c r="AR9" s="223"/>
      <c r="AS9" s="225"/>
      <c r="AT9" s="18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28"/>
      <c r="B10" s="228"/>
      <c r="C10" s="230"/>
      <c r="D10" s="232"/>
      <c r="E10" s="66" t="s">
        <v>31</v>
      </c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234"/>
      <c r="AL10" s="234"/>
      <c r="AM10" s="236"/>
      <c r="AN10" s="224"/>
      <c r="AO10" s="238"/>
      <c r="AP10" s="224"/>
      <c r="AQ10" s="224"/>
      <c r="AR10" s="224"/>
      <c r="AS10" s="226"/>
      <c r="AT10" s="18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72" customFormat="1" ht="21" customHeight="1">
      <c r="A11" s="170" t="s">
        <v>79</v>
      </c>
      <c r="B11" s="173" t="s">
        <v>83</v>
      </c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5"/>
      <c r="AT11" s="171"/>
    </row>
    <row r="12" spans="1:91" s="64" customFormat="1" ht="18" customHeight="1">
      <c r="A12" s="227">
        <v>1</v>
      </c>
      <c r="B12" s="227" t="s">
        <v>85</v>
      </c>
      <c r="C12" s="229" t="str">
        <f>VLOOKUP(B12,DS,2,0)</f>
        <v>Diệp Văn Lân</v>
      </c>
      <c r="D12" s="231" t="str">
        <f>VLOOKUP(B12,DS,3,0)</f>
        <v>Công Đoạn 1</v>
      </c>
      <c r="E12" s="65" t="s">
        <v>32</v>
      </c>
      <c r="F12" s="138">
        <v>8</v>
      </c>
      <c r="G12" s="138">
        <v>8</v>
      </c>
      <c r="H12" s="138">
        <v>8</v>
      </c>
      <c r="I12" s="138">
        <v>8</v>
      </c>
      <c r="J12" s="138">
        <v>8</v>
      </c>
      <c r="K12" s="138">
        <v>8</v>
      </c>
      <c r="L12" s="138"/>
      <c r="M12" s="138">
        <v>8</v>
      </c>
      <c r="N12" s="138">
        <v>8</v>
      </c>
      <c r="O12" s="138">
        <v>8</v>
      </c>
      <c r="P12" s="138">
        <v>8</v>
      </c>
      <c r="Q12" s="138">
        <v>8</v>
      </c>
      <c r="R12" s="138">
        <v>8</v>
      </c>
      <c r="S12" s="138"/>
      <c r="T12" s="138">
        <v>8</v>
      </c>
      <c r="U12" s="138">
        <v>8</v>
      </c>
      <c r="V12" s="138">
        <v>8</v>
      </c>
      <c r="W12" s="138">
        <v>8</v>
      </c>
      <c r="X12" s="138">
        <v>8</v>
      </c>
      <c r="Y12" s="138">
        <v>8</v>
      </c>
      <c r="Z12" s="138"/>
      <c r="AA12" s="138">
        <v>8</v>
      </c>
      <c r="AB12" s="138">
        <v>8</v>
      </c>
      <c r="AC12" s="138">
        <v>8</v>
      </c>
      <c r="AD12" s="138">
        <v>8</v>
      </c>
      <c r="AE12" s="138">
        <v>8</v>
      </c>
      <c r="AF12" s="138">
        <v>8</v>
      </c>
      <c r="AG12" s="138"/>
      <c r="AH12" s="138">
        <v>8</v>
      </c>
      <c r="AI12" s="138">
        <v>8</v>
      </c>
      <c r="AJ12" s="138">
        <v>8</v>
      </c>
      <c r="AK12" s="233">
        <f t="shared" ref="AK12" si="2">((SUM(F12:AJ12))/8)-(SUMIF($F$6:$AJ$6,"C.Nhật",F12:AJ12)/8)</f>
        <v>27</v>
      </c>
      <c r="AL12" s="233">
        <f t="shared" ref="AL12" si="3">SUM(F13:AJ13)/8*1.5</f>
        <v>0</v>
      </c>
      <c r="AM12" s="235">
        <f>SUMIF($F$6:$AJ$6,"C.Nhật",$F12:$AJ13)/8*2</f>
        <v>0</v>
      </c>
      <c r="AN12" s="223">
        <f>SUM(AK12:AM13)</f>
        <v>27</v>
      </c>
      <c r="AO12" s="237">
        <v>0</v>
      </c>
      <c r="AP12" s="223"/>
      <c r="AQ12" s="223"/>
      <c r="AR12" s="223"/>
      <c r="AS12" s="225"/>
      <c r="AT12" s="204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64" customFormat="1" ht="18" customHeight="1">
      <c r="A13" s="228"/>
      <c r="B13" s="228"/>
      <c r="C13" s="230"/>
      <c r="D13" s="232"/>
      <c r="E13" s="66" t="s">
        <v>31</v>
      </c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234"/>
      <c r="AL13" s="234"/>
      <c r="AM13" s="236"/>
      <c r="AN13" s="224"/>
      <c r="AO13" s="238"/>
      <c r="AP13" s="224"/>
      <c r="AQ13" s="224"/>
      <c r="AR13" s="224"/>
      <c r="AS13" s="226"/>
      <c r="AT13" s="204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64" customFormat="1" ht="18" customHeight="1">
      <c r="A14" s="227">
        <v>2</v>
      </c>
      <c r="B14" s="227" t="s">
        <v>86</v>
      </c>
      <c r="C14" s="229" t="str">
        <f>VLOOKUP(B14,DS,2,0)</f>
        <v>Dương Thế Kiệt</v>
      </c>
      <c r="D14" s="231" t="str">
        <f>VLOOKUP(B14,DS,3,0)</f>
        <v>Công Đoạn 1</v>
      </c>
      <c r="E14" s="65" t="s">
        <v>32</v>
      </c>
      <c r="F14" s="138">
        <v>8</v>
      </c>
      <c r="G14" s="138">
        <v>8</v>
      </c>
      <c r="H14" s="138">
        <v>8</v>
      </c>
      <c r="I14" s="138">
        <v>8</v>
      </c>
      <c r="J14" s="138">
        <v>8</v>
      </c>
      <c r="K14" s="138">
        <v>8</v>
      </c>
      <c r="L14" s="138"/>
      <c r="M14" s="138">
        <v>8</v>
      </c>
      <c r="N14" s="138">
        <v>8</v>
      </c>
      <c r="O14" s="138">
        <v>8</v>
      </c>
      <c r="P14" s="138">
        <v>8</v>
      </c>
      <c r="Q14" s="138">
        <v>8</v>
      </c>
      <c r="R14" s="138">
        <v>8</v>
      </c>
      <c r="S14" s="138"/>
      <c r="T14" s="138">
        <v>8</v>
      </c>
      <c r="U14" s="138">
        <v>8</v>
      </c>
      <c r="V14" s="138">
        <v>8</v>
      </c>
      <c r="W14" s="138">
        <v>8</v>
      </c>
      <c r="X14" s="138">
        <v>8</v>
      </c>
      <c r="Y14" s="138">
        <v>8</v>
      </c>
      <c r="Z14" s="138"/>
      <c r="AA14" s="138">
        <v>8</v>
      </c>
      <c r="AB14" s="138">
        <v>8</v>
      </c>
      <c r="AC14" s="138">
        <v>8</v>
      </c>
      <c r="AD14" s="138">
        <v>8</v>
      </c>
      <c r="AE14" s="138">
        <v>8</v>
      </c>
      <c r="AF14" s="138">
        <v>8</v>
      </c>
      <c r="AG14" s="138"/>
      <c r="AH14" s="138">
        <v>8</v>
      </c>
      <c r="AI14" s="138">
        <v>8</v>
      </c>
      <c r="AJ14" s="138">
        <v>8</v>
      </c>
      <c r="AK14" s="233">
        <f t="shared" ref="AK14" si="4">((SUM(F14:AJ14))/8)-(SUMIF($F$6:$AJ$6,"C.Nhật",F14:AJ14)/8)</f>
        <v>27</v>
      </c>
      <c r="AL14" s="233">
        <f t="shared" ref="AL14" si="5">SUM(F15:AJ15)/8*1.5</f>
        <v>0</v>
      </c>
      <c r="AM14" s="235">
        <f>SUMIF($F$6:$AJ$6,"C.Nhật",$F14:$AJ15)/8*2</f>
        <v>0</v>
      </c>
      <c r="AN14" s="223">
        <f t="shared" ref="AN14" si="6">SUM(AK14:AM15)</f>
        <v>27</v>
      </c>
      <c r="AO14" s="237">
        <v>0</v>
      </c>
      <c r="AP14" s="223"/>
      <c r="AQ14" s="223"/>
      <c r="AR14" s="223"/>
      <c r="AS14" s="225"/>
      <c r="AT14" s="20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28"/>
      <c r="B15" s="228"/>
      <c r="C15" s="230"/>
      <c r="D15" s="232"/>
      <c r="E15" s="66" t="s">
        <v>31</v>
      </c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234"/>
      <c r="AL15" s="234"/>
      <c r="AM15" s="236"/>
      <c r="AN15" s="224"/>
      <c r="AO15" s="238"/>
      <c r="AP15" s="224"/>
      <c r="AQ15" s="224"/>
      <c r="AR15" s="224"/>
      <c r="AS15" s="226"/>
      <c r="AT15" s="20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27">
        <v>3</v>
      </c>
      <c r="B16" s="227" t="s">
        <v>87</v>
      </c>
      <c r="C16" s="229" t="str">
        <f>VLOOKUP(B16,DS,2,0)</f>
        <v>Lê Văn Hữu</v>
      </c>
      <c r="D16" s="231" t="str">
        <f>VLOOKUP(B16,DS,3,0)</f>
        <v>Công Đoạn 2</v>
      </c>
      <c r="E16" s="65" t="s">
        <v>32</v>
      </c>
      <c r="F16" s="138">
        <v>8</v>
      </c>
      <c r="G16" s="138">
        <v>8</v>
      </c>
      <c r="H16" s="138">
        <v>8</v>
      </c>
      <c r="I16" s="138">
        <v>8</v>
      </c>
      <c r="J16" s="138">
        <v>8</v>
      </c>
      <c r="K16" s="138">
        <v>8</v>
      </c>
      <c r="L16" s="138"/>
      <c r="M16" s="138">
        <v>8</v>
      </c>
      <c r="N16" s="138">
        <v>8</v>
      </c>
      <c r="O16" s="138">
        <v>8</v>
      </c>
      <c r="P16" s="138">
        <v>8</v>
      </c>
      <c r="Q16" s="138">
        <v>8</v>
      </c>
      <c r="R16" s="138">
        <v>8</v>
      </c>
      <c r="S16" s="138"/>
      <c r="T16" s="138">
        <v>8</v>
      </c>
      <c r="U16" s="138">
        <v>8</v>
      </c>
      <c r="V16" s="138">
        <v>8</v>
      </c>
      <c r="W16" s="138">
        <v>8</v>
      </c>
      <c r="X16" s="138">
        <v>8</v>
      </c>
      <c r="Y16" s="138">
        <v>8</v>
      </c>
      <c r="Z16" s="138"/>
      <c r="AA16" s="138">
        <v>8</v>
      </c>
      <c r="AB16" s="138">
        <v>8</v>
      </c>
      <c r="AC16" s="138">
        <v>8</v>
      </c>
      <c r="AD16" s="138">
        <v>8</v>
      </c>
      <c r="AE16" s="138">
        <v>8</v>
      </c>
      <c r="AF16" s="138">
        <v>8</v>
      </c>
      <c r="AG16" s="138"/>
      <c r="AH16" s="138">
        <v>8</v>
      </c>
      <c r="AI16" s="138">
        <v>8</v>
      </c>
      <c r="AJ16" s="138">
        <v>8</v>
      </c>
      <c r="AK16" s="233">
        <f t="shared" ref="AK16" si="7">((SUM(F16:AJ16))/8)-(SUMIF($F$6:$AJ$6,"C.Nhật",F16:AJ16)/8)</f>
        <v>27</v>
      </c>
      <c r="AL16" s="233">
        <f t="shared" ref="AL16" si="8">SUM(F17:AJ17)/8*1.5</f>
        <v>0</v>
      </c>
      <c r="AM16" s="235">
        <f>SUMIF($F$6:$AJ$6,"C.Nhật",$F16:$AJ17)/8*2</f>
        <v>0</v>
      </c>
      <c r="AN16" s="223">
        <f t="shared" ref="AN16" si="9">SUM(AK16:AM17)</f>
        <v>27</v>
      </c>
      <c r="AO16" s="237">
        <v>0</v>
      </c>
      <c r="AP16" s="223"/>
      <c r="AQ16" s="223"/>
      <c r="AR16" s="223"/>
      <c r="AS16" s="225"/>
      <c r="AT16" s="20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28"/>
      <c r="B17" s="228"/>
      <c r="C17" s="230"/>
      <c r="D17" s="232"/>
      <c r="E17" s="66" t="s">
        <v>31</v>
      </c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234"/>
      <c r="AL17" s="234"/>
      <c r="AM17" s="236"/>
      <c r="AN17" s="224"/>
      <c r="AO17" s="238"/>
      <c r="AP17" s="224"/>
      <c r="AQ17" s="224"/>
      <c r="AR17" s="224"/>
      <c r="AS17" s="226"/>
      <c r="AT17" s="20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27">
        <v>4</v>
      </c>
      <c r="B18" s="227" t="s">
        <v>92</v>
      </c>
      <c r="C18" s="229" t="str">
        <f>VLOOKUP(B18,DS,2,0)</f>
        <v>Nguyễn T Bích Thủy</v>
      </c>
      <c r="D18" s="231" t="str">
        <f>VLOOKUP(B18,DS,3,0)</f>
        <v>Công Đoạn 2</v>
      </c>
      <c r="E18" s="65" t="s">
        <v>32</v>
      </c>
      <c r="F18" s="138">
        <v>8</v>
      </c>
      <c r="G18" s="138">
        <v>8</v>
      </c>
      <c r="H18" s="138">
        <v>8</v>
      </c>
      <c r="I18" s="138">
        <v>8</v>
      </c>
      <c r="J18" s="138">
        <v>8</v>
      </c>
      <c r="K18" s="138">
        <v>8</v>
      </c>
      <c r="L18" s="138"/>
      <c r="M18" s="138">
        <v>8</v>
      </c>
      <c r="N18" s="138">
        <v>8</v>
      </c>
      <c r="O18" s="138">
        <v>8</v>
      </c>
      <c r="P18" s="138">
        <v>8</v>
      </c>
      <c r="Q18" s="138">
        <v>8</v>
      </c>
      <c r="R18" s="138">
        <v>8</v>
      </c>
      <c r="S18" s="138"/>
      <c r="T18" s="138">
        <v>8</v>
      </c>
      <c r="U18" s="138">
        <v>8</v>
      </c>
      <c r="V18" s="138">
        <v>8</v>
      </c>
      <c r="W18" s="138">
        <v>8</v>
      </c>
      <c r="X18" s="138">
        <v>8</v>
      </c>
      <c r="Y18" s="138">
        <v>8</v>
      </c>
      <c r="Z18" s="138"/>
      <c r="AA18" s="138">
        <v>8</v>
      </c>
      <c r="AB18" s="138">
        <v>8</v>
      </c>
      <c r="AC18" s="138">
        <v>8</v>
      </c>
      <c r="AD18" s="138">
        <v>8</v>
      </c>
      <c r="AE18" s="138">
        <v>8</v>
      </c>
      <c r="AF18" s="138">
        <v>8</v>
      </c>
      <c r="AG18" s="138"/>
      <c r="AH18" s="138">
        <v>8</v>
      </c>
      <c r="AI18" s="138">
        <v>8</v>
      </c>
      <c r="AJ18" s="138">
        <v>8</v>
      </c>
      <c r="AK18" s="233">
        <f t="shared" ref="AK18" si="10">((SUM(F18:AJ18))/8)-(SUMIF($F$6:$AJ$6,"C.Nhật",F18:AJ18)/8)</f>
        <v>27</v>
      </c>
      <c r="AL18" s="233">
        <f t="shared" ref="AL18" si="11">SUM(F19:AJ19)/8*1.5</f>
        <v>0</v>
      </c>
      <c r="AM18" s="235">
        <f>SUMIF($F$6:$AJ$6,"C.Nhật",$F18:$AJ19)/8*2</f>
        <v>0</v>
      </c>
      <c r="AN18" s="223">
        <f t="shared" ref="AN18" si="12">SUM(AK18:AM19)</f>
        <v>27</v>
      </c>
      <c r="AO18" s="237">
        <v>0</v>
      </c>
      <c r="AP18" s="223"/>
      <c r="AQ18" s="223"/>
      <c r="AR18" s="223"/>
      <c r="AS18" s="225"/>
      <c r="AT18" s="20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28"/>
      <c r="B19" s="228"/>
      <c r="C19" s="230"/>
      <c r="D19" s="232"/>
      <c r="E19" s="66" t="s">
        <v>31</v>
      </c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234"/>
      <c r="AL19" s="234"/>
      <c r="AM19" s="236"/>
      <c r="AN19" s="224"/>
      <c r="AO19" s="238"/>
      <c r="AP19" s="224"/>
      <c r="AQ19" s="224"/>
      <c r="AR19" s="224"/>
      <c r="AS19" s="226"/>
      <c r="AT19" s="20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2.75">
      <c r="A20" s="14"/>
      <c r="B20" s="68"/>
      <c r="C20" s="4"/>
      <c r="D20" s="109"/>
      <c r="E20" s="4"/>
      <c r="F20" s="72"/>
      <c r="G20" s="72"/>
      <c r="H20" s="69"/>
      <c r="I20" s="69"/>
      <c r="J20" s="115"/>
      <c r="K20" s="72"/>
      <c r="L20" s="69"/>
      <c r="M20" s="72"/>
      <c r="N20" s="72"/>
      <c r="O20" s="72"/>
      <c r="P20" s="72"/>
      <c r="Q20" s="69"/>
      <c r="R20" s="72"/>
      <c r="S20" s="72"/>
      <c r="T20" s="115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72"/>
      <c r="AJ20" s="72"/>
      <c r="AK20" s="4"/>
      <c r="AL20" s="4"/>
      <c r="AM20" s="95"/>
      <c r="AN20" s="71"/>
      <c r="AO20" s="71"/>
      <c r="AP20" s="71"/>
      <c r="AQ20" s="71"/>
      <c r="AR20" s="71"/>
      <c r="AS20" s="4"/>
      <c r="AT20" s="101"/>
    </row>
    <row r="21" spans="1:90" s="67" customFormat="1" ht="12.75">
      <c r="A21" s="14"/>
      <c r="B21" s="68"/>
      <c r="C21" s="14" t="s">
        <v>14</v>
      </c>
      <c r="D21" s="109"/>
      <c r="E21" s="4"/>
      <c r="F21" s="72"/>
      <c r="G21" s="72"/>
      <c r="H21" s="69"/>
      <c r="I21" s="69"/>
      <c r="J21" s="115"/>
      <c r="K21" s="72"/>
      <c r="L21" s="69"/>
      <c r="M21" s="72"/>
      <c r="N21" s="72"/>
      <c r="O21" s="72"/>
      <c r="P21" s="72"/>
      <c r="Q21" s="69"/>
      <c r="R21" s="72"/>
      <c r="S21" s="72"/>
      <c r="T21" s="115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72"/>
      <c r="AJ21" s="72"/>
      <c r="AK21" s="4"/>
      <c r="AL21" s="4"/>
      <c r="AM21" s="95"/>
      <c r="AN21" s="71"/>
      <c r="AO21" s="71"/>
      <c r="AP21" s="71"/>
      <c r="AQ21" s="71"/>
      <c r="AR21" s="71"/>
      <c r="AS21" s="4"/>
      <c r="AT21" s="101"/>
    </row>
    <row r="22" spans="1:90" s="67" customFormat="1" ht="12.75">
      <c r="A22" s="12"/>
      <c r="B22" s="12"/>
      <c r="C22" s="4"/>
      <c r="D22" s="109"/>
      <c r="E22" s="4"/>
      <c r="F22" s="72"/>
      <c r="G22" s="72"/>
      <c r="H22" s="116"/>
      <c r="I22" s="116"/>
      <c r="J22" s="116"/>
      <c r="K22" s="72"/>
      <c r="L22" s="116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6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101"/>
    </row>
    <row r="23" spans="1:90" s="70" customFormat="1" ht="15" customHeight="1">
      <c r="A23" s="12"/>
      <c r="B23" s="12"/>
      <c r="C23" s="4"/>
      <c r="D23" s="109"/>
      <c r="E23" s="4"/>
      <c r="F23" s="72"/>
      <c r="G23" s="72"/>
      <c r="H23" s="116"/>
      <c r="I23" s="116"/>
      <c r="J23" s="116"/>
      <c r="K23" s="72"/>
      <c r="L23" s="116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6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0" s="70" customFormat="1" ht="11.25">
      <c r="A24" s="12"/>
      <c r="B24" s="12"/>
      <c r="C24" s="4"/>
      <c r="D24" s="109"/>
      <c r="E24" s="4"/>
      <c r="F24" s="72"/>
      <c r="G24" s="72"/>
      <c r="H24" s="116"/>
      <c r="I24" s="116"/>
      <c r="J24" s="116"/>
      <c r="K24" s="72"/>
      <c r="L24" s="116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6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4"/>
    </row>
    <row r="25" spans="1:90" s="70" customFormat="1" ht="11.25">
      <c r="A25" s="12"/>
      <c r="B25" s="12"/>
      <c r="C25" s="4"/>
      <c r="D25" s="109"/>
      <c r="E25" s="4"/>
      <c r="F25" s="72"/>
      <c r="G25" s="72"/>
      <c r="H25" s="116"/>
      <c r="I25" s="116"/>
      <c r="J25" s="116"/>
      <c r="K25" s="72"/>
      <c r="L25" s="116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6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0" s="70" customFormat="1" ht="11.25">
      <c r="A26" s="10"/>
      <c r="B26" s="10"/>
      <c r="C26" s="14"/>
      <c r="D26" s="110"/>
      <c r="E26" s="74"/>
      <c r="F26" s="115"/>
      <c r="G26" s="117"/>
      <c r="H26" s="69"/>
      <c r="I26" s="69"/>
      <c r="J26" s="69"/>
      <c r="K26" s="117"/>
      <c r="L26" s="69"/>
      <c r="M26" s="117"/>
      <c r="N26" s="117"/>
      <c r="O26" s="117"/>
      <c r="P26" s="117"/>
      <c r="Q26" s="69"/>
      <c r="R26" s="115"/>
      <c r="S26" s="117"/>
      <c r="T26" s="117"/>
      <c r="U26" s="69"/>
      <c r="V26" s="117"/>
      <c r="W26" s="117"/>
      <c r="X26" s="69"/>
      <c r="Y26" s="117"/>
      <c r="Z26" s="117"/>
      <c r="AA26" s="117"/>
      <c r="AB26" s="117"/>
      <c r="AC26" s="117"/>
      <c r="AD26" s="69"/>
      <c r="AE26" s="117"/>
      <c r="AF26" s="117"/>
      <c r="AG26" s="117"/>
      <c r="AH26" s="117"/>
      <c r="AI26" s="117"/>
      <c r="AJ26" s="117"/>
      <c r="AK26" s="74"/>
      <c r="AM26" s="96"/>
      <c r="AN26" s="10"/>
      <c r="AO26" s="10"/>
      <c r="AP26" s="10"/>
      <c r="AQ26" s="10"/>
      <c r="AR26" s="10"/>
      <c r="AS26" s="14"/>
      <c r="AT26" s="4"/>
    </row>
    <row r="27" spans="1:90" s="70" customFormat="1" ht="12.75">
      <c r="A27" s="2"/>
      <c r="B27" s="2" t="s">
        <v>0</v>
      </c>
      <c r="C27" s="2"/>
      <c r="D27" s="183"/>
      <c r="E27" s="2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9"/>
      <c r="AI27" s="119"/>
      <c r="AJ27" s="119"/>
      <c r="AK27" s="2"/>
      <c r="AL27" s="2"/>
      <c r="AM27" s="97"/>
      <c r="AN27" s="2"/>
      <c r="AO27" s="2"/>
      <c r="AP27" s="2"/>
      <c r="AQ27" s="2"/>
      <c r="AR27" s="2"/>
      <c r="AS27" s="2"/>
      <c r="AT27" s="4"/>
    </row>
    <row r="28" spans="1:90" s="70" customFormat="1" ht="12.75">
      <c r="A28" s="2"/>
      <c r="B28" s="2"/>
      <c r="C28" s="2" t="s">
        <v>46</v>
      </c>
      <c r="D28" s="183"/>
      <c r="E28" s="2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9"/>
      <c r="AI28" s="119"/>
      <c r="AJ28" s="119"/>
      <c r="AK28" s="2"/>
      <c r="AL28" s="2"/>
      <c r="AM28" s="97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A12:A19 C12:E19" name="Range1_6_2"/>
    <protectedRange password="CC78" sqref="B12:B19" name="Range1_4_2"/>
  </protectedRanges>
  <mergeCells count="79">
    <mergeCell ref="AS14:AS15"/>
    <mergeCell ref="A14:A15"/>
    <mergeCell ref="B14:B15"/>
    <mergeCell ref="C14:C15"/>
    <mergeCell ref="D14:D15"/>
    <mergeCell ref="AK14:AK15"/>
    <mergeCell ref="AO16:AO17"/>
    <mergeCell ref="AP16:AP17"/>
    <mergeCell ref="AQ16:AQ17"/>
    <mergeCell ref="AR16:AR17"/>
    <mergeCell ref="AS16:AS17"/>
    <mergeCell ref="A16:A17"/>
    <mergeCell ref="B16:B17"/>
    <mergeCell ref="C16:C17"/>
    <mergeCell ref="D16:D17"/>
    <mergeCell ref="AK16:AK17"/>
    <mergeCell ref="AO14:AO15"/>
    <mergeCell ref="AP14:AP15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O12:AO13"/>
    <mergeCell ref="AP12:AP13"/>
    <mergeCell ref="AQ12:AQ13"/>
    <mergeCell ref="AL14:AL15"/>
    <mergeCell ref="AM14:AM15"/>
    <mergeCell ref="AN14:AN15"/>
    <mergeCell ref="AL16:AL17"/>
    <mergeCell ref="AR12:AR13"/>
    <mergeCell ref="AS12:AS13"/>
    <mergeCell ref="AM16:AM17"/>
    <mergeCell ref="AN16:AN17"/>
    <mergeCell ref="AP18:AP19"/>
    <mergeCell ref="AQ18:AQ19"/>
    <mergeCell ref="AR18:AR19"/>
    <mergeCell ref="AS18:AS19"/>
    <mergeCell ref="AQ14:AQ15"/>
    <mergeCell ref="AR14:AR15"/>
  </mergeCells>
  <conditionalFormatting sqref="F5:AJ6 F9:AJ10">
    <cfRule type="expression" dxfId="51" priority="40" stopIfTrue="1">
      <formula>IF(WEEKDAY(F$5)=1,TRUE,FALSE)</formula>
    </cfRule>
  </conditionalFormatting>
  <conditionalFormatting sqref="F9:AJ10">
    <cfRule type="expression" dxfId="50" priority="39" stopIfTrue="1">
      <formula>IF(WEEKDAY(F$5)=1,TRUE,FALSE)</formula>
    </cfRule>
  </conditionalFormatting>
  <conditionalFormatting sqref="F12:AJ19">
    <cfRule type="expression" dxfId="49" priority="2" stopIfTrue="1">
      <formula>IF(WEEKDAY(F$5)=1,TRUE,FALSE)</formula>
    </cfRule>
  </conditionalFormatting>
  <conditionalFormatting sqref="F12:AJ19">
    <cfRule type="expression" dxfId="4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9" activeCellId="1" sqref="S12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4"/>
      <c r="B1" s="187"/>
      <c r="C1" s="187"/>
      <c r="D1" s="258" t="str">
        <f>"BẢNG THANH TOÁN LƯƠNG THÁNG"&amp;" "&amp;TEXT($E$4,"mm")&amp;" / "&amp;TEXT($E$4,"yyyy")</f>
        <v>BẢNG THANH TOÁN LƯƠNG THÁNG 08 / 2016</v>
      </c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9"/>
      <c r="R1" s="260" t="s">
        <v>88</v>
      </c>
      <c r="S1" s="261"/>
      <c r="T1" s="262"/>
      <c r="U1" s="125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4"/>
      <c r="B2" s="187"/>
      <c r="C2" s="187"/>
      <c r="D2" s="187"/>
      <c r="E2" s="78"/>
      <c r="F2" s="187"/>
      <c r="G2" s="187"/>
      <c r="H2" s="187"/>
      <c r="I2" s="187"/>
      <c r="J2" s="79"/>
      <c r="K2" s="187"/>
      <c r="L2" s="187"/>
      <c r="M2" s="187"/>
      <c r="N2" s="187"/>
      <c r="O2" s="187"/>
      <c r="P2" s="187"/>
      <c r="Q2" s="187"/>
      <c r="R2" s="187"/>
      <c r="S2" s="187"/>
      <c r="T2" s="56"/>
      <c r="U2" s="77">
        <f>MAX(F10:F19)</f>
        <v>27</v>
      </c>
      <c r="V2" s="108">
        <v>31</v>
      </c>
      <c r="W2" s="80"/>
      <c r="X2" s="80"/>
      <c r="Y2" s="5"/>
      <c r="Z2" s="5"/>
    </row>
    <row r="3" spans="1:31" s="4" customFormat="1" ht="15" customHeight="1">
      <c r="A3" s="134"/>
      <c r="B3" s="187"/>
      <c r="C3" s="187"/>
      <c r="D3" s="187"/>
      <c r="E3" s="78"/>
      <c r="F3" s="187"/>
      <c r="G3" s="187"/>
      <c r="H3" s="187"/>
      <c r="I3" s="187"/>
      <c r="J3" s="79"/>
      <c r="K3" s="187"/>
      <c r="L3" s="187"/>
      <c r="M3" s="187"/>
      <c r="N3" s="187"/>
      <c r="O3" s="187"/>
      <c r="P3" s="187"/>
      <c r="Q3" s="187"/>
      <c r="R3" s="187"/>
      <c r="S3" s="187"/>
      <c r="T3" s="56"/>
      <c r="U3" s="126"/>
      <c r="V3" s="127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1">
        <f>'CC - 8'!$E$4</f>
        <v>42583</v>
      </c>
      <c r="F4" s="101"/>
      <c r="G4" s="101"/>
      <c r="H4" s="101"/>
      <c r="I4" s="101"/>
      <c r="J4" s="101"/>
      <c r="K4" s="101"/>
      <c r="L4" s="101"/>
      <c r="M4" s="101"/>
      <c r="N4" s="156">
        <v>0.08</v>
      </c>
      <c r="O4" s="156">
        <v>1.4999999999999999E-2</v>
      </c>
      <c r="P4" s="156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7" customFormat="1" ht="24" customHeight="1">
      <c r="A5" s="263" t="s">
        <v>19</v>
      </c>
      <c r="B5" s="263" t="s">
        <v>20</v>
      </c>
      <c r="C5" s="216" t="s">
        <v>1</v>
      </c>
      <c r="D5" s="216" t="s">
        <v>2</v>
      </c>
      <c r="E5" s="211" t="s">
        <v>56</v>
      </c>
      <c r="F5" s="265" t="s">
        <v>26</v>
      </c>
      <c r="G5" s="266"/>
      <c r="H5" s="266"/>
      <c r="I5" s="266"/>
      <c r="J5" s="266"/>
      <c r="K5" s="267"/>
      <c r="L5" s="254" t="s">
        <v>57</v>
      </c>
      <c r="M5" s="254" t="s">
        <v>5</v>
      </c>
      <c r="N5" s="216" t="s">
        <v>6</v>
      </c>
      <c r="O5" s="216"/>
      <c r="P5" s="216"/>
      <c r="Q5" s="254" t="s">
        <v>7</v>
      </c>
      <c r="R5" s="254" t="s">
        <v>8</v>
      </c>
      <c r="S5" s="254" t="s">
        <v>9</v>
      </c>
      <c r="T5" s="212" t="s">
        <v>10</v>
      </c>
      <c r="U5" s="101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4"/>
      <c r="B6" s="264"/>
      <c r="C6" s="216"/>
      <c r="D6" s="216"/>
      <c r="E6" s="211"/>
      <c r="F6" s="265" t="s">
        <v>59</v>
      </c>
      <c r="G6" s="267"/>
      <c r="H6" s="265" t="s">
        <v>81</v>
      </c>
      <c r="I6" s="266"/>
      <c r="J6" s="252" t="s">
        <v>27</v>
      </c>
      <c r="K6" s="254" t="s">
        <v>4</v>
      </c>
      <c r="L6" s="255"/>
      <c r="M6" s="255"/>
      <c r="N6" s="256" t="s">
        <v>12</v>
      </c>
      <c r="O6" s="254" t="s">
        <v>13</v>
      </c>
      <c r="P6" s="254" t="s">
        <v>34</v>
      </c>
      <c r="Q6" s="255"/>
      <c r="R6" s="255"/>
      <c r="S6" s="255"/>
      <c r="T6" s="213"/>
      <c r="U6" s="101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4"/>
      <c r="B7" s="264"/>
      <c r="C7" s="254"/>
      <c r="D7" s="254"/>
      <c r="E7" s="211"/>
      <c r="F7" s="186" t="s">
        <v>40</v>
      </c>
      <c r="G7" s="184" t="s">
        <v>18</v>
      </c>
      <c r="H7" s="186" t="s">
        <v>40</v>
      </c>
      <c r="I7" s="123" t="s">
        <v>18</v>
      </c>
      <c r="J7" s="253"/>
      <c r="K7" s="255"/>
      <c r="L7" s="268"/>
      <c r="M7" s="268"/>
      <c r="N7" s="257"/>
      <c r="O7" s="255"/>
      <c r="P7" s="255"/>
      <c r="Q7" s="255"/>
      <c r="R7" s="255"/>
      <c r="S7" s="255"/>
      <c r="T7" s="213"/>
      <c r="U7" s="101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0" t="s">
        <v>78</v>
      </c>
      <c r="B9" s="179" t="s">
        <v>89</v>
      </c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6" t="s">
        <v>84</v>
      </c>
      <c r="C10" s="86" t="str">
        <f t="shared" ref="C10" si="0">VLOOKUP(B10,DS,2,0)</f>
        <v>Lê Kim Ngọc Thảo</v>
      </c>
      <c r="D10" s="111" t="str">
        <f t="shared" ref="D10" si="1">VLOOKUP(B10,DS,3,0)</f>
        <v>Văn Phòng</v>
      </c>
      <c r="E10" s="87">
        <f t="shared" ref="E10" si="2">VLOOKUP(B10,DS,4,0)</f>
        <v>4000000</v>
      </c>
      <c r="F10" s="89">
        <f>VLOOKUP(B10,'CC - 8'!$B$8:$AS$19,36,0)</f>
        <v>27</v>
      </c>
      <c r="G10" s="140">
        <f t="shared" ref="G10" si="3">ROUND(E10/$U$2*F10,0)</f>
        <v>4000000</v>
      </c>
      <c r="H10" s="89">
        <f>(VLOOKUP(B10,'CC - 8'!$B$8:$AS$19,37,0)+VLOOKUP(B10,'CC - 8'!$B$8:$AS$19,38,0))</f>
        <v>0</v>
      </c>
      <c r="I10" s="140">
        <f t="shared" ref="I10" si="4">ROUND(E10/$U$2*H10,0)</f>
        <v>0</v>
      </c>
      <c r="J10" s="90">
        <f t="shared" ref="J10" si="5">F10+H10</f>
        <v>27</v>
      </c>
      <c r="K10" s="37">
        <f>G10+I10</f>
        <v>4000000</v>
      </c>
      <c r="L10" s="87">
        <f t="shared" ref="L10" si="6">+F10*15000</f>
        <v>405000</v>
      </c>
      <c r="M10" s="38">
        <f t="shared" ref="M10" si="7">K10+L10</f>
        <v>4405000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8">M10-SUM(N10:P10)</f>
        <v>4405000</v>
      </c>
      <c r="R10" s="37">
        <f>VLOOKUP(B10,DS,23,0)</f>
        <v>0</v>
      </c>
      <c r="S10" s="43">
        <f t="shared" ref="S10" si="9">Q10-R10</f>
        <v>4405000</v>
      </c>
      <c r="T10" s="37"/>
      <c r="U10" s="101"/>
      <c r="V10" s="35"/>
      <c r="W10" s="28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188"/>
      <c r="B11" s="189"/>
      <c r="C11" s="190"/>
      <c r="D11" s="191"/>
      <c r="E11" s="192"/>
      <c r="F11" s="193"/>
      <c r="G11" s="194"/>
      <c r="H11" s="193"/>
      <c r="I11" s="194"/>
      <c r="J11" s="195"/>
      <c r="K11" s="196"/>
      <c r="L11" s="192"/>
      <c r="M11" s="197"/>
      <c r="N11" s="197"/>
      <c r="O11" s="197"/>
      <c r="P11" s="197"/>
      <c r="Q11" s="196"/>
      <c r="R11" s="196"/>
      <c r="S11" s="198"/>
      <c r="T11" s="196"/>
      <c r="U11" s="101"/>
      <c r="V11" s="35"/>
      <c r="W11" s="28"/>
      <c r="X11" s="5"/>
      <c r="Y11" s="5"/>
      <c r="Z11" s="5"/>
      <c r="AA11" s="4"/>
      <c r="AB11" s="4"/>
      <c r="AC11" s="4"/>
      <c r="AD11" s="4"/>
      <c r="AE11" s="4"/>
    </row>
    <row r="12" spans="1:31" s="32" customFormat="1" ht="21" customHeight="1">
      <c r="A12" s="251" t="s">
        <v>25</v>
      </c>
      <c r="B12" s="251"/>
      <c r="C12" s="251"/>
      <c r="D12" s="251"/>
      <c r="E12" s="135">
        <f>SUM(E9:E10)</f>
        <v>4000000</v>
      </c>
      <c r="F12" s="135"/>
      <c r="G12" s="135">
        <f>SUM(G9:G10)</f>
        <v>4000000</v>
      </c>
      <c r="H12" s="135"/>
      <c r="I12" s="135">
        <f>SUM(I9:I10)</f>
        <v>0</v>
      </c>
      <c r="J12" s="135"/>
      <c r="K12" s="135">
        <f>SUM(K9:K10)</f>
        <v>4000000</v>
      </c>
      <c r="L12" s="135">
        <f>SUM(L9:L10)</f>
        <v>405000</v>
      </c>
      <c r="M12" s="135">
        <f>SUM(M9:M10)</f>
        <v>4405000</v>
      </c>
      <c r="N12" s="135">
        <f>SUM(N9:N10)</f>
        <v>0</v>
      </c>
      <c r="O12" s="135">
        <f>SUM(O9:O10)</f>
        <v>0</v>
      </c>
      <c r="P12" s="135">
        <f>SUM(P9:P10)</f>
        <v>0</v>
      </c>
      <c r="Q12" s="135">
        <f>SUM(Q9:Q10)</f>
        <v>4405000</v>
      </c>
      <c r="R12" s="135">
        <f>SUM(R9:R10)</f>
        <v>0</v>
      </c>
      <c r="S12" s="135">
        <f>SUM(S9:S10)</f>
        <v>4405000</v>
      </c>
      <c r="T12" s="26"/>
      <c r="U12" s="101"/>
      <c r="V12" s="33"/>
      <c r="W12" s="33"/>
      <c r="X12" s="33"/>
      <c r="Y12" s="33"/>
      <c r="Z12" s="33"/>
    </row>
    <row r="13" spans="1:31" s="82" customFormat="1" ht="24" customHeight="1">
      <c r="A13" s="180" t="s">
        <v>79</v>
      </c>
      <c r="B13" s="179" t="s">
        <v>80</v>
      </c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01"/>
      <c r="V13" s="83"/>
      <c r="W13" s="83"/>
      <c r="X13" s="84"/>
      <c r="Y13" s="84"/>
      <c r="Z13" s="84"/>
      <c r="AA13" s="85"/>
      <c r="AB13" s="85"/>
      <c r="AC13" s="85"/>
      <c r="AD13" s="85"/>
      <c r="AE13" s="85"/>
    </row>
    <row r="14" spans="1:31" s="34" customFormat="1" ht="24" customHeight="1">
      <c r="A14" s="36">
        <v>1</v>
      </c>
      <c r="B14" s="136" t="s">
        <v>85</v>
      </c>
      <c r="C14" s="86" t="str">
        <f t="shared" ref="C14:C17" si="10">VLOOKUP(B14,DS,2,0)</f>
        <v>Diệp Văn Lân</v>
      </c>
      <c r="D14" s="111" t="str">
        <f t="shared" ref="D14:D17" si="11">VLOOKUP(B14,DS,3,0)</f>
        <v>Công Đoạn 1</v>
      </c>
      <c r="E14" s="87">
        <f t="shared" ref="E14:E17" si="12">VLOOKUP(B14,DS,4,0)</f>
        <v>3200000</v>
      </c>
      <c r="F14" s="89">
        <f>VLOOKUP(B14,'CC - 8'!$B$8:$AS$19,36,0)</f>
        <v>27</v>
      </c>
      <c r="G14" s="140">
        <f t="shared" ref="G14:G17" si="13">ROUND(E14/$U$2*F14,0)</f>
        <v>3200000</v>
      </c>
      <c r="H14" s="89">
        <f>(VLOOKUP(B14,'CC - 8'!$B$8:$AS$19,37,0)+VLOOKUP(B14,'CC - 8'!$B$8:$AS$19,38,0))</f>
        <v>0</v>
      </c>
      <c r="I14" s="140">
        <f t="shared" ref="I14:I17" si="14">ROUND(E14/$U$2*H14,0)</f>
        <v>0</v>
      </c>
      <c r="J14" s="141">
        <f t="shared" ref="J14:K17" si="15">F14+H14</f>
        <v>27</v>
      </c>
      <c r="K14" s="37">
        <f t="shared" si="15"/>
        <v>3200000</v>
      </c>
      <c r="L14" s="87">
        <f t="shared" ref="L14:L17" si="16">+F14*15000</f>
        <v>405000</v>
      </c>
      <c r="M14" s="38">
        <f t="shared" ref="M14:M17" si="17">K14+L14</f>
        <v>3605000</v>
      </c>
      <c r="N14" s="38">
        <f>IF(VLOOKUP(B14,DS,9,0)="x",'L - 8'!E14*$N$4,0)</f>
        <v>0</v>
      </c>
      <c r="O14" s="38">
        <f t="shared" ref="O14:O17" si="18">IF(VLOOKUP(B14,DS,9,0)="x",E14*0.015,0)</f>
        <v>0</v>
      </c>
      <c r="P14" s="38">
        <f t="shared" ref="P14:P17" si="19">IF(VLOOKUP(B14,DS,9,0)="x",E14*0.01,0)</f>
        <v>0</v>
      </c>
      <c r="Q14" s="37">
        <f>M14-SUM(N14:P14)</f>
        <v>3605000</v>
      </c>
      <c r="R14" s="37">
        <f t="shared" ref="R14:R17" si="20">VLOOKUP(B14,DS,23,0)</f>
        <v>0</v>
      </c>
      <c r="S14" s="43">
        <f>Q14-R14</f>
        <v>3605000</v>
      </c>
      <c r="T14" s="37"/>
      <c r="U14" s="101"/>
      <c r="V14" s="35"/>
      <c r="W14" s="28"/>
      <c r="X14" s="5"/>
      <c r="Y14" s="5"/>
      <c r="Z14" s="5"/>
      <c r="AA14" s="4"/>
      <c r="AB14" s="4"/>
      <c r="AC14" s="4"/>
      <c r="AD14" s="4"/>
      <c r="AE14" s="4"/>
    </row>
    <row r="15" spans="1:31" s="34" customFormat="1" ht="24" customHeight="1">
      <c r="A15" s="36">
        <v>2</v>
      </c>
      <c r="B15" s="136" t="s">
        <v>86</v>
      </c>
      <c r="C15" s="86" t="str">
        <f t="shared" ref="C15:C16" si="21">VLOOKUP(B15,DS,2,0)</f>
        <v>Dương Thế Kiệt</v>
      </c>
      <c r="D15" s="111" t="str">
        <f t="shared" ref="D15:D16" si="22">VLOOKUP(B15,DS,3,0)</f>
        <v>Công Đoạn 1</v>
      </c>
      <c r="E15" s="87">
        <f t="shared" ref="E15:E16" si="23">VLOOKUP(B15,DS,4,0)</f>
        <v>3000000</v>
      </c>
      <c r="F15" s="89">
        <f>VLOOKUP(B15,'CC - 8'!$B$8:$AS$19,36,0)</f>
        <v>27</v>
      </c>
      <c r="G15" s="140">
        <f t="shared" ref="G15:G16" si="24">ROUND(E15/$U$2*F15,0)</f>
        <v>3000000</v>
      </c>
      <c r="H15" s="89">
        <f>(VLOOKUP(B15,'CC - 8'!$B$8:$AS$19,37,0)+VLOOKUP(B15,'CC - 8'!$B$8:$AS$19,38,0))</f>
        <v>0</v>
      </c>
      <c r="I15" s="140">
        <f t="shared" ref="I15:I16" si="25">ROUND(E15/$U$2*H15,0)</f>
        <v>0</v>
      </c>
      <c r="J15" s="141">
        <f t="shared" ref="J15:J16" si="26">F15+H15</f>
        <v>27</v>
      </c>
      <c r="K15" s="37">
        <f t="shared" ref="K15:K16" si="27">G15+I15</f>
        <v>3000000</v>
      </c>
      <c r="L15" s="87">
        <f t="shared" ref="L15:L16" si="28">+F15*15000</f>
        <v>405000</v>
      </c>
      <c r="M15" s="38">
        <f t="shared" ref="M15:M16" si="29">K15+L15</f>
        <v>3405000</v>
      </c>
      <c r="N15" s="38">
        <f>IF(VLOOKUP(B15,DS,9,0)="x",'L - 8'!E15*$N$4,0)</f>
        <v>0</v>
      </c>
      <c r="O15" s="38">
        <f t="shared" ref="O15:O16" si="30">IF(VLOOKUP(B15,DS,9,0)="x",E15*0.015,0)</f>
        <v>0</v>
      </c>
      <c r="P15" s="38">
        <f t="shared" ref="P15:P16" si="31">IF(VLOOKUP(B15,DS,9,0)="x",E15*0.01,0)</f>
        <v>0</v>
      </c>
      <c r="Q15" s="37">
        <f t="shared" ref="Q15:Q16" si="32">M15-SUM(N15:P15)</f>
        <v>3405000</v>
      </c>
      <c r="R15" s="37">
        <f t="shared" ref="R15:R16" si="33">VLOOKUP(B15,DS,23,0)</f>
        <v>0</v>
      </c>
      <c r="S15" s="43">
        <f t="shared" ref="S15:S16" si="34">Q15-R15</f>
        <v>3405000</v>
      </c>
      <c r="T15" s="37"/>
      <c r="U15" s="101"/>
      <c r="V15" s="35"/>
      <c r="W15" s="28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3</v>
      </c>
      <c r="B16" s="136" t="s">
        <v>87</v>
      </c>
      <c r="C16" s="86" t="str">
        <f t="shared" si="21"/>
        <v>Lê Văn Hữu</v>
      </c>
      <c r="D16" s="111" t="str">
        <f t="shared" si="22"/>
        <v>Công Đoạn 2</v>
      </c>
      <c r="E16" s="87">
        <f t="shared" si="23"/>
        <v>3200000</v>
      </c>
      <c r="F16" s="89">
        <f>VLOOKUP(B16,'CC - 8'!$B$8:$AS$19,36,0)</f>
        <v>27</v>
      </c>
      <c r="G16" s="140">
        <f t="shared" si="24"/>
        <v>3200000</v>
      </c>
      <c r="H16" s="89">
        <f>(VLOOKUP(B16,'CC - 8'!$B$8:$AS$19,37,0)+VLOOKUP(B16,'CC - 8'!$B$8:$AS$19,38,0))</f>
        <v>0</v>
      </c>
      <c r="I16" s="140">
        <f t="shared" si="25"/>
        <v>0</v>
      </c>
      <c r="J16" s="141">
        <f t="shared" si="26"/>
        <v>27</v>
      </c>
      <c r="K16" s="37">
        <f t="shared" si="27"/>
        <v>3200000</v>
      </c>
      <c r="L16" s="87">
        <f t="shared" si="28"/>
        <v>405000</v>
      </c>
      <c r="M16" s="38">
        <f t="shared" si="29"/>
        <v>3605000</v>
      </c>
      <c r="N16" s="38">
        <f>IF(VLOOKUP(B16,DS,9,0)="x",'L - 8'!E16*$N$4,0)</f>
        <v>0</v>
      </c>
      <c r="O16" s="38">
        <f t="shared" si="30"/>
        <v>0</v>
      </c>
      <c r="P16" s="38">
        <f t="shared" si="31"/>
        <v>0</v>
      </c>
      <c r="Q16" s="37">
        <f t="shared" si="32"/>
        <v>3605000</v>
      </c>
      <c r="R16" s="37">
        <f t="shared" si="33"/>
        <v>0</v>
      </c>
      <c r="S16" s="43">
        <f t="shared" si="34"/>
        <v>3605000</v>
      </c>
      <c r="T16" s="37"/>
      <c r="U16" s="101"/>
      <c r="V16" s="35"/>
      <c r="W16" s="28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4</v>
      </c>
      <c r="B17" s="136" t="s">
        <v>92</v>
      </c>
      <c r="C17" s="86" t="str">
        <f t="shared" si="10"/>
        <v>Nguyễn T Bích Thủy</v>
      </c>
      <c r="D17" s="111" t="str">
        <f t="shared" si="11"/>
        <v>Công Đoạn 2</v>
      </c>
      <c r="E17" s="87">
        <f t="shared" si="12"/>
        <v>3000000</v>
      </c>
      <c r="F17" s="89">
        <f>VLOOKUP(B17,'CC - 8'!$B$8:$AS$19,36,0)</f>
        <v>27</v>
      </c>
      <c r="G17" s="140">
        <f t="shared" si="13"/>
        <v>3000000</v>
      </c>
      <c r="H17" s="89">
        <f>(VLOOKUP(B17,'CC - 8'!$B$8:$AS$19,37,0)+VLOOKUP(B17,'CC - 8'!$B$8:$AS$19,38,0))</f>
        <v>0</v>
      </c>
      <c r="I17" s="140">
        <f t="shared" si="14"/>
        <v>0</v>
      </c>
      <c r="J17" s="141">
        <f t="shared" si="15"/>
        <v>27</v>
      </c>
      <c r="K17" s="37">
        <f t="shared" si="15"/>
        <v>3000000</v>
      </c>
      <c r="L17" s="87">
        <f t="shared" si="16"/>
        <v>405000</v>
      </c>
      <c r="M17" s="38">
        <f t="shared" si="17"/>
        <v>3405000</v>
      </c>
      <c r="N17" s="38">
        <f>IF(VLOOKUP(B17,DS,9,0)="x",'L - 8'!E17*$N$4,0)</f>
        <v>0</v>
      </c>
      <c r="O17" s="38">
        <f t="shared" si="18"/>
        <v>0</v>
      </c>
      <c r="P17" s="38">
        <f t="shared" si="19"/>
        <v>0</v>
      </c>
      <c r="Q17" s="37">
        <f t="shared" ref="Q17" si="35">M17-SUM(N17:P17)</f>
        <v>3405000</v>
      </c>
      <c r="R17" s="37">
        <f t="shared" si="20"/>
        <v>0</v>
      </c>
      <c r="S17" s="43">
        <f t="shared" ref="S17" si="36">Q17-R17</f>
        <v>3405000</v>
      </c>
      <c r="T17" s="37"/>
      <c r="U17" s="101"/>
      <c r="V17" s="35"/>
      <c r="W17" s="28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77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76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2" customFormat="1" ht="21" customHeight="1">
      <c r="A19" s="251" t="s">
        <v>25</v>
      </c>
      <c r="B19" s="251"/>
      <c r="C19" s="251"/>
      <c r="D19" s="251"/>
      <c r="E19" s="135">
        <f>SUM(E13:E18)</f>
        <v>12400000</v>
      </c>
      <c r="F19" s="135"/>
      <c r="G19" s="135">
        <f>SUM(G13:G18)</f>
        <v>12400000</v>
      </c>
      <c r="H19" s="135"/>
      <c r="I19" s="135">
        <f>SUM(I13:I18)</f>
        <v>0</v>
      </c>
      <c r="J19" s="135"/>
      <c r="K19" s="135">
        <f>SUM(K13:K18)</f>
        <v>12400000</v>
      </c>
      <c r="L19" s="135">
        <f>SUM(L13:L18)</f>
        <v>1620000</v>
      </c>
      <c r="M19" s="135">
        <f>SUM(M13:M18)</f>
        <v>14020000</v>
      </c>
      <c r="N19" s="135">
        <f>SUM(N13:N18)</f>
        <v>0</v>
      </c>
      <c r="O19" s="135">
        <f>SUM(O13:O18)</f>
        <v>0</v>
      </c>
      <c r="P19" s="135">
        <f>SUM(P13:P18)</f>
        <v>0</v>
      </c>
      <c r="Q19" s="135">
        <f>SUM(Q13:Q18)</f>
        <v>14020000</v>
      </c>
      <c r="R19" s="135">
        <f>SUM(R13:R18)</f>
        <v>0</v>
      </c>
      <c r="S19" s="135">
        <f>SUM(S13:S18)</f>
        <v>14020000</v>
      </c>
      <c r="T19" s="26"/>
      <c r="U19" s="101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2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28"/>
      <c r="E21" s="129"/>
      <c r="F21" s="75"/>
      <c r="G21" s="75"/>
      <c r="H21" s="75"/>
      <c r="I21" s="75"/>
      <c r="J21" s="130"/>
      <c r="K21" s="129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08   năm 2016</v>
      </c>
      <c r="T21" s="75"/>
      <c r="U21" s="131"/>
      <c r="V21" s="35"/>
      <c r="W21" s="35"/>
      <c r="X21" s="35"/>
      <c r="Y21" s="35"/>
      <c r="Z21" s="35"/>
    </row>
    <row r="22" spans="1:31" s="34" customFormat="1" ht="12.75">
      <c r="A22" s="29"/>
      <c r="B22" s="29"/>
      <c r="C22" s="29" t="s">
        <v>60</v>
      </c>
      <c r="D22" s="132"/>
      <c r="E22" s="76"/>
      <c r="F22" s="131"/>
      <c r="G22" s="76"/>
      <c r="H22" s="76"/>
      <c r="I22" s="76"/>
      <c r="J22" s="133"/>
      <c r="K22" s="35"/>
      <c r="L22" s="29"/>
      <c r="M22" s="142"/>
      <c r="N22" s="20"/>
      <c r="O22" s="20"/>
      <c r="P22" s="20"/>
      <c r="Q22" s="20"/>
      <c r="S22" s="131" t="s">
        <v>22</v>
      </c>
      <c r="T22" s="131"/>
      <c r="U22" s="131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3:W13 Q5:T7 E5:I6 D19 N5:P6 L5 L22 J6:K7 L7 A25:T58 U31:U58 N18:S18 V25:IK58 J18:L18 A59:IK65326 AF13:IK13 V12:IK12 D12 Q11:S11 W11 AF11:IK11 A11:B12 A10:B10 AF5:IK10 W10 Q10:S10" name="Range1"/>
    <protectedRange password="CC78" sqref="F7:H7" name="Range1_4"/>
    <protectedRange password="CC78" sqref="V22:IK23 S22:T23 N22:Q23 E22:I23" name="Range1_1_1"/>
    <protectedRange password="CC78" sqref="U1 W1:IK3 V4:IK4 B4:T4 R2:S3 B1:Q3 U18:U30 X13:AE13 U11:U13 X11:AE11 X5:AE10 U4:U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4:S17 AF14:IK17 A14:B17 W14:W17" name="Range1_5"/>
    <protectedRange password="CC78" sqref="X14:AE17 U14:U17" name="Range1_2_3"/>
    <protectedRange password="CC78" sqref="V14:V17" name="Range1_1_3"/>
    <protectedRange password="CC78" sqref="K10:K11 K14:K17" name="Range1_6"/>
    <protectedRange password="CC78" sqref="A2:A3" name="Range1_2_1_3"/>
    <protectedRange password="CC78" sqref="E12:T12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20" sqref="A20:XFD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3" customWidth="1"/>
    <col min="5" max="5" width="7.140625" style="2" customWidth="1"/>
    <col min="6" max="33" width="3.42578125" style="118" customWidth="1"/>
    <col min="34" max="35" width="3.42578125" style="119" customWidth="1"/>
    <col min="36" max="36" width="3.42578125" style="119" hidden="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4"/>
      <c r="B1" s="51"/>
      <c r="C1" s="51"/>
      <c r="D1" s="55"/>
      <c r="E1" s="51"/>
      <c r="F1" s="55"/>
      <c r="G1" s="55"/>
      <c r="H1" s="55"/>
      <c r="I1" s="55"/>
      <c r="J1" s="55"/>
      <c r="K1" s="114"/>
      <c r="L1" s="114"/>
      <c r="M1" s="114"/>
      <c r="N1" s="114"/>
      <c r="O1" s="114"/>
      <c r="P1" s="114"/>
      <c r="Q1" s="114"/>
      <c r="R1" s="114"/>
      <c r="S1" s="53" t="str">
        <f>CONCATENATE("BẢNG CHẤM CÔNG THÁNG ",TEXT($E$4,"mm")," NĂM ",TEXT($E$4,"yyyy"))</f>
        <v>BẢNG CHẤM CÔNG THÁNG 09 NĂM 2016</v>
      </c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52"/>
      <c r="AL1" s="52"/>
      <c r="AM1" s="240" t="s">
        <v>88</v>
      </c>
      <c r="AN1" s="241"/>
      <c r="AO1" s="241"/>
      <c r="AP1" s="241"/>
      <c r="AQ1" s="241"/>
      <c r="AR1" s="241"/>
      <c r="AS1" s="242"/>
      <c r="AT1" s="54"/>
    </row>
    <row r="2" spans="1:91" ht="20.25">
      <c r="A2" s="134"/>
      <c r="B2" s="55"/>
      <c r="C2" s="55"/>
      <c r="D2" s="55"/>
      <c r="E2" s="55"/>
      <c r="F2" s="55"/>
      <c r="G2" s="55"/>
      <c r="H2" s="55"/>
      <c r="I2" s="55"/>
      <c r="J2" s="55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4"/>
      <c r="B3" s="57"/>
      <c r="C3" s="57"/>
      <c r="D3" s="58"/>
      <c r="E3" s="58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0"/>
      <c r="D4" s="149"/>
      <c r="E4" s="61">
        <v>42614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3">
        <f>+E4</f>
        <v>42614</v>
      </c>
      <c r="G5" s="113">
        <f t="shared" ref="G5:AJ5" si="0">F5+1</f>
        <v>42615</v>
      </c>
      <c r="H5" s="113">
        <f t="shared" si="0"/>
        <v>42616</v>
      </c>
      <c r="I5" s="113">
        <f t="shared" si="0"/>
        <v>42617</v>
      </c>
      <c r="J5" s="113">
        <f t="shared" si="0"/>
        <v>42618</v>
      </c>
      <c r="K5" s="113">
        <f t="shared" si="0"/>
        <v>42619</v>
      </c>
      <c r="L5" s="113">
        <f t="shared" si="0"/>
        <v>42620</v>
      </c>
      <c r="M5" s="113">
        <f t="shared" si="0"/>
        <v>42621</v>
      </c>
      <c r="N5" s="113">
        <f t="shared" si="0"/>
        <v>42622</v>
      </c>
      <c r="O5" s="113">
        <f t="shared" si="0"/>
        <v>42623</v>
      </c>
      <c r="P5" s="113">
        <f t="shared" si="0"/>
        <v>42624</v>
      </c>
      <c r="Q5" s="113">
        <f t="shared" si="0"/>
        <v>42625</v>
      </c>
      <c r="R5" s="113">
        <f t="shared" si="0"/>
        <v>42626</v>
      </c>
      <c r="S5" s="113">
        <f t="shared" si="0"/>
        <v>42627</v>
      </c>
      <c r="T5" s="113">
        <f t="shared" si="0"/>
        <v>42628</v>
      </c>
      <c r="U5" s="113">
        <f t="shared" si="0"/>
        <v>42629</v>
      </c>
      <c r="V5" s="113">
        <f t="shared" si="0"/>
        <v>42630</v>
      </c>
      <c r="W5" s="113">
        <f t="shared" si="0"/>
        <v>42631</v>
      </c>
      <c r="X5" s="113">
        <f t="shared" si="0"/>
        <v>42632</v>
      </c>
      <c r="Y5" s="113">
        <f t="shared" si="0"/>
        <v>42633</v>
      </c>
      <c r="Z5" s="113">
        <f t="shared" si="0"/>
        <v>42634</v>
      </c>
      <c r="AA5" s="113">
        <f t="shared" si="0"/>
        <v>42635</v>
      </c>
      <c r="AB5" s="113">
        <f t="shared" si="0"/>
        <v>42636</v>
      </c>
      <c r="AC5" s="113">
        <f t="shared" si="0"/>
        <v>42637</v>
      </c>
      <c r="AD5" s="113">
        <f t="shared" si="0"/>
        <v>42638</v>
      </c>
      <c r="AE5" s="113">
        <f t="shared" si="0"/>
        <v>42639</v>
      </c>
      <c r="AF5" s="113">
        <f t="shared" si="0"/>
        <v>42640</v>
      </c>
      <c r="AG5" s="113">
        <f t="shared" si="0"/>
        <v>42641</v>
      </c>
      <c r="AH5" s="113">
        <f>AG5+1</f>
        <v>42642</v>
      </c>
      <c r="AI5" s="113">
        <f t="shared" si="0"/>
        <v>42643</v>
      </c>
      <c r="AJ5" s="113">
        <f t="shared" si="0"/>
        <v>42644</v>
      </c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66" t="str">
        <f>CHOOSE(WEEKDAY(F5),"C.Nhật","T.Hai","T.Ba","T.Tư","T.Năm","T.Sáu","T.Bảy")</f>
        <v>T.Năm</v>
      </c>
      <c r="G6" s="166" t="str">
        <f t="shared" ref="G6:AJ6" si="1">CHOOSE(WEEKDAY(G5),"C.Nhật","T.Hai","T.Ba","T.Tư","T.Năm","T.Sáu","T.Bảy")</f>
        <v>T.Sáu</v>
      </c>
      <c r="H6" s="166" t="str">
        <f t="shared" si="1"/>
        <v>T.Bảy</v>
      </c>
      <c r="I6" s="166" t="str">
        <f t="shared" si="1"/>
        <v>C.Nhật</v>
      </c>
      <c r="J6" s="166" t="str">
        <f t="shared" si="1"/>
        <v>T.Hai</v>
      </c>
      <c r="K6" s="166" t="str">
        <f t="shared" si="1"/>
        <v>T.Ba</v>
      </c>
      <c r="L6" s="166" t="str">
        <f t="shared" si="1"/>
        <v>T.Tư</v>
      </c>
      <c r="M6" s="166" t="str">
        <f t="shared" si="1"/>
        <v>T.Năm</v>
      </c>
      <c r="N6" s="166" t="str">
        <f t="shared" si="1"/>
        <v>T.Sáu</v>
      </c>
      <c r="O6" s="166" t="str">
        <f t="shared" si="1"/>
        <v>T.Bảy</v>
      </c>
      <c r="P6" s="166" t="str">
        <f t="shared" si="1"/>
        <v>C.Nhật</v>
      </c>
      <c r="Q6" s="166" t="str">
        <f t="shared" si="1"/>
        <v>T.Hai</v>
      </c>
      <c r="R6" s="166" t="str">
        <f t="shared" si="1"/>
        <v>T.Ba</v>
      </c>
      <c r="S6" s="166" t="str">
        <f t="shared" si="1"/>
        <v>T.Tư</v>
      </c>
      <c r="T6" s="166" t="str">
        <f t="shared" si="1"/>
        <v>T.Năm</v>
      </c>
      <c r="U6" s="166" t="str">
        <f t="shared" si="1"/>
        <v>T.Sáu</v>
      </c>
      <c r="V6" s="166" t="str">
        <f t="shared" si="1"/>
        <v>T.Bảy</v>
      </c>
      <c r="W6" s="166" t="str">
        <f t="shared" si="1"/>
        <v>C.Nhật</v>
      </c>
      <c r="X6" s="166" t="str">
        <f t="shared" si="1"/>
        <v>T.Hai</v>
      </c>
      <c r="Y6" s="166" t="str">
        <f t="shared" si="1"/>
        <v>T.Ba</v>
      </c>
      <c r="Z6" s="166" t="str">
        <f t="shared" si="1"/>
        <v>T.Tư</v>
      </c>
      <c r="AA6" s="166" t="str">
        <f t="shared" si="1"/>
        <v>T.Năm</v>
      </c>
      <c r="AB6" s="166" t="str">
        <f t="shared" si="1"/>
        <v>T.Sáu</v>
      </c>
      <c r="AC6" s="166" t="str">
        <f t="shared" si="1"/>
        <v>T.Bảy</v>
      </c>
      <c r="AD6" s="166" t="str">
        <f t="shared" si="1"/>
        <v>C.Nhật</v>
      </c>
      <c r="AE6" s="166" t="str">
        <f t="shared" si="1"/>
        <v>T.Hai</v>
      </c>
      <c r="AF6" s="166" t="str">
        <f t="shared" si="1"/>
        <v>T.Ba</v>
      </c>
      <c r="AG6" s="166" t="str">
        <f t="shared" si="1"/>
        <v>T.Tư</v>
      </c>
      <c r="AH6" s="166" t="str">
        <f t="shared" si="1"/>
        <v>T.Năm</v>
      </c>
      <c r="AI6" s="166" t="str">
        <f t="shared" si="1"/>
        <v>T.Sáu</v>
      </c>
      <c r="AJ6" s="166" t="str">
        <f t="shared" si="1"/>
        <v>T.Bảy</v>
      </c>
      <c r="AK6" s="167" t="s">
        <v>16</v>
      </c>
      <c r="AL6" s="167" t="s">
        <v>31</v>
      </c>
      <c r="AM6" s="168" t="s">
        <v>17</v>
      </c>
      <c r="AN6" s="250"/>
      <c r="AO6" s="250"/>
      <c r="AP6" s="250"/>
      <c r="AQ6" s="250"/>
      <c r="AR6" s="250"/>
      <c r="AS6" s="244"/>
      <c r="AT6" s="2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69">
        <v>1</v>
      </c>
      <c r="B7" s="169">
        <v>1</v>
      </c>
      <c r="C7" s="169">
        <v>2</v>
      </c>
      <c r="D7" s="169">
        <v>3</v>
      </c>
      <c r="E7" s="169">
        <v>4</v>
      </c>
      <c r="F7" s="169">
        <v>5</v>
      </c>
      <c r="G7" s="169">
        <v>6</v>
      </c>
      <c r="H7" s="169">
        <v>7</v>
      </c>
      <c r="I7" s="169">
        <v>8</v>
      </c>
      <c r="J7" s="169">
        <v>9</v>
      </c>
      <c r="K7" s="169">
        <v>10</v>
      </c>
      <c r="L7" s="169">
        <v>11</v>
      </c>
      <c r="M7" s="169">
        <v>12</v>
      </c>
      <c r="N7" s="169">
        <v>13</v>
      </c>
      <c r="O7" s="169">
        <v>14</v>
      </c>
      <c r="P7" s="169">
        <v>15</v>
      </c>
      <c r="Q7" s="169">
        <v>16</v>
      </c>
      <c r="R7" s="169">
        <v>17</v>
      </c>
      <c r="S7" s="169">
        <v>18</v>
      </c>
      <c r="T7" s="169">
        <v>19</v>
      </c>
      <c r="U7" s="169">
        <v>20</v>
      </c>
      <c r="V7" s="169">
        <v>21</v>
      </c>
      <c r="W7" s="169">
        <v>22</v>
      </c>
      <c r="X7" s="169">
        <v>23</v>
      </c>
      <c r="Y7" s="169">
        <v>24</v>
      </c>
      <c r="Z7" s="169">
        <v>25</v>
      </c>
      <c r="AA7" s="169">
        <v>26</v>
      </c>
      <c r="AB7" s="169">
        <v>27</v>
      </c>
      <c r="AC7" s="169">
        <v>28</v>
      </c>
      <c r="AD7" s="169">
        <v>29</v>
      </c>
      <c r="AE7" s="169">
        <v>30</v>
      </c>
      <c r="AF7" s="169">
        <v>31</v>
      </c>
      <c r="AG7" s="169">
        <v>32</v>
      </c>
      <c r="AH7" s="169">
        <v>33</v>
      </c>
      <c r="AI7" s="169">
        <v>34</v>
      </c>
      <c r="AJ7" s="169">
        <v>35</v>
      </c>
      <c r="AK7" s="169">
        <v>36</v>
      </c>
      <c r="AL7" s="169">
        <v>37</v>
      </c>
      <c r="AM7" s="169">
        <v>38</v>
      </c>
      <c r="AN7" s="169">
        <v>39</v>
      </c>
      <c r="AO7" s="169">
        <v>40</v>
      </c>
      <c r="AP7" s="169">
        <v>41</v>
      </c>
      <c r="AQ7" s="169">
        <v>42</v>
      </c>
      <c r="AR7" s="169">
        <v>43</v>
      </c>
      <c r="AS7" s="169">
        <v>44</v>
      </c>
      <c r="AT7" s="18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2" customFormat="1" ht="21" customHeight="1">
      <c r="A8" s="170" t="s">
        <v>78</v>
      </c>
      <c r="B8" s="173" t="s">
        <v>89</v>
      </c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5"/>
      <c r="AT8" s="171"/>
    </row>
    <row r="9" spans="1:91" s="64" customFormat="1" ht="18" customHeight="1">
      <c r="A9" s="227">
        <v>1</v>
      </c>
      <c r="B9" s="227" t="s">
        <v>84</v>
      </c>
      <c r="C9" s="229" t="str">
        <f>VLOOKUP(B9,DS,2,0)</f>
        <v>Lê Kim Ngọc Thảo</v>
      </c>
      <c r="D9" s="231" t="str">
        <f>VLOOKUP(B9,DS,3,0)</f>
        <v>Văn Phòng</v>
      </c>
      <c r="E9" s="65" t="s">
        <v>32</v>
      </c>
      <c r="F9" s="138">
        <v>8</v>
      </c>
      <c r="G9" s="138"/>
      <c r="H9" s="138">
        <v>8</v>
      </c>
      <c r="I9" s="138"/>
      <c r="J9" s="138">
        <v>8</v>
      </c>
      <c r="K9" s="138">
        <v>8</v>
      </c>
      <c r="L9" s="138">
        <v>8</v>
      </c>
      <c r="M9" s="138">
        <v>8</v>
      </c>
      <c r="N9" s="138">
        <v>8</v>
      </c>
      <c r="O9" s="138">
        <v>8</v>
      </c>
      <c r="P9" s="138"/>
      <c r="Q9" s="138">
        <v>8</v>
      </c>
      <c r="R9" s="138">
        <v>8</v>
      </c>
      <c r="S9" s="138">
        <v>8</v>
      </c>
      <c r="T9" s="138">
        <v>8</v>
      </c>
      <c r="U9" s="138">
        <v>8</v>
      </c>
      <c r="V9" s="138">
        <v>8</v>
      </c>
      <c r="W9" s="138"/>
      <c r="X9" s="138">
        <v>8</v>
      </c>
      <c r="Y9" s="138">
        <v>8</v>
      </c>
      <c r="Z9" s="138">
        <v>8</v>
      </c>
      <c r="AA9" s="138">
        <v>8</v>
      </c>
      <c r="AB9" s="138">
        <v>8</v>
      </c>
      <c r="AC9" s="138">
        <v>8</v>
      </c>
      <c r="AD9" s="138"/>
      <c r="AE9" s="138">
        <v>8</v>
      </c>
      <c r="AF9" s="138">
        <v>8</v>
      </c>
      <c r="AG9" s="138">
        <v>8</v>
      </c>
      <c r="AH9" s="138">
        <v>8</v>
      </c>
      <c r="AI9" s="138">
        <v>8</v>
      </c>
      <c r="AJ9" s="138"/>
      <c r="AK9" s="233">
        <f>((SUM(F9:AJ9))/8)-(SUMIF($F$6:$AJ$6,"C.Nhật",F9:AJ9)/8)</f>
        <v>25</v>
      </c>
      <c r="AL9" s="233">
        <f>SUM(F10:AJ10)/8*1.5</f>
        <v>0</v>
      </c>
      <c r="AM9" s="235">
        <f>SUMIF($F$6:$AJ$6,"C.Nhật",$F9:$AJ10)/8*2</f>
        <v>0</v>
      </c>
      <c r="AN9" s="223">
        <f>SUM(AK9:AM10)</f>
        <v>25</v>
      </c>
      <c r="AO9" s="237">
        <v>0</v>
      </c>
      <c r="AP9" s="223"/>
      <c r="AQ9" s="223"/>
      <c r="AR9" s="223"/>
      <c r="AS9" s="225"/>
      <c r="AT9" s="18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28"/>
      <c r="B10" s="228"/>
      <c r="C10" s="230"/>
      <c r="D10" s="232"/>
      <c r="E10" s="66" t="s">
        <v>31</v>
      </c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234"/>
      <c r="AL10" s="234"/>
      <c r="AM10" s="236"/>
      <c r="AN10" s="224"/>
      <c r="AO10" s="238"/>
      <c r="AP10" s="224"/>
      <c r="AQ10" s="224"/>
      <c r="AR10" s="224"/>
      <c r="AS10" s="226"/>
      <c r="AT10" s="18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72" customFormat="1" ht="21" customHeight="1">
      <c r="A11" s="170" t="s">
        <v>79</v>
      </c>
      <c r="B11" s="173" t="s">
        <v>83</v>
      </c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5"/>
      <c r="AT11" s="171"/>
    </row>
    <row r="12" spans="1:91" s="64" customFormat="1" ht="18" customHeight="1">
      <c r="A12" s="227">
        <v>1</v>
      </c>
      <c r="B12" s="227" t="s">
        <v>85</v>
      </c>
      <c r="C12" s="229" t="str">
        <f>VLOOKUP(B12,DS,2,0)</f>
        <v>Diệp Văn Lân</v>
      </c>
      <c r="D12" s="231" t="str">
        <f>VLOOKUP(B12,DS,3,0)</f>
        <v>Công Đoạn 1</v>
      </c>
      <c r="E12" s="65" t="s">
        <v>32</v>
      </c>
      <c r="F12" s="138">
        <v>8</v>
      </c>
      <c r="G12" s="138"/>
      <c r="H12" s="138">
        <v>8</v>
      </c>
      <c r="I12" s="138"/>
      <c r="J12" s="138">
        <v>8</v>
      </c>
      <c r="K12" s="138">
        <v>8</v>
      </c>
      <c r="L12" s="138">
        <v>8</v>
      </c>
      <c r="M12" s="138">
        <v>8</v>
      </c>
      <c r="N12" s="138">
        <v>8</v>
      </c>
      <c r="O12" s="138">
        <v>8</v>
      </c>
      <c r="P12" s="138"/>
      <c r="Q12" s="138">
        <v>8</v>
      </c>
      <c r="R12" s="138">
        <v>8</v>
      </c>
      <c r="S12" s="138">
        <v>8</v>
      </c>
      <c r="T12" s="138">
        <v>8</v>
      </c>
      <c r="U12" s="138">
        <v>8</v>
      </c>
      <c r="V12" s="138">
        <v>8</v>
      </c>
      <c r="W12" s="138"/>
      <c r="X12" s="138">
        <v>8</v>
      </c>
      <c r="Y12" s="138">
        <v>8</v>
      </c>
      <c r="Z12" s="138">
        <v>8</v>
      </c>
      <c r="AA12" s="138">
        <v>8</v>
      </c>
      <c r="AB12" s="138">
        <v>8</v>
      </c>
      <c r="AC12" s="138">
        <v>8</v>
      </c>
      <c r="AD12" s="138"/>
      <c r="AE12" s="138">
        <v>8</v>
      </c>
      <c r="AF12" s="138">
        <v>8</v>
      </c>
      <c r="AG12" s="138">
        <v>8</v>
      </c>
      <c r="AH12" s="138">
        <v>8</v>
      </c>
      <c r="AI12" s="138">
        <v>8</v>
      </c>
      <c r="AJ12" s="138"/>
      <c r="AK12" s="233">
        <f t="shared" ref="AK12" si="2">((SUM(F12:AJ12))/8)-(SUMIF($F$6:$AJ$6,"C.Nhật",F12:AJ12)/8)</f>
        <v>25</v>
      </c>
      <c r="AL12" s="233">
        <f t="shared" ref="AL12" si="3">SUM(F13:AJ13)/8*1.5</f>
        <v>0</v>
      </c>
      <c r="AM12" s="235">
        <f>SUMIF($F$6:$AJ$6,"C.Nhật",$F12:$AJ13)/8*2</f>
        <v>0</v>
      </c>
      <c r="AN12" s="223">
        <f>SUM(AK12:AM13)</f>
        <v>25</v>
      </c>
      <c r="AO12" s="237">
        <v>0</v>
      </c>
      <c r="AP12" s="223"/>
      <c r="AQ12" s="223"/>
      <c r="AR12" s="223"/>
      <c r="AS12" s="225"/>
      <c r="AT12" s="204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64" customFormat="1" ht="18" customHeight="1">
      <c r="A13" s="228"/>
      <c r="B13" s="228"/>
      <c r="C13" s="230"/>
      <c r="D13" s="232"/>
      <c r="E13" s="66" t="s">
        <v>31</v>
      </c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234"/>
      <c r="AL13" s="234"/>
      <c r="AM13" s="236"/>
      <c r="AN13" s="224"/>
      <c r="AO13" s="238"/>
      <c r="AP13" s="224"/>
      <c r="AQ13" s="224"/>
      <c r="AR13" s="224"/>
      <c r="AS13" s="226"/>
      <c r="AT13" s="204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64" customFormat="1" ht="18" customHeight="1">
      <c r="A14" s="227">
        <v>2</v>
      </c>
      <c r="B14" s="227" t="s">
        <v>86</v>
      </c>
      <c r="C14" s="229" t="str">
        <f>VLOOKUP(B14,DS,2,0)</f>
        <v>Dương Thế Kiệt</v>
      </c>
      <c r="D14" s="231" t="str">
        <f>VLOOKUP(B14,DS,3,0)</f>
        <v>Công Đoạn 1</v>
      </c>
      <c r="E14" s="65" t="s">
        <v>32</v>
      </c>
      <c r="F14" s="138">
        <v>8</v>
      </c>
      <c r="G14" s="138"/>
      <c r="H14" s="138">
        <v>8</v>
      </c>
      <c r="I14" s="138"/>
      <c r="J14" s="138">
        <v>8</v>
      </c>
      <c r="K14" s="138">
        <v>8</v>
      </c>
      <c r="L14" s="138">
        <v>8</v>
      </c>
      <c r="M14" s="138">
        <v>8</v>
      </c>
      <c r="N14" s="138">
        <v>8</v>
      </c>
      <c r="O14" s="138">
        <v>8</v>
      </c>
      <c r="P14" s="138"/>
      <c r="Q14" s="138">
        <v>8</v>
      </c>
      <c r="R14" s="138">
        <v>8</v>
      </c>
      <c r="S14" s="138">
        <v>8</v>
      </c>
      <c r="T14" s="138">
        <v>8</v>
      </c>
      <c r="U14" s="138">
        <v>8</v>
      </c>
      <c r="V14" s="138">
        <v>8</v>
      </c>
      <c r="W14" s="138"/>
      <c r="X14" s="138">
        <v>8</v>
      </c>
      <c r="Y14" s="138">
        <v>8</v>
      </c>
      <c r="Z14" s="138">
        <v>8</v>
      </c>
      <c r="AA14" s="138">
        <v>8</v>
      </c>
      <c r="AB14" s="138">
        <v>8</v>
      </c>
      <c r="AC14" s="138">
        <v>8</v>
      </c>
      <c r="AD14" s="138"/>
      <c r="AE14" s="138">
        <v>8</v>
      </c>
      <c r="AF14" s="138">
        <v>8</v>
      </c>
      <c r="AG14" s="138">
        <v>8</v>
      </c>
      <c r="AH14" s="138">
        <v>8</v>
      </c>
      <c r="AI14" s="138">
        <v>8</v>
      </c>
      <c r="AJ14" s="138"/>
      <c r="AK14" s="233">
        <f t="shared" ref="AK14" si="4">((SUM(F14:AJ14))/8)-(SUMIF($F$6:$AJ$6,"C.Nhật",F14:AJ14)/8)</f>
        <v>25</v>
      </c>
      <c r="AL14" s="233">
        <f t="shared" ref="AL14" si="5">SUM(F15:AJ15)/8*1.5</f>
        <v>0</v>
      </c>
      <c r="AM14" s="235">
        <f>SUMIF($F$6:$AJ$6,"C.Nhật",$F14:$AJ15)/8*2</f>
        <v>0</v>
      </c>
      <c r="AN14" s="223">
        <f t="shared" ref="AN14" si="6">SUM(AK14:AM15)</f>
        <v>25</v>
      </c>
      <c r="AO14" s="237">
        <v>0</v>
      </c>
      <c r="AP14" s="223"/>
      <c r="AQ14" s="223"/>
      <c r="AR14" s="223"/>
      <c r="AS14" s="225"/>
      <c r="AT14" s="20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28"/>
      <c r="B15" s="228"/>
      <c r="C15" s="230"/>
      <c r="D15" s="232"/>
      <c r="E15" s="66" t="s">
        <v>31</v>
      </c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234"/>
      <c r="AL15" s="234"/>
      <c r="AM15" s="236"/>
      <c r="AN15" s="224"/>
      <c r="AO15" s="238"/>
      <c r="AP15" s="224"/>
      <c r="AQ15" s="224"/>
      <c r="AR15" s="224"/>
      <c r="AS15" s="226"/>
      <c r="AT15" s="20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27">
        <v>3</v>
      </c>
      <c r="B16" s="227" t="s">
        <v>87</v>
      </c>
      <c r="C16" s="229" t="str">
        <f>VLOOKUP(B16,DS,2,0)</f>
        <v>Lê Văn Hữu</v>
      </c>
      <c r="D16" s="231" t="str">
        <f>VLOOKUP(B16,DS,3,0)</f>
        <v>Công Đoạn 2</v>
      </c>
      <c r="E16" s="65" t="s">
        <v>32</v>
      </c>
      <c r="F16" s="138">
        <v>8</v>
      </c>
      <c r="G16" s="138"/>
      <c r="H16" s="138">
        <v>8</v>
      </c>
      <c r="I16" s="138"/>
      <c r="J16" s="138">
        <v>8</v>
      </c>
      <c r="K16" s="138">
        <v>8</v>
      </c>
      <c r="L16" s="138">
        <v>8</v>
      </c>
      <c r="M16" s="138">
        <v>8</v>
      </c>
      <c r="N16" s="138">
        <v>8</v>
      </c>
      <c r="O16" s="138">
        <v>8</v>
      </c>
      <c r="P16" s="138"/>
      <c r="Q16" s="138">
        <v>8</v>
      </c>
      <c r="R16" s="138">
        <v>8</v>
      </c>
      <c r="S16" s="138">
        <v>8</v>
      </c>
      <c r="T16" s="138">
        <v>8</v>
      </c>
      <c r="U16" s="138">
        <v>8</v>
      </c>
      <c r="V16" s="138">
        <v>8</v>
      </c>
      <c r="W16" s="138"/>
      <c r="X16" s="138">
        <v>8</v>
      </c>
      <c r="Y16" s="138">
        <v>8</v>
      </c>
      <c r="Z16" s="138">
        <v>8</v>
      </c>
      <c r="AA16" s="138">
        <v>8</v>
      </c>
      <c r="AB16" s="138">
        <v>8</v>
      </c>
      <c r="AC16" s="138">
        <v>8</v>
      </c>
      <c r="AD16" s="138"/>
      <c r="AE16" s="138">
        <v>8</v>
      </c>
      <c r="AF16" s="138">
        <v>8</v>
      </c>
      <c r="AG16" s="138">
        <v>8</v>
      </c>
      <c r="AH16" s="138">
        <v>8</v>
      </c>
      <c r="AI16" s="138">
        <v>8</v>
      </c>
      <c r="AJ16" s="138"/>
      <c r="AK16" s="233">
        <f t="shared" ref="AK16" si="7">((SUM(F16:AJ16))/8)-(SUMIF($F$6:$AJ$6,"C.Nhật",F16:AJ16)/8)</f>
        <v>25</v>
      </c>
      <c r="AL16" s="233">
        <f t="shared" ref="AL16" si="8">SUM(F17:AJ17)/8*1.5</f>
        <v>0</v>
      </c>
      <c r="AM16" s="235">
        <f>SUMIF($F$6:$AJ$6,"C.Nhật",$F16:$AJ17)/8*2</f>
        <v>0</v>
      </c>
      <c r="AN16" s="223">
        <f t="shared" ref="AN16" si="9">SUM(AK16:AM17)</f>
        <v>25</v>
      </c>
      <c r="AO16" s="237">
        <v>0</v>
      </c>
      <c r="AP16" s="223"/>
      <c r="AQ16" s="223"/>
      <c r="AR16" s="223"/>
      <c r="AS16" s="225"/>
      <c r="AT16" s="20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28"/>
      <c r="B17" s="228"/>
      <c r="C17" s="230"/>
      <c r="D17" s="232"/>
      <c r="E17" s="66" t="s">
        <v>31</v>
      </c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234"/>
      <c r="AL17" s="234"/>
      <c r="AM17" s="236"/>
      <c r="AN17" s="224"/>
      <c r="AO17" s="238"/>
      <c r="AP17" s="224"/>
      <c r="AQ17" s="224"/>
      <c r="AR17" s="224"/>
      <c r="AS17" s="226"/>
      <c r="AT17" s="20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27">
        <v>4</v>
      </c>
      <c r="B18" s="227" t="s">
        <v>92</v>
      </c>
      <c r="C18" s="229" t="str">
        <f>VLOOKUP(B18,DS,2,0)</f>
        <v>Nguyễn T Bích Thủy</v>
      </c>
      <c r="D18" s="231" t="str">
        <f>VLOOKUP(B18,DS,3,0)</f>
        <v>Công Đoạn 2</v>
      </c>
      <c r="E18" s="65" t="s">
        <v>32</v>
      </c>
      <c r="F18" s="138">
        <v>8</v>
      </c>
      <c r="G18" s="138"/>
      <c r="H18" s="138">
        <v>8</v>
      </c>
      <c r="I18" s="138"/>
      <c r="J18" s="138">
        <v>8</v>
      </c>
      <c r="K18" s="138">
        <v>8</v>
      </c>
      <c r="L18" s="138">
        <v>8</v>
      </c>
      <c r="M18" s="138">
        <v>8</v>
      </c>
      <c r="N18" s="138">
        <v>8</v>
      </c>
      <c r="O18" s="138">
        <v>8</v>
      </c>
      <c r="P18" s="138"/>
      <c r="Q18" s="138">
        <v>8</v>
      </c>
      <c r="R18" s="138">
        <v>8</v>
      </c>
      <c r="S18" s="138">
        <v>8</v>
      </c>
      <c r="T18" s="138">
        <v>8</v>
      </c>
      <c r="U18" s="138">
        <v>8</v>
      </c>
      <c r="V18" s="138">
        <v>8</v>
      </c>
      <c r="W18" s="138"/>
      <c r="X18" s="138">
        <v>8</v>
      </c>
      <c r="Y18" s="138">
        <v>8</v>
      </c>
      <c r="Z18" s="138">
        <v>8</v>
      </c>
      <c r="AA18" s="138">
        <v>8</v>
      </c>
      <c r="AB18" s="138">
        <v>8</v>
      </c>
      <c r="AC18" s="138">
        <v>8</v>
      </c>
      <c r="AD18" s="138"/>
      <c r="AE18" s="138">
        <v>8</v>
      </c>
      <c r="AF18" s="138">
        <v>8</v>
      </c>
      <c r="AG18" s="138">
        <v>8</v>
      </c>
      <c r="AH18" s="138">
        <v>8</v>
      </c>
      <c r="AI18" s="138">
        <v>8</v>
      </c>
      <c r="AJ18" s="138"/>
      <c r="AK18" s="233">
        <f t="shared" ref="AK18" si="10">((SUM(F18:AJ18))/8)-(SUMIF($F$6:$AJ$6,"C.Nhật",F18:AJ18)/8)</f>
        <v>25</v>
      </c>
      <c r="AL18" s="233">
        <f t="shared" ref="AL18" si="11">SUM(F19:AJ19)/8*1.5</f>
        <v>0</v>
      </c>
      <c r="AM18" s="235">
        <f>SUMIF($F$6:$AJ$6,"C.Nhật",$F18:$AJ19)/8*2</f>
        <v>0</v>
      </c>
      <c r="AN18" s="223">
        <f t="shared" ref="AN18" si="12">SUM(AK18:AM19)</f>
        <v>25</v>
      </c>
      <c r="AO18" s="237">
        <v>0</v>
      </c>
      <c r="AP18" s="223"/>
      <c r="AQ18" s="223"/>
      <c r="AR18" s="223"/>
      <c r="AS18" s="225"/>
      <c r="AT18" s="20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28"/>
      <c r="B19" s="228"/>
      <c r="C19" s="230"/>
      <c r="D19" s="232"/>
      <c r="E19" s="66" t="s">
        <v>31</v>
      </c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234"/>
      <c r="AL19" s="234"/>
      <c r="AM19" s="236"/>
      <c r="AN19" s="224"/>
      <c r="AO19" s="238"/>
      <c r="AP19" s="224"/>
      <c r="AQ19" s="224"/>
      <c r="AR19" s="224"/>
      <c r="AS19" s="226"/>
      <c r="AT19" s="20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2.75">
      <c r="A20" s="14"/>
      <c r="B20" s="68"/>
      <c r="C20" s="4"/>
      <c r="D20" s="109"/>
      <c r="E20" s="4"/>
      <c r="F20" s="72"/>
      <c r="G20" s="72"/>
      <c r="H20" s="69"/>
      <c r="I20" s="69"/>
      <c r="J20" s="115"/>
      <c r="K20" s="72"/>
      <c r="L20" s="69"/>
      <c r="M20" s="72"/>
      <c r="N20" s="72"/>
      <c r="O20" s="72"/>
      <c r="P20" s="72"/>
      <c r="Q20" s="69"/>
      <c r="R20" s="72"/>
      <c r="S20" s="72"/>
      <c r="T20" s="115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72"/>
      <c r="AJ20" s="72"/>
      <c r="AK20" s="4"/>
      <c r="AL20" s="4"/>
      <c r="AM20" s="95"/>
      <c r="AN20" s="71"/>
      <c r="AO20" s="71"/>
      <c r="AP20" s="71"/>
      <c r="AQ20" s="71"/>
      <c r="AR20" s="71"/>
      <c r="AS20" s="4"/>
      <c r="AT20" s="101"/>
    </row>
    <row r="21" spans="1:90" s="67" customFormat="1" ht="12.75">
      <c r="A21" s="14"/>
      <c r="B21" s="68"/>
      <c r="C21" s="14" t="s">
        <v>14</v>
      </c>
      <c r="D21" s="109"/>
      <c r="E21" s="4"/>
      <c r="F21" s="72"/>
      <c r="G21" s="72"/>
      <c r="H21" s="69"/>
      <c r="I21" s="69"/>
      <c r="J21" s="115"/>
      <c r="K21" s="72"/>
      <c r="L21" s="69"/>
      <c r="M21" s="72"/>
      <c r="N21" s="72"/>
      <c r="O21" s="72"/>
      <c r="P21" s="72"/>
      <c r="Q21" s="69"/>
      <c r="R21" s="72"/>
      <c r="S21" s="72"/>
      <c r="T21" s="115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72"/>
      <c r="AJ21" s="72"/>
      <c r="AK21" s="4"/>
      <c r="AL21" s="4"/>
      <c r="AM21" s="95"/>
      <c r="AN21" s="71"/>
      <c r="AO21" s="71"/>
      <c r="AP21" s="71"/>
      <c r="AQ21" s="71"/>
      <c r="AR21" s="71"/>
      <c r="AS21" s="4"/>
      <c r="AT21" s="101"/>
    </row>
    <row r="22" spans="1:90" s="67" customFormat="1" ht="12.75">
      <c r="A22" s="12"/>
      <c r="B22" s="12"/>
      <c r="C22" s="4"/>
      <c r="D22" s="109"/>
      <c r="E22" s="4"/>
      <c r="F22" s="72"/>
      <c r="G22" s="72"/>
      <c r="H22" s="116"/>
      <c r="I22" s="116"/>
      <c r="J22" s="116"/>
      <c r="K22" s="72"/>
      <c r="L22" s="116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6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101"/>
    </row>
    <row r="23" spans="1:90" s="70" customFormat="1" ht="15" customHeight="1">
      <c r="A23" s="12"/>
      <c r="B23" s="12"/>
      <c r="C23" s="4"/>
      <c r="D23" s="109"/>
      <c r="E23" s="4"/>
      <c r="F23" s="72"/>
      <c r="G23" s="72"/>
      <c r="H23" s="116"/>
      <c r="I23" s="116"/>
      <c r="J23" s="116"/>
      <c r="K23" s="72"/>
      <c r="L23" s="116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6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0" s="70" customFormat="1" ht="11.25">
      <c r="A24" s="12"/>
      <c r="B24" s="12"/>
      <c r="C24" s="4"/>
      <c r="D24" s="109"/>
      <c r="E24" s="4"/>
      <c r="F24" s="72"/>
      <c r="G24" s="72"/>
      <c r="H24" s="116"/>
      <c r="I24" s="116"/>
      <c r="J24" s="116"/>
      <c r="K24" s="72"/>
      <c r="L24" s="116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6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4"/>
    </row>
    <row r="25" spans="1:90" s="70" customFormat="1" ht="11.25">
      <c r="A25" s="12"/>
      <c r="B25" s="12"/>
      <c r="C25" s="4"/>
      <c r="D25" s="109"/>
      <c r="E25" s="4"/>
      <c r="F25" s="72"/>
      <c r="G25" s="72"/>
      <c r="H25" s="116"/>
      <c r="I25" s="116"/>
      <c r="J25" s="116"/>
      <c r="K25" s="72"/>
      <c r="L25" s="116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6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0" s="70" customFormat="1" ht="11.25">
      <c r="A26" s="10"/>
      <c r="B26" s="10"/>
      <c r="C26" s="14"/>
      <c r="D26" s="110"/>
      <c r="E26" s="74"/>
      <c r="F26" s="115"/>
      <c r="G26" s="117"/>
      <c r="H26" s="69"/>
      <c r="I26" s="69"/>
      <c r="J26" s="69"/>
      <c r="K26" s="117"/>
      <c r="L26" s="69"/>
      <c r="M26" s="117"/>
      <c r="N26" s="117"/>
      <c r="O26" s="117"/>
      <c r="P26" s="117"/>
      <c r="Q26" s="69"/>
      <c r="R26" s="115"/>
      <c r="S26" s="117"/>
      <c r="T26" s="117"/>
      <c r="U26" s="69"/>
      <c r="V26" s="117"/>
      <c r="W26" s="117"/>
      <c r="X26" s="69"/>
      <c r="Y26" s="117"/>
      <c r="Z26" s="117"/>
      <c r="AA26" s="117"/>
      <c r="AB26" s="117"/>
      <c r="AC26" s="117"/>
      <c r="AD26" s="69"/>
      <c r="AE26" s="117"/>
      <c r="AF26" s="117"/>
      <c r="AG26" s="117"/>
      <c r="AH26" s="117"/>
      <c r="AI26" s="117"/>
      <c r="AJ26" s="117"/>
      <c r="AK26" s="74"/>
      <c r="AM26" s="96"/>
      <c r="AN26" s="10"/>
      <c r="AO26" s="10"/>
      <c r="AP26" s="10"/>
      <c r="AQ26" s="10"/>
      <c r="AR26" s="10"/>
      <c r="AS26" s="14"/>
      <c r="AT26" s="4"/>
    </row>
    <row r="27" spans="1:90" s="70" customFormat="1" ht="12.75">
      <c r="A27" s="2"/>
      <c r="B27" s="2" t="s">
        <v>0</v>
      </c>
      <c r="C27" s="2"/>
      <c r="D27" s="183"/>
      <c r="E27" s="2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9"/>
      <c r="AI27" s="119"/>
      <c r="AJ27" s="119"/>
      <c r="AK27" s="2"/>
      <c r="AL27" s="2"/>
      <c r="AM27" s="97"/>
      <c r="AN27" s="2"/>
      <c r="AO27" s="2"/>
      <c r="AP27" s="2"/>
      <c r="AQ27" s="2"/>
      <c r="AR27" s="2"/>
      <c r="AS27" s="2"/>
      <c r="AT27" s="4"/>
    </row>
    <row r="28" spans="1:90" s="70" customFormat="1" ht="12.75">
      <c r="A28" s="2"/>
      <c r="B28" s="2"/>
      <c r="C28" s="2" t="s">
        <v>46</v>
      </c>
      <c r="D28" s="183"/>
      <c r="E28" s="2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9"/>
      <c r="AI28" s="119"/>
      <c r="AJ28" s="119"/>
      <c r="AK28" s="2"/>
      <c r="AL28" s="2"/>
      <c r="AM28" s="97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47</v>
      </c>
    </row>
    <row r="30" spans="1:90" ht="15" customHeight="1">
      <c r="C30" s="2" t="s">
        <v>48</v>
      </c>
    </row>
    <row r="31" spans="1:90" ht="15" customHeight="1">
      <c r="C31" s="2" t="s">
        <v>49</v>
      </c>
    </row>
    <row r="32" spans="1:90" ht="15" customHeight="1">
      <c r="C32" s="2" t="s">
        <v>50</v>
      </c>
    </row>
    <row r="33" spans="3:3" ht="15" customHeight="1">
      <c r="C33" s="2" t="s">
        <v>51</v>
      </c>
    </row>
    <row r="34" spans="3:3" ht="15" customHeight="1">
      <c r="C34" s="2" t="s">
        <v>52</v>
      </c>
    </row>
    <row r="35" spans="3:3" ht="15" customHeight="1">
      <c r="C35" s="2" t="s">
        <v>53</v>
      </c>
    </row>
    <row r="36" spans="3:3" ht="15" customHeight="1">
      <c r="C36" s="2" t="s">
        <v>54</v>
      </c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A12:A19 C12:E19" name="Range1_6_2"/>
    <protectedRange password="CC78" sqref="B12:B19" name="Range1_4_2"/>
  </protectedRanges>
  <mergeCells count="79">
    <mergeCell ref="AS14:AS15"/>
    <mergeCell ref="A14:A15"/>
    <mergeCell ref="B14:B15"/>
    <mergeCell ref="C14:C15"/>
    <mergeCell ref="D14:D15"/>
    <mergeCell ref="AK14:AK15"/>
    <mergeCell ref="AO16:AO17"/>
    <mergeCell ref="AP16:AP17"/>
    <mergeCell ref="AQ16:AQ17"/>
    <mergeCell ref="AR16:AR17"/>
    <mergeCell ref="AS16:AS17"/>
    <mergeCell ref="A16:A17"/>
    <mergeCell ref="B16:B17"/>
    <mergeCell ref="C16:C17"/>
    <mergeCell ref="D16:D17"/>
    <mergeCell ref="AK16:AK17"/>
    <mergeCell ref="AO14:AO15"/>
    <mergeCell ref="AP14:AP15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O12:AO13"/>
    <mergeCell ref="AP12:AP13"/>
    <mergeCell ref="AQ12:AQ13"/>
    <mergeCell ref="AL14:AL15"/>
    <mergeCell ref="AM14:AM15"/>
    <mergeCell ref="AN14:AN15"/>
    <mergeCell ref="AL16:AL17"/>
    <mergeCell ref="AR12:AR13"/>
    <mergeCell ref="AS12:AS13"/>
    <mergeCell ref="AM16:AM17"/>
    <mergeCell ref="AN16:AN17"/>
    <mergeCell ref="AP18:AP19"/>
    <mergeCell ref="AQ18:AQ19"/>
    <mergeCell ref="AR18:AR19"/>
    <mergeCell ref="AS18:AS19"/>
    <mergeCell ref="AQ14:AQ15"/>
    <mergeCell ref="AR14:AR15"/>
  </mergeCells>
  <conditionalFormatting sqref="F5:AJ6 F9:AJ10">
    <cfRule type="expression" dxfId="47" priority="57" stopIfTrue="1">
      <formula>IF(WEEKDAY(F$5)=1,TRUE,FALSE)</formula>
    </cfRule>
  </conditionalFormatting>
  <conditionalFormatting sqref="F9:AJ10">
    <cfRule type="expression" dxfId="46" priority="56" stopIfTrue="1">
      <formula>IF(WEEKDAY(F$5)=1,TRUE,FALSE)</formula>
    </cfRule>
  </conditionalFormatting>
  <conditionalFormatting sqref="AJ12:AJ13">
    <cfRule type="expression" dxfId="43" priority="43" stopIfTrue="1">
      <formula>IF(WEEKDAY(AJ$5)=1,TRUE,FALSE)</formula>
    </cfRule>
  </conditionalFormatting>
  <conditionalFormatting sqref="AJ12:AJ13">
    <cfRule type="expression" dxfId="42" priority="42" stopIfTrue="1">
      <formula>IF(WEEKDAY(AJ$5)=1,TRUE,FALSE)</formula>
    </cfRule>
  </conditionalFormatting>
  <conditionalFormatting sqref="AJ12:AJ13">
    <cfRule type="expression" dxfId="41" priority="41" stopIfTrue="1">
      <formula>IF(WEEKDAY(AJ$5)=1,TRUE,FALSE)</formula>
    </cfRule>
  </conditionalFormatting>
  <conditionalFormatting sqref="AJ12:AJ13">
    <cfRule type="expression" dxfId="40" priority="40" stopIfTrue="1">
      <formula>IF(WEEKDAY(AJ$5)=1,TRUE,FALSE)</formula>
    </cfRule>
  </conditionalFormatting>
  <conditionalFormatting sqref="AJ12:AJ13">
    <cfRule type="expression" dxfId="39" priority="39" stopIfTrue="1">
      <formula>IF(WEEKDAY(AJ$5)=1,TRUE,FALSE)</formula>
    </cfRule>
  </conditionalFormatting>
  <conditionalFormatting sqref="AJ12:AJ13">
    <cfRule type="expression" dxfId="38" priority="38" stopIfTrue="1">
      <formula>IF(WEEKDAY(AJ$5)=1,TRUE,FALSE)</formula>
    </cfRule>
  </conditionalFormatting>
  <conditionalFormatting sqref="AJ12:AJ13">
    <cfRule type="expression" dxfId="37" priority="37" stopIfTrue="1">
      <formula>IF(WEEKDAY(AJ$5)=1,TRUE,FALSE)</formula>
    </cfRule>
  </conditionalFormatting>
  <conditionalFormatting sqref="AJ18:AJ19">
    <cfRule type="expression" dxfId="34" priority="20" stopIfTrue="1">
      <formula>IF(WEEKDAY(AJ$5)=1,TRUE,FALSE)</formula>
    </cfRule>
  </conditionalFormatting>
  <conditionalFormatting sqref="AJ18:AJ19">
    <cfRule type="expression" dxfId="33" priority="19" stopIfTrue="1">
      <formula>IF(WEEKDAY(AJ$5)=1,TRUE,FALSE)</formula>
    </cfRule>
  </conditionalFormatting>
  <conditionalFormatting sqref="AJ18:AJ19">
    <cfRule type="expression" dxfId="32" priority="18" stopIfTrue="1">
      <formula>IF(WEEKDAY(AJ$5)=1,TRUE,FALSE)</formula>
    </cfRule>
  </conditionalFormatting>
  <conditionalFormatting sqref="AJ18:AJ19">
    <cfRule type="expression" dxfId="31" priority="17" stopIfTrue="1">
      <formula>IF(WEEKDAY(AJ$5)=1,TRUE,FALSE)</formula>
    </cfRule>
  </conditionalFormatting>
  <conditionalFormatting sqref="AJ18:AJ19">
    <cfRule type="expression" dxfId="30" priority="16" stopIfTrue="1">
      <formula>IF(WEEKDAY(AJ$5)=1,TRUE,FALSE)</formula>
    </cfRule>
  </conditionalFormatting>
  <conditionalFormatting sqref="AJ18:AJ19">
    <cfRule type="expression" dxfId="29" priority="15" stopIfTrue="1">
      <formula>IF(WEEKDAY(AJ$5)=1,TRUE,FALSE)</formula>
    </cfRule>
  </conditionalFormatting>
  <conditionalFormatting sqref="AJ18:AJ19">
    <cfRule type="expression" dxfId="28" priority="14" stopIfTrue="1">
      <formula>IF(WEEKDAY(AJ$5)=1,TRUE,FALSE)</formula>
    </cfRule>
  </conditionalFormatting>
  <conditionalFormatting sqref="AJ14:AJ17">
    <cfRule type="expression" dxfId="27" priority="11" stopIfTrue="1">
      <formula>IF(WEEKDAY(AJ$5)=1,TRUE,FALSE)</formula>
    </cfRule>
  </conditionalFormatting>
  <conditionalFormatting sqref="AJ14:AJ17">
    <cfRule type="expression" dxfId="26" priority="10" stopIfTrue="1">
      <formula>IF(WEEKDAY(AJ$5)=1,TRUE,FALSE)</formula>
    </cfRule>
  </conditionalFormatting>
  <conditionalFormatting sqref="AJ14:AJ17">
    <cfRule type="expression" dxfId="25" priority="9" stopIfTrue="1">
      <formula>IF(WEEKDAY(AJ$5)=1,TRUE,FALSE)</formula>
    </cfRule>
  </conditionalFormatting>
  <conditionalFormatting sqref="AJ14:AJ17">
    <cfRule type="expression" dxfId="24" priority="8" stopIfTrue="1">
      <formula>IF(WEEKDAY(AJ$5)=1,TRUE,FALSE)</formula>
    </cfRule>
  </conditionalFormatting>
  <conditionalFormatting sqref="AJ14:AJ17">
    <cfRule type="expression" dxfId="23" priority="7" stopIfTrue="1">
      <formula>IF(WEEKDAY(AJ$5)=1,TRUE,FALSE)</formula>
    </cfRule>
  </conditionalFormatting>
  <conditionalFormatting sqref="AJ14:AJ17">
    <cfRule type="expression" dxfId="22" priority="6" stopIfTrue="1">
      <formula>IF(WEEKDAY(AJ$5)=1,TRUE,FALSE)</formula>
    </cfRule>
  </conditionalFormatting>
  <conditionalFormatting sqref="AJ14:AJ17">
    <cfRule type="expression" dxfId="21" priority="5" stopIfTrue="1">
      <formula>IF(WEEKDAY(AJ$5)=1,TRUE,FALSE)</formula>
    </cfRule>
  </conditionalFormatting>
  <conditionalFormatting sqref="F12:AI19">
    <cfRule type="expression" dxfId="20" priority="2" stopIfTrue="1">
      <formula>IF(WEEKDAY(F$5)=1,TRUE,FALSE)</formula>
    </cfRule>
  </conditionalFormatting>
  <conditionalFormatting sqref="F12:AI19">
    <cfRule type="expression" dxfId="1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9" activeCellId="1" sqref="S12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4"/>
      <c r="B1" s="187"/>
      <c r="C1" s="187"/>
      <c r="D1" s="258" t="str">
        <f>"BẢNG THANH TOÁN LƯƠNG THÁNG"&amp;" "&amp;TEXT($E$4,"mm")&amp;" / "&amp;TEXT($E$4,"yyyy")</f>
        <v>BẢNG THANH TOÁN LƯƠNG THÁNG 09 / 2016</v>
      </c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9"/>
      <c r="R1" s="260" t="s">
        <v>88</v>
      </c>
      <c r="S1" s="261"/>
      <c r="T1" s="262"/>
      <c r="U1" s="125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4"/>
      <c r="B2" s="187"/>
      <c r="C2" s="187"/>
      <c r="D2" s="187"/>
      <c r="E2" s="78"/>
      <c r="F2" s="187"/>
      <c r="G2" s="187"/>
      <c r="H2" s="187"/>
      <c r="I2" s="187"/>
      <c r="J2" s="79"/>
      <c r="K2" s="187"/>
      <c r="L2" s="187"/>
      <c r="M2" s="187"/>
      <c r="N2" s="187"/>
      <c r="O2" s="187"/>
      <c r="P2" s="187"/>
      <c r="Q2" s="187"/>
      <c r="R2" s="187"/>
      <c r="S2" s="187"/>
      <c r="T2" s="56"/>
      <c r="U2" s="77">
        <f>MAX(F10:F19)</f>
        <v>25</v>
      </c>
      <c r="V2" s="108">
        <v>31</v>
      </c>
      <c r="W2" s="80"/>
      <c r="X2" s="80"/>
      <c r="Y2" s="5"/>
      <c r="Z2" s="5"/>
    </row>
    <row r="3" spans="1:31" s="4" customFormat="1" ht="15" customHeight="1">
      <c r="A3" s="134"/>
      <c r="B3" s="187"/>
      <c r="C3" s="187"/>
      <c r="D3" s="187"/>
      <c r="E3" s="78"/>
      <c r="F3" s="187"/>
      <c r="G3" s="187"/>
      <c r="H3" s="187"/>
      <c r="I3" s="187"/>
      <c r="J3" s="79"/>
      <c r="K3" s="187"/>
      <c r="L3" s="187"/>
      <c r="M3" s="187"/>
      <c r="N3" s="187"/>
      <c r="O3" s="187"/>
      <c r="P3" s="187"/>
      <c r="Q3" s="187"/>
      <c r="R3" s="187"/>
      <c r="S3" s="187"/>
      <c r="T3" s="56"/>
      <c r="U3" s="126"/>
      <c r="V3" s="127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1">
        <f>'CC -9'!$E$4</f>
        <v>42614</v>
      </c>
      <c r="F4" s="101"/>
      <c r="G4" s="101"/>
      <c r="H4" s="101"/>
      <c r="I4" s="101"/>
      <c r="J4" s="101"/>
      <c r="K4" s="101"/>
      <c r="L4" s="101"/>
      <c r="M4" s="101"/>
      <c r="N4" s="156">
        <v>0.08</v>
      </c>
      <c r="O4" s="156">
        <v>1.4999999999999999E-2</v>
      </c>
      <c r="P4" s="156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7" customFormat="1" ht="24" customHeight="1">
      <c r="A5" s="263" t="s">
        <v>19</v>
      </c>
      <c r="B5" s="263" t="s">
        <v>20</v>
      </c>
      <c r="C5" s="216" t="s">
        <v>1</v>
      </c>
      <c r="D5" s="216" t="s">
        <v>2</v>
      </c>
      <c r="E5" s="211" t="s">
        <v>56</v>
      </c>
      <c r="F5" s="265" t="s">
        <v>26</v>
      </c>
      <c r="G5" s="266"/>
      <c r="H5" s="266"/>
      <c r="I5" s="266"/>
      <c r="J5" s="266"/>
      <c r="K5" s="267"/>
      <c r="L5" s="254" t="s">
        <v>57</v>
      </c>
      <c r="M5" s="254" t="s">
        <v>5</v>
      </c>
      <c r="N5" s="216" t="s">
        <v>6</v>
      </c>
      <c r="O5" s="216"/>
      <c r="P5" s="216"/>
      <c r="Q5" s="254" t="s">
        <v>7</v>
      </c>
      <c r="R5" s="254" t="s">
        <v>8</v>
      </c>
      <c r="S5" s="254" t="s">
        <v>9</v>
      </c>
      <c r="T5" s="212" t="s">
        <v>10</v>
      </c>
      <c r="U5" s="101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4"/>
      <c r="B6" s="264"/>
      <c r="C6" s="216"/>
      <c r="D6" s="216"/>
      <c r="E6" s="211"/>
      <c r="F6" s="265" t="s">
        <v>59</v>
      </c>
      <c r="G6" s="267"/>
      <c r="H6" s="265" t="s">
        <v>81</v>
      </c>
      <c r="I6" s="266"/>
      <c r="J6" s="252" t="s">
        <v>27</v>
      </c>
      <c r="K6" s="254" t="s">
        <v>4</v>
      </c>
      <c r="L6" s="255"/>
      <c r="M6" s="255"/>
      <c r="N6" s="256" t="s">
        <v>12</v>
      </c>
      <c r="O6" s="254" t="s">
        <v>13</v>
      </c>
      <c r="P6" s="254" t="s">
        <v>34</v>
      </c>
      <c r="Q6" s="255"/>
      <c r="R6" s="255"/>
      <c r="S6" s="255"/>
      <c r="T6" s="213"/>
      <c r="U6" s="101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4"/>
      <c r="B7" s="264"/>
      <c r="C7" s="254"/>
      <c r="D7" s="254"/>
      <c r="E7" s="211"/>
      <c r="F7" s="186" t="s">
        <v>40</v>
      </c>
      <c r="G7" s="184" t="s">
        <v>18</v>
      </c>
      <c r="H7" s="186" t="s">
        <v>40</v>
      </c>
      <c r="I7" s="123" t="s">
        <v>18</v>
      </c>
      <c r="J7" s="253"/>
      <c r="K7" s="255"/>
      <c r="L7" s="268"/>
      <c r="M7" s="268"/>
      <c r="N7" s="257"/>
      <c r="O7" s="255"/>
      <c r="P7" s="255"/>
      <c r="Q7" s="255"/>
      <c r="R7" s="255"/>
      <c r="S7" s="255"/>
      <c r="T7" s="213"/>
      <c r="U7" s="101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0" t="s">
        <v>78</v>
      </c>
      <c r="B9" s="179" t="s">
        <v>89</v>
      </c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6" t="s">
        <v>84</v>
      </c>
      <c r="C10" s="86" t="str">
        <f t="shared" ref="C10" si="0">VLOOKUP(B10,DS,2,0)</f>
        <v>Lê Kim Ngọc Thảo</v>
      </c>
      <c r="D10" s="111" t="str">
        <f t="shared" ref="D10" si="1">VLOOKUP(B10,DS,3,0)</f>
        <v>Văn Phòng</v>
      </c>
      <c r="E10" s="87">
        <f t="shared" ref="E10" si="2">VLOOKUP(B10,DS,4,0)</f>
        <v>4000000</v>
      </c>
      <c r="F10" s="89">
        <f>VLOOKUP(B10,'CC -9'!$B$8:$AS$19,36,0)</f>
        <v>25</v>
      </c>
      <c r="G10" s="140">
        <f t="shared" ref="G10" si="3">ROUND(E10/$U$2*F10,0)</f>
        <v>4000000</v>
      </c>
      <c r="H10" s="89">
        <f>(VLOOKUP(B10,'CC -9'!$B$8:$AS$19,37,0)+VLOOKUP(B10,'CC -9'!$B$8:$AS$19,38,0))</f>
        <v>0</v>
      </c>
      <c r="I10" s="140">
        <f t="shared" ref="I10" si="4">ROUND(E10/$U$2*H10,0)</f>
        <v>0</v>
      </c>
      <c r="J10" s="90">
        <f t="shared" ref="J10" si="5">F10+H10</f>
        <v>25</v>
      </c>
      <c r="K10" s="37">
        <f>G10+I10</f>
        <v>4000000</v>
      </c>
      <c r="L10" s="87">
        <f t="shared" ref="L10" si="6">+F10*15000</f>
        <v>375000</v>
      </c>
      <c r="M10" s="38">
        <f t="shared" ref="M10" si="7">K10+L10</f>
        <v>4375000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8">M10-SUM(N10:P10)</f>
        <v>4375000</v>
      </c>
      <c r="R10" s="37">
        <f>VLOOKUP(B10,DS,23,0)</f>
        <v>0</v>
      </c>
      <c r="S10" s="43">
        <f t="shared" ref="S10" si="9">Q10-R10</f>
        <v>4375000</v>
      </c>
      <c r="T10" s="37"/>
      <c r="U10" s="101"/>
      <c r="V10" s="35"/>
      <c r="W10" s="28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188"/>
      <c r="B11" s="189"/>
      <c r="C11" s="190"/>
      <c r="D11" s="191"/>
      <c r="E11" s="192"/>
      <c r="F11" s="193"/>
      <c r="G11" s="194"/>
      <c r="H11" s="193"/>
      <c r="I11" s="194"/>
      <c r="J11" s="195"/>
      <c r="K11" s="196"/>
      <c r="L11" s="192"/>
      <c r="M11" s="197"/>
      <c r="N11" s="197"/>
      <c r="O11" s="197"/>
      <c r="P11" s="197"/>
      <c r="Q11" s="196"/>
      <c r="R11" s="196"/>
      <c r="S11" s="198"/>
      <c r="T11" s="196"/>
      <c r="U11" s="101"/>
      <c r="V11" s="35"/>
      <c r="W11" s="28"/>
      <c r="X11" s="5"/>
      <c r="Y11" s="5"/>
      <c r="Z11" s="5"/>
      <c r="AA11" s="4"/>
      <c r="AB11" s="4"/>
      <c r="AC11" s="4"/>
      <c r="AD11" s="4"/>
      <c r="AE11" s="4"/>
    </row>
    <row r="12" spans="1:31" s="32" customFormat="1" ht="21" customHeight="1">
      <c r="A12" s="251" t="s">
        <v>25</v>
      </c>
      <c r="B12" s="251"/>
      <c r="C12" s="251"/>
      <c r="D12" s="251"/>
      <c r="E12" s="135">
        <f>SUM(E9:E10)</f>
        <v>4000000</v>
      </c>
      <c r="F12" s="135"/>
      <c r="G12" s="135">
        <f>SUM(G9:G10)</f>
        <v>4000000</v>
      </c>
      <c r="H12" s="135"/>
      <c r="I12" s="135">
        <f>SUM(I9:I10)</f>
        <v>0</v>
      </c>
      <c r="J12" s="135"/>
      <c r="K12" s="135">
        <f>SUM(K9:K10)</f>
        <v>4000000</v>
      </c>
      <c r="L12" s="135">
        <f>SUM(L9:L10)</f>
        <v>375000</v>
      </c>
      <c r="M12" s="135">
        <f>SUM(M9:M10)</f>
        <v>4375000</v>
      </c>
      <c r="N12" s="135">
        <f>SUM(N9:N10)</f>
        <v>0</v>
      </c>
      <c r="O12" s="135">
        <f>SUM(O9:O10)</f>
        <v>0</v>
      </c>
      <c r="P12" s="135">
        <f>SUM(P9:P10)</f>
        <v>0</v>
      </c>
      <c r="Q12" s="135">
        <f>SUM(Q9:Q10)</f>
        <v>4375000</v>
      </c>
      <c r="R12" s="135">
        <f>SUM(R9:R10)</f>
        <v>0</v>
      </c>
      <c r="S12" s="135">
        <f>SUM(S9:S10)</f>
        <v>4375000</v>
      </c>
      <c r="T12" s="26"/>
      <c r="U12" s="101"/>
      <c r="V12" s="33"/>
      <c r="W12" s="33"/>
      <c r="X12" s="33"/>
      <c r="Y12" s="33"/>
      <c r="Z12" s="33"/>
    </row>
    <row r="13" spans="1:31" s="82" customFormat="1" ht="24" customHeight="1">
      <c r="A13" s="180" t="s">
        <v>79</v>
      </c>
      <c r="B13" s="179" t="s">
        <v>80</v>
      </c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01"/>
      <c r="V13" s="83"/>
      <c r="W13" s="83"/>
      <c r="X13" s="84"/>
      <c r="Y13" s="84"/>
      <c r="Z13" s="84"/>
      <c r="AA13" s="85"/>
      <c r="AB13" s="85"/>
      <c r="AC13" s="85"/>
      <c r="AD13" s="85"/>
      <c r="AE13" s="85"/>
    </row>
    <row r="14" spans="1:31" s="34" customFormat="1" ht="24" customHeight="1">
      <c r="A14" s="36">
        <v>1</v>
      </c>
      <c r="B14" s="136" t="s">
        <v>85</v>
      </c>
      <c r="C14" s="86" t="str">
        <f t="shared" ref="C14:C17" si="10">VLOOKUP(B14,DS,2,0)</f>
        <v>Diệp Văn Lân</v>
      </c>
      <c r="D14" s="111" t="str">
        <f t="shared" ref="D14:D17" si="11">VLOOKUP(B14,DS,3,0)</f>
        <v>Công Đoạn 1</v>
      </c>
      <c r="E14" s="87">
        <f t="shared" ref="E14:E17" si="12">VLOOKUP(B14,DS,4,0)</f>
        <v>3200000</v>
      </c>
      <c r="F14" s="89">
        <f>VLOOKUP(B14,'CC -9'!$B$8:$AS$19,36,0)</f>
        <v>25</v>
      </c>
      <c r="G14" s="140">
        <f t="shared" ref="G14:G17" si="13">ROUND(E14/$U$2*F14,0)</f>
        <v>3200000</v>
      </c>
      <c r="H14" s="89">
        <f>(VLOOKUP(B14,'CC -9'!$B$8:$AS$19,37,0)+VLOOKUP(B14,'CC -9'!$B$8:$AS$19,38,0))</f>
        <v>0</v>
      </c>
      <c r="I14" s="140">
        <f t="shared" ref="I14:I17" si="14">ROUND(E14/$U$2*H14,0)</f>
        <v>0</v>
      </c>
      <c r="J14" s="141">
        <f t="shared" ref="J14:K17" si="15">F14+H14</f>
        <v>25</v>
      </c>
      <c r="K14" s="37">
        <f t="shared" si="15"/>
        <v>3200000</v>
      </c>
      <c r="L14" s="87">
        <f t="shared" ref="L14:L17" si="16">+F14*15000</f>
        <v>375000</v>
      </c>
      <c r="M14" s="38">
        <f t="shared" ref="M14:M17" si="17">K14+L14</f>
        <v>3575000</v>
      </c>
      <c r="N14" s="38">
        <f>IF(VLOOKUP(B14,DS,9,0)="x",'L - 9'!E14*$N$4,0)</f>
        <v>0</v>
      </c>
      <c r="O14" s="38">
        <f t="shared" ref="O14:O17" si="18">IF(VLOOKUP(B14,DS,9,0)="x",E14*0.015,0)</f>
        <v>0</v>
      </c>
      <c r="P14" s="38">
        <f t="shared" ref="P14:P17" si="19">IF(VLOOKUP(B14,DS,9,0)="x",E14*0.01,0)</f>
        <v>0</v>
      </c>
      <c r="Q14" s="37">
        <f>M14-SUM(N14:P14)</f>
        <v>3575000</v>
      </c>
      <c r="R14" s="37">
        <f t="shared" ref="R14:R17" si="20">VLOOKUP(B14,DS,23,0)</f>
        <v>0</v>
      </c>
      <c r="S14" s="43">
        <f>Q14-R14</f>
        <v>3575000</v>
      </c>
      <c r="T14" s="37"/>
      <c r="U14" s="101"/>
      <c r="V14" s="35"/>
      <c r="W14" s="28"/>
      <c r="X14" s="5"/>
      <c r="Y14" s="5"/>
      <c r="Z14" s="5"/>
      <c r="AA14" s="4"/>
      <c r="AB14" s="4"/>
      <c r="AC14" s="4"/>
      <c r="AD14" s="4"/>
      <c r="AE14" s="4"/>
    </row>
    <row r="15" spans="1:31" s="34" customFormat="1" ht="24" customHeight="1">
      <c r="A15" s="36">
        <v>2</v>
      </c>
      <c r="B15" s="136" t="s">
        <v>86</v>
      </c>
      <c r="C15" s="86" t="str">
        <f t="shared" ref="C15:C16" si="21">VLOOKUP(B15,DS,2,0)</f>
        <v>Dương Thế Kiệt</v>
      </c>
      <c r="D15" s="111" t="str">
        <f t="shared" ref="D15:D16" si="22">VLOOKUP(B15,DS,3,0)</f>
        <v>Công Đoạn 1</v>
      </c>
      <c r="E15" s="87">
        <f t="shared" ref="E15:E16" si="23">VLOOKUP(B15,DS,4,0)</f>
        <v>3000000</v>
      </c>
      <c r="F15" s="89">
        <f>VLOOKUP(B15,'CC -9'!$B$8:$AS$19,36,0)</f>
        <v>25</v>
      </c>
      <c r="G15" s="140">
        <f t="shared" ref="G15:G16" si="24">ROUND(E15/$U$2*F15,0)</f>
        <v>3000000</v>
      </c>
      <c r="H15" s="89">
        <f>(VLOOKUP(B15,'CC -9'!$B$8:$AS$19,37,0)+VLOOKUP(B15,'CC -9'!$B$8:$AS$19,38,0))</f>
        <v>0</v>
      </c>
      <c r="I15" s="140">
        <f t="shared" ref="I15:I16" si="25">ROUND(E15/$U$2*H15,0)</f>
        <v>0</v>
      </c>
      <c r="J15" s="141">
        <f t="shared" ref="J15:J16" si="26">F15+H15</f>
        <v>25</v>
      </c>
      <c r="K15" s="37">
        <f t="shared" ref="K15:K16" si="27">G15+I15</f>
        <v>3000000</v>
      </c>
      <c r="L15" s="87">
        <f t="shared" ref="L15:L16" si="28">+F15*15000</f>
        <v>375000</v>
      </c>
      <c r="M15" s="38">
        <f t="shared" ref="M15:M16" si="29">K15+L15</f>
        <v>3375000</v>
      </c>
      <c r="N15" s="38">
        <f>IF(VLOOKUP(B15,DS,9,0)="x",'L - 9'!E15*$N$4,0)</f>
        <v>0</v>
      </c>
      <c r="O15" s="38">
        <f t="shared" ref="O15:O16" si="30">IF(VLOOKUP(B15,DS,9,0)="x",E15*0.015,0)</f>
        <v>0</v>
      </c>
      <c r="P15" s="38">
        <f t="shared" ref="P15:P16" si="31">IF(VLOOKUP(B15,DS,9,0)="x",E15*0.01,0)</f>
        <v>0</v>
      </c>
      <c r="Q15" s="37">
        <f t="shared" ref="Q15:Q16" si="32">M15-SUM(N15:P15)</f>
        <v>3375000</v>
      </c>
      <c r="R15" s="37">
        <f t="shared" ref="R15:R16" si="33">VLOOKUP(B15,DS,23,0)</f>
        <v>0</v>
      </c>
      <c r="S15" s="43">
        <f t="shared" ref="S15:S16" si="34">Q15-R15</f>
        <v>3375000</v>
      </c>
      <c r="T15" s="37"/>
      <c r="U15" s="101"/>
      <c r="V15" s="35"/>
      <c r="W15" s="28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3</v>
      </c>
      <c r="B16" s="136" t="s">
        <v>87</v>
      </c>
      <c r="C16" s="86" t="str">
        <f t="shared" si="21"/>
        <v>Lê Văn Hữu</v>
      </c>
      <c r="D16" s="111" t="str">
        <f t="shared" si="22"/>
        <v>Công Đoạn 2</v>
      </c>
      <c r="E16" s="87">
        <f t="shared" si="23"/>
        <v>3200000</v>
      </c>
      <c r="F16" s="89">
        <f>VLOOKUP(B16,'CC -9'!$B$8:$AS$19,36,0)</f>
        <v>25</v>
      </c>
      <c r="G16" s="140">
        <f t="shared" si="24"/>
        <v>3200000</v>
      </c>
      <c r="H16" s="89">
        <f>(VLOOKUP(B16,'CC -9'!$B$8:$AS$19,37,0)+VLOOKUP(B16,'CC -9'!$B$8:$AS$19,38,0))</f>
        <v>0</v>
      </c>
      <c r="I16" s="140">
        <f t="shared" si="25"/>
        <v>0</v>
      </c>
      <c r="J16" s="141">
        <f t="shared" si="26"/>
        <v>25</v>
      </c>
      <c r="K16" s="37">
        <f t="shared" si="27"/>
        <v>3200000</v>
      </c>
      <c r="L16" s="87">
        <f t="shared" si="28"/>
        <v>375000</v>
      </c>
      <c r="M16" s="38">
        <f t="shared" si="29"/>
        <v>3575000</v>
      </c>
      <c r="N16" s="38">
        <f>IF(VLOOKUP(B16,DS,9,0)="x",'L - 9'!E16*$N$4,0)</f>
        <v>0</v>
      </c>
      <c r="O16" s="38">
        <f t="shared" si="30"/>
        <v>0</v>
      </c>
      <c r="P16" s="38">
        <f t="shared" si="31"/>
        <v>0</v>
      </c>
      <c r="Q16" s="37">
        <f t="shared" si="32"/>
        <v>3575000</v>
      </c>
      <c r="R16" s="37">
        <f t="shared" si="33"/>
        <v>0</v>
      </c>
      <c r="S16" s="43">
        <f t="shared" si="34"/>
        <v>3575000</v>
      </c>
      <c r="T16" s="37"/>
      <c r="U16" s="101"/>
      <c r="V16" s="35"/>
      <c r="W16" s="28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4</v>
      </c>
      <c r="B17" s="136" t="s">
        <v>92</v>
      </c>
      <c r="C17" s="86" t="str">
        <f t="shared" si="10"/>
        <v>Nguyễn T Bích Thủy</v>
      </c>
      <c r="D17" s="111" t="str">
        <f t="shared" si="11"/>
        <v>Công Đoạn 2</v>
      </c>
      <c r="E17" s="87">
        <f t="shared" si="12"/>
        <v>3000000</v>
      </c>
      <c r="F17" s="89">
        <f>VLOOKUP(B17,'CC -9'!$B$8:$AS$19,36,0)</f>
        <v>25</v>
      </c>
      <c r="G17" s="140">
        <f t="shared" si="13"/>
        <v>3000000</v>
      </c>
      <c r="H17" s="89">
        <f>(VLOOKUP(B17,'CC -9'!$B$8:$AS$19,37,0)+VLOOKUP(B17,'CC -9'!$B$8:$AS$19,38,0))</f>
        <v>0</v>
      </c>
      <c r="I17" s="140">
        <f t="shared" si="14"/>
        <v>0</v>
      </c>
      <c r="J17" s="141">
        <f t="shared" si="15"/>
        <v>25</v>
      </c>
      <c r="K17" s="37">
        <f t="shared" si="15"/>
        <v>3000000</v>
      </c>
      <c r="L17" s="87">
        <f t="shared" si="16"/>
        <v>375000</v>
      </c>
      <c r="M17" s="38">
        <f t="shared" si="17"/>
        <v>3375000</v>
      </c>
      <c r="N17" s="38">
        <f>IF(VLOOKUP(B17,DS,9,0)="x",'L - 9'!E17*$N$4,0)</f>
        <v>0</v>
      </c>
      <c r="O17" s="38">
        <f t="shared" si="18"/>
        <v>0</v>
      </c>
      <c r="P17" s="38">
        <f t="shared" si="19"/>
        <v>0</v>
      </c>
      <c r="Q17" s="37">
        <f t="shared" ref="Q17" si="35">M17-SUM(N17:P17)</f>
        <v>3375000</v>
      </c>
      <c r="R17" s="37">
        <f t="shared" si="20"/>
        <v>0</v>
      </c>
      <c r="S17" s="43">
        <f t="shared" ref="S17" si="36">Q17-R17</f>
        <v>3375000</v>
      </c>
      <c r="T17" s="37"/>
      <c r="U17" s="101"/>
      <c r="V17" s="35"/>
      <c r="W17" s="28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77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76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2" customFormat="1" ht="21" customHeight="1">
      <c r="A19" s="251" t="s">
        <v>25</v>
      </c>
      <c r="B19" s="251"/>
      <c r="C19" s="251"/>
      <c r="D19" s="251"/>
      <c r="E19" s="135">
        <f>SUM(E13:E18)</f>
        <v>12400000</v>
      </c>
      <c r="F19" s="135"/>
      <c r="G19" s="135">
        <f>SUM(G13:G18)</f>
        <v>12400000</v>
      </c>
      <c r="H19" s="135"/>
      <c r="I19" s="135">
        <f>SUM(I13:I18)</f>
        <v>0</v>
      </c>
      <c r="J19" s="135"/>
      <c r="K19" s="135">
        <f>SUM(K13:K18)</f>
        <v>12400000</v>
      </c>
      <c r="L19" s="135">
        <f>SUM(L13:L18)</f>
        <v>1500000</v>
      </c>
      <c r="M19" s="135">
        <f>SUM(M13:M18)</f>
        <v>13900000</v>
      </c>
      <c r="N19" s="135">
        <f>SUM(N13:N18)</f>
        <v>0</v>
      </c>
      <c r="O19" s="135">
        <f>SUM(O13:O18)</f>
        <v>0</v>
      </c>
      <c r="P19" s="135">
        <f>SUM(P13:P18)</f>
        <v>0</v>
      </c>
      <c r="Q19" s="135">
        <f>SUM(Q13:Q18)</f>
        <v>13900000</v>
      </c>
      <c r="R19" s="135">
        <f>SUM(R13:R18)</f>
        <v>0</v>
      </c>
      <c r="S19" s="135">
        <f>SUM(S13:S18)</f>
        <v>13900000</v>
      </c>
      <c r="T19" s="26"/>
      <c r="U19" s="101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2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28"/>
      <c r="E21" s="129"/>
      <c r="F21" s="75"/>
      <c r="G21" s="75"/>
      <c r="H21" s="75"/>
      <c r="I21" s="75"/>
      <c r="J21" s="130"/>
      <c r="K21" s="129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09   năm 2016</v>
      </c>
      <c r="T21" s="75"/>
      <c r="U21" s="131"/>
      <c r="V21" s="35"/>
      <c r="W21" s="35"/>
      <c r="X21" s="35"/>
      <c r="Y21" s="35"/>
      <c r="Z21" s="35"/>
    </row>
    <row r="22" spans="1:31" s="34" customFormat="1" ht="12.75">
      <c r="A22" s="29"/>
      <c r="B22" s="29"/>
      <c r="C22" s="29" t="s">
        <v>60</v>
      </c>
      <c r="D22" s="132"/>
      <c r="E22" s="76"/>
      <c r="F22" s="131"/>
      <c r="G22" s="76"/>
      <c r="H22" s="76"/>
      <c r="I22" s="76"/>
      <c r="J22" s="133"/>
      <c r="K22" s="35"/>
      <c r="L22" s="29"/>
      <c r="M22" s="142"/>
      <c r="N22" s="20"/>
      <c r="O22" s="20"/>
      <c r="P22" s="20"/>
      <c r="Q22" s="20"/>
      <c r="S22" s="131" t="s">
        <v>22</v>
      </c>
      <c r="T22" s="131"/>
      <c r="U22" s="131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3:W13 Q5:T7 E5:I6 D19 N5:P6 L5 L22 J6:K7 L7 A25:T58 U31:U58 N18:S18 V25:IK58 J18:L18 A59:IK65326 AF13:IK13 V12:IK12 D12 Q11:S11 W11 AF11:IK11 A11:B12 A10:B10 AF5:IK10 W10 Q10:S10" name="Range1"/>
    <protectedRange password="CC78" sqref="F7:H7" name="Range1_4"/>
    <protectedRange password="CC78" sqref="V22:IK23 S22:T23 N22:Q23 E22:I23" name="Range1_1_1"/>
    <protectedRange password="CC78" sqref="U1 W1:IK3 V4:IK4 B4:T4 R2:S3 B1:Q3 U18:U30 X13:AE13 U11:U13 X11:AE11 X5:AE10 U4:U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4:S17 AF14:IK17 A14:B17 W14:W17" name="Range1_5"/>
    <protectedRange password="CC78" sqref="X14:AE17 U14:U17" name="Range1_2_3"/>
    <protectedRange password="CC78" sqref="V14:V17" name="Range1_1_3"/>
    <protectedRange password="CC78" sqref="K14:K17 K10:K11" name="Range1_6"/>
    <protectedRange password="CC78" sqref="A2:A3" name="Range1_2_1_3"/>
    <protectedRange password="CC78" sqref="E12:T12" name="Range1_3"/>
    <protectedRange password="CC78" sqref="E19:T19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10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20" sqref="A20:XFD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18" customWidth="1"/>
    <col min="34" max="36" width="3.42578125" style="119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4"/>
      <c r="B1" s="51"/>
      <c r="C1" s="51"/>
      <c r="D1" s="55"/>
      <c r="E1" s="51"/>
      <c r="F1" s="55"/>
      <c r="G1" s="55"/>
      <c r="H1" s="55"/>
      <c r="I1" s="55"/>
      <c r="J1" s="55"/>
      <c r="K1" s="114"/>
      <c r="L1" s="114"/>
      <c r="M1" s="114"/>
      <c r="N1" s="114"/>
      <c r="O1" s="114"/>
      <c r="P1" s="114"/>
      <c r="Q1" s="114"/>
      <c r="R1" s="114"/>
      <c r="S1" s="53" t="str">
        <f>CONCATENATE("BẢNG CHẤM CÔNG THÁNG ",TEXT($E$4,"mm")," NĂM ",TEXT($E$4,"yyyy"))</f>
        <v>BẢNG CHẤM CÔNG THÁNG 10 NĂM 2016</v>
      </c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52"/>
      <c r="AL1" s="52"/>
      <c r="AM1" s="240" t="s">
        <v>88</v>
      </c>
      <c r="AN1" s="241"/>
      <c r="AO1" s="241"/>
      <c r="AP1" s="241"/>
      <c r="AQ1" s="241"/>
      <c r="AR1" s="241"/>
      <c r="AS1" s="242"/>
      <c r="AT1" s="54"/>
    </row>
    <row r="2" spans="1:91" ht="20.25">
      <c r="A2" s="134"/>
      <c r="B2" s="55"/>
      <c r="C2" s="55"/>
      <c r="D2" s="55"/>
      <c r="E2" s="55"/>
      <c r="F2" s="55"/>
      <c r="G2" s="55"/>
      <c r="H2" s="55"/>
      <c r="I2" s="55"/>
      <c r="J2" s="55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4"/>
      <c r="B3" s="57"/>
      <c r="C3" s="57"/>
      <c r="D3" s="58"/>
      <c r="E3" s="58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0"/>
      <c r="D4" s="149"/>
      <c r="E4" s="61">
        <v>42644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3">
        <f>+E4</f>
        <v>42644</v>
      </c>
      <c r="G5" s="113">
        <f t="shared" ref="G5:AJ5" si="0">F5+1</f>
        <v>42645</v>
      </c>
      <c r="H5" s="113">
        <f t="shared" si="0"/>
        <v>42646</v>
      </c>
      <c r="I5" s="113">
        <f t="shared" si="0"/>
        <v>42647</v>
      </c>
      <c r="J5" s="113">
        <f t="shared" si="0"/>
        <v>42648</v>
      </c>
      <c r="K5" s="113">
        <f t="shared" si="0"/>
        <v>42649</v>
      </c>
      <c r="L5" s="113">
        <f t="shared" si="0"/>
        <v>42650</v>
      </c>
      <c r="M5" s="113">
        <f t="shared" si="0"/>
        <v>42651</v>
      </c>
      <c r="N5" s="113">
        <f t="shared" si="0"/>
        <v>42652</v>
      </c>
      <c r="O5" s="113">
        <f t="shared" si="0"/>
        <v>42653</v>
      </c>
      <c r="P5" s="113">
        <f t="shared" si="0"/>
        <v>42654</v>
      </c>
      <c r="Q5" s="113">
        <f t="shared" si="0"/>
        <v>42655</v>
      </c>
      <c r="R5" s="113">
        <f t="shared" si="0"/>
        <v>42656</v>
      </c>
      <c r="S5" s="113">
        <f t="shared" si="0"/>
        <v>42657</v>
      </c>
      <c r="T5" s="113">
        <f t="shared" si="0"/>
        <v>42658</v>
      </c>
      <c r="U5" s="113">
        <f t="shared" si="0"/>
        <v>42659</v>
      </c>
      <c r="V5" s="113">
        <f t="shared" si="0"/>
        <v>42660</v>
      </c>
      <c r="W5" s="113">
        <f t="shared" si="0"/>
        <v>42661</v>
      </c>
      <c r="X5" s="113">
        <f t="shared" si="0"/>
        <v>42662</v>
      </c>
      <c r="Y5" s="113">
        <f t="shared" si="0"/>
        <v>42663</v>
      </c>
      <c r="Z5" s="113">
        <f t="shared" si="0"/>
        <v>42664</v>
      </c>
      <c r="AA5" s="113">
        <f t="shared" si="0"/>
        <v>42665</v>
      </c>
      <c r="AB5" s="113">
        <f t="shared" si="0"/>
        <v>42666</v>
      </c>
      <c r="AC5" s="113">
        <f t="shared" si="0"/>
        <v>42667</v>
      </c>
      <c r="AD5" s="113">
        <f t="shared" si="0"/>
        <v>42668</v>
      </c>
      <c r="AE5" s="113">
        <f t="shared" si="0"/>
        <v>42669</v>
      </c>
      <c r="AF5" s="113">
        <f t="shared" si="0"/>
        <v>42670</v>
      </c>
      <c r="AG5" s="113">
        <f t="shared" si="0"/>
        <v>42671</v>
      </c>
      <c r="AH5" s="113">
        <f>AG5+1</f>
        <v>42672</v>
      </c>
      <c r="AI5" s="113">
        <f t="shared" si="0"/>
        <v>42673</v>
      </c>
      <c r="AJ5" s="113">
        <f t="shared" si="0"/>
        <v>42674</v>
      </c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66" t="str">
        <f>CHOOSE(WEEKDAY(F5),"C.Nhật","T.Hai","T.Ba","T.Tư","T.Năm","T.Sáu","T.Bảy")</f>
        <v>T.Bảy</v>
      </c>
      <c r="G6" s="166" t="str">
        <f t="shared" ref="G6:AJ6" si="1">CHOOSE(WEEKDAY(G5),"C.Nhật","T.Hai","T.Ba","T.Tư","T.Năm","T.Sáu","T.Bảy")</f>
        <v>C.Nhật</v>
      </c>
      <c r="H6" s="166" t="str">
        <f t="shared" si="1"/>
        <v>T.Hai</v>
      </c>
      <c r="I6" s="166" t="str">
        <f t="shared" si="1"/>
        <v>T.Ba</v>
      </c>
      <c r="J6" s="166" t="str">
        <f t="shared" si="1"/>
        <v>T.Tư</v>
      </c>
      <c r="K6" s="166" t="str">
        <f t="shared" si="1"/>
        <v>T.Năm</v>
      </c>
      <c r="L6" s="166" t="str">
        <f t="shared" si="1"/>
        <v>T.Sáu</v>
      </c>
      <c r="M6" s="166" t="str">
        <f t="shared" si="1"/>
        <v>T.Bảy</v>
      </c>
      <c r="N6" s="166" t="str">
        <f t="shared" si="1"/>
        <v>C.Nhật</v>
      </c>
      <c r="O6" s="166" t="str">
        <f t="shared" si="1"/>
        <v>T.Hai</v>
      </c>
      <c r="P6" s="166" t="str">
        <f t="shared" si="1"/>
        <v>T.Ba</v>
      </c>
      <c r="Q6" s="166" t="str">
        <f t="shared" si="1"/>
        <v>T.Tư</v>
      </c>
      <c r="R6" s="166" t="str">
        <f t="shared" si="1"/>
        <v>T.Năm</v>
      </c>
      <c r="S6" s="166" t="str">
        <f t="shared" si="1"/>
        <v>T.Sáu</v>
      </c>
      <c r="T6" s="166" t="str">
        <f t="shared" si="1"/>
        <v>T.Bảy</v>
      </c>
      <c r="U6" s="166" t="str">
        <f t="shared" si="1"/>
        <v>C.Nhật</v>
      </c>
      <c r="V6" s="166" t="str">
        <f t="shared" si="1"/>
        <v>T.Hai</v>
      </c>
      <c r="W6" s="166" t="str">
        <f t="shared" si="1"/>
        <v>T.Ba</v>
      </c>
      <c r="X6" s="166" t="str">
        <f t="shared" si="1"/>
        <v>T.Tư</v>
      </c>
      <c r="Y6" s="166" t="str">
        <f t="shared" si="1"/>
        <v>T.Năm</v>
      </c>
      <c r="Z6" s="166" t="str">
        <f t="shared" si="1"/>
        <v>T.Sáu</v>
      </c>
      <c r="AA6" s="166" t="str">
        <f t="shared" si="1"/>
        <v>T.Bảy</v>
      </c>
      <c r="AB6" s="166" t="str">
        <f t="shared" si="1"/>
        <v>C.Nhật</v>
      </c>
      <c r="AC6" s="166" t="str">
        <f t="shared" si="1"/>
        <v>T.Hai</v>
      </c>
      <c r="AD6" s="166" t="str">
        <f t="shared" si="1"/>
        <v>T.Ba</v>
      </c>
      <c r="AE6" s="166" t="str">
        <f t="shared" si="1"/>
        <v>T.Tư</v>
      </c>
      <c r="AF6" s="166" t="str">
        <f t="shared" si="1"/>
        <v>T.Năm</v>
      </c>
      <c r="AG6" s="166" t="str">
        <f t="shared" si="1"/>
        <v>T.Sáu</v>
      </c>
      <c r="AH6" s="166" t="str">
        <f t="shared" si="1"/>
        <v>T.Bảy</v>
      </c>
      <c r="AI6" s="166" t="str">
        <f t="shared" si="1"/>
        <v>C.Nhật</v>
      </c>
      <c r="AJ6" s="166" t="str">
        <f t="shared" si="1"/>
        <v>T.Hai</v>
      </c>
      <c r="AK6" s="167" t="s">
        <v>16</v>
      </c>
      <c r="AL6" s="167" t="s">
        <v>31</v>
      </c>
      <c r="AM6" s="168" t="s">
        <v>17</v>
      </c>
      <c r="AN6" s="250"/>
      <c r="AO6" s="250"/>
      <c r="AP6" s="250"/>
      <c r="AQ6" s="250"/>
      <c r="AR6" s="250"/>
      <c r="AS6" s="244"/>
      <c r="AT6" s="2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69">
        <v>1</v>
      </c>
      <c r="B7" s="169">
        <v>1</v>
      </c>
      <c r="C7" s="169">
        <v>2</v>
      </c>
      <c r="D7" s="169">
        <v>3</v>
      </c>
      <c r="E7" s="169">
        <v>4</v>
      </c>
      <c r="F7" s="169">
        <v>5</v>
      </c>
      <c r="G7" s="169">
        <v>6</v>
      </c>
      <c r="H7" s="169">
        <v>7</v>
      </c>
      <c r="I7" s="169">
        <v>8</v>
      </c>
      <c r="J7" s="169">
        <v>9</v>
      </c>
      <c r="K7" s="169">
        <v>10</v>
      </c>
      <c r="L7" s="169">
        <v>11</v>
      </c>
      <c r="M7" s="169">
        <v>12</v>
      </c>
      <c r="N7" s="169">
        <v>13</v>
      </c>
      <c r="O7" s="169">
        <v>14</v>
      </c>
      <c r="P7" s="169">
        <v>15</v>
      </c>
      <c r="Q7" s="169">
        <v>16</v>
      </c>
      <c r="R7" s="169">
        <v>17</v>
      </c>
      <c r="S7" s="169">
        <v>18</v>
      </c>
      <c r="T7" s="169">
        <v>19</v>
      </c>
      <c r="U7" s="169">
        <v>20</v>
      </c>
      <c r="V7" s="169">
        <v>21</v>
      </c>
      <c r="W7" s="169">
        <v>22</v>
      </c>
      <c r="X7" s="169">
        <v>23</v>
      </c>
      <c r="Y7" s="169">
        <v>24</v>
      </c>
      <c r="Z7" s="169">
        <v>25</v>
      </c>
      <c r="AA7" s="169">
        <v>26</v>
      </c>
      <c r="AB7" s="169">
        <v>27</v>
      </c>
      <c r="AC7" s="169">
        <v>28</v>
      </c>
      <c r="AD7" s="169">
        <v>29</v>
      </c>
      <c r="AE7" s="169">
        <v>30</v>
      </c>
      <c r="AF7" s="169">
        <v>31</v>
      </c>
      <c r="AG7" s="169">
        <v>32</v>
      </c>
      <c r="AH7" s="169">
        <v>33</v>
      </c>
      <c r="AI7" s="169">
        <v>34</v>
      </c>
      <c r="AJ7" s="169">
        <v>35</v>
      </c>
      <c r="AK7" s="169">
        <v>36</v>
      </c>
      <c r="AL7" s="169">
        <v>37</v>
      </c>
      <c r="AM7" s="169">
        <v>38</v>
      </c>
      <c r="AN7" s="169">
        <v>39</v>
      </c>
      <c r="AO7" s="169">
        <v>40</v>
      </c>
      <c r="AP7" s="169">
        <v>41</v>
      </c>
      <c r="AQ7" s="169">
        <v>42</v>
      </c>
      <c r="AR7" s="169">
        <v>43</v>
      </c>
      <c r="AS7" s="169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2" customFormat="1" ht="21" customHeight="1">
      <c r="A8" s="170" t="s">
        <v>78</v>
      </c>
      <c r="B8" s="173" t="s">
        <v>89</v>
      </c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5"/>
      <c r="AT8" s="171"/>
    </row>
    <row r="9" spans="1:91" s="64" customFormat="1" ht="18" customHeight="1">
      <c r="A9" s="227">
        <v>1</v>
      </c>
      <c r="B9" s="227" t="s">
        <v>84</v>
      </c>
      <c r="C9" s="229" t="str">
        <f>VLOOKUP(B9,DS,2,0)</f>
        <v>Lê Kim Ngọc Thảo</v>
      </c>
      <c r="D9" s="231" t="str">
        <f>VLOOKUP(B9,DS,3,0)</f>
        <v>Văn Phòng</v>
      </c>
      <c r="E9" s="65" t="s">
        <v>32</v>
      </c>
      <c r="F9" s="138">
        <v>8</v>
      </c>
      <c r="G9" s="138"/>
      <c r="H9" s="138">
        <v>8</v>
      </c>
      <c r="I9" s="138">
        <v>8</v>
      </c>
      <c r="J9" s="138">
        <v>8</v>
      </c>
      <c r="K9" s="138">
        <v>8</v>
      </c>
      <c r="L9" s="138">
        <v>8</v>
      </c>
      <c r="M9" s="138">
        <v>8</v>
      </c>
      <c r="N9" s="138"/>
      <c r="O9" s="138">
        <v>8</v>
      </c>
      <c r="P9" s="138">
        <v>8</v>
      </c>
      <c r="Q9" s="138">
        <v>8</v>
      </c>
      <c r="R9" s="138">
        <v>8</v>
      </c>
      <c r="S9" s="138">
        <v>8</v>
      </c>
      <c r="T9" s="138">
        <v>8</v>
      </c>
      <c r="U9" s="138"/>
      <c r="V9" s="138">
        <v>8</v>
      </c>
      <c r="W9" s="138">
        <v>8</v>
      </c>
      <c r="X9" s="138">
        <v>8</v>
      </c>
      <c r="Y9" s="138">
        <v>8</v>
      </c>
      <c r="Z9" s="138">
        <v>8</v>
      </c>
      <c r="AA9" s="138">
        <v>8</v>
      </c>
      <c r="AB9" s="138"/>
      <c r="AC9" s="138">
        <v>8</v>
      </c>
      <c r="AD9" s="138">
        <v>8</v>
      </c>
      <c r="AE9" s="138">
        <v>8</v>
      </c>
      <c r="AF9" s="138">
        <v>8</v>
      </c>
      <c r="AG9" s="138">
        <v>8</v>
      </c>
      <c r="AH9" s="138">
        <v>8</v>
      </c>
      <c r="AI9" s="138"/>
      <c r="AJ9" s="138">
        <v>8</v>
      </c>
      <c r="AK9" s="233">
        <f>((SUM(F9:AJ9))/8)-(SUMIF($F$6:$AJ$6,"C.Nhật",F9:AJ9)/8)</f>
        <v>26</v>
      </c>
      <c r="AL9" s="233">
        <f>SUM(F10:AJ10)/8*1.5</f>
        <v>0</v>
      </c>
      <c r="AM9" s="235">
        <f>SUMIF($F$6:$AJ$6,"C.Nhật",$F9:$AJ10)/8*2</f>
        <v>0</v>
      </c>
      <c r="AN9" s="223">
        <f>SUM(AK9:AM10)</f>
        <v>26</v>
      </c>
      <c r="AO9" s="237">
        <v>0</v>
      </c>
      <c r="AP9" s="223"/>
      <c r="AQ9" s="223"/>
      <c r="AR9" s="223"/>
      <c r="AS9" s="225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28"/>
      <c r="B10" s="228"/>
      <c r="C10" s="230"/>
      <c r="D10" s="232"/>
      <c r="E10" s="66" t="s">
        <v>31</v>
      </c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234"/>
      <c r="AL10" s="234"/>
      <c r="AM10" s="236"/>
      <c r="AN10" s="224"/>
      <c r="AO10" s="238"/>
      <c r="AP10" s="224"/>
      <c r="AQ10" s="224"/>
      <c r="AR10" s="224"/>
      <c r="AS10" s="226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72" customFormat="1" ht="21" customHeight="1">
      <c r="A11" s="170" t="s">
        <v>79</v>
      </c>
      <c r="B11" s="173" t="s">
        <v>83</v>
      </c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5"/>
      <c r="AT11" s="171"/>
    </row>
    <row r="12" spans="1:91" s="64" customFormat="1" ht="18" customHeight="1">
      <c r="A12" s="227">
        <v>1</v>
      </c>
      <c r="B12" s="227" t="s">
        <v>85</v>
      </c>
      <c r="C12" s="229" t="str">
        <f>VLOOKUP(B12,DS,2,0)</f>
        <v>Diệp Văn Lân</v>
      </c>
      <c r="D12" s="231" t="str">
        <f>VLOOKUP(B12,DS,3,0)</f>
        <v>Công Đoạn 1</v>
      </c>
      <c r="E12" s="65" t="s">
        <v>32</v>
      </c>
      <c r="F12" s="138">
        <v>8</v>
      </c>
      <c r="G12" s="138"/>
      <c r="H12" s="138">
        <v>8</v>
      </c>
      <c r="I12" s="138">
        <v>8</v>
      </c>
      <c r="J12" s="138">
        <v>8</v>
      </c>
      <c r="K12" s="138">
        <v>8</v>
      </c>
      <c r="L12" s="138">
        <v>8</v>
      </c>
      <c r="M12" s="138">
        <v>8</v>
      </c>
      <c r="N12" s="138"/>
      <c r="O12" s="138">
        <v>8</v>
      </c>
      <c r="P12" s="138">
        <v>8</v>
      </c>
      <c r="Q12" s="138">
        <v>8</v>
      </c>
      <c r="R12" s="138">
        <v>8</v>
      </c>
      <c r="S12" s="138">
        <v>8</v>
      </c>
      <c r="T12" s="138">
        <v>8</v>
      </c>
      <c r="U12" s="138"/>
      <c r="V12" s="138">
        <v>8</v>
      </c>
      <c r="W12" s="138">
        <v>8</v>
      </c>
      <c r="X12" s="138">
        <v>8</v>
      </c>
      <c r="Y12" s="138">
        <v>8</v>
      </c>
      <c r="Z12" s="138">
        <v>8</v>
      </c>
      <c r="AA12" s="138">
        <v>8</v>
      </c>
      <c r="AB12" s="138"/>
      <c r="AC12" s="138">
        <v>8</v>
      </c>
      <c r="AD12" s="138">
        <v>8</v>
      </c>
      <c r="AE12" s="138">
        <v>8</v>
      </c>
      <c r="AF12" s="138">
        <v>8</v>
      </c>
      <c r="AG12" s="138">
        <v>8</v>
      </c>
      <c r="AH12" s="138">
        <v>8</v>
      </c>
      <c r="AI12" s="138"/>
      <c r="AJ12" s="138">
        <v>8</v>
      </c>
      <c r="AK12" s="233">
        <f t="shared" ref="AK12" si="2">((SUM(F12:AJ12))/8)-(SUMIF($F$6:$AJ$6,"C.Nhật",F12:AJ12)/8)</f>
        <v>26</v>
      </c>
      <c r="AL12" s="233">
        <f t="shared" ref="AL12" si="3">SUM(F13:AJ13)/8*1.5</f>
        <v>0</v>
      </c>
      <c r="AM12" s="235">
        <f>SUMIF($F$6:$AJ$6,"C.Nhật",$F12:$AJ13)/8*2</f>
        <v>0</v>
      </c>
      <c r="AN12" s="223">
        <f>SUM(AK12:AM13)</f>
        <v>26</v>
      </c>
      <c r="AO12" s="237">
        <v>0</v>
      </c>
      <c r="AP12" s="223"/>
      <c r="AQ12" s="223"/>
      <c r="AR12" s="223"/>
      <c r="AS12" s="225"/>
      <c r="AT12" s="204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64" customFormat="1" ht="18" customHeight="1">
      <c r="A13" s="228"/>
      <c r="B13" s="228"/>
      <c r="C13" s="230"/>
      <c r="D13" s="232"/>
      <c r="E13" s="66" t="s">
        <v>31</v>
      </c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234"/>
      <c r="AL13" s="234"/>
      <c r="AM13" s="236"/>
      <c r="AN13" s="224"/>
      <c r="AO13" s="238"/>
      <c r="AP13" s="224"/>
      <c r="AQ13" s="224"/>
      <c r="AR13" s="224"/>
      <c r="AS13" s="226"/>
      <c r="AT13" s="204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64" customFormat="1" ht="18" customHeight="1">
      <c r="A14" s="227">
        <v>2</v>
      </c>
      <c r="B14" s="227" t="s">
        <v>86</v>
      </c>
      <c r="C14" s="229" t="str">
        <f>VLOOKUP(B14,DS,2,0)</f>
        <v>Dương Thế Kiệt</v>
      </c>
      <c r="D14" s="231" t="str">
        <f>VLOOKUP(B14,DS,3,0)</f>
        <v>Công Đoạn 1</v>
      </c>
      <c r="E14" s="65" t="s">
        <v>32</v>
      </c>
      <c r="F14" s="138">
        <v>8</v>
      </c>
      <c r="G14" s="138"/>
      <c r="H14" s="138">
        <v>8</v>
      </c>
      <c r="I14" s="138">
        <v>8</v>
      </c>
      <c r="J14" s="138">
        <v>8</v>
      </c>
      <c r="K14" s="138">
        <v>8</v>
      </c>
      <c r="L14" s="138">
        <v>8</v>
      </c>
      <c r="M14" s="138">
        <v>8</v>
      </c>
      <c r="N14" s="138"/>
      <c r="O14" s="138">
        <v>8</v>
      </c>
      <c r="P14" s="138">
        <v>8</v>
      </c>
      <c r="Q14" s="138">
        <v>8</v>
      </c>
      <c r="R14" s="138">
        <v>8</v>
      </c>
      <c r="S14" s="138">
        <v>8</v>
      </c>
      <c r="T14" s="138">
        <v>8</v>
      </c>
      <c r="U14" s="138"/>
      <c r="V14" s="138">
        <v>8</v>
      </c>
      <c r="W14" s="138">
        <v>8</v>
      </c>
      <c r="X14" s="138">
        <v>8</v>
      </c>
      <c r="Y14" s="138">
        <v>8</v>
      </c>
      <c r="Z14" s="138">
        <v>8</v>
      </c>
      <c r="AA14" s="138">
        <v>8</v>
      </c>
      <c r="AB14" s="138"/>
      <c r="AC14" s="138">
        <v>8</v>
      </c>
      <c r="AD14" s="138">
        <v>8</v>
      </c>
      <c r="AE14" s="138">
        <v>8</v>
      </c>
      <c r="AF14" s="138">
        <v>8</v>
      </c>
      <c r="AG14" s="138">
        <v>8</v>
      </c>
      <c r="AH14" s="138">
        <v>8</v>
      </c>
      <c r="AI14" s="138"/>
      <c r="AJ14" s="138">
        <v>8</v>
      </c>
      <c r="AK14" s="233">
        <f t="shared" ref="AK14" si="4">((SUM(F14:AJ14))/8)-(SUMIF($F$6:$AJ$6,"C.Nhật",F14:AJ14)/8)</f>
        <v>26</v>
      </c>
      <c r="AL14" s="233">
        <f t="shared" ref="AL14" si="5">SUM(F15:AJ15)/8*1.5</f>
        <v>0</v>
      </c>
      <c r="AM14" s="235">
        <f>SUMIF($F$6:$AJ$6,"C.Nhật",$F14:$AJ15)/8*2</f>
        <v>0</v>
      </c>
      <c r="AN14" s="223">
        <f t="shared" ref="AN14" si="6">SUM(AK14:AM15)</f>
        <v>26</v>
      </c>
      <c r="AO14" s="237">
        <v>0</v>
      </c>
      <c r="AP14" s="223"/>
      <c r="AQ14" s="223"/>
      <c r="AR14" s="223"/>
      <c r="AS14" s="225"/>
      <c r="AT14" s="20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28"/>
      <c r="B15" s="228"/>
      <c r="C15" s="230"/>
      <c r="D15" s="232"/>
      <c r="E15" s="66" t="s">
        <v>31</v>
      </c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234"/>
      <c r="AL15" s="234"/>
      <c r="AM15" s="236"/>
      <c r="AN15" s="224"/>
      <c r="AO15" s="238"/>
      <c r="AP15" s="224"/>
      <c r="AQ15" s="224"/>
      <c r="AR15" s="224"/>
      <c r="AS15" s="226"/>
      <c r="AT15" s="20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27">
        <v>3</v>
      </c>
      <c r="B16" s="227" t="s">
        <v>87</v>
      </c>
      <c r="C16" s="229" t="str">
        <f>VLOOKUP(B16,DS,2,0)</f>
        <v>Lê Văn Hữu</v>
      </c>
      <c r="D16" s="231" t="str">
        <f>VLOOKUP(B16,DS,3,0)</f>
        <v>Công Đoạn 2</v>
      </c>
      <c r="E16" s="65" t="s">
        <v>32</v>
      </c>
      <c r="F16" s="138">
        <v>8</v>
      </c>
      <c r="G16" s="138"/>
      <c r="H16" s="138">
        <v>8</v>
      </c>
      <c r="I16" s="138">
        <v>8</v>
      </c>
      <c r="J16" s="138">
        <v>8</v>
      </c>
      <c r="K16" s="138">
        <v>8</v>
      </c>
      <c r="L16" s="138">
        <v>8</v>
      </c>
      <c r="M16" s="138">
        <v>8</v>
      </c>
      <c r="N16" s="138"/>
      <c r="O16" s="138">
        <v>8</v>
      </c>
      <c r="P16" s="138">
        <v>8</v>
      </c>
      <c r="Q16" s="138">
        <v>8</v>
      </c>
      <c r="R16" s="138">
        <v>8</v>
      </c>
      <c r="S16" s="138">
        <v>8</v>
      </c>
      <c r="T16" s="138">
        <v>8</v>
      </c>
      <c r="U16" s="138"/>
      <c r="V16" s="138">
        <v>8</v>
      </c>
      <c r="W16" s="138">
        <v>8</v>
      </c>
      <c r="X16" s="138">
        <v>8</v>
      </c>
      <c r="Y16" s="138">
        <v>8</v>
      </c>
      <c r="Z16" s="138">
        <v>8</v>
      </c>
      <c r="AA16" s="138">
        <v>8</v>
      </c>
      <c r="AB16" s="138"/>
      <c r="AC16" s="138">
        <v>8</v>
      </c>
      <c r="AD16" s="138">
        <v>8</v>
      </c>
      <c r="AE16" s="138">
        <v>8</v>
      </c>
      <c r="AF16" s="138">
        <v>8</v>
      </c>
      <c r="AG16" s="138">
        <v>8</v>
      </c>
      <c r="AH16" s="138">
        <v>8</v>
      </c>
      <c r="AI16" s="138"/>
      <c r="AJ16" s="138">
        <v>8</v>
      </c>
      <c r="AK16" s="233">
        <f t="shared" ref="AK16" si="7">((SUM(F16:AJ16))/8)-(SUMIF($F$6:$AJ$6,"C.Nhật",F16:AJ16)/8)</f>
        <v>26</v>
      </c>
      <c r="AL16" s="233">
        <f t="shared" ref="AL16" si="8">SUM(F17:AJ17)/8*1.5</f>
        <v>0</v>
      </c>
      <c r="AM16" s="235">
        <f>SUMIF($F$6:$AJ$6,"C.Nhật",$F16:$AJ17)/8*2</f>
        <v>0</v>
      </c>
      <c r="AN16" s="223">
        <f t="shared" ref="AN16" si="9">SUM(AK16:AM17)</f>
        <v>26</v>
      </c>
      <c r="AO16" s="237">
        <v>0</v>
      </c>
      <c r="AP16" s="223"/>
      <c r="AQ16" s="223"/>
      <c r="AR16" s="223"/>
      <c r="AS16" s="225"/>
      <c r="AT16" s="20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4" customFormat="1" ht="18" customHeight="1">
      <c r="A17" s="228"/>
      <c r="B17" s="228"/>
      <c r="C17" s="230"/>
      <c r="D17" s="232"/>
      <c r="E17" s="66" t="s">
        <v>31</v>
      </c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234"/>
      <c r="AL17" s="234"/>
      <c r="AM17" s="236"/>
      <c r="AN17" s="224"/>
      <c r="AO17" s="238"/>
      <c r="AP17" s="224"/>
      <c r="AQ17" s="224"/>
      <c r="AR17" s="224"/>
      <c r="AS17" s="226"/>
      <c r="AT17" s="20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4" customFormat="1" ht="18" customHeight="1">
      <c r="A18" s="227">
        <v>4</v>
      </c>
      <c r="B18" s="227" t="s">
        <v>92</v>
      </c>
      <c r="C18" s="229" t="str">
        <f>VLOOKUP(B18,DS,2,0)</f>
        <v>Nguyễn T Bích Thủy</v>
      </c>
      <c r="D18" s="231" t="str">
        <f>VLOOKUP(B18,DS,3,0)</f>
        <v>Công Đoạn 2</v>
      </c>
      <c r="E18" s="65" t="s">
        <v>32</v>
      </c>
      <c r="F18" s="138">
        <v>8</v>
      </c>
      <c r="G18" s="138"/>
      <c r="H18" s="138">
        <v>8</v>
      </c>
      <c r="I18" s="138">
        <v>8</v>
      </c>
      <c r="J18" s="138">
        <v>8</v>
      </c>
      <c r="K18" s="138">
        <v>8</v>
      </c>
      <c r="L18" s="138">
        <v>8</v>
      </c>
      <c r="M18" s="138">
        <v>8</v>
      </c>
      <c r="N18" s="138"/>
      <c r="O18" s="138">
        <v>8</v>
      </c>
      <c r="P18" s="138">
        <v>8</v>
      </c>
      <c r="Q18" s="138">
        <v>8</v>
      </c>
      <c r="R18" s="138">
        <v>8</v>
      </c>
      <c r="S18" s="138">
        <v>8</v>
      </c>
      <c r="T18" s="138">
        <v>8</v>
      </c>
      <c r="U18" s="138"/>
      <c r="V18" s="138">
        <v>8</v>
      </c>
      <c r="W18" s="138">
        <v>8</v>
      </c>
      <c r="X18" s="138">
        <v>8</v>
      </c>
      <c r="Y18" s="138">
        <v>8</v>
      </c>
      <c r="Z18" s="138">
        <v>8</v>
      </c>
      <c r="AA18" s="138">
        <v>8</v>
      </c>
      <c r="AB18" s="138"/>
      <c r="AC18" s="138">
        <v>8</v>
      </c>
      <c r="AD18" s="138">
        <v>8</v>
      </c>
      <c r="AE18" s="138">
        <v>8</v>
      </c>
      <c r="AF18" s="138">
        <v>8</v>
      </c>
      <c r="AG18" s="138">
        <v>8</v>
      </c>
      <c r="AH18" s="138">
        <v>8</v>
      </c>
      <c r="AI18" s="138"/>
      <c r="AJ18" s="138">
        <v>8</v>
      </c>
      <c r="AK18" s="233">
        <f t="shared" ref="AK18" si="10">((SUM(F18:AJ18))/8)-(SUMIF($F$6:$AJ$6,"C.Nhật",F18:AJ18)/8)</f>
        <v>26</v>
      </c>
      <c r="AL18" s="233">
        <f t="shared" ref="AL18" si="11">SUM(F19:AJ19)/8*1.5</f>
        <v>0</v>
      </c>
      <c r="AM18" s="235">
        <f>SUMIF($F$6:$AJ$6,"C.Nhật",$F18:$AJ19)/8*2</f>
        <v>0</v>
      </c>
      <c r="AN18" s="223">
        <f t="shared" ref="AN18" si="12">SUM(AK18:AM19)</f>
        <v>26</v>
      </c>
      <c r="AO18" s="237">
        <v>0</v>
      </c>
      <c r="AP18" s="223"/>
      <c r="AQ18" s="223"/>
      <c r="AR18" s="223"/>
      <c r="AS18" s="225"/>
      <c r="AT18" s="20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4" customFormat="1" ht="18" customHeight="1">
      <c r="A19" s="228"/>
      <c r="B19" s="228"/>
      <c r="C19" s="230"/>
      <c r="D19" s="232"/>
      <c r="E19" s="66" t="s">
        <v>31</v>
      </c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234"/>
      <c r="AL19" s="234"/>
      <c r="AM19" s="236"/>
      <c r="AN19" s="224"/>
      <c r="AO19" s="238"/>
      <c r="AP19" s="224"/>
      <c r="AQ19" s="224"/>
      <c r="AR19" s="224"/>
      <c r="AS19" s="226"/>
      <c r="AT19" s="20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67" customFormat="1" ht="12.75">
      <c r="A20" s="14"/>
      <c r="B20" s="68"/>
      <c r="C20" s="4"/>
      <c r="D20" s="109"/>
      <c r="E20" s="4"/>
      <c r="F20" s="72"/>
      <c r="G20" s="72"/>
      <c r="H20" s="69"/>
      <c r="I20" s="69"/>
      <c r="J20" s="115"/>
      <c r="K20" s="72"/>
      <c r="L20" s="69"/>
      <c r="M20" s="72"/>
      <c r="N20" s="72"/>
      <c r="O20" s="72"/>
      <c r="P20" s="72"/>
      <c r="Q20" s="69"/>
      <c r="R20" s="72"/>
      <c r="S20" s="72"/>
      <c r="T20" s="115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72"/>
      <c r="AJ20" s="72"/>
      <c r="AK20" s="4"/>
      <c r="AL20" s="4"/>
      <c r="AM20" s="95"/>
      <c r="AN20" s="71"/>
      <c r="AO20" s="71"/>
      <c r="AP20" s="71"/>
      <c r="AQ20" s="71"/>
      <c r="AR20" s="71"/>
      <c r="AS20" s="4"/>
      <c r="AT20" s="101"/>
    </row>
    <row r="21" spans="1:91" s="67" customFormat="1" ht="12.75">
      <c r="A21" s="14"/>
      <c r="B21" s="68"/>
      <c r="C21" s="14" t="s">
        <v>14</v>
      </c>
      <c r="D21" s="109"/>
      <c r="E21" s="4"/>
      <c r="F21" s="72"/>
      <c r="G21" s="72"/>
      <c r="H21" s="69"/>
      <c r="I21" s="69"/>
      <c r="J21" s="115"/>
      <c r="K21" s="72"/>
      <c r="L21" s="69"/>
      <c r="M21" s="72"/>
      <c r="N21" s="72"/>
      <c r="O21" s="72"/>
      <c r="P21" s="72"/>
      <c r="Q21" s="69"/>
      <c r="R21" s="72"/>
      <c r="S21" s="72"/>
      <c r="T21" s="115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72"/>
      <c r="AJ21" s="72"/>
      <c r="AK21" s="4"/>
      <c r="AL21" s="4"/>
      <c r="AM21" s="95"/>
      <c r="AN21" s="71"/>
      <c r="AO21" s="71"/>
      <c r="AP21" s="71"/>
      <c r="AQ21" s="71"/>
      <c r="AR21" s="71"/>
      <c r="AS21" s="4"/>
      <c r="AT21" s="101"/>
    </row>
    <row r="22" spans="1:91" s="67" customFormat="1" ht="12.75">
      <c r="A22" s="12"/>
      <c r="B22" s="12"/>
      <c r="C22" s="4"/>
      <c r="D22" s="109"/>
      <c r="E22" s="4"/>
      <c r="F22" s="72"/>
      <c r="G22" s="72"/>
      <c r="H22" s="116"/>
      <c r="I22" s="116"/>
      <c r="J22" s="116"/>
      <c r="K22" s="72"/>
      <c r="L22" s="116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6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101"/>
    </row>
    <row r="23" spans="1:91" s="70" customFormat="1" ht="15" customHeight="1">
      <c r="A23" s="12"/>
      <c r="B23" s="12"/>
      <c r="C23" s="4"/>
      <c r="D23" s="109"/>
      <c r="E23" s="4"/>
      <c r="F23" s="72"/>
      <c r="G23" s="72"/>
      <c r="H23" s="116"/>
      <c r="I23" s="116"/>
      <c r="J23" s="116"/>
      <c r="K23" s="72"/>
      <c r="L23" s="116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6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1" s="70" customFormat="1" ht="11.25">
      <c r="A24" s="12"/>
      <c r="B24" s="12"/>
      <c r="C24" s="4"/>
      <c r="D24" s="109"/>
      <c r="E24" s="4"/>
      <c r="F24" s="72"/>
      <c r="G24" s="72"/>
      <c r="H24" s="116"/>
      <c r="I24" s="116"/>
      <c r="J24" s="116"/>
      <c r="K24" s="72"/>
      <c r="L24" s="116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6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4"/>
    </row>
    <row r="25" spans="1:91" s="70" customFormat="1" ht="11.25">
      <c r="A25" s="12"/>
      <c r="B25" s="12"/>
      <c r="C25" s="4"/>
      <c r="D25" s="109"/>
      <c r="E25" s="4"/>
      <c r="F25" s="72"/>
      <c r="G25" s="72"/>
      <c r="H25" s="116"/>
      <c r="I25" s="116"/>
      <c r="J25" s="116"/>
      <c r="K25" s="72"/>
      <c r="L25" s="116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6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1" s="70" customFormat="1" ht="11.25">
      <c r="A26" s="10"/>
      <c r="B26" s="10"/>
      <c r="C26" s="14"/>
      <c r="D26" s="110"/>
      <c r="E26" s="74"/>
      <c r="F26" s="115"/>
      <c r="G26" s="117"/>
      <c r="H26" s="69"/>
      <c r="I26" s="69"/>
      <c r="J26" s="69"/>
      <c r="K26" s="117"/>
      <c r="L26" s="69"/>
      <c r="M26" s="117"/>
      <c r="N26" s="117"/>
      <c r="O26" s="117"/>
      <c r="P26" s="117"/>
      <c r="Q26" s="69"/>
      <c r="R26" s="115"/>
      <c r="S26" s="117"/>
      <c r="T26" s="117"/>
      <c r="U26" s="69"/>
      <c r="V26" s="117"/>
      <c r="W26" s="117"/>
      <c r="X26" s="69"/>
      <c r="Y26" s="117"/>
      <c r="Z26" s="117"/>
      <c r="AA26" s="117"/>
      <c r="AB26" s="117"/>
      <c r="AC26" s="117"/>
      <c r="AD26" s="69"/>
      <c r="AE26" s="117"/>
      <c r="AF26" s="117"/>
      <c r="AG26" s="117"/>
      <c r="AH26" s="117"/>
      <c r="AI26" s="117"/>
      <c r="AJ26" s="117"/>
      <c r="AK26" s="74"/>
      <c r="AM26" s="96"/>
      <c r="AN26" s="10"/>
      <c r="AO26" s="10"/>
      <c r="AP26" s="10"/>
      <c r="AQ26" s="10"/>
      <c r="AR26" s="10"/>
      <c r="AS26" s="14"/>
      <c r="AT26" s="4"/>
    </row>
    <row r="27" spans="1:91" s="70" customFormat="1" ht="12.75">
      <c r="A27" s="2"/>
      <c r="B27" s="2" t="s">
        <v>0</v>
      </c>
      <c r="C27" s="2"/>
      <c r="D27" s="199"/>
      <c r="E27" s="2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9"/>
      <c r="AI27" s="119"/>
      <c r="AJ27" s="119"/>
      <c r="AK27" s="2"/>
      <c r="AL27" s="2"/>
      <c r="AM27" s="97"/>
      <c r="AN27" s="2"/>
      <c r="AO27" s="2"/>
      <c r="AP27" s="2"/>
      <c r="AQ27" s="2"/>
      <c r="AR27" s="2"/>
      <c r="AS27" s="2"/>
      <c r="AT27" s="4"/>
    </row>
    <row r="28" spans="1:91" s="70" customFormat="1" ht="12.75">
      <c r="A28" s="2"/>
      <c r="B28" s="2"/>
      <c r="C28" s="2" t="s">
        <v>46</v>
      </c>
      <c r="D28" s="199"/>
      <c r="E28" s="2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9"/>
      <c r="AI28" s="119"/>
      <c r="AJ28" s="119"/>
      <c r="AK28" s="2"/>
      <c r="AL28" s="2"/>
      <c r="AM28" s="97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199" customFormat="1" ht="15" customHeight="1">
      <c r="A31" s="2"/>
      <c r="B31" s="2"/>
      <c r="C31" s="2" t="s">
        <v>49</v>
      </c>
      <c r="E31" s="2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9"/>
      <c r="AI31" s="119"/>
      <c r="AJ31" s="119"/>
      <c r="AK31" s="2"/>
      <c r="AL31" s="2"/>
      <c r="AM31" s="9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9" customFormat="1" ht="15" customHeight="1">
      <c r="A32" s="2"/>
      <c r="B32" s="2"/>
      <c r="C32" s="2" t="s">
        <v>50</v>
      </c>
      <c r="E32" s="2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9"/>
      <c r="AI32" s="119"/>
      <c r="AJ32" s="119"/>
      <c r="AK32" s="2"/>
      <c r="AL32" s="2"/>
      <c r="AM32" s="9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9" customFormat="1" ht="15" customHeight="1">
      <c r="A33" s="2"/>
      <c r="B33" s="2"/>
      <c r="C33" s="2" t="s">
        <v>51</v>
      </c>
      <c r="E33" s="2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9"/>
      <c r="AI33" s="119"/>
      <c r="AJ33" s="119"/>
      <c r="AK33" s="2"/>
      <c r="AL33" s="2"/>
      <c r="AM33" s="9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9" customFormat="1" ht="15" customHeight="1">
      <c r="A34" s="2"/>
      <c r="B34" s="2"/>
      <c r="C34" s="2" t="s">
        <v>52</v>
      </c>
      <c r="E34" s="2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9"/>
      <c r="AI34" s="119"/>
      <c r="AJ34" s="119"/>
      <c r="AK34" s="2"/>
      <c r="AL34" s="2"/>
      <c r="AM34" s="9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99" customFormat="1" ht="15" customHeight="1">
      <c r="A35" s="2"/>
      <c r="B35" s="2"/>
      <c r="C35" s="2" t="s">
        <v>53</v>
      </c>
      <c r="E35" s="2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9"/>
      <c r="AI35" s="119"/>
      <c r="AJ35" s="119"/>
      <c r="AK35" s="2"/>
      <c r="AL35" s="2"/>
      <c r="AM35" s="9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99" customFormat="1" ht="15" customHeight="1">
      <c r="A36" s="2"/>
      <c r="B36" s="2"/>
      <c r="C36" s="2" t="s">
        <v>54</v>
      </c>
      <c r="E36" s="2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9"/>
      <c r="AI36" s="119"/>
      <c r="AJ36" s="119"/>
      <c r="AK36" s="2"/>
      <c r="AL36" s="2"/>
      <c r="AM36" s="9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A12:A19 C12:E19" name="Range1_6_2"/>
    <protectedRange password="CC78" sqref="B12:B19" name="Range1_4_2"/>
  </protectedRanges>
  <mergeCells count="79">
    <mergeCell ref="AP16:AP17"/>
    <mergeCell ref="AQ16:AQ17"/>
    <mergeCell ref="AR16:AR17"/>
    <mergeCell ref="C16:C17"/>
    <mergeCell ref="D16:D17"/>
    <mergeCell ref="AK16:AK17"/>
    <mergeCell ref="AL16:AL17"/>
    <mergeCell ref="AM16:AM17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16:A17"/>
    <mergeCell ref="B16:B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S16:AS17"/>
    <mergeCell ref="AN16:AN17"/>
    <mergeCell ref="D12:D13"/>
    <mergeCell ref="AK12:AK13"/>
    <mergeCell ref="AP12:AP13"/>
    <mergeCell ref="B12:B13"/>
    <mergeCell ref="C12:C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S12:AS13"/>
    <mergeCell ref="AL12:AL13"/>
    <mergeCell ref="AM12:AM13"/>
    <mergeCell ref="AN12:AN13"/>
    <mergeCell ref="AQ12:AQ13"/>
    <mergeCell ref="AR12:AR13"/>
    <mergeCell ref="AO12:AO13"/>
    <mergeCell ref="A12:A13"/>
    <mergeCell ref="AO16:AO17"/>
  </mergeCells>
  <conditionalFormatting sqref="F5:AJ6 F9:AJ10">
    <cfRule type="expression" dxfId="18" priority="38" stopIfTrue="1">
      <formula>IF(WEEKDAY(F$5)=1,TRUE,FALSE)</formula>
    </cfRule>
  </conditionalFormatting>
  <conditionalFormatting sqref="F9:AJ10">
    <cfRule type="expression" dxfId="17" priority="37" stopIfTrue="1">
      <formula>IF(WEEKDAY(F$5)=1,TRUE,FALSE)</formula>
    </cfRule>
  </conditionalFormatting>
  <conditionalFormatting sqref="F12:AJ19">
    <cfRule type="expression" dxfId="16" priority="2" stopIfTrue="1">
      <formula>IF(WEEKDAY(F$5)=1,TRUE,FALSE)</formula>
    </cfRule>
  </conditionalFormatting>
  <conditionalFormatting sqref="F12:AJ19">
    <cfRule type="expression" dxfId="1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9" activeCellId="1" sqref="S12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4"/>
      <c r="B1" s="202"/>
      <c r="C1" s="202"/>
      <c r="D1" s="258" t="str">
        <f>"BẢNG THANH TOÁN LƯƠNG THÁNG"&amp;" "&amp;TEXT($E$4,"mm")&amp;" / "&amp;TEXT($E$4,"yyyy")</f>
        <v>BẢNG THANH TOÁN LƯƠNG THÁNG 10 / 2016</v>
      </c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9"/>
      <c r="R1" s="260" t="s">
        <v>88</v>
      </c>
      <c r="S1" s="261"/>
      <c r="T1" s="262"/>
      <c r="U1" s="125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4"/>
      <c r="B2" s="202"/>
      <c r="C2" s="202"/>
      <c r="D2" s="202"/>
      <c r="E2" s="78"/>
      <c r="F2" s="202"/>
      <c r="G2" s="202"/>
      <c r="H2" s="202"/>
      <c r="I2" s="202"/>
      <c r="J2" s="79"/>
      <c r="K2" s="202"/>
      <c r="L2" s="202"/>
      <c r="M2" s="202"/>
      <c r="N2" s="202"/>
      <c r="O2" s="202"/>
      <c r="P2" s="202"/>
      <c r="Q2" s="202"/>
      <c r="R2" s="202"/>
      <c r="S2" s="202"/>
      <c r="T2" s="56"/>
      <c r="U2" s="77">
        <f>MAX(F10:F19)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4"/>
      <c r="B3" s="202"/>
      <c r="C3" s="202"/>
      <c r="D3" s="202"/>
      <c r="E3" s="78"/>
      <c r="F3" s="202"/>
      <c r="G3" s="202"/>
      <c r="H3" s="202"/>
      <c r="I3" s="202"/>
      <c r="J3" s="79"/>
      <c r="K3" s="202"/>
      <c r="L3" s="202"/>
      <c r="M3" s="202"/>
      <c r="N3" s="202"/>
      <c r="O3" s="202"/>
      <c r="P3" s="202"/>
      <c r="Q3" s="202"/>
      <c r="R3" s="202"/>
      <c r="S3" s="202"/>
      <c r="T3" s="56"/>
      <c r="U3" s="126"/>
      <c r="V3" s="127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1">
        <f>'CC -10'!$E$4</f>
        <v>42644</v>
      </c>
      <c r="F4" s="101"/>
      <c r="G4" s="101"/>
      <c r="H4" s="101"/>
      <c r="I4" s="101"/>
      <c r="J4" s="101"/>
      <c r="K4" s="101"/>
      <c r="L4" s="101"/>
      <c r="M4" s="101"/>
      <c r="N4" s="156">
        <v>0.08</v>
      </c>
      <c r="O4" s="156">
        <v>1.4999999999999999E-2</v>
      </c>
      <c r="P4" s="156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7" customFormat="1" ht="24" customHeight="1">
      <c r="A5" s="263" t="s">
        <v>19</v>
      </c>
      <c r="B5" s="263" t="s">
        <v>20</v>
      </c>
      <c r="C5" s="216" t="s">
        <v>1</v>
      </c>
      <c r="D5" s="216" t="s">
        <v>2</v>
      </c>
      <c r="E5" s="211" t="s">
        <v>56</v>
      </c>
      <c r="F5" s="265" t="s">
        <v>26</v>
      </c>
      <c r="G5" s="266"/>
      <c r="H5" s="266"/>
      <c r="I5" s="266"/>
      <c r="J5" s="266"/>
      <c r="K5" s="267"/>
      <c r="L5" s="254" t="s">
        <v>57</v>
      </c>
      <c r="M5" s="254" t="s">
        <v>5</v>
      </c>
      <c r="N5" s="216" t="s">
        <v>6</v>
      </c>
      <c r="O5" s="216"/>
      <c r="P5" s="216"/>
      <c r="Q5" s="254" t="s">
        <v>7</v>
      </c>
      <c r="R5" s="254" t="s">
        <v>8</v>
      </c>
      <c r="S5" s="254" t="s">
        <v>9</v>
      </c>
      <c r="T5" s="212" t="s">
        <v>10</v>
      </c>
      <c r="U5" s="101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4"/>
      <c r="B6" s="264"/>
      <c r="C6" s="216"/>
      <c r="D6" s="216"/>
      <c r="E6" s="211"/>
      <c r="F6" s="265" t="s">
        <v>59</v>
      </c>
      <c r="G6" s="267"/>
      <c r="H6" s="265" t="s">
        <v>81</v>
      </c>
      <c r="I6" s="266"/>
      <c r="J6" s="252" t="s">
        <v>27</v>
      </c>
      <c r="K6" s="254" t="s">
        <v>4</v>
      </c>
      <c r="L6" s="255"/>
      <c r="M6" s="255"/>
      <c r="N6" s="256" t="s">
        <v>12</v>
      </c>
      <c r="O6" s="254" t="s">
        <v>13</v>
      </c>
      <c r="P6" s="254" t="s">
        <v>34</v>
      </c>
      <c r="Q6" s="255"/>
      <c r="R6" s="255"/>
      <c r="S6" s="255"/>
      <c r="T6" s="213"/>
      <c r="U6" s="101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4"/>
      <c r="B7" s="264"/>
      <c r="C7" s="254"/>
      <c r="D7" s="254"/>
      <c r="E7" s="211"/>
      <c r="F7" s="203" t="s">
        <v>40</v>
      </c>
      <c r="G7" s="200" t="s">
        <v>18</v>
      </c>
      <c r="H7" s="203" t="s">
        <v>40</v>
      </c>
      <c r="I7" s="123" t="s">
        <v>18</v>
      </c>
      <c r="J7" s="253"/>
      <c r="K7" s="255"/>
      <c r="L7" s="268"/>
      <c r="M7" s="268"/>
      <c r="N7" s="257"/>
      <c r="O7" s="255"/>
      <c r="P7" s="255"/>
      <c r="Q7" s="255"/>
      <c r="R7" s="255"/>
      <c r="S7" s="255"/>
      <c r="T7" s="213"/>
      <c r="U7" s="101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0" t="s">
        <v>78</v>
      </c>
      <c r="B9" s="179" t="s">
        <v>89</v>
      </c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6" t="s">
        <v>84</v>
      </c>
      <c r="C10" s="86" t="str">
        <f t="shared" ref="C10" si="0">VLOOKUP(B10,DS,2,0)</f>
        <v>Lê Kim Ngọc Thảo</v>
      </c>
      <c r="D10" s="111" t="str">
        <f t="shared" ref="D10" si="1">VLOOKUP(B10,DS,3,0)</f>
        <v>Văn Phòng</v>
      </c>
      <c r="E10" s="87">
        <f t="shared" ref="E10" si="2">VLOOKUP(B10,DS,4,0)</f>
        <v>4000000</v>
      </c>
      <c r="F10" s="89">
        <f>VLOOKUP(B10,'CC -10'!$B$8:$AS$19,36,0)</f>
        <v>26</v>
      </c>
      <c r="G10" s="140">
        <f t="shared" ref="G10" si="3">ROUND(E10/$U$2*F10,0)</f>
        <v>4000000</v>
      </c>
      <c r="H10" s="89">
        <f>(VLOOKUP(B10,'CC -10'!$B$8:$AS$19,37,0)+VLOOKUP(B10,'CC -10'!$B$8:$AS$19,38,0))</f>
        <v>0</v>
      </c>
      <c r="I10" s="140">
        <f t="shared" ref="I10" si="4">ROUND(E10/$U$2*H10,0)</f>
        <v>0</v>
      </c>
      <c r="J10" s="90">
        <f t="shared" ref="J10" si="5">F10+H10</f>
        <v>26</v>
      </c>
      <c r="K10" s="37">
        <f>G10+I10</f>
        <v>4000000</v>
      </c>
      <c r="L10" s="87">
        <f t="shared" ref="L10" si="6">+F10*15000</f>
        <v>390000</v>
      </c>
      <c r="M10" s="38">
        <f t="shared" ref="M10" si="7">K10+L10</f>
        <v>4390000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8">M10-SUM(N10:P10)</f>
        <v>4390000</v>
      </c>
      <c r="R10" s="37">
        <f>VLOOKUP(B10,DS,23,0)</f>
        <v>0</v>
      </c>
      <c r="S10" s="43">
        <f t="shared" ref="S10" si="9">Q10-R10</f>
        <v>4390000</v>
      </c>
      <c r="T10" s="37"/>
      <c r="U10" s="101"/>
      <c r="V10" s="35"/>
      <c r="W10" s="28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188"/>
      <c r="B11" s="189"/>
      <c r="C11" s="190"/>
      <c r="D11" s="191"/>
      <c r="E11" s="192"/>
      <c r="F11" s="193"/>
      <c r="G11" s="194"/>
      <c r="H11" s="193"/>
      <c r="I11" s="194"/>
      <c r="J11" s="195"/>
      <c r="K11" s="196"/>
      <c r="L11" s="192"/>
      <c r="M11" s="197"/>
      <c r="N11" s="197"/>
      <c r="O11" s="197"/>
      <c r="P11" s="197"/>
      <c r="Q11" s="196"/>
      <c r="R11" s="196"/>
      <c r="S11" s="198"/>
      <c r="T11" s="196"/>
      <c r="U11" s="101"/>
      <c r="V11" s="35"/>
      <c r="W11" s="28"/>
      <c r="X11" s="5"/>
      <c r="Y11" s="5"/>
      <c r="Z11" s="5"/>
      <c r="AA11" s="4"/>
      <c r="AB11" s="4"/>
      <c r="AC11" s="4"/>
      <c r="AD11" s="4"/>
      <c r="AE11" s="4"/>
    </row>
    <row r="12" spans="1:31" s="32" customFormat="1" ht="21" customHeight="1">
      <c r="A12" s="251" t="s">
        <v>25</v>
      </c>
      <c r="B12" s="251"/>
      <c r="C12" s="251"/>
      <c r="D12" s="251"/>
      <c r="E12" s="135">
        <f>SUM(E9:E10)</f>
        <v>4000000</v>
      </c>
      <c r="F12" s="135"/>
      <c r="G12" s="135">
        <f>SUM(G9:G10)</f>
        <v>4000000</v>
      </c>
      <c r="H12" s="135"/>
      <c r="I12" s="135">
        <f>SUM(I9:I10)</f>
        <v>0</v>
      </c>
      <c r="J12" s="135"/>
      <c r="K12" s="135">
        <f>SUM(K9:K10)</f>
        <v>4000000</v>
      </c>
      <c r="L12" s="135">
        <f>SUM(L9:L10)</f>
        <v>390000</v>
      </c>
      <c r="M12" s="135">
        <f>SUM(M9:M10)</f>
        <v>4390000</v>
      </c>
      <c r="N12" s="135">
        <f>SUM(N9:N10)</f>
        <v>0</v>
      </c>
      <c r="O12" s="135">
        <f>SUM(O9:O10)</f>
        <v>0</v>
      </c>
      <c r="P12" s="135">
        <f>SUM(P9:P10)</f>
        <v>0</v>
      </c>
      <c r="Q12" s="135">
        <f>SUM(Q9:Q10)</f>
        <v>4390000</v>
      </c>
      <c r="R12" s="135">
        <f>SUM(R9:R10)</f>
        <v>0</v>
      </c>
      <c r="S12" s="135">
        <f>SUM(S9:S10)</f>
        <v>4390000</v>
      </c>
      <c r="T12" s="26"/>
      <c r="U12" s="101"/>
      <c r="V12" s="33"/>
      <c r="W12" s="33"/>
      <c r="X12" s="33"/>
      <c r="Y12" s="33"/>
      <c r="Z12" s="33"/>
    </row>
    <row r="13" spans="1:31" s="82" customFormat="1" ht="24" customHeight="1">
      <c r="A13" s="180" t="s">
        <v>79</v>
      </c>
      <c r="B13" s="179" t="s">
        <v>80</v>
      </c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01"/>
      <c r="V13" s="83"/>
      <c r="W13" s="83"/>
      <c r="X13" s="84"/>
      <c r="Y13" s="84"/>
      <c r="Z13" s="84"/>
      <c r="AA13" s="85"/>
      <c r="AB13" s="85"/>
      <c r="AC13" s="85"/>
      <c r="AD13" s="85"/>
      <c r="AE13" s="85"/>
    </row>
    <row r="14" spans="1:31" s="34" customFormat="1" ht="24" customHeight="1">
      <c r="A14" s="36">
        <v>1</v>
      </c>
      <c r="B14" s="136" t="s">
        <v>85</v>
      </c>
      <c r="C14" s="86" t="str">
        <f t="shared" ref="C14:C17" si="10">VLOOKUP(B14,DS,2,0)</f>
        <v>Diệp Văn Lân</v>
      </c>
      <c r="D14" s="111" t="str">
        <f t="shared" ref="D14:D17" si="11">VLOOKUP(B14,DS,3,0)</f>
        <v>Công Đoạn 1</v>
      </c>
      <c r="E14" s="87">
        <f t="shared" ref="E14:E17" si="12">VLOOKUP(B14,DS,4,0)</f>
        <v>3200000</v>
      </c>
      <c r="F14" s="89">
        <f>VLOOKUP(B14,'CC -10'!$B$8:$AS$19,36,0)</f>
        <v>26</v>
      </c>
      <c r="G14" s="140">
        <f t="shared" ref="G14:G17" si="13">ROUND(E14/$U$2*F14,0)</f>
        <v>3200000</v>
      </c>
      <c r="H14" s="89">
        <f>(VLOOKUP(B14,'CC -10'!$B$8:$AS$19,37,0)+VLOOKUP(B14,'CC -10'!$B$8:$AS$19,38,0))</f>
        <v>0</v>
      </c>
      <c r="I14" s="140">
        <f t="shared" ref="I14:I17" si="14">ROUND(E14/$U$2*H14,0)</f>
        <v>0</v>
      </c>
      <c r="J14" s="141">
        <f t="shared" ref="J14:K17" si="15">F14+H14</f>
        <v>26</v>
      </c>
      <c r="K14" s="37">
        <f t="shared" si="15"/>
        <v>3200000</v>
      </c>
      <c r="L14" s="87">
        <f t="shared" ref="L14:L17" si="16">+F14*15000</f>
        <v>390000</v>
      </c>
      <c r="M14" s="38">
        <f t="shared" ref="M14:M17" si="17">K14+L14</f>
        <v>3590000</v>
      </c>
      <c r="N14" s="38">
        <f>IF(VLOOKUP(B14,DS,9,0)="x",'L - 10'!E14*$N$4,0)</f>
        <v>0</v>
      </c>
      <c r="O14" s="38">
        <f t="shared" ref="O14:O17" si="18">IF(VLOOKUP(B14,DS,9,0)="x",E14*0.015,0)</f>
        <v>0</v>
      </c>
      <c r="P14" s="38">
        <f t="shared" ref="P14:P17" si="19">IF(VLOOKUP(B14,DS,9,0)="x",E14*0.01,0)</f>
        <v>0</v>
      </c>
      <c r="Q14" s="37">
        <f>M14-SUM(N14:P14)</f>
        <v>3590000</v>
      </c>
      <c r="R14" s="37">
        <f t="shared" ref="R14:R17" si="20">VLOOKUP(B14,DS,23,0)</f>
        <v>0</v>
      </c>
      <c r="S14" s="43">
        <f>Q14-R14</f>
        <v>3590000</v>
      </c>
      <c r="T14" s="37"/>
      <c r="U14" s="101"/>
      <c r="V14" s="35"/>
      <c r="W14" s="28"/>
      <c r="X14" s="5"/>
      <c r="Y14" s="5"/>
      <c r="Z14" s="5"/>
      <c r="AA14" s="4"/>
      <c r="AB14" s="4"/>
      <c r="AC14" s="4"/>
      <c r="AD14" s="4"/>
      <c r="AE14" s="4"/>
    </row>
    <row r="15" spans="1:31" s="34" customFormat="1" ht="24" customHeight="1">
      <c r="A15" s="36">
        <v>2</v>
      </c>
      <c r="B15" s="136" t="s">
        <v>86</v>
      </c>
      <c r="C15" s="86" t="str">
        <f t="shared" ref="C15:C16" si="21">VLOOKUP(B15,DS,2,0)</f>
        <v>Dương Thế Kiệt</v>
      </c>
      <c r="D15" s="111" t="str">
        <f t="shared" ref="D15:D16" si="22">VLOOKUP(B15,DS,3,0)</f>
        <v>Công Đoạn 1</v>
      </c>
      <c r="E15" s="87">
        <f t="shared" ref="E15:E16" si="23">VLOOKUP(B15,DS,4,0)</f>
        <v>3000000</v>
      </c>
      <c r="F15" s="89">
        <f>VLOOKUP(B15,'CC -10'!$B$8:$AS$19,36,0)</f>
        <v>26</v>
      </c>
      <c r="G15" s="140">
        <f t="shared" ref="G15:G16" si="24">ROUND(E15/$U$2*F15,0)</f>
        <v>3000000</v>
      </c>
      <c r="H15" s="89">
        <f>(VLOOKUP(B15,'CC -10'!$B$8:$AS$19,37,0)+VLOOKUP(B15,'CC -10'!$B$8:$AS$19,38,0))</f>
        <v>0</v>
      </c>
      <c r="I15" s="140">
        <f t="shared" ref="I15:I16" si="25">ROUND(E15/$U$2*H15,0)</f>
        <v>0</v>
      </c>
      <c r="J15" s="141">
        <f t="shared" ref="J15:J16" si="26">F15+H15</f>
        <v>26</v>
      </c>
      <c r="K15" s="37">
        <f t="shared" ref="K15:K16" si="27">G15+I15</f>
        <v>3000000</v>
      </c>
      <c r="L15" s="87">
        <f t="shared" ref="L15:L16" si="28">+F15*15000</f>
        <v>390000</v>
      </c>
      <c r="M15" s="38">
        <f t="shared" ref="M15:M16" si="29">K15+L15</f>
        <v>3390000</v>
      </c>
      <c r="N15" s="38">
        <f>IF(VLOOKUP(B15,DS,9,0)="x",'L - 10'!E15*$N$4,0)</f>
        <v>0</v>
      </c>
      <c r="O15" s="38">
        <f t="shared" ref="O15:O16" si="30">IF(VLOOKUP(B15,DS,9,0)="x",E15*0.015,0)</f>
        <v>0</v>
      </c>
      <c r="P15" s="38">
        <f t="shared" ref="P15:P16" si="31">IF(VLOOKUP(B15,DS,9,0)="x",E15*0.01,0)</f>
        <v>0</v>
      </c>
      <c r="Q15" s="37">
        <f t="shared" ref="Q15:Q16" si="32">M15-SUM(N15:P15)</f>
        <v>3390000</v>
      </c>
      <c r="R15" s="37">
        <f t="shared" ref="R15:R16" si="33">VLOOKUP(B15,DS,23,0)</f>
        <v>0</v>
      </c>
      <c r="S15" s="43">
        <f t="shared" ref="S15:S16" si="34">Q15-R15</f>
        <v>3390000</v>
      </c>
      <c r="T15" s="37"/>
      <c r="U15" s="101"/>
      <c r="V15" s="35"/>
      <c r="W15" s="28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3</v>
      </c>
      <c r="B16" s="136" t="s">
        <v>87</v>
      </c>
      <c r="C16" s="86" t="str">
        <f t="shared" si="21"/>
        <v>Lê Văn Hữu</v>
      </c>
      <c r="D16" s="111" t="str">
        <f t="shared" si="22"/>
        <v>Công Đoạn 2</v>
      </c>
      <c r="E16" s="87">
        <f t="shared" si="23"/>
        <v>3200000</v>
      </c>
      <c r="F16" s="89">
        <f>VLOOKUP(B16,'CC -10'!$B$8:$AS$19,36,0)</f>
        <v>26</v>
      </c>
      <c r="G16" s="140">
        <f t="shared" si="24"/>
        <v>3200000</v>
      </c>
      <c r="H16" s="89">
        <f>(VLOOKUP(B16,'CC -10'!$B$8:$AS$19,37,0)+VLOOKUP(B16,'CC -10'!$B$8:$AS$19,38,0))</f>
        <v>0</v>
      </c>
      <c r="I16" s="140">
        <f t="shared" si="25"/>
        <v>0</v>
      </c>
      <c r="J16" s="141">
        <f t="shared" si="26"/>
        <v>26</v>
      </c>
      <c r="K16" s="37">
        <f t="shared" si="27"/>
        <v>3200000</v>
      </c>
      <c r="L16" s="87">
        <f t="shared" si="28"/>
        <v>390000</v>
      </c>
      <c r="M16" s="38">
        <f t="shared" si="29"/>
        <v>3590000</v>
      </c>
      <c r="N16" s="38">
        <f>IF(VLOOKUP(B16,DS,9,0)="x",'L - 10'!E16*$N$4,0)</f>
        <v>0</v>
      </c>
      <c r="O16" s="38">
        <f t="shared" si="30"/>
        <v>0</v>
      </c>
      <c r="P16" s="38">
        <f t="shared" si="31"/>
        <v>0</v>
      </c>
      <c r="Q16" s="37">
        <f t="shared" si="32"/>
        <v>3590000</v>
      </c>
      <c r="R16" s="37">
        <f t="shared" si="33"/>
        <v>0</v>
      </c>
      <c r="S16" s="43">
        <f t="shared" si="34"/>
        <v>3590000</v>
      </c>
      <c r="T16" s="37"/>
      <c r="U16" s="101"/>
      <c r="V16" s="35"/>
      <c r="W16" s="28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4</v>
      </c>
      <c r="B17" s="136" t="s">
        <v>92</v>
      </c>
      <c r="C17" s="86" t="str">
        <f t="shared" si="10"/>
        <v>Nguyễn T Bích Thủy</v>
      </c>
      <c r="D17" s="111" t="str">
        <f t="shared" si="11"/>
        <v>Công Đoạn 2</v>
      </c>
      <c r="E17" s="87">
        <f t="shared" si="12"/>
        <v>3000000</v>
      </c>
      <c r="F17" s="89">
        <f>VLOOKUP(B17,'CC -10'!$B$8:$AS$19,36,0)</f>
        <v>26</v>
      </c>
      <c r="G17" s="140">
        <f t="shared" si="13"/>
        <v>3000000</v>
      </c>
      <c r="H17" s="89">
        <f>(VLOOKUP(B17,'CC -10'!$B$8:$AS$19,37,0)+VLOOKUP(B17,'CC -10'!$B$8:$AS$19,38,0))</f>
        <v>0</v>
      </c>
      <c r="I17" s="140">
        <f t="shared" si="14"/>
        <v>0</v>
      </c>
      <c r="J17" s="141">
        <f t="shared" si="15"/>
        <v>26</v>
      </c>
      <c r="K17" s="37">
        <f t="shared" si="15"/>
        <v>3000000</v>
      </c>
      <c r="L17" s="87">
        <f t="shared" si="16"/>
        <v>390000</v>
      </c>
      <c r="M17" s="38">
        <f t="shared" si="17"/>
        <v>3390000</v>
      </c>
      <c r="N17" s="38">
        <f>IF(VLOOKUP(B17,DS,9,0)="x",'L - 10'!E17*$N$4,0)</f>
        <v>0</v>
      </c>
      <c r="O17" s="38">
        <f t="shared" si="18"/>
        <v>0</v>
      </c>
      <c r="P17" s="38">
        <f t="shared" si="19"/>
        <v>0</v>
      </c>
      <c r="Q17" s="37">
        <f t="shared" ref="Q17" si="35">M17-SUM(N17:P17)</f>
        <v>3390000</v>
      </c>
      <c r="R17" s="37">
        <f t="shared" si="20"/>
        <v>0</v>
      </c>
      <c r="S17" s="43">
        <f t="shared" ref="S17" si="36">Q17-R17</f>
        <v>3390000</v>
      </c>
      <c r="T17" s="37"/>
      <c r="U17" s="101"/>
      <c r="V17" s="35"/>
      <c r="W17" s="28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77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76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2" customFormat="1" ht="21" customHeight="1">
      <c r="A19" s="251" t="s">
        <v>25</v>
      </c>
      <c r="B19" s="251"/>
      <c r="C19" s="251"/>
      <c r="D19" s="251"/>
      <c r="E19" s="135">
        <f>SUM(E13:E18)</f>
        <v>12400000</v>
      </c>
      <c r="F19" s="135"/>
      <c r="G19" s="135">
        <f>SUM(G13:G18)</f>
        <v>12400000</v>
      </c>
      <c r="H19" s="135"/>
      <c r="I19" s="135">
        <f>SUM(I13:I18)</f>
        <v>0</v>
      </c>
      <c r="J19" s="135"/>
      <c r="K19" s="135">
        <f>SUM(K13:K18)</f>
        <v>12400000</v>
      </c>
      <c r="L19" s="135">
        <f>SUM(L13:L18)</f>
        <v>1560000</v>
      </c>
      <c r="M19" s="135">
        <f>SUM(M13:M18)</f>
        <v>13960000</v>
      </c>
      <c r="N19" s="135">
        <f>SUM(N13:N18)</f>
        <v>0</v>
      </c>
      <c r="O19" s="135">
        <f>SUM(O13:O18)</f>
        <v>0</v>
      </c>
      <c r="P19" s="135">
        <f>SUM(P13:P18)</f>
        <v>0</v>
      </c>
      <c r="Q19" s="135">
        <f>SUM(Q13:Q18)</f>
        <v>13960000</v>
      </c>
      <c r="R19" s="135">
        <f>SUM(R13:R18)</f>
        <v>0</v>
      </c>
      <c r="S19" s="135">
        <f>SUM(S13:S18)</f>
        <v>13960000</v>
      </c>
      <c r="T19" s="26"/>
      <c r="U19" s="101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2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28"/>
      <c r="E21" s="129"/>
      <c r="F21" s="75"/>
      <c r="G21" s="75"/>
      <c r="H21" s="75"/>
      <c r="I21" s="75"/>
      <c r="J21" s="130"/>
      <c r="K21" s="129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10   năm 2016</v>
      </c>
      <c r="T21" s="75"/>
      <c r="U21" s="131"/>
      <c r="V21" s="35"/>
      <c r="W21" s="35"/>
      <c r="X21" s="35"/>
      <c r="Y21" s="35"/>
      <c r="Z21" s="35"/>
    </row>
    <row r="22" spans="1:31" s="34" customFormat="1" ht="12.75">
      <c r="A22" s="29"/>
      <c r="B22" s="29"/>
      <c r="C22" s="29" t="s">
        <v>60</v>
      </c>
      <c r="D22" s="132"/>
      <c r="E22" s="76"/>
      <c r="F22" s="131"/>
      <c r="G22" s="76"/>
      <c r="H22" s="76"/>
      <c r="I22" s="76"/>
      <c r="J22" s="133"/>
      <c r="K22" s="35"/>
      <c r="L22" s="29"/>
      <c r="M22" s="142"/>
      <c r="N22" s="20"/>
      <c r="O22" s="20"/>
      <c r="P22" s="20"/>
      <c r="Q22" s="20"/>
      <c r="S22" s="131" t="s">
        <v>22</v>
      </c>
      <c r="T22" s="131"/>
      <c r="U22" s="131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3:W13 Q5:T7 E5:I6 D19 N5:P6 L5 L22 J6:K7 L7 A25:T58 U31:U58 N18:S18 V25:IK58 J18:L18 A59:IK65326 AF13:IK13 V12:IK12 D12 Q11:S11 W11 AF11:IK11 A11:B12 A10:B10 AF5:IK10 W10 Q10:S10" name="Range1"/>
    <protectedRange password="CC78" sqref="F7:H7" name="Range1_4"/>
    <protectedRange password="CC78" sqref="V22:IK23 S22:T23 N22:Q23 E22:I23" name="Range1_1_1"/>
    <protectedRange password="CC78" sqref="U1 W1:IK3 V4:IK4 B4:T4 R2:S3 B1:Q3 U18:U30 X13:AE13 U11:U13 X11:AE11 X5:AE10 U4:U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4:S17 W14:W17 A14:B17 AF14:IK17" name="Range1_5"/>
    <protectedRange password="CC78" sqref="U14:U17 X14:AE17" name="Range1_2_3"/>
    <protectedRange password="CC78" sqref="V14:V17" name="Range1_1_3"/>
    <protectedRange password="CC78" sqref="K14:K17 K10:K11" name="Range1_6"/>
    <protectedRange password="CC78" sqref="A2:A3" name="Range1_2_1_3"/>
    <protectedRange password="CC78" sqref="E12:T12" name="Range1_3"/>
    <protectedRange password="CC78" sqref="E19:T19" name="Range1_7"/>
    <protectedRange password="CC78" sqref="U2" name="Range1_2_2_1_1"/>
  </protectedRanges>
  <autoFilter ref="A7:AE10"/>
  <mergeCells count="24">
    <mergeCell ref="A12:D12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1" sqref="A11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18" customWidth="1"/>
    <col min="34" max="35" width="3.42578125" style="119" customWidth="1"/>
    <col min="36" max="36" width="3.42578125" style="119" hidden="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4"/>
      <c r="B1" s="51"/>
      <c r="C1" s="51"/>
      <c r="D1" s="55"/>
      <c r="E1" s="51"/>
      <c r="F1" s="55"/>
      <c r="G1" s="55"/>
      <c r="H1" s="55"/>
      <c r="I1" s="55"/>
      <c r="J1" s="55"/>
      <c r="K1" s="114"/>
      <c r="L1" s="114"/>
      <c r="M1" s="114"/>
      <c r="N1" s="114"/>
      <c r="O1" s="114"/>
      <c r="P1" s="114"/>
      <c r="Q1" s="114"/>
      <c r="R1" s="114"/>
      <c r="S1" s="53" t="str">
        <f>CONCATENATE("BẢNG CHẤM CÔNG THÁNG ",TEXT($E$4,"mm")," NĂM ",TEXT($E$4,"yyyy"))</f>
        <v>BẢNG CHẤM CÔNG THÁNG 11 NĂM 2016</v>
      </c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52"/>
      <c r="AL1" s="52"/>
      <c r="AM1" s="240" t="s">
        <v>88</v>
      </c>
      <c r="AN1" s="241"/>
      <c r="AO1" s="241"/>
      <c r="AP1" s="241"/>
      <c r="AQ1" s="241"/>
      <c r="AR1" s="241"/>
      <c r="AS1" s="242"/>
      <c r="AT1" s="54"/>
    </row>
    <row r="2" spans="1:91" ht="20.25">
      <c r="A2" s="134"/>
      <c r="B2" s="55"/>
      <c r="C2" s="55"/>
      <c r="D2" s="55"/>
      <c r="E2" s="55"/>
      <c r="F2" s="55"/>
      <c r="G2" s="55"/>
      <c r="H2" s="55"/>
      <c r="I2" s="55"/>
      <c r="J2" s="55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4"/>
      <c r="B3" s="57"/>
      <c r="C3" s="57"/>
      <c r="D3" s="58"/>
      <c r="E3" s="58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0"/>
      <c r="D4" s="149"/>
      <c r="E4" s="61">
        <v>42675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3">
        <f>+E4</f>
        <v>42675</v>
      </c>
      <c r="G5" s="113">
        <f t="shared" ref="G5:AI5" si="0">F5+1</f>
        <v>42676</v>
      </c>
      <c r="H5" s="113">
        <f t="shared" si="0"/>
        <v>42677</v>
      </c>
      <c r="I5" s="113">
        <f t="shared" si="0"/>
        <v>42678</v>
      </c>
      <c r="J5" s="113">
        <f t="shared" si="0"/>
        <v>42679</v>
      </c>
      <c r="K5" s="113">
        <f t="shared" si="0"/>
        <v>42680</v>
      </c>
      <c r="L5" s="113">
        <f t="shared" si="0"/>
        <v>42681</v>
      </c>
      <c r="M5" s="113">
        <f t="shared" si="0"/>
        <v>42682</v>
      </c>
      <c r="N5" s="113">
        <f t="shared" si="0"/>
        <v>42683</v>
      </c>
      <c r="O5" s="113">
        <f t="shared" si="0"/>
        <v>42684</v>
      </c>
      <c r="P5" s="113">
        <f t="shared" si="0"/>
        <v>42685</v>
      </c>
      <c r="Q5" s="113">
        <f t="shared" si="0"/>
        <v>42686</v>
      </c>
      <c r="R5" s="113">
        <f t="shared" si="0"/>
        <v>42687</v>
      </c>
      <c r="S5" s="113">
        <f t="shared" si="0"/>
        <v>42688</v>
      </c>
      <c r="T5" s="113">
        <f t="shared" si="0"/>
        <v>42689</v>
      </c>
      <c r="U5" s="113">
        <f t="shared" si="0"/>
        <v>42690</v>
      </c>
      <c r="V5" s="113">
        <f t="shared" si="0"/>
        <v>42691</v>
      </c>
      <c r="W5" s="113">
        <f t="shared" si="0"/>
        <v>42692</v>
      </c>
      <c r="X5" s="113">
        <f t="shared" si="0"/>
        <v>42693</v>
      </c>
      <c r="Y5" s="113">
        <f t="shared" si="0"/>
        <v>42694</v>
      </c>
      <c r="Z5" s="113">
        <f t="shared" si="0"/>
        <v>42695</v>
      </c>
      <c r="AA5" s="113">
        <f t="shared" si="0"/>
        <v>42696</v>
      </c>
      <c r="AB5" s="113">
        <f t="shared" si="0"/>
        <v>42697</v>
      </c>
      <c r="AC5" s="113">
        <f t="shared" si="0"/>
        <v>42698</v>
      </c>
      <c r="AD5" s="113">
        <f t="shared" si="0"/>
        <v>42699</v>
      </c>
      <c r="AE5" s="113">
        <f t="shared" si="0"/>
        <v>42700</v>
      </c>
      <c r="AF5" s="113">
        <f t="shared" si="0"/>
        <v>42701</v>
      </c>
      <c r="AG5" s="113">
        <f t="shared" si="0"/>
        <v>42702</v>
      </c>
      <c r="AH5" s="113">
        <f>AG5+1</f>
        <v>42703</v>
      </c>
      <c r="AI5" s="113">
        <f t="shared" si="0"/>
        <v>42704</v>
      </c>
      <c r="AJ5" s="206"/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66" t="str">
        <f>CHOOSE(WEEKDAY(F5),"C.Nhật","T.Hai","T.Ba","T.Tư","T.Năm","T.Sáu","T.Bảy")</f>
        <v>T.Ba</v>
      </c>
      <c r="G6" s="166" t="str">
        <f t="shared" ref="G6:AI6" si="1">CHOOSE(WEEKDAY(G5),"C.Nhật","T.Hai","T.Ba","T.Tư","T.Năm","T.Sáu","T.Bảy")</f>
        <v>T.Tư</v>
      </c>
      <c r="H6" s="166" t="str">
        <f t="shared" si="1"/>
        <v>T.Năm</v>
      </c>
      <c r="I6" s="166" t="str">
        <f t="shared" si="1"/>
        <v>T.Sáu</v>
      </c>
      <c r="J6" s="166" t="str">
        <f t="shared" si="1"/>
        <v>T.Bảy</v>
      </c>
      <c r="K6" s="166" t="str">
        <f t="shared" si="1"/>
        <v>C.Nhật</v>
      </c>
      <c r="L6" s="166" t="str">
        <f t="shared" si="1"/>
        <v>T.Hai</v>
      </c>
      <c r="M6" s="166" t="str">
        <f t="shared" si="1"/>
        <v>T.Ba</v>
      </c>
      <c r="N6" s="166" t="str">
        <f t="shared" si="1"/>
        <v>T.Tư</v>
      </c>
      <c r="O6" s="166" t="str">
        <f t="shared" si="1"/>
        <v>T.Năm</v>
      </c>
      <c r="P6" s="166" t="str">
        <f t="shared" si="1"/>
        <v>T.Sáu</v>
      </c>
      <c r="Q6" s="166" t="str">
        <f t="shared" si="1"/>
        <v>T.Bảy</v>
      </c>
      <c r="R6" s="166" t="str">
        <f t="shared" si="1"/>
        <v>C.Nhật</v>
      </c>
      <c r="S6" s="166" t="str">
        <f t="shared" si="1"/>
        <v>T.Hai</v>
      </c>
      <c r="T6" s="166" t="str">
        <f t="shared" si="1"/>
        <v>T.Ba</v>
      </c>
      <c r="U6" s="166" t="str">
        <f t="shared" si="1"/>
        <v>T.Tư</v>
      </c>
      <c r="V6" s="166" t="str">
        <f t="shared" si="1"/>
        <v>T.Năm</v>
      </c>
      <c r="W6" s="166" t="str">
        <f t="shared" si="1"/>
        <v>T.Sáu</v>
      </c>
      <c r="X6" s="166" t="str">
        <f t="shared" si="1"/>
        <v>T.Bảy</v>
      </c>
      <c r="Y6" s="166" t="str">
        <f t="shared" si="1"/>
        <v>C.Nhật</v>
      </c>
      <c r="Z6" s="166" t="str">
        <f t="shared" si="1"/>
        <v>T.Hai</v>
      </c>
      <c r="AA6" s="166" t="str">
        <f t="shared" si="1"/>
        <v>T.Ba</v>
      </c>
      <c r="AB6" s="166" t="str">
        <f t="shared" si="1"/>
        <v>T.Tư</v>
      </c>
      <c r="AC6" s="166" t="str">
        <f t="shared" si="1"/>
        <v>T.Năm</v>
      </c>
      <c r="AD6" s="166" t="str">
        <f t="shared" si="1"/>
        <v>T.Sáu</v>
      </c>
      <c r="AE6" s="166" t="str">
        <f t="shared" si="1"/>
        <v>T.Bảy</v>
      </c>
      <c r="AF6" s="166" t="str">
        <f t="shared" si="1"/>
        <v>C.Nhật</v>
      </c>
      <c r="AG6" s="166" t="str">
        <f t="shared" si="1"/>
        <v>T.Hai</v>
      </c>
      <c r="AH6" s="166" t="str">
        <f t="shared" si="1"/>
        <v>T.Ba</v>
      </c>
      <c r="AI6" s="166" t="str">
        <f t="shared" si="1"/>
        <v>T.Tư</v>
      </c>
      <c r="AJ6" s="166"/>
      <c r="AK6" s="167" t="s">
        <v>16</v>
      </c>
      <c r="AL6" s="167" t="s">
        <v>31</v>
      </c>
      <c r="AM6" s="168" t="s">
        <v>17</v>
      </c>
      <c r="AN6" s="250"/>
      <c r="AO6" s="250"/>
      <c r="AP6" s="250"/>
      <c r="AQ6" s="250"/>
      <c r="AR6" s="250"/>
      <c r="AS6" s="244"/>
      <c r="AT6" s="2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69">
        <v>1</v>
      </c>
      <c r="B7" s="169">
        <v>1</v>
      </c>
      <c r="C7" s="169">
        <v>2</v>
      </c>
      <c r="D7" s="169">
        <v>3</v>
      </c>
      <c r="E7" s="169">
        <v>4</v>
      </c>
      <c r="F7" s="169">
        <v>5</v>
      </c>
      <c r="G7" s="169">
        <v>6</v>
      </c>
      <c r="H7" s="169">
        <v>7</v>
      </c>
      <c r="I7" s="169">
        <v>8</v>
      </c>
      <c r="J7" s="169">
        <v>9</v>
      </c>
      <c r="K7" s="169">
        <v>10</v>
      </c>
      <c r="L7" s="169">
        <v>11</v>
      </c>
      <c r="M7" s="169">
        <v>12</v>
      </c>
      <c r="N7" s="169">
        <v>13</v>
      </c>
      <c r="O7" s="169">
        <v>14</v>
      </c>
      <c r="P7" s="169">
        <v>15</v>
      </c>
      <c r="Q7" s="169">
        <v>16</v>
      </c>
      <c r="R7" s="169">
        <v>17</v>
      </c>
      <c r="S7" s="169">
        <v>18</v>
      </c>
      <c r="T7" s="169">
        <v>19</v>
      </c>
      <c r="U7" s="169">
        <v>20</v>
      </c>
      <c r="V7" s="169">
        <v>21</v>
      </c>
      <c r="W7" s="169">
        <v>22</v>
      </c>
      <c r="X7" s="169">
        <v>23</v>
      </c>
      <c r="Y7" s="169">
        <v>24</v>
      </c>
      <c r="Z7" s="169">
        <v>25</v>
      </c>
      <c r="AA7" s="169">
        <v>26</v>
      </c>
      <c r="AB7" s="169">
        <v>27</v>
      </c>
      <c r="AC7" s="169">
        <v>28</v>
      </c>
      <c r="AD7" s="169">
        <v>29</v>
      </c>
      <c r="AE7" s="169">
        <v>30</v>
      </c>
      <c r="AF7" s="169">
        <v>31</v>
      </c>
      <c r="AG7" s="169">
        <v>32</v>
      </c>
      <c r="AH7" s="169">
        <v>33</v>
      </c>
      <c r="AI7" s="169">
        <v>34</v>
      </c>
      <c r="AJ7" s="169"/>
      <c r="AK7" s="169">
        <v>36</v>
      </c>
      <c r="AL7" s="169">
        <v>37</v>
      </c>
      <c r="AM7" s="169">
        <v>38</v>
      </c>
      <c r="AN7" s="169">
        <v>39</v>
      </c>
      <c r="AO7" s="169">
        <v>40</v>
      </c>
      <c r="AP7" s="169">
        <v>41</v>
      </c>
      <c r="AQ7" s="169">
        <v>42</v>
      </c>
      <c r="AR7" s="169">
        <v>43</v>
      </c>
      <c r="AS7" s="169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2" customFormat="1" ht="21" customHeight="1">
      <c r="A8" s="170" t="s">
        <v>78</v>
      </c>
      <c r="B8" s="173" t="s">
        <v>89</v>
      </c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5"/>
      <c r="AT8" s="171"/>
    </row>
    <row r="9" spans="1:91" s="64" customFormat="1" ht="18" customHeight="1">
      <c r="A9" s="227">
        <v>1</v>
      </c>
      <c r="B9" s="227" t="s">
        <v>84</v>
      </c>
      <c r="C9" s="229" t="str">
        <f>VLOOKUP(B9,DS,2,0)</f>
        <v>Lê Kim Ngọc Thảo</v>
      </c>
      <c r="D9" s="231" t="str">
        <f>VLOOKUP(B9,DS,3,0)</f>
        <v>Văn Phòng</v>
      </c>
      <c r="E9" s="65" t="s">
        <v>32</v>
      </c>
      <c r="F9" s="138">
        <v>8</v>
      </c>
      <c r="G9" s="138">
        <v>8</v>
      </c>
      <c r="H9" s="138">
        <v>8</v>
      </c>
      <c r="I9" s="138">
        <v>8</v>
      </c>
      <c r="J9" s="138">
        <v>8</v>
      </c>
      <c r="K9" s="138"/>
      <c r="L9" s="138">
        <v>8</v>
      </c>
      <c r="M9" s="138">
        <v>8</v>
      </c>
      <c r="N9" s="138">
        <v>8</v>
      </c>
      <c r="O9" s="138">
        <v>8</v>
      </c>
      <c r="P9" s="138">
        <v>8</v>
      </c>
      <c r="Q9" s="138">
        <v>8</v>
      </c>
      <c r="R9" s="138"/>
      <c r="S9" s="138">
        <v>8</v>
      </c>
      <c r="T9" s="138">
        <v>8</v>
      </c>
      <c r="U9" s="138">
        <v>8</v>
      </c>
      <c r="V9" s="138">
        <v>8</v>
      </c>
      <c r="W9" s="138">
        <v>8</v>
      </c>
      <c r="X9" s="138">
        <v>8</v>
      </c>
      <c r="Y9" s="138"/>
      <c r="Z9" s="138">
        <v>8</v>
      </c>
      <c r="AA9" s="138">
        <v>8</v>
      </c>
      <c r="AB9" s="138">
        <v>8</v>
      </c>
      <c r="AC9" s="138">
        <v>8</v>
      </c>
      <c r="AD9" s="138">
        <v>8</v>
      </c>
      <c r="AE9" s="138">
        <v>8</v>
      </c>
      <c r="AF9" s="138"/>
      <c r="AG9" s="138">
        <v>8</v>
      </c>
      <c r="AH9" s="138">
        <v>8</v>
      </c>
      <c r="AI9" s="138">
        <v>8</v>
      </c>
      <c r="AJ9" s="207"/>
      <c r="AK9" s="233">
        <f>((SUM(F9:AI9))/8)-(SUMIF($F$6:$AI$6,"C.Nhật",F9:AI9)/8)</f>
        <v>26</v>
      </c>
      <c r="AL9" s="233">
        <f>SUM(F10:AI10)/8*1.5</f>
        <v>0</v>
      </c>
      <c r="AM9" s="235">
        <f>SUMIF($F$6:$AI$6,"C.Nhật",$F9:$AI10)/8*2</f>
        <v>0</v>
      </c>
      <c r="AN9" s="223">
        <f>SUM(AK9:AM10)</f>
        <v>26</v>
      </c>
      <c r="AO9" s="237">
        <v>0</v>
      </c>
      <c r="AP9" s="223"/>
      <c r="AQ9" s="223"/>
      <c r="AR9" s="223"/>
      <c r="AS9" s="225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28"/>
      <c r="B10" s="228"/>
      <c r="C10" s="230"/>
      <c r="D10" s="232"/>
      <c r="E10" s="66" t="s">
        <v>31</v>
      </c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208"/>
      <c r="AK10" s="234"/>
      <c r="AL10" s="234"/>
      <c r="AM10" s="236"/>
      <c r="AN10" s="224"/>
      <c r="AO10" s="238"/>
      <c r="AP10" s="224"/>
      <c r="AQ10" s="224"/>
      <c r="AR10" s="224"/>
      <c r="AS10" s="226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72" customFormat="1" ht="21" customHeight="1">
      <c r="A11" s="170" t="s">
        <v>79</v>
      </c>
      <c r="B11" s="173" t="s">
        <v>83</v>
      </c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5"/>
      <c r="AT11" s="171"/>
    </row>
    <row r="12" spans="1:91" s="64" customFormat="1" ht="18" customHeight="1">
      <c r="A12" s="227">
        <v>1</v>
      </c>
      <c r="B12" s="227" t="s">
        <v>85</v>
      </c>
      <c r="C12" s="229" t="str">
        <f>VLOOKUP(B12,DS,2,0)</f>
        <v>Diệp Văn Lân</v>
      </c>
      <c r="D12" s="231" t="str">
        <f>VLOOKUP(B12,DS,3,0)</f>
        <v>Công Đoạn 1</v>
      </c>
      <c r="E12" s="65" t="s">
        <v>32</v>
      </c>
      <c r="F12" s="138">
        <v>8</v>
      </c>
      <c r="G12" s="138">
        <v>8</v>
      </c>
      <c r="H12" s="138">
        <v>8</v>
      </c>
      <c r="I12" s="138">
        <v>8</v>
      </c>
      <c r="J12" s="138">
        <v>8</v>
      </c>
      <c r="K12" s="138"/>
      <c r="L12" s="138">
        <v>8</v>
      </c>
      <c r="M12" s="138">
        <v>8</v>
      </c>
      <c r="N12" s="138">
        <v>8</v>
      </c>
      <c r="O12" s="138">
        <v>8</v>
      </c>
      <c r="P12" s="138">
        <v>8</v>
      </c>
      <c r="Q12" s="138">
        <v>8</v>
      </c>
      <c r="R12" s="138"/>
      <c r="S12" s="138">
        <v>8</v>
      </c>
      <c r="T12" s="138">
        <v>8</v>
      </c>
      <c r="U12" s="138">
        <v>8</v>
      </c>
      <c r="V12" s="138">
        <v>8</v>
      </c>
      <c r="W12" s="138">
        <v>8</v>
      </c>
      <c r="X12" s="138">
        <v>8</v>
      </c>
      <c r="Y12" s="138"/>
      <c r="Z12" s="138">
        <v>8</v>
      </c>
      <c r="AA12" s="138">
        <v>8</v>
      </c>
      <c r="AB12" s="138">
        <v>8</v>
      </c>
      <c r="AC12" s="138">
        <v>8</v>
      </c>
      <c r="AD12" s="138">
        <v>8</v>
      </c>
      <c r="AE12" s="138">
        <v>8</v>
      </c>
      <c r="AF12" s="138"/>
      <c r="AG12" s="138">
        <v>8</v>
      </c>
      <c r="AH12" s="138">
        <v>8</v>
      </c>
      <c r="AI12" s="138">
        <v>8</v>
      </c>
      <c r="AJ12" s="207"/>
      <c r="AK12" s="233">
        <f>((SUM(F12:AI12))/8)-(SUMIF($F$6:$AI$6,"C.Nhật",F12:AI12)/8)</f>
        <v>26</v>
      </c>
      <c r="AL12" s="233">
        <f>SUM(F13:AI13)/8*1.5</f>
        <v>0</v>
      </c>
      <c r="AM12" s="235">
        <f>SUMIF($F$6:$AI$6,"C.Nhật",$F12:$AI13)/8*2</f>
        <v>0</v>
      </c>
      <c r="AN12" s="223">
        <f>SUM(AK12:AM13)</f>
        <v>26</v>
      </c>
      <c r="AO12" s="237">
        <v>0</v>
      </c>
      <c r="AP12" s="223"/>
      <c r="AQ12" s="223"/>
      <c r="AR12" s="223"/>
      <c r="AS12" s="225"/>
      <c r="AT12" s="204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64" customFormat="1" ht="18" customHeight="1">
      <c r="A13" s="228"/>
      <c r="B13" s="228"/>
      <c r="C13" s="230"/>
      <c r="D13" s="232"/>
      <c r="E13" s="66" t="s">
        <v>31</v>
      </c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208"/>
      <c r="AK13" s="234"/>
      <c r="AL13" s="234"/>
      <c r="AM13" s="236"/>
      <c r="AN13" s="224"/>
      <c r="AO13" s="238"/>
      <c r="AP13" s="224"/>
      <c r="AQ13" s="224"/>
      <c r="AR13" s="224"/>
      <c r="AS13" s="226"/>
      <c r="AT13" s="204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64" customFormat="1" ht="18" customHeight="1">
      <c r="A14" s="227">
        <v>2</v>
      </c>
      <c r="B14" s="227" t="s">
        <v>86</v>
      </c>
      <c r="C14" s="229" t="str">
        <f>VLOOKUP(B14,DS,2,0)</f>
        <v>Dương Thế Kiệt</v>
      </c>
      <c r="D14" s="231" t="str">
        <f>VLOOKUP(B14,DS,3,0)</f>
        <v>Công Đoạn 1</v>
      </c>
      <c r="E14" s="65" t="s">
        <v>32</v>
      </c>
      <c r="F14" s="138">
        <v>8</v>
      </c>
      <c r="G14" s="138">
        <v>8</v>
      </c>
      <c r="H14" s="138">
        <v>8</v>
      </c>
      <c r="I14" s="138">
        <v>8</v>
      </c>
      <c r="J14" s="138">
        <v>8</v>
      </c>
      <c r="K14" s="138"/>
      <c r="L14" s="138">
        <v>8</v>
      </c>
      <c r="M14" s="138">
        <v>8</v>
      </c>
      <c r="N14" s="138">
        <v>8</v>
      </c>
      <c r="O14" s="138">
        <v>8</v>
      </c>
      <c r="P14" s="138">
        <v>8</v>
      </c>
      <c r="Q14" s="138">
        <v>8</v>
      </c>
      <c r="R14" s="138"/>
      <c r="S14" s="138">
        <v>8</v>
      </c>
      <c r="T14" s="138">
        <v>8</v>
      </c>
      <c r="U14" s="138">
        <v>8</v>
      </c>
      <c r="V14" s="138">
        <v>8</v>
      </c>
      <c r="W14" s="138">
        <v>8</v>
      </c>
      <c r="X14" s="138">
        <v>8</v>
      </c>
      <c r="Y14" s="138"/>
      <c r="Z14" s="138">
        <v>8</v>
      </c>
      <c r="AA14" s="138">
        <v>8</v>
      </c>
      <c r="AB14" s="138">
        <v>8</v>
      </c>
      <c r="AC14" s="138">
        <v>8</v>
      </c>
      <c r="AD14" s="138">
        <v>8</v>
      </c>
      <c r="AE14" s="138">
        <v>8</v>
      </c>
      <c r="AF14" s="138"/>
      <c r="AG14" s="138">
        <v>8</v>
      </c>
      <c r="AH14" s="138">
        <v>8</v>
      </c>
      <c r="AI14" s="138">
        <v>8</v>
      </c>
      <c r="AJ14" s="207"/>
      <c r="AK14" s="233">
        <f>((SUM(F14:AI14))/8)-(SUMIF($F$6:$AI$6,"C.Nhật",F14:AI14)/8)</f>
        <v>26</v>
      </c>
      <c r="AL14" s="233">
        <f>SUM(F15:AI15)/8*1.5</f>
        <v>0</v>
      </c>
      <c r="AM14" s="235">
        <f>SUMIF($F$6:$AI$6,"C.Nhật",$F14:$AI15)/8*2</f>
        <v>0</v>
      </c>
      <c r="AN14" s="223">
        <f t="shared" ref="AN14" si="2">SUM(AK14:AM15)</f>
        <v>26</v>
      </c>
      <c r="AO14" s="237">
        <v>0</v>
      </c>
      <c r="AP14" s="223"/>
      <c r="AQ14" s="223"/>
      <c r="AR14" s="223"/>
      <c r="AS14" s="225"/>
      <c r="AT14" s="20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28"/>
      <c r="B15" s="228"/>
      <c r="C15" s="230"/>
      <c r="D15" s="232"/>
      <c r="E15" s="66" t="s">
        <v>31</v>
      </c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208"/>
      <c r="AK15" s="234"/>
      <c r="AL15" s="234"/>
      <c r="AM15" s="236"/>
      <c r="AN15" s="224"/>
      <c r="AO15" s="238"/>
      <c r="AP15" s="224"/>
      <c r="AQ15" s="224"/>
      <c r="AR15" s="224"/>
      <c r="AS15" s="226"/>
      <c r="AT15" s="20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27">
        <v>3</v>
      </c>
      <c r="B16" s="227" t="s">
        <v>87</v>
      </c>
      <c r="C16" s="229" t="str">
        <f>VLOOKUP(B16,DS,2,0)</f>
        <v>Lê Văn Hữu</v>
      </c>
      <c r="D16" s="231" t="str">
        <f>VLOOKUP(B16,DS,3,0)</f>
        <v>Công Đoạn 2</v>
      </c>
      <c r="E16" s="65" t="s">
        <v>32</v>
      </c>
      <c r="F16" s="138">
        <v>8</v>
      </c>
      <c r="G16" s="138">
        <v>8</v>
      </c>
      <c r="H16" s="138">
        <v>8</v>
      </c>
      <c r="I16" s="138">
        <v>8</v>
      </c>
      <c r="J16" s="138">
        <v>8</v>
      </c>
      <c r="K16" s="138"/>
      <c r="L16" s="138">
        <v>8</v>
      </c>
      <c r="M16" s="138">
        <v>8</v>
      </c>
      <c r="N16" s="138">
        <v>8</v>
      </c>
      <c r="O16" s="138">
        <v>8</v>
      </c>
      <c r="P16" s="138">
        <v>8</v>
      </c>
      <c r="Q16" s="138">
        <v>8</v>
      </c>
      <c r="R16" s="138"/>
      <c r="S16" s="138">
        <v>8</v>
      </c>
      <c r="T16" s="138">
        <v>8</v>
      </c>
      <c r="U16" s="138">
        <v>8</v>
      </c>
      <c r="V16" s="138">
        <v>8</v>
      </c>
      <c r="W16" s="138">
        <v>8</v>
      </c>
      <c r="X16" s="138">
        <v>8</v>
      </c>
      <c r="Y16" s="138"/>
      <c r="Z16" s="138">
        <v>8</v>
      </c>
      <c r="AA16" s="138">
        <v>8</v>
      </c>
      <c r="AB16" s="138">
        <v>8</v>
      </c>
      <c r="AC16" s="138">
        <v>8</v>
      </c>
      <c r="AD16" s="138">
        <v>8</v>
      </c>
      <c r="AE16" s="138">
        <v>8</v>
      </c>
      <c r="AF16" s="138"/>
      <c r="AG16" s="138">
        <v>8</v>
      </c>
      <c r="AH16" s="138">
        <v>8</v>
      </c>
      <c r="AI16" s="138">
        <v>8</v>
      </c>
      <c r="AJ16" s="207"/>
      <c r="AK16" s="233">
        <f>((SUM(F16:AI16))/8)-(SUMIF($F$6:$AI$6,"C.Nhật",F16:AI16)/8)</f>
        <v>26</v>
      </c>
      <c r="AL16" s="233">
        <f>SUM(F17:AI17)/8*1.5</f>
        <v>0</v>
      </c>
      <c r="AM16" s="235">
        <f>SUMIF($F$6:$AI$6,"C.Nhật",$F16:$AI17)/8*2</f>
        <v>0</v>
      </c>
      <c r="AN16" s="223">
        <f t="shared" ref="AN16" si="3">SUM(AK16:AM17)</f>
        <v>26</v>
      </c>
      <c r="AO16" s="237">
        <v>0</v>
      </c>
      <c r="AP16" s="223"/>
      <c r="AQ16" s="223"/>
      <c r="AR16" s="223"/>
      <c r="AS16" s="225"/>
      <c r="AT16" s="20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4" customFormat="1" ht="18" customHeight="1">
      <c r="A17" s="228"/>
      <c r="B17" s="228"/>
      <c r="C17" s="230"/>
      <c r="D17" s="232"/>
      <c r="E17" s="66" t="s">
        <v>31</v>
      </c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208"/>
      <c r="AK17" s="234"/>
      <c r="AL17" s="234"/>
      <c r="AM17" s="236"/>
      <c r="AN17" s="224"/>
      <c r="AO17" s="238"/>
      <c r="AP17" s="224"/>
      <c r="AQ17" s="224"/>
      <c r="AR17" s="224"/>
      <c r="AS17" s="226"/>
      <c r="AT17" s="20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4" customFormat="1" ht="18" customHeight="1">
      <c r="A18" s="227">
        <v>4</v>
      </c>
      <c r="B18" s="227" t="s">
        <v>92</v>
      </c>
      <c r="C18" s="229" t="str">
        <f>VLOOKUP(B18,DS,2,0)</f>
        <v>Nguyễn T Bích Thủy</v>
      </c>
      <c r="D18" s="231" t="str">
        <f>VLOOKUP(B18,DS,3,0)</f>
        <v>Công Đoạn 2</v>
      </c>
      <c r="E18" s="65" t="s">
        <v>32</v>
      </c>
      <c r="F18" s="138">
        <v>8</v>
      </c>
      <c r="G18" s="138">
        <v>8</v>
      </c>
      <c r="H18" s="138">
        <v>8</v>
      </c>
      <c r="I18" s="138">
        <v>8</v>
      </c>
      <c r="J18" s="138">
        <v>8</v>
      </c>
      <c r="K18" s="138"/>
      <c r="L18" s="138">
        <v>8</v>
      </c>
      <c r="M18" s="138">
        <v>8</v>
      </c>
      <c r="N18" s="138">
        <v>8</v>
      </c>
      <c r="O18" s="138">
        <v>8</v>
      </c>
      <c r="P18" s="138">
        <v>8</v>
      </c>
      <c r="Q18" s="138">
        <v>8</v>
      </c>
      <c r="R18" s="138"/>
      <c r="S18" s="138">
        <v>8</v>
      </c>
      <c r="T18" s="138">
        <v>8</v>
      </c>
      <c r="U18" s="138">
        <v>8</v>
      </c>
      <c r="V18" s="138">
        <v>8</v>
      </c>
      <c r="W18" s="138">
        <v>8</v>
      </c>
      <c r="X18" s="138">
        <v>8</v>
      </c>
      <c r="Y18" s="138"/>
      <c r="Z18" s="138">
        <v>8</v>
      </c>
      <c r="AA18" s="138">
        <v>8</v>
      </c>
      <c r="AB18" s="138">
        <v>8</v>
      </c>
      <c r="AC18" s="138">
        <v>8</v>
      </c>
      <c r="AD18" s="138">
        <v>8</v>
      </c>
      <c r="AE18" s="138">
        <v>8</v>
      </c>
      <c r="AF18" s="138"/>
      <c r="AG18" s="138">
        <v>8</v>
      </c>
      <c r="AH18" s="138">
        <v>8</v>
      </c>
      <c r="AI18" s="138">
        <v>8</v>
      </c>
      <c r="AJ18" s="207"/>
      <c r="AK18" s="233">
        <f>((SUM(F18:AI18))/8)-(SUMIF($F$6:$AI$6,"C.Nhật",F18:AI18)/8)</f>
        <v>26</v>
      </c>
      <c r="AL18" s="233">
        <f>SUM(F19:AI19)/8*1.5</f>
        <v>0</v>
      </c>
      <c r="AM18" s="235">
        <f>SUMIF($F$6:$AI$6,"C.Nhật",$F18:$AI19)/8*2</f>
        <v>0</v>
      </c>
      <c r="AN18" s="223">
        <f t="shared" ref="AN18" si="4">SUM(AK18:AM19)</f>
        <v>26</v>
      </c>
      <c r="AO18" s="237">
        <v>0</v>
      </c>
      <c r="AP18" s="223"/>
      <c r="AQ18" s="223"/>
      <c r="AR18" s="223"/>
      <c r="AS18" s="225"/>
      <c r="AT18" s="20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4" customFormat="1" ht="18" customHeight="1">
      <c r="A19" s="228"/>
      <c r="B19" s="228"/>
      <c r="C19" s="230"/>
      <c r="D19" s="232"/>
      <c r="E19" s="66" t="s">
        <v>31</v>
      </c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208"/>
      <c r="AK19" s="234"/>
      <c r="AL19" s="234"/>
      <c r="AM19" s="236"/>
      <c r="AN19" s="224"/>
      <c r="AO19" s="238"/>
      <c r="AP19" s="224"/>
      <c r="AQ19" s="224"/>
      <c r="AR19" s="224"/>
      <c r="AS19" s="226"/>
      <c r="AT19" s="20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67" customFormat="1" ht="12.75">
      <c r="A20" s="14"/>
      <c r="B20" s="68"/>
      <c r="C20" s="4"/>
      <c r="D20" s="109"/>
      <c r="E20" s="4"/>
      <c r="F20" s="72"/>
      <c r="G20" s="72"/>
      <c r="H20" s="69"/>
      <c r="I20" s="69"/>
      <c r="J20" s="115"/>
      <c r="K20" s="72"/>
      <c r="L20" s="69"/>
      <c r="M20" s="72"/>
      <c r="N20" s="72"/>
      <c r="O20" s="72"/>
      <c r="P20" s="72"/>
      <c r="Q20" s="69"/>
      <c r="R20" s="72"/>
      <c r="S20" s="72"/>
      <c r="T20" s="115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72"/>
      <c r="AJ20" s="72"/>
      <c r="AK20" s="4"/>
      <c r="AL20" s="4"/>
      <c r="AM20" s="95"/>
      <c r="AN20" s="71"/>
      <c r="AO20" s="71"/>
      <c r="AP20" s="71"/>
      <c r="AQ20" s="71"/>
      <c r="AR20" s="71"/>
      <c r="AS20" s="4"/>
      <c r="AT20" s="101"/>
    </row>
    <row r="21" spans="1:91" s="67" customFormat="1" ht="12.75">
      <c r="A21" s="14"/>
      <c r="B21" s="68"/>
      <c r="C21" s="14" t="s">
        <v>14</v>
      </c>
      <c r="D21" s="109"/>
      <c r="E21" s="4"/>
      <c r="F21" s="72"/>
      <c r="G21" s="72"/>
      <c r="H21" s="69"/>
      <c r="I21" s="69"/>
      <c r="J21" s="115"/>
      <c r="K21" s="72"/>
      <c r="L21" s="69"/>
      <c r="M21" s="72"/>
      <c r="N21" s="72"/>
      <c r="O21" s="72"/>
      <c r="P21" s="72"/>
      <c r="Q21" s="69"/>
      <c r="R21" s="72"/>
      <c r="S21" s="72"/>
      <c r="T21" s="115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72"/>
      <c r="AJ21" s="72"/>
      <c r="AK21" s="4"/>
      <c r="AL21" s="4"/>
      <c r="AM21" s="95"/>
      <c r="AN21" s="71"/>
      <c r="AO21" s="71"/>
      <c r="AP21" s="71"/>
      <c r="AQ21" s="71"/>
      <c r="AR21" s="71"/>
      <c r="AS21" s="4"/>
      <c r="AT21" s="101"/>
    </row>
    <row r="22" spans="1:91" s="67" customFormat="1" ht="12.75">
      <c r="A22" s="12"/>
      <c r="B22" s="12"/>
      <c r="C22" s="4"/>
      <c r="D22" s="109"/>
      <c r="E22" s="4"/>
      <c r="F22" s="72"/>
      <c r="G22" s="72"/>
      <c r="H22" s="116"/>
      <c r="I22" s="116"/>
      <c r="J22" s="116"/>
      <c r="K22" s="72"/>
      <c r="L22" s="116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6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101"/>
    </row>
    <row r="23" spans="1:91" s="70" customFormat="1" ht="15" customHeight="1">
      <c r="A23" s="12"/>
      <c r="B23" s="12"/>
      <c r="C23" s="4"/>
      <c r="D23" s="109"/>
      <c r="E23" s="4"/>
      <c r="F23" s="72"/>
      <c r="G23" s="72"/>
      <c r="H23" s="116"/>
      <c r="I23" s="116"/>
      <c r="J23" s="116"/>
      <c r="K23" s="72"/>
      <c r="L23" s="116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6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1" s="70" customFormat="1" ht="11.25">
      <c r="A24" s="12"/>
      <c r="B24" s="12"/>
      <c r="C24" s="4"/>
      <c r="D24" s="109"/>
      <c r="E24" s="4"/>
      <c r="F24" s="72"/>
      <c r="G24" s="72"/>
      <c r="H24" s="116"/>
      <c r="I24" s="116"/>
      <c r="J24" s="116"/>
      <c r="K24" s="72"/>
      <c r="L24" s="116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6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4"/>
    </row>
    <row r="25" spans="1:91" s="70" customFormat="1" ht="11.25">
      <c r="A25" s="12"/>
      <c r="B25" s="12"/>
      <c r="C25" s="4"/>
      <c r="D25" s="109"/>
      <c r="E25" s="4"/>
      <c r="F25" s="72"/>
      <c r="G25" s="72"/>
      <c r="H25" s="116"/>
      <c r="I25" s="116"/>
      <c r="J25" s="116"/>
      <c r="K25" s="72"/>
      <c r="L25" s="116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6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1" s="70" customFormat="1" ht="11.25">
      <c r="A26" s="10"/>
      <c r="B26" s="10"/>
      <c r="C26" s="14"/>
      <c r="D26" s="110"/>
      <c r="E26" s="74"/>
      <c r="F26" s="115"/>
      <c r="G26" s="117"/>
      <c r="H26" s="69"/>
      <c r="I26" s="69"/>
      <c r="J26" s="69"/>
      <c r="K26" s="117"/>
      <c r="L26" s="69"/>
      <c r="M26" s="117"/>
      <c r="N26" s="117"/>
      <c r="O26" s="117"/>
      <c r="P26" s="117"/>
      <c r="Q26" s="69"/>
      <c r="R26" s="115"/>
      <c r="S26" s="117"/>
      <c r="T26" s="117"/>
      <c r="U26" s="69"/>
      <c r="V26" s="117"/>
      <c r="W26" s="117"/>
      <c r="X26" s="69"/>
      <c r="Y26" s="117"/>
      <c r="Z26" s="117"/>
      <c r="AA26" s="117"/>
      <c r="AB26" s="117"/>
      <c r="AC26" s="117"/>
      <c r="AD26" s="69"/>
      <c r="AE26" s="117"/>
      <c r="AF26" s="117"/>
      <c r="AG26" s="117"/>
      <c r="AH26" s="117"/>
      <c r="AI26" s="117"/>
      <c r="AJ26" s="117"/>
      <c r="AK26" s="74"/>
      <c r="AM26" s="96"/>
      <c r="AN26" s="10"/>
      <c r="AO26" s="10"/>
      <c r="AP26" s="10"/>
      <c r="AQ26" s="10"/>
      <c r="AR26" s="10"/>
      <c r="AS26" s="14"/>
      <c r="AT26" s="4"/>
    </row>
    <row r="27" spans="1:91" s="70" customFormat="1" ht="12.75">
      <c r="A27" s="2"/>
      <c r="B27" s="2" t="s">
        <v>0</v>
      </c>
      <c r="C27" s="2"/>
      <c r="D27" s="199"/>
      <c r="E27" s="2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9"/>
      <c r="AI27" s="119"/>
      <c r="AJ27" s="119"/>
      <c r="AK27" s="2"/>
      <c r="AL27" s="2"/>
      <c r="AM27" s="97"/>
      <c r="AN27" s="2"/>
      <c r="AO27" s="2"/>
      <c r="AP27" s="2"/>
      <c r="AQ27" s="2"/>
      <c r="AR27" s="2"/>
      <c r="AS27" s="2"/>
      <c r="AT27" s="4"/>
    </row>
    <row r="28" spans="1:91" s="70" customFormat="1" ht="12.75">
      <c r="A28" s="2"/>
      <c r="B28" s="2"/>
      <c r="C28" s="2" t="s">
        <v>46</v>
      </c>
      <c r="D28" s="199"/>
      <c r="E28" s="2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9"/>
      <c r="AI28" s="119"/>
      <c r="AJ28" s="119"/>
      <c r="AK28" s="2"/>
      <c r="AL28" s="2"/>
      <c r="AM28" s="97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199" customFormat="1" ht="15" customHeight="1">
      <c r="A31" s="2"/>
      <c r="B31" s="2"/>
      <c r="C31" s="2" t="s">
        <v>49</v>
      </c>
      <c r="E31" s="2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9"/>
      <c r="AI31" s="119"/>
      <c r="AJ31" s="119"/>
      <c r="AK31" s="2"/>
      <c r="AL31" s="2"/>
      <c r="AM31" s="9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9" customFormat="1" ht="15" customHeight="1">
      <c r="A32" s="2"/>
      <c r="B32" s="2"/>
      <c r="C32" s="2" t="s">
        <v>50</v>
      </c>
      <c r="E32" s="2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9"/>
      <c r="AI32" s="119"/>
      <c r="AJ32" s="119"/>
      <c r="AK32" s="2"/>
      <c r="AL32" s="2"/>
      <c r="AM32" s="9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9" customFormat="1" ht="15" customHeight="1">
      <c r="A33" s="2"/>
      <c r="B33" s="2"/>
      <c r="C33" s="2" t="s">
        <v>51</v>
      </c>
      <c r="E33" s="2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9"/>
      <c r="AI33" s="119"/>
      <c r="AJ33" s="119"/>
      <c r="AK33" s="2"/>
      <c r="AL33" s="2"/>
      <c r="AM33" s="9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9" customFormat="1" ht="15" customHeight="1">
      <c r="A34" s="2"/>
      <c r="B34" s="2"/>
      <c r="C34" s="2" t="s">
        <v>52</v>
      </c>
      <c r="E34" s="2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9"/>
      <c r="AI34" s="119"/>
      <c r="AJ34" s="119"/>
      <c r="AK34" s="2"/>
      <c r="AL34" s="2"/>
      <c r="AM34" s="9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99" customFormat="1" ht="15" customHeight="1">
      <c r="A35" s="2"/>
      <c r="B35" s="2"/>
      <c r="C35" s="2" t="s">
        <v>53</v>
      </c>
      <c r="E35" s="2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9"/>
      <c r="AI35" s="119"/>
      <c r="AJ35" s="119"/>
      <c r="AK35" s="2"/>
      <c r="AL35" s="2"/>
      <c r="AM35" s="9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99" customFormat="1" ht="15" customHeight="1">
      <c r="A36" s="2"/>
      <c r="B36" s="2"/>
      <c r="C36" s="2" t="s">
        <v>54</v>
      </c>
      <c r="E36" s="2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9"/>
      <c r="AI36" s="119"/>
      <c r="AJ36" s="119"/>
      <c r="AK36" s="2"/>
      <c r="AL36" s="2"/>
      <c r="AM36" s="9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A12:A19 C12:E19" name="Range1_6_2"/>
    <protectedRange password="CC78" sqref="B12:B19" name="Range1_4_2"/>
  </protectedRanges>
  <mergeCells count="79">
    <mergeCell ref="AO16:AO17"/>
    <mergeCell ref="AP16:AP17"/>
    <mergeCell ref="AQ16:AQ17"/>
    <mergeCell ref="AR16:AR17"/>
    <mergeCell ref="AS16:AS17"/>
    <mergeCell ref="D16:D17"/>
    <mergeCell ref="AK16:AK17"/>
    <mergeCell ref="AL16:AL17"/>
    <mergeCell ref="AM16:AM17"/>
    <mergeCell ref="AN16:AN17"/>
    <mergeCell ref="AO14:AO15"/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12:AL13"/>
    <mergeCell ref="AM12:AM13"/>
    <mergeCell ref="AN12:AN13"/>
    <mergeCell ref="AO12:AO13"/>
    <mergeCell ref="AP12:AP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R12:AR13"/>
    <mergeCell ref="AS12:AS13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</mergeCells>
  <conditionalFormatting sqref="F5:AJ6 F9:AJ10">
    <cfRule type="expression" dxfId="14" priority="66" stopIfTrue="1">
      <formula>IF(WEEKDAY(F$5)=1,TRUE,FALSE)</formula>
    </cfRule>
  </conditionalFormatting>
  <conditionalFormatting sqref="AJ12:AJ13">
    <cfRule type="expression" dxfId="12" priority="17" stopIfTrue="1">
      <formula>IF(WEEKDAY(AJ$5)=1,TRUE,FALSE)</formula>
    </cfRule>
  </conditionalFormatting>
  <conditionalFormatting sqref="AJ18:AJ19">
    <cfRule type="expression" dxfId="8" priority="9" stopIfTrue="1">
      <formula>IF(WEEKDAY(AJ$5)=1,TRUE,FALSE)</formula>
    </cfRule>
  </conditionalFormatting>
  <conditionalFormatting sqref="AJ18:AJ19">
    <cfRule type="expression" dxfId="7" priority="8" stopIfTrue="1">
      <formula>IF(WEEKDAY(AJ$5)=1,TRUE,FALSE)</formula>
    </cfRule>
  </conditionalFormatting>
  <conditionalFormatting sqref="AJ14:AJ17">
    <cfRule type="expression" dxfId="6" priority="5" stopIfTrue="1">
      <formula>IF(WEEKDAY(AJ$5)=1,TRUE,FALSE)</formula>
    </cfRule>
  </conditionalFormatting>
  <conditionalFormatting sqref="AJ14:AJ15">
    <cfRule type="expression" dxfId="5" priority="4" stopIfTrue="1">
      <formula>IF(WEEKDAY(AJ$5)=1,TRUE,FALSE)</formula>
    </cfRule>
  </conditionalFormatting>
  <conditionalFormatting sqref="F12:AI19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9" activeCellId="1" sqref="S12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4"/>
      <c r="B1" s="202"/>
      <c r="C1" s="202"/>
      <c r="D1" s="258" t="str">
        <f>"BẢNG THANH TOÁN LƯƠNG THÁNG"&amp;" "&amp;TEXT($E$4,"mm")&amp;" / "&amp;TEXT($E$4,"yyyy")</f>
        <v>BẢNG THANH TOÁN LƯƠNG THÁNG 11 / 2016</v>
      </c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9"/>
      <c r="R1" s="260" t="s">
        <v>88</v>
      </c>
      <c r="S1" s="261"/>
      <c r="T1" s="262"/>
      <c r="U1" s="125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4"/>
      <c r="B2" s="202"/>
      <c r="C2" s="202"/>
      <c r="D2" s="202"/>
      <c r="E2" s="78"/>
      <c r="F2" s="202"/>
      <c r="G2" s="202"/>
      <c r="H2" s="202"/>
      <c r="I2" s="202"/>
      <c r="J2" s="79"/>
      <c r="K2" s="202"/>
      <c r="L2" s="202"/>
      <c r="M2" s="202"/>
      <c r="N2" s="202"/>
      <c r="O2" s="202"/>
      <c r="P2" s="202"/>
      <c r="Q2" s="202"/>
      <c r="R2" s="202"/>
      <c r="S2" s="202"/>
      <c r="T2" s="56"/>
      <c r="U2" s="77">
        <f>MAX(F10:F19)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4"/>
      <c r="B3" s="202"/>
      <c r="C3" s="202"/>
      <c r="D3" s="202"/>
      <c r="E3" s="78"/>
      <c r="F3" s="202"/>
      <c r="G3" s="202"/>
      <c r="H3" s="202"/>
      <c r="I3" s="202"/>
      <c r="J3" s="79"/>
      <c r="K3" s="202"/>
      <c r="L3" s="202"/>
      <c r="M3" s="202"/>
      <c r="N3" s="202"/>
      <c r="O3" s="202"/>
      <c r="P3" s="202"/>
      <c r="Q3" s="202"/>
      <c r="R3" s="202"/>
      <c r="S3" s="202"/>
      <c r="T3" s="56"/>
      <c r="U3" s="126"/>
      <c r="V3" s="127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1">
        <f>'CC -11'!$E$4</f>
        <v>42675</v>
      </c>
      <c r="F4" s="101"/>
      <c r="G4" s="101"/>
      <c r="H4" s="101"/>
      <c r="I4" s="101"/>
      <c r="J4" s="101"/>
      <c r="K4" s="101"/>
      <c r="L4" s="101"/>
      <c r="M4" s="101"/>
      <c r="N4" s="156">
        <v>0.08</v>
      </c>
      <c r="O4" s="156">
        <v>1.4999999999999999E-2</v>
      </c>
      <c r="P4" s="156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7" customFormat="1" ht="24" customHeight="1">
      <c r="A5" s="263" t="s">
        <v>19</v>
      </c>
      <c r="B5" s="263" t="s">
        <v>20</v>
      </c>
      <c r="C5" s="216" t="s">
        <v>1</v>
      </c>
      <c r="D5" s="216" t="s">
        <v>2</v>
      </c>
      <c r="E5" s="211" t="s">
        <v>56</v>
      </c>
      <c r="F5" s="265" t="s">
        <v>26</v>
      </c>
      <c r="G5" s="266"/>
      <c r="H5" s="266"/>
      <c r="I5" s="266"/>
      <c r="J5" s="266"/>
      <c r="K5" s="267"/>
      <c r="L5" s="254" t="s">
        <v>57</v>
      </c>
      <c r="M5" s="254" t="s">
        <v>5</v>
      </c>
      <c r="N5" s="216" t="s">
        <v>6</v>
      </c>
      <c r="O5" s="216"/>
      <c r="P5" s="216"/>
      <c r="Q5" s="254" t="s">
        <v>7</v>
      </c>
      <c r="R5" s="254" t="s">
        <v>8</v>
      </c>
      <c r="S5" s="254" t="s">
        <v>9</v>
      </c>
      <c r="T5" s="212" t="s">
        <v>10</v>
      </c>
      <c r="U5" s="101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4"/>
      <c r="B6" s="264"/>
      <c r="C6" s="216"/>
      <c r="D6" s="216"/>
      <c r="E6" s="211"/>
      <c r="F6" s="265" t="s">
        <v>59</v>
      </c>
      <c r="G6" s="267"/>
      <c r="H6" s="265" t="s">
        <v>81</v>
      </c>
      <c r="I6" s="266"/>
      <c r="J6" s="252" t="s">
        <v>27</v>
      </c>
      <c r="K6" s="254" t="s">
        <v>4</v>
      </c>
      <c r="L6" s="255"/>
      <c r="M6" s="255"/>
      <c r="N6" s="256" t="s">
        <v>12</v>
      </c>
      <c r="O6" s="254" t="s">
        <v>13</v>
      </c>
      <c r="P6" s="254" t="s">
        <v>34</v>
      </c>
      <c r="Q6" s="255"/>
      <c r="R6" s="255"/>
      <c r="S6" s="255"/>
      <c r="T6" s="213"/>
      <c r="U6" s="101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4"/>
      <c r="B7" s="264"/>
      <c r="C7" s="254"/>
      <c r="D7" s="254"/>
      <c r="E7" s="211"/>
      <c r="F7" s="203" t="s">
        <v>40</v>
      </c>
      <c r="G7" s="200" t="s">
        <v>18</v>
      </c>
      <c r="H7" s="203" t="s">
        <v>40</v>
      </c>
      <c r="I7" s="123" t="s">
        <v>18</v>
      </c>
      <c r="J7" s="253"/>
      <c r="K7" s="255"/>
      <c r="L7" s="268"/>
      <c r="M7" s="268"/>
      <c r="N7" s="257"/>
      <c r="O7" s="255"/>
      <c r="P7" s="255"/>
      <c r="Q7" s="255"/>
      <c r="R7" s="255"/>
      <c r="S7" s="255"/>
      <c r="T7" s="213"/>
      <c r="U7" s="101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0" t="s">
        <v>78</v>
      </c>
      <c r="B9" s="179" t="s">
        <v>89</v>
      </c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6" t="s">
        <v>84</v>
      </c>
      <c r="C10" s="86" t="str">
        <f t="shared" ref="C10" si="0">VLOOKUP(B10,DS,2,0)</f>
        <v>Lê Kim Ngọc Thảo</v>
      </c>
      <c r="D10" s="111" t="str">
        <f t="shared" ref="D10" si="1">VLOOKUP(B10,DS,3,0)</f>
        <v>Văn Phòng</v>
      </c>
      <c r="E10" s="87">
        <f t="shared" ref="E10" si="2">VLOOKUP(B10,DS,4,0)</f>
        <v>4000000</v>
      </c>
      <c r="F10" s="89">
        <f>VLOOKUP(B10,'CC -11'!$B$8:$AS$19,36,0)</f>
        <v>26</v>
      </c>
      <c r="G10" s="140">
        <f>ROUND(E10/$U$2*F10,0)</f>
        <v>4000000</v>
      </c>
      <c r="H10" s="89">
        <f>(VLOOKUP(B10,'CC -11'!$B$8:$AS$19,37,0)+VLOOKUP(B10,'CC -11'!$B$8:$AS$19,38,0))</f>
        <v>0</v>
      </c>
      <c r="I10" s="140">
        <f t="shared" ref="I10" si="3">ROUND(E10/$U$2*H10,0)</f>
        <v>0</v>
      </c>
      <c r="J10" s="90">
        <f t="shared" ref="J10" si="4">F10+H10</f>
        <v>26</v>
      </c>
      <c r="K10" s="37">
        <f>G10+I10</f>
        <v>4000000</v>
      </c>
      <c r="L10" s="87">
        <f t="shared" ref="L10" si="5">+F10*15000</f>
        <v>390000</v>
      </c>
      <c r="M10" s="38">
        <f t="shared" ref="M10" si="6">K10+L10</f>
        <v>4390000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7">M10-SUM(N10:P10)</f>
        <v>4390000</v>
      </c>
      <c r="R10" s="37">
        <f>VLOOKUP(B10,DS,23,0)</f>
        <v>0</v>
      </c>
      <c r="S10" s="43">
        <f t="shared" ref="S10" si="8">Q10-R10</f>
        <v>4390000</v>
      </c>
      <c r="T10" s="37"/>
      <c r="U10" s="101"/>
      <c r="V10" s="35"/>
      <c r="W10" s="28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188"/>
      <c r="B11" s="189"/>
      <c r="C11" s="190"/>
      <c r="D11" s="191"/>
      <c r="E11" s="192"/>
      <c r="F11" s="193"/>
      <c r="G11" s="194"/>
      <c r="H11" s="193"/>
      <c r="I11" s="194"/>
      <c r="J11" s="195"/>
      <c r="K11" s="196"/>
      <c r="L11" s="192"/>
      <c r="M11" s="197"/>
      <c r="N11" s="197"/>
      <c r="O11" s="197"/>
      <c r="P11" s="197"/>
      <c r="Q11" s="196"/>
      <c r="R11" s="196"/>
      <c r="S11" s="198"/>
      <c r="T11" s="196"/>
      <c r="U11" s="101"/>
      <c r="V11" s="35"/>
      <c r="W11" s="28"/>
      <c r="X11" s="5"/>
      <c r="Y11" s="5"/>
      <c r="Z11" s="5"/>
      <c r="AA11" s="4"/>
      <c r="AB11" s="4"/>
      <c r="AC11" s="4"/>
      <c r="AD11" s="4"/>
      <c r="AE11" s="4"/>
    </row>
    <row r="12" spans="1:31" s="32" customFormat="1" ht="21" customHeight="1">
      <c r="A12" s="251" t="s">
        <v>25</v>
      </c>
      <c r="B12" s="251"/>
      <c r="C12" s="251"/>
      <c r="D12" s="251"/>
      <c r="E12" s="135">
        <f>SUM(E9:E11)</f>
        <v>4000000</v>
      </c>
      <c r="F12" s="135"/>
      <c r="G12" s="135">
        <f>SUM(G9:G11)</f>
        <v>4000000</v>
      </c>
      <c r="H12" s="135"/>
      <c r="I12" s="135">
        <f>SUM(I9:I11)</f>
        <v>0</v>
      </c>
      <c r="J12" s="135"/>
      <c r="K12" s="135">
        <f>SUM(K9:K11)</f>
        <v>4000000</v>
      </c>
      <c r="L12" s="135">
        <f>SUM(L9:L11)</f>
        <v>390000</v>
      </c>
      <c r="M12" s="135">
        <f>SUM(M9:M11)</f>
        <v>4390000</v>
      </c>
      <c r="N12" s="135">
        <f>SUM(N9:N11)</f>
        <v>0</v>
      </c>
      <c r="O12" s="135">
        <f>SUM(O9:O11)</f>
        <v>0</v>
      </c>
      <c r="P12" s="135">
        <f>SUM(P9:P11)</f>
        <v>0</v>
      </c>
      <c r="Q12" s="135">
        <f>SUM(Q9:Q11)</f>
        <v>4390000</v>
      </c>
      <c r="R12" s="135">
        <f>SUM(R9:R11)</f>
        <v>0</v>
      </c>
      <c r="S12" s="135">
        <f>SUM(S9:S11)</f>
        <v>4390000</v>
      </c>
      <c r="T12" s="26"/>
      <c r="U12" s="101"/>
      <c r="V12" s="33"/>
      <c r="W12" s="33"/>
      <c r="X12" s="33"/>
      <c r="Y12" s="33"/>
      <c r="Z12" s="33"/>
    </row>
    <row r="13" spans="1:31" s="82" customFormat="1" ht="24" customHeight="1">
      <c r="A13" s="180" t="s">
        <v>79</v>
      </c>
      <c r="B13" s="179" t="s">
        <v>80</v>
      </c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01"/>
      <c r="V13" s="83"/>
      <c r="W13" s="83"/>
      <c r="X13" s="84"/>
      <c r="Y13" s="84"/>
      <c r="Z13" s="84"/>
      <c r="AA13" s="85"/>
      <c r="AB13" s="85"/>
      <c r="AC13" s="85"/>
      <c r="AD13" s="85"/>
      <c r="AE13" s="85"/>
    </row>
    <row r="14" spans="1:31" s="34" customFormat="1" ht="24" customHeight="1">
      <c r="A14" s="36">
        <v>1</v>
      </c>
      <c r="B14" s="136" t="s">
        <v>85</v>
      </c>
      <c r="C14" s="86" t="str">
        <f t="shared" ref="C14:C17" si="9">VLOOKUP(B14,DS,2,0)</f>
        <v>Diệp Văn Lân</v>
      </c>
      <c r="D14" s="111" t="str">
        <f t="shared" ref="D14:D17" si="10">VLOOKUP(B14,DS,3,0)</f>
        <v>Công Đoạn 1</v>
      </c>
      <c r="E14" s="87">
        <f t="shared" ref="E14:E17" si="11">VLOOKUP(B14,DS,4,0)</f>
        <v>3200000</v>
      </c>
      <c r="F14" s="89">
        <f>VLOOKUP(B14,'CC -11'!$B$8:$AS$19,36,0)</f>
        <v>26</v>
      </c>
      <c r="G14" s="140">
        <f t="shared" ref="G14:G17" si="12">ROUND(E14/$U$2*F14,0)</f>
        <v>3200000</v>
      </c>
      <c r="H14" s="89">
        <f>(VLOOKUP(B14,'CC -11'!$B$8:$AS$19,37,0)+VLOOKUP(B14,'CC -11'!$B$8:$AS$19,38,0))</f>
        <v>0</v>
      </c>
      <c r="I14" s="140">
        <f t="shared" ref="I14:I17" si="13">ROUND(E14/$U$2*H14,0)</f>
        <v>0</v>
      </c>
      <c r="J14" s="141">
        <f t="shared" ref="J14:K17" si="14">F14+H14</f>
        <v>26</v>
      </c>
      <c r="K14" s="37">
        <f t="shared" si="14"/>
        <v>3200000</v>
      </c>
      <c r="L14" s="87">
        <f t="shared" ref="L14:L17" si="15">+F14*15000</f>
        <v>390000</v>
      </c>
      <c r="M14" s="38">
        <f t="shared" ref="M14:M17" si="16">K14+L14</f>
        <v>3590000</v>
      </c>
      <c r="N14" s="38">
        <f>IF(VLOOKUP(B14,DS,9,0)="x",'L - 11'!E14*$N$4,0)</f>
        <v>0</v>
      </c>
      <c r="O14" s="38">
        <f t="shared" ref="O14:O17" si="17">IF(VLOOKUP(B14,DS,9,0)="x",E14*0.015,0)</f>
        <v>0</v>
      </c>
      <c r="P14" s="38">
        <f t="shared" ref="P14:P17" si="18">IF(VLOOKUP(B14,DS,9,0)="x",E14*0.01,0)</f>
        <v>0</v>
      </c>
      <c r="Q14" s="37">
        <f>M14-SUM(N14:P14)</f>
        <v>3590000</v>
      </c>
      <c r="R14" s="37">
        <f t="shared" ref="R14:R17" si="19">VLOOKUP(B14,DS,23,0)</f>
        <v>0</v>
      </c>
      <c r="S14" s="43">
        <f>Q14-R14</f>
        <v>3590000</v>
      </c>
      <c r="T14" s="37"/>
      <c r="U14" s="101"/>
      <c r="V14" s="35"/>
      <c r="W14" s="28"/>
      <c r="X14" s="5"/>
      <c r="Y14" s="5"/>
      <c r="Z14" s="5"/>
      <c r="AA14" s="4"/>
      <c r="AB14" s="4"/>
      <c r="AC14" s="4"/>
      <c r="AD14" s="4"/>
      <c r="AE14" s="4"/>
    </row>
    <row r="15" spans="1:31" s="34" customFormat="1" ht="24" customHeight="1">
      <c r="A15" s="36">
        <v>2</v>
      </c>
      <c r="B15" s="136" t="s">
        <v>86</v>
      </c>
      <c r="C15" s="86" t="str">
        <f t="shared" ref="C15:C16" si="20">VLOOKUP(B15,DS,2,0)</f>
        <v>Dương Thế Kiệt</v>
      </c>
      <c r="D15" s="111" t="str">
        <f t="shared" ref="D15:D16" si="21">VLOOKUP(B15,DS,3,0)</f>
        <v>Công Đoạn 1</v>
      </c>
      <c r="E15" s="87">
        <f t="shared" ref="E15:E16" si="22">VLOOKUP(B15,DS,4,0)</f>
        <v>3000000</v>
      </c>
      <c r="F15" s="89">
        <f>VLOOKUP(B15,'CC -11'!$B$8:$AS$19,36,0)</f>
        <v>26</v>
      </c>
      <c r="G15" s="140">
        <f t="shared" ref="G15:G16" si="23">ROUND(E15/$U$2*F15,0)</f>
        <v>3000000</v>
      </c>
      <c r="H15" s="89">
        <f>(VLOOKUP(B15,'CC -11'!$B$8:$AS$19,37,0)+VLOOKUP(B15,'CC -11'!$B$8:$AS$19,38,0))</f>
        <v>0</v>
      </c>
      <c r="I15" s="140">
        <f t="shared" ref="I15:I16" si="24">ROUND(E15/$U$2*H15,0)</f>
        <v>0</v>
      </c>
      <c r="J15" s="141">
        <f t="shared" ref="J15:J16" si="25">F15+H15</f>
        <v>26</v>
      </c>
      <c r="K15" s="37">
        <f t="shared" ref="K15:K16" si="26">G15+I15</f>
        <v>3000000</v>
      </c>
      <c r="L15" s="87">
        <f t="shared" ref="L15:L16" si="27">+F15*15000</f>
        <v>390000</v>
      </c>
      <c r="M15" s="38">
        <f t="shared" ref="M15:M16" si="28">K15+L15</f>
        <v>3390000</v>
      </c>
      <c r="N15" s="38">
        <f>IF(VLOOKUP(B15,DS,9,0)="x",'L - 11'!E15*$N$4,0)</f>
        <v>0</v>
      </c>
      <c r="O15" s="38">
        <f t="shared" ref="O15:O16" si="29">IF(VLOOKUP(B15,DS,9,0)="x",E15*0.015,0)</f>
        <v>0</v>
      </c>
      <c r="P15" s="38">
        <f t="shared" ref="P15:P16" si="30">IF(VLOOKUP(B15,DS,9,0)="x",E15*0.01,0)</f>
        <v>0</v>
      </c>
      <c r="Q15" s="37">
        <f t="shared" ref="Q15:Q16" si="31">M15-SUM(N15:P15)</f>
        <v>3390000</v>
      </c>
      <c r="R15" s="37">
        <f t="shared" ref="R15:R16" si="32">VLOOKUP(B15,DS,23,0)</f>
        <v>0</v>
      </c>
      <c r="S15" s="43">
        <f t="shared" ref="S15:S16" si="33">Q15-R15</f>
        <v>3390000</v>
      </c>
      <c r="T15" s="37"/>
      <c r="U15" s="101"/>
      <c r="V15" s="35"/>
      <c r="W15" s="28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3</v>
      </c>
      <c r="B16" s="136" t="s">
        <v>87</v>
      </c>
      <c r="C16" s="86" t="str">
        <f t="shared" si="20"/>
        <v>Lê Văn Hữu</v>
      </c>
      <c r="D16" s="111" t="str">
        <f t="shared" si="21"/>
        <v>Công Đoạn 2</v>
      </c>
      <c r="E16" s="87">
        <f t="shared" si="22"/>
        <v>3200000</v>
      </c>
      <c r="F16" s="89">
        <f>VLOOKUP(B16,'CC -11'!$B$8:$AS$19,36,0)</f>
        <v>26</v>
      </c>
      <c r="G16" s="140">
        <f t="shared" si="23"/>
        <v>3200000</v>
      </c>
      <c r="H16" s="89">
        <f>(VLOOKUP(B16,'CC -11'!$B$8:$AS$19,37,0)+VLOOKUP(B16,'CC -11'!$B$8:$AS$19,38,0))</f>
        <v>0</v>
      </c>
      <c r="I16" s="140">
        <f t="shared" si="24"/>
        <v>0</v>
      </c>
      <c r="J16" s="141">
        <f t="shared" si="25"/>
        <v>26</v>
      </c>
      <c r="K16" s="37">
        <f t="shared" si="26"/>
        <v>3200000</v>
      </c>
      <c r="L16" s="87">
        <f t="shared" si="27"/>
        <v>390000</v>
      </c>
      <c r="M16" s="38">
        <f t="shared" si="28"/>
        <v>3590000</v>
      </c>
      <c r="N16" s="38">
        <f>IF(VLOOKUP(B16,DS,9,0)="x",'L - 11'!E16*$N$4,0)</f>
        <v>0</v>
      </c>
      <c r="O16" s="38">
        <f t="shared" si="29"/>
        <v>0</v>
      </c>
      <c r="P16" s="38">
        <f t="shared" si="30"/>
        <v>0</v>
      </c>
      <c r="Q16" s="37">
        <f t="shared" si="31"/>
        <v>3590000</v>
      </c>
      <c r="R16" s="37">
        <f t="shared" si="32"/>
        <v>0</v>
      </c>
      <c r="S16" s="43">
        <f t="shared" si="33"/>
        <v>3590000</v>
      </c>
      <c r="T16" s="37"/>
      <c r="U16" s="101"/>
      <c r="V16" s="35"/>
      <c r="W16" s="28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4</v>
      </c>
      <c r="B17" s="136" t="s">
        <v>92</v>
      </c>
      <c r="C17" s="86" t="str">
        <f t="shared" si="9"/>
        <v>Nguyễn T Bích Thủy</v>
      </c>
      <c r="D17" s="111" t="str">
        <f t="shared" si="10"/>
        <v>Công Đoạn 2</v>
      </c>
      <c r="E17" s="87">
        <f t="shared" si="11"/>
        <v>3000000</v>
      </c>
      <c r="F17" s="89">
        <f>VLOOKUP(B17,'CC -11'!$B$8:$AS$19,36,0)</f>
        <v>26</v>
      </c>
      <c r="G17" s="140">
        <f t="shared" si="12"/>
        <v>3000000</v>
      </c>
      <c r="H17" s="89">
        <f>(VLOOKUP(B17,'CC -11'!$B$8:$AS$19,37,0)+VLOOKUP(B17,'CC -11'!$B$8:$AS$19,38,0))</f>
        <v>0</v>
      </c>
      <c r="I17" s="140">
        <f t="shared" si="13"/>
        <v>0</v>
      </c>
      <c r="J17" s="141">
        <f t="shared" si="14"/>
        <v>26</v>
      </c>
      <c r="K17" s="37">
        <f t="shared" si="14"/>
        <v>3000000</v>
      </c>
      <c r="L17" s="87">
        <f t="shared" si="15"/>
        <v>390000</v>
      </c>
      <c r="M17" s="38">
        <f t="shared" si="16"/>
        <v>3390000</v>
      </c>
      <c r="N17" s="38">
        <f>IF(VLOOKUP(B17,DS,9,0)="x",'L - 11'!E17*$N$4,0)</f>
        <v>0</v>
      </c>
      <c r="O17" s="38">
        <f t="shared" si="17"/>
        <v>0</v>
      </c>
      <c r="P17" s="38">
        <f t="shared" si="18"/>
        <v>0</v>
      </c>
      <c r="Q17" s="37">
        <f t="shared" ref="Q17" si="34">M17-SUM(N17:P17)</f>
        <v>3390000</v>
      </c>
      <c r="R17" s="37">
        <f t="shared" si="19"/>
        <v>0</v>
      </c>
      <c r="S17" s="43">
        <f t="shared" ref="S17" si="35">Q17-R17</f>
        <v>3390000</v>
      </c>
      <c r="T17" s="37"/>
      <c r="U17" s="101"/>
      <c r="V17" s="35"/>
      <c r="W17" s="28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77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76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2" customFormat="1" ht="21" customHeight="1">
      <c r="A19" s="251" t="s">
        <v>25</v>
      </c>
      <c r="B19" s="251"/>
      <c r="C19" s="251"/>
      <c r="D19" s="251"/>
      <c r="E19" s="135">
        <f>SUM(E13:E18)</f>
        <v>12400000</v>
      </c>
      <c r="F19" s="135"/>
      <c r="G19" s="135">
        <f>SUM(G13:G18)</f>
        <v>12400000</v>
      </c>
      <c r="H19" s="135"/>
      <c r="I19" s="135">
        <f>SUM(I13:I18)</f>
        <v>0</v>
      </c>
      <c r="J19" s="135"/>
      <c r="K19" s="135">
        <f>SUM(K13:K18)</f>
        <v>12400000</v>
      </c>
      <c r="L19" s="135">
        <f>SUM(L13:L18)</f>
        <v>1560000</v>
      </c>
      <c r="M19" s="135">
        <f>SUM(M13:M18)</f>
        <v>13960000</v>
      </c>
      <c r="N19" s="135">
        <f>SUM(N13:N18)</f>
        <v>0</v>
      </c>
      <c r="O19" s="135">
        <f>SUM(O13:O18)</f>
        <v>0</v>
      </c>
      <c r="P19" s="135">
        <f>SUM(P13:P18)</f>
        <v>0</v>
      </c>
      <c r="Q19" s="135">
        <f>SUM(Q13:Q18)</f>
        <v>13960000</v>
      </c>
      <c r="R19" s="135">
        <f>SUM(R13:R18)</f>
        <v>0</v>
      </c>
      <c r="S19" s="135">
        <f>SUM(S13:S18)</f>
        <v>13960000</v>
      </c>
      <c r="T19" s="26"/>
      <c r="U19" s="101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2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28"/>
      <c r="E21" s="129"/>
      <c r="F21" s="75"/>
      <c r="G21" s="75"/>
      <c r="H21" s="75"/>
      <c r="I21" s="75"/>
      <c r="J21" s="130"/>
      <c r="K21" s="129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11   năm 2016</v>
      </c>
      <c r="T21" s="75"/>
      <c r="U21" s="131"/>
      <c r="V21" s="35"/>
      <c r="W21" s="35"/>
      <c r="X21" s="35"/>
      <c r="Y21" s="35"/>
      <c r="Z21" s="35"/>
    </row>
    <row r="22" spans="1:31" s="34" customFormat="1" ht="12.75">
      <c r="A22" s="29"/>
      <c r="B22" s="29"/>
      <c r="C22" s="29" t="s">
        <v>60</v>
      </c>
      <c r="D22" s="132"/>
      <c r="E22" s="76"/>
      <c r="F22" s="131"/>
      <c r="G22" s="76"/>
      <c r="H22" s="76"/>
      <c r="I22" s="76"/>
      <c r="J22" s="133"/>
      <c r="K22" s="35"/>
      <c r="L22" s="29"/>
      <c r="M22" s="142"/>
      <c r="N22" s="20"/>
      <c r="O22" s="20"/>
      <c r="P22" s="20"/>
      <c r="Q22" s="20"/>
      <c r="S22" s="131" t="s">
        <v>22</v>
      </c>
      <c r="T22" s="131"/>
      <c r="U22" s="131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3:W13 Q5:T7 E5:I6 D19 N5:P6 L5 L22 J6:K7 L7 A25:T58 U31:U58 N18:S18 V25:IK58 J18:L18 A59:IK65326 AF13:IK13 V12:IK12 D12 Q11:S11 AF11:IK11 W11 A11:B12 A10:B10 W10 AF5:IK10 Q10:S10" name="Range1"/>
    <protectedRange password="CC78" sqref="F7:H7" name="Range1_4"/>
    <protectedRange password="CC78" sqref="V22:IK23 S22:T23 N22:Q23 E22:I23" name="Range1_1_1"/>
    <protectedRange password="CC78" sqref="U1 W1:IK3 V4:IK4 B4:T4 R2:S3 B1:Q3 U18:U30 X13:AE13 X11:AE11 U11:U13 U4:U10 X5:AE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4:S17 W14:W17 A14:B17 AF14:IK17" name="Range1_5"/>
    <protectedRange password="CC78" sqref="U14:U17 X14:AE17" name="Range1_2_3"/>
    <protectedRange password="CC78" sqref="V14:V17" name="Range1_1_3"/>
    <protectedRange password="CC78" sqref="K14:K17 K10:K11" name="Range1_6"/>
    <protectedRange password="CC78" sqref="A2:A3" name="Range1_2_1_3"/>
    <protectedRange password="CC78" sqref="E12:T12" name="Range1_3"/>
    <protectedRange password="CC78" sqref="E19:T19" name="Range1_7"/>
    <protectedRange password="CC78" sqref="U2" name="Range1_2_2_1_1"/>
  </protectedRanges>
  <autoFilter ref="A7:AE10"/>
  <mergeCells count="24">
    <mergeCell ref="A12:D12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1" sqref="A11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18" customWidth="1"/>
    <col min="34" max="36" width="3.42578125" style="119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4"/>
      <c r="B1" s="51"/>
      <c r="C1" s="51"/>
      <c r="D1" s="55"/>
      <c r="E1" s="51"/>
      <c r="F1" s="55"/>
      <c r="G1" s="55"/>
      <c r="H1" s="55"/>
      <c r="I1" s="55"/>
      <c r="J1" s="55"/>
      <c r="K1" s="114"/>
      <c r="L1" s="114"/>
      <c r="M1" s="114"/>
      <c r="N1" s="114"/>
      <c r="O1" s="114"/>
      <c r="P1" s="114"/>
      <c r="Q1" s="114"/>
      <c r="R1" s="114"/>
      <c r="S1" s="53" t="str">
        <f>CONCATENATE("BẢNG CHẤM CÔNG THÁNG ",TEXT($E$4,"mm")," NĂM ",TEXT($E$4,"yyyy"))</f>
        <v>BẢNG CHẤM CÔNG THÁNG 12 NĂM 2016</v>
      </c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52"/>
      <c r="AL1" s="52"/>
      <c r="AM1" s="240" t="s">
        <v>88</v>
      </c>
      <c r="AN1" s="241"/>
      <c r="AO1" s="241"/>
      <c r="AP1" s="241"/>
      <c r="AQ1" s="241"/>
      <c r="AR1" s="241"/>
      <c r="AS1" s="242"/>
      <c r="AT1" s="54"/>
    </row>
    <row r="2" spans="1:91" ht="20.25">
      <c r="A2" s="134"/>
      <c r="B2" s="55"/>
      <c r="C2" s="55"/>
      <c r="D2" s="55"/>
      <c r="E2" s="55"/>
      <c r="F2" s="55"/>
      <c r="G2" s="55"/>
      <c r="H2" s="55"/>
      <c r="I2" s="55"/>
      <c r="J2" s="55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4"/>
      <c r="B3" s="57"/>
      <c r="C3" s="57"/>
      <c r="D3" s="58"/>
      <c r="E3" s="58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0"/>
      <c r="D4" s="149"/>
      <c r="E4" s="61">
        <v>42705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43" t="s">
        <v>28</v>
      </c>
      <c r="B5" s="243" t="s">
        <v>3</v>
      </c>
      <c r="C5" s="243" t="s">
        <v>1</v>
      </c>
      <c r="D5" s="245" t="s">
        <v>29</v>
      </c>
      <c r="E5" s="243" t="s">
        <v>30</v>
      </c>
      <c r="F5" s="113">
        <f>+E4</f>
        <v>42705</v>
      </c>
      <c r="G5" s="113">
        <f t="shared" ref="G5:AJ5" si="0">F5+1</f>
        <v>42706</v>
      </c>
      <c r="H5" s="113">
        <f t="shared" si="0"/>
        <v>42707</v>
      </c>
      <c r="I5" s="113">
        <f t="shared" si="0"/>
        <v>42708</v>
      </c>
      <c r="J5" s="113">
        <f t="shared" si="0"/>
        <v>42709</v>
      </c>
      <c r="K5" s="113">
        <f t="shared" si="0"/>
        <v>42710</v>
      </c>
      <c r="L5" s="113">
        <f t="shared" si="0"/>
        <v>42711</v>
      </c>
      <c r="M5" s="113">
        <f t="shared" si="0"/>
        <v>42712</v>
      </c>
      <c r="N5" s="113">
        <f t="shared" si="0"/>
        <v>42713</v>
      </c>
      <c r="O5" s="113">
        <f t="shared" si="0"/>
        <v>42714</v>
      </c>
      <c r="P5" s="113">
        <f t="shared" si="0"/>
        <v>42715</v>
      </c>
      <c r="Q5" s="113">
        <f t="shared" si="0"/>
        <v>42716</v>
      </c>
      <c r="R5" s="113">
        <f t="shared" si="0"/>
        <v>42717</v>
      </c>
      <c r="S5" s="113">
        <f t="shared" si="0"/>
        <v>42718</v>
      </c>
      <c r="T5" s="113">
        <f t="shared" si="0"/>
        <v>42719</v>
      </c>
      <c r="U5" s="113">
        <f t="shared" si="0"/>
        <v>42720</v>
      </c>
      <c r="V5" s="113">
        <f t="shared" si="0"/>
        <v>42721</v>
      </c>
      <c r="W5" s="113">
        <f t="shared" si="0"/>
        <v>42722</v>
      </c>
      <c r="X5" s="113">
        <f t="shared" si="0"/>
        <v>42723</v>
      </c>
      <c r="Y5" s="113">
        <f t="shared" si="0"/>
        <v>42724</v>
      </c>
      <c r="Z5" s="113">
        <f t="shared" si="0"/>
        <v>42725</v>
      </c>
      <c r="AA5" s="113">
        <f t="shared" si="0"/>
        <v>42726</v>
      </c>
      <c r="AB5" s="113">
        <f t="shared" si="0"/>
        <v>42727</v>
      </c>
      <c r="AC5" s="113">
        <f t="shared" si="0"/>
        <v>42728</v>
      </c>
      <c r="AD5" s="113">
        <f t="shared" si="0"/>
        <v>42729</v>
      </c>
      <c r="AE5" s="113">
        <f t="shared" si="0"/>
        <v>42730</v>
      </c>
      <c r="AF5" s="113">
        <f t="shared" si="0"/>
        <v>42731</v>
      </c>
      <c r="AG5" s="113">
        <f t="shared" si="0"/>
        <v>42732</v>
      </c>
      <c r="AH5" s="113">
        <f>AG5+1</f>
        <v>42733</v>
      </c>
      <c r="AI5" s="113">
        <f t="shared" si="0"/>
        <v>42734</v>
      </c>
      <c r="AJ5" s="113">
        <f t="shared" si="0"/>
        <v>42735</v>
      </c>
      <c r="AK5" s="246" t="s">
        <v>15</v>
      </c>
      <c r="AL5" s="247"/>
      <c r="AM5" s="248"/>
      <c r="AN5" s="249" t="s">
        <v>45</v>
      </c>
      <c r="AO5" s="249" t="s">
        <v>41</v>
      </c>
      <c r="AP5" s="249" t="s">
        <v>42</v>
      </c>
      <c r="AQ5" s="249" t="s">
        <v>43</v>
      </c>
      <c r="AR5" s="249" t="s">
        <v>44</v>
      </c>
      <c r="AS5" s="245" t="s">
        <v>0</v>
      </c>
      <c r="AT5" s="2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44"/>
      <c r="B6" s="244"/>
      <c r="C6" s="244"/>
      <c r="D6" s="244"/>
      <c r="E6" s="244"/>
      <c r="F6" s="166" t="str">
        <f>CHOOSE(WEEKDAY(F5),"C.Nhật","T.Hai","T.Ba","T.Tư","T.Năm","T.Sáu","T.Bảy")</f>
        <v>T.Năm</v>
      </c>
      <c r="G6" s="166" t="str">
        <f t="shared" ref="G6:AJ6" si="1">CHOOSE(WEEKDAY(G5),"C.Nhật","T.Hai","T.Ba","T.Tư","T.Năm","T.Sáu","T.Bảy")</f>
        <v>T.Sáu</v>
      </c>
      <c r="H6" s="166" t="str">
        <f t="shared" si="1"/>
        <v>T.Bảy</v>
      </c>
      <c r="I6" s="166" t="str">
        <f t="shared" si="1"/>
        <v>C.Nhật</v>
      </c>
      <c r="J6" s="166" t="str">
        <f t="shared" si="1"/>
        <v>T.Hai</v>
      </c>
      <c r="K6" s="166" t="str">
        <f t="shared" si="1"/>
        <v>T.Ba</v>
      </c>
      <c r="L6" s="166" t="str">
        <f t="shared" si="1"/>
        <v>T.Tư</v>
      </c>
      <c r="M6" s="166" t="str">
        <f t="shared" si="1"/>
        <v>T.Năm</v>
      </c>
      <c r="N6" s="166" t="str">
        <f t="shared" si="1"/>
        <v>T.Sáu</v>
      </c>
      <c r="O6" s="166" t="str">
        <f t="shared" si="1"/>
        <v>T.Bảy</v>
      </c>
      <c r="P6" s="166" t="str">
        <f t="shared" si="1"/>
        <v>C.Nhật</v>
      </c>
      <c r="Q6" s="166" t="str">
        <f t="shared" si="1"/>
        <v>T.Hai</v>
      </c>
      <c r="R6" s="166" t="str">
        <f t="shared" si="1"/>
        <v>T.Ba</v>
      </c>
      <c r="S6" s="166" t="str">
        <f t="shared" si="1"/>
        <v>T.Tư</v>
      </c>
      <c r="T6" s="166" t="str">
        <f t="shared" si="1"/>
        <v>T.Năm</v>
      </c>
      <c r="U6" s="166" t="str">
        <f t="shared" si="1"/>
        <v>T.Sáu</v>
      </c>
      <c r="V6" s="166" t="str">
        <f t="shared" si="1"/>
        <v>T.Bảy</v>
      </c>
      <c r="W6" s="166" t="str">
        <f t="shared" si="1"/>
        <v>C.Nhật</v>
      </c>
      <c r="X6" s="166" t="str">
        <f t="shared" si="1"/>
        <v>T.Hai</v>
      </c>
      <c r="Y6" s="166" t="str">
        <f t="shared" si="1"/>
        <v>T.Ba</v>
      </c>
      <c r="Z6" s="166" t="str">
        <f t="shared" si="1"/>
        <v>T.Tư</v>
      </c>
      <c r="AA6" s="166" t="str">
        <f t="shared" si="1"/>
        <v>T.Năm</v>
      </c>
      <c r="AB6" s="166" t="str">
        <f t="shared" si="1"/>
        <v>T.Sáu</v>
      </c>
      <c r="AC6" s="166" t="str">
        <f t="shared" si="1"/>
        <v>T.Bảy</v>
      </c>
      <c r="AD6" s="166" t="str">
        <f t="shared" si="1"/>
        <v>C.Nhật</v>
      </c>
      <c r="AE6" s="166" t="str">
        <f t="shared" si="1"/>
        <v>T.Hai</v>
      </c>
      <c r="AF6" s="166" t="str">
        <f t="shared" si="1"/>
        <v>T.Ba</v>
      </c>
      <c r="AG6" s="166" t="str">
        <f t="shared" si="1"/>
        <v>T.Tư</v>
      </c>
      <c r="AH6" s="166" t="str">
        <f t="shared" si="1"/>
        <v>T.Năm</v>
      </c>
      <c r="AI6" s="166" t="str">
        <f t="shared" si="1"/>
        <v>T.Sáu</v>
      </c>
      <c r="AJ6" s="166" t="str">
        <f t="shared" si="1"/>
        <v>T.Bảy</v>
      </c>
      <c r="AK6" s="167" t="s">
        <v>16</v>
      </c>
      <c r="AL6" s="167" t="s">
        <v>31</v>
      </c>
      <c r="AM6" s="168" t="s">
        <v>17</v>
      </c>
      <c r="AN6" s="250"/>
      <c r="AO6" s="250"/>
      <c r="AP6" s="250"/>
      <c r="AQ6" s="250"/>
      <c r="AR6" s="250"/>
      <c r="AS6" s="244"/>
      <c r="AT6" s="2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69">
        <v>1</v>
      </c>
      <c r="B7" s="169">
        <v>1</v>
      </c>
      <c r="C7" s="169">
        <v>2</v>
      </c>
      <c r="D7" s="169">
        <v>3</v>
      </c>
      <c r="E7" s="169">
        <v>4</v>
      </c>
      <c r="F7" s="169">
        <v>5</v>
      </c>
      <c r="G7" s="169">
        <v>6</v>
      </c>
      <c r="H7" s="169">
        <v>7</v>
      </c>
      <c r="I7" s="169">
        <v>8</v>
      </c>
      <c r="J7" s="169">
        <v>9</v>
      </c>
      <c r="K7" s="169">
        <v>10</v>
      </c>
      <c r="L7" s="169">
        <v>11</v>
      </c>
      <c r="M7" s="169">
        <v>12</v>
      </c>
      <c r="N7" s="169">
        <v>13</v>
      </c>
      <c r="O7" s="169">
        <v>14</v>
      </c>
      <c r="P7" s="169">
        <v>15</v>
      </c>
      <c r="Q7" s="169">
        <v>16</v>
      </c>
      <c r="R7" s="169">
        <v>17</v>
      </c>
      <c r="S7" s="169">
        <v>18</v>
      </c>
      <c r="T7" s="169">
        <v>19</v>
      </c>
      <c r="U7" s="169">
        <v>20</v>
      </c>
      <c r="V7" s="169">
        <v>21</v>
      </c>
      <c r="W7" s="169">
        <v>22</v>
      </c>
      <c r="X7" s="169">
        <v>23</v>
      </c>
      <c r="Y7" s="169">
        <v>24</v>
      </c>
      <c r="Z7" s="169">
        <v>25</v>
      </c>
      <c r="AA7" s="169">
        <v>26</v>
      </c>
      <c r="AB7" s="169">
        <v>27</v>
      </c>
      <c r="AC7" s="169">
        <v>28</v>
      </c>
      <c r="AD7" s="169">
        <v>29</v>
      </c>
      <c r="AE7" s="169">
        <v>30</v>
      </c>
      <c r="AF7" s="169">
        <v>31</v>
      </c>
      <c r="AG7" s="169">
        <v>32</v>
      </c>
      <c r="AH7" s="169">
        <v>33</v>
      </c>
      <c r="AI7" s="169">
        <v>34</v>
      </c>
      <c r="AJ7" s="169">
        <v>35</v>
      </c>
      <c r="AK7" s="169">
        <v>36</v>
      </c>
      <c r="AL7" s="169">
        <v>37</v>
      </c>
      <c r="AM7" s="169">
        <v>38</v>
      </c>
      <c r="AN7" s="169">
        <v>39</v>
      </c>
      <c r="AO7" s="169">
        <v>40</v>
      </c>
      <c r="AP7" s="169">
        <v>41</v>
      </c>
      <c r="AQ7" s="169">
        <v>42</v>
      </c>
      <c r="AR7" s="169">
        <v>43</v>
      </c>
      <c r="AS7" s="169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2" customFormat="1" ht="21" customHeight="1">
      <c r="A8" s="170" t="s">
        <v>78</v>
      </c>
      <c r="B8" s="173" t="s">
        <v>89</v>
      </c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5"/>
      <c r="AT8" s="171"/>
    </row>
    <row r="9" spans="1:91" s="64" customFormat="1" ht="18" customHeight="1">
      <c r="A9" s="227">
        <v>1</v>
      </c>
      <c r="B9" s="227" t="s">
        <v>84</v>
      </c>
      <c r="C9" s="229" t="str">
        <f>VLOOKUP(B9,DS,2,0)</f>
        <v>Lê Kim Ngọc Thảo</v>
      </c>
      <c r="D9" s="231" t="str">
        <f>VLOOKUP(B9,DS,3,0)</f>
        <v>Văn Phòng</v>
      </c>
      <c r="E9" s="65" t="s">
        <v>32</v>
      </c>
      <c r="F9" s="138">
        <v>8</v>
      </c>
      <c r="G9" s="138">
        <v>8</v>
      </c>
      <c r="H9" s="138">
        <v>8</v>
      </c>
      <c r="I9" s="138"/>
      <c r="J9" s="138">
        <v>8</v>
      </c>
      <c r="K9" s="138">
        <v>8</v>
      </c>
      <c r="L9" s="138">
        <v>8</v>
      </c>
      <c r="M9" s="138">
        <v>8</v>
      </c>
      <c r="N9" s="138">
        <v>8</v>
      </c>
      <c r="O9" s="138">
        <v>8</v>
      </c>
      <c r="P9" s="138"/>
      <c r="Q9" s="138">
        <v>8</v>
      </c>
      <c r="R9" s="138">
        <v>8</v>
      </c>
      <c r="S9" s="138">
        <v>8</v>
      </c>
      <c r="T9" s="138">
        <v>8</v>
      </c>
      <c r="U9" s="138">
        <v>8</v>
      </c>
      <c r="V9" s="138">
        <v>8</v>
      </c>
      <c r="W9" s="138"/>
      <c r="X9" s="138">
        <v>8</v>
      </c>
      <c r="Y9" s="138">
        <v>8</v>
      </c>
      <c r="Z9" s="138">
        <v>8</v>
      </c>
      <c r="AA9" s="138">
        <v>8</v>
      </c>
      <c r="AB9" s="138">
        <v>8</v>
      </c>
      <c r="AC9" s="138">
        <v>8</v>
      </c>
      <c r="AD9" s="138"/>
      <c r="AE9" s="138">
        <v>8</v>
      </c>
      <c r="AF9" s="138">
        <v>8</v>
      </c>
      <c r="AG9" s="138">
        <v>8</v>
      </c>
      <c r="AH9" s="138">
        <v>8</v>
      </c>
      <c r="AI9" s="138">
        <v>8</v>
      </c>
      <c r="AJ9" s="138">
        <v>8</v>
      </c>
      <c r="AK9" s="233">
        <f>((SUM(F9:AJ9))/8)-(SUMIF($F$6:$AJ$6,"C.Nhật",F9:AJ9)/8)</f>
        <v>27</v>
      </c>
      <c r="AL9" s="233">
        <f>SUM(F10:AJ10)/8*1.5</f>
        <v>0</v>
      </c>
      <c r="AM9" s="235">
        <f>SUMIF($F$6:$AJ$6,"C.Nhật",$F9:$AJ10)/8*2</f>
        <v>0</v>
      </c>
      <c r="AN9" s="223">
        <f>SUM(AK9:AM10)</f>
        <v>27</v>
      </c>
      <c r="AO9" s="237">
        <v>0</v>
      </c>
      <c r="AP9" s="223"/>
      <c r="AQ9" s="223"/>
      <c r="AR9" s="223"/>
      <c r="AS9" s="225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28"/>
      <c r="B10" s="228"/>
      <c r="C10" s="230"/>
      <c r="D10" s="232"/>
      <c r="E10" s="66" t="s">
        <v>31</v>
      </c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234"/>
      <c r="AL10" s="234"/>
      <c r="AM10" s="236"/>
      <c r="AN10" s="224"/>
      <c r="AO10" s="238"/>
      <c r="AP10" s="224"/>
      <c r="AQ10" s="224"/>
      <c r="AR10" s="224"/>
      <c r="AS10" s="226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72" customFormat="1" ht="21" customHeight="1">
      <c r="A11" s="170" t="s">
        <v>79</v>
      </c>
      <c r="B11" s="173" t="s">
        <v>83</v>
      </c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5"/>
      <c r="AT11" s="171"/>
    </row>
    <row r="12" spans="1:91" s="64" customFormat="1" ht="18" customHeight="1">
      <c r="A12" s="227">
        <v>1</v>
      </c>
      <c r="B12" s="227" t="s">
        <v>85</v>
      </c>
      <c r="C12" s="229" t="str">
        <f>VLOOKUP(B12,DS,2,0)</f>
        <v>Diệp Văn Lân</v>
      </c>
      <c r="D12" s="231" t="str">
        <f>VLOOKUP(B12,DS,3,0)</f>
        <v>Công Đoạn 1</v>
      </c>
      <c r="E12" s="65" t="s">
        <v>32</v>
      </c>
      <c r="F12" s="138">
        <v>8</v>
      </c>
      <c r="G12" s="138">
        <v>8</v>
      </c>
      <c r="H12" s="138">
        <v>8</v>
      </c>
      <c r="I12" s="138"/>
      <c r="J12" s="138">
        <v>8</v>
      </c>
      <c r="K12" s="138">
        <v>8</v>
      </c>
      <c r="L12" s="138">
        <v>8</v>
      </c>
      <c r="M12" s="138">
        <v>8</v>
      </c>
      <c r="N12" s="138">
        <v>8</v>
      </c>
      <c r="O12" s="138">
        <v>8</v>
      </c>
      <c r="P12" s="138"/>
      <c r="Q12" s="138">
        <v>8</v>
      </c>
      <c r="R12" s="138">
        <v>8</v>
      </c>
      <c r="S12" s="138">
        <v>8</v>
      </c>
      <c r="T12" s="138">
        <v>8</v>
      </c>
      <c r="U12" s="138">
        <v>8</v>
      </c>
      <c r="V12" s="138">
        <v>8</v>
      </c>
      <c r="W12" s="138"/>
      <c r="X12" s="138">
        <v>8</v>
      </c>
      <c r="Y12" s="138">
        <v>8</v>
      </c>
      <c r="Z12" s="138">
        <v>8</v>
      </c>
      <c r="AA12" s="138">
        <v>8</v>
      </c>
      <c r="AB12" s="138">
        <v>8</v>
      </c>
      <c r="AC12" s="138">
        <v>8</v>
      </c>
      <c r="AD12" s="138"/>
      <c r="AE12" s="138">
        <v>8</v>
      </c>
      <c r="AF12" s="138">
        <v>8</v>
      </c>
      <c r="AG12" s="138">
        <v>8</v>
      </c>
      <c r="AH12" s="138">
        <v>8</v>
      </c>
      <c r="AI12" s="138">
        <v>8</v>
      </c>
      <c r="AJ12" s="138">
        <v>8</v>
      </c>
      <c r="AK12" s="233">
        <f t="shared" ref="AK12" si="2">((SUM(F12:AJ12))/8)-(SUMIF($F$6:$AJ$6,"C.Nhật",F12:AJ12)/8)</f>
        <v>27</v>
      </c>
      <c r="AL12" s="233">
        <f t="shared" ref="AL12" si="3">SUM(F13:AJ13)/8*1.5</f>
        <v>0</v>
      </c>
      <c r="AM12" s="235">
        <f>SUMIF($F$6:$AJ$6,"C.Nhật",$F12:$AJ13)/8*2</f>
        <v>0</v>
      </c>
      <c r="AN12" s="223">
        <f>SUM(AK12:AM13)</f>
        <v>27</v>
      </c>
      <c r="AO12" s="237">
        <v>0</v>
      </c>
      <c r="AP12" s="223"/>
      <c r="AQ12" s="223"/>
      <c r="AR12" s="223"/>
      <c r="AS12" s="225"/>
      <c r="AT12" s="204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64" customFormat="1" ht="18" customHeight="1">
      <c r="A13" s="228"/>
      <c r="B13" s="228"/>
      <c r="C13" s="230"/>
      <c r="D13" s="232"/>
      <c r="E13" s="66" t="s">
        <v>31</v>
      </c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234"/>
      <c r="AL13" s="234"/>
      <c r="AM13" s="236"/>
      <c r="AN13" s="224"/>
      <c r="AO13" s="238"/>
      <c r="AP13" s="224"/>
      <c r="AQ13" s="224"/>
      <c r="AR13" s="224"/>
      <c r="AS13" s="226"/>
      <c r="AT13" s="204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64" customFormat="1" ht="18" customHeight="1">
      <c r="A14" s="227">
        <v>2</v>
      </c>
      <c r="B14" s="227" t="s">
        <v>86</v>
      </c>
      <c r="C14" s="229" t="str">
        <f>VLOOKUP(B14,DS,2,0)</f>
        <v>Dương Thế Kiệt</v>
      </c>
      <c r="D14" s="231" t="str">
        <f>VLOOKUP(B14,DS,3,0)</f>
        <v>Công Đoạn 1</v>
      </c>
      <c r="E14" s="65" t="s">
        <v>32</v>
      </c>
      <c r="F14" s="138">
        <v>8</v>
      </c>
      <c r="G14" s="138">
        <v>8</v>
      </c>
      <c r="H14" s="138">
        <v>8</v>
      </c>
      <c r="I14" s="138"/>
      <c r="J14" s="138">
        <v>8</v>
      </c>
      <c r="K14" s="138">
        <v>8</v>
      </c>
      <c r="L14" s="138">
        <v>8</v>
      </c>
      <c r="M14" s="138">
        <v>8</v>
      </c>
      <c r="N14" s="138">
        <v>8</v>
      </c>
      <c r="O14" s="138">
        <v>8</v>
      </c>
      <c r="P14" s="138"/>
      <c r="Q14" s="138">
        <v>8</v>
      </c>
      <c r="R14" s="138">
        <v>8</v>
      </c>
      <c r="S14" s="138">
        <v>8</v>
      </c>
      <c r="T14" s="138">
        <v>8</v>
      </c>
      <c r="U14" s="138">
        <v>8</v>
      </c>
      <c r="V14" s="138">
        <v>8</v>
      </c>
      <c r="W14" s="138"/>
      <c r="X14" s="138">
        <v>8</v>
      </c>
      <c r="Y14" s="138">
        <v>8</v>
      </c>
      <c r="Z14" s="138">
        <v>8</v>
      </c>
      <c r="AA14" s="138">
        <v>8</v>
      </c>
      <c r="AB14" s="138">
        <v>8</v>
      </c>
      <c r="AC14" s="138">
        <v>8</v>
      </c>
      <c r="AD14" s="138"/>
      <c r="AE14" s="138">
        <v>8</v>
      </c>
      <c r="AF14" s="138">
        <v>8</v>
      </c>
      <c r="AG14" s="138">
        <v>8</v>
      </c>
      <c r="AH14" s="138">
        <v>8</v>
      </c>
      <c r="AI14" s="138">
        <v>8</v>
      </c>
      <c r="AJ14" s="138">
        <v>8</v>
      </c>
      <c r="AK14" s="233">
        <f t="shared" ref="AK14" si="4">((SUM(F14:AJ14))/8)-(SUMIF($F$6:$AJ$6,"C.Nhật",F14:AJ14)/8)</f>
        <v>27</v>
      </c>
      <c r="AL14" s="233">
        <f t="shared" ref="AL14" si="5">SUM(F15:AJ15)/8*1.5</f>
        <v>0</v>
      </c>
      <c r="AM14" s="235">
        <f>SUMIF($F$6:$AJ$6,"C.Nhật",$F14:$AJ15)/8*2</f>
        <v>0</v>
      </c>
      <c r="AN14" s="223">
        <f t="shared" ref="AN14" si="6">SUM(AK14:AM15)</f>
        <v>27</v>
      </c>
      <c r="AO14" s="237">
        <v>0</v>
      </c>
      <c r="AP14" s="223"/>
      <c r="AQ14" s="223"/>
      <c r="AR14" s="223"/>
      <c r="AS14" s="225"/>
      <c r="AT14" s="20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28"/>
      <c r="B15" s="228"/>
      <c r="C15" s="230"/>
      <c r="D15" s="232"/>
      <c r="E15" s="66" t="s">
        <v>31</v>
      </c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234"/>
      <c r="AL15" s="234"/>
      <c r="AM15" s="236"/>
      <c r="AN15" s="224"/>
      <c r="AO15" s="238"/>
      <c r="AP15" s="224"/>
      <c r="AQ15" s="224"/>
      <c r="AR15" s="224"/>
      <c r="AS15" s="226"/>
      <c r="AT15" s="20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27">
        <v>3</v>
      </c>
      <c r="B16" s="227" t="s">
        <v>87</v>
      </c>
      <c r="C16" s="229" t="str">
        <f>VLOOKUP(B16,DS,2,0)</f>
        <v>Lê Văn Hữu</v>
      </c>
      <c r="D16" s="231" t="str">
        <f>VLOOKUP(B16,DS,3,0)</f>
        <v>Công Đoạn 2</v>
      </c>
      <c r="E16" s="65" t="s">
        <v>32</v>
      </c>
      <c r="F16" s="138">
        <v>8</v>
      </c>
      <c r="G16" s="138">
        <v>8</v>
      </c>
      <c r="H16" s="138">
        <v>8</v>
      </c>
      <c r="I16" s="138"/>
      <c r="J16" s="138">
        <v>8</v>
      </c>
      <c r="K16" s="138">
        <v>8</v>
      </c>
      <c r="L16" s="138">
        <v>8</v>
      </c>
      <c r="M16" s="138">
        <v>8</v>
      </c>
      <c r="N16" s="138">
        <v>8</v>
      </c>
      <c r="O16" s="138">
        <v>8</v>
      </c>
      <c r="P16" s="138"/>
      <c r="Q16" s="138">
        <v>8</v>
      </c>
      <c r="R16" s="138">
        <v>8</v>
      </c>
      <c r="S16" s="138">
        <v>8</v>
      </c>
      <c r="T16" s="138">
        <v>8</v>
      </c>
      <c r="U16" s="138">
        <v>8</v>
      </c>
      <c r="V16" s="138">
        <v>8</v>
      </c>
      <c r="W16" s="138"/>
      <c r="X16" s="138">
        <v>8</v>
      </c>
      <c r="Y16" s="138">
        <v>8</v>
      </c>
      <c r="Z16" s="138">
        <v>8</v>
      </c>
      <c r="AA16" s="138">
        <v>8</v>
      </c>
      <c r="AB16" s="138">
        <v>8</v>
      </c>
      <c r="AC16" s="138">
        <v>8</v>
      </c>
      <c r="AD16" s="138"/>
      <c r="AE16" s="138">
        <v>8</v>
      </c>
      <c r="AF16" s="138">
        <v>8</v>
      </c>
      <c r="AG16" s="138">
        <v>8</v>
      </c>
      <c r="AH16" s="138">
        <v>8</v>
      </c>
      <c r="AI16" s="138">
        <v>8</v>
      </c>
      <c r="AJ16" s="138">
        <v>8</v>
      </c>
      <c r="AK16" s="233">
        <f t="shared" ref="AK16" si="7">((SUM(F16:AJ16))/8)-(SUMIF($F$6:$AJ$6,"C.Nhật",F16:AJ16)/8)</f>
        <v>27</v>
      </c>
      <c r="AL16" s="233">
        <f t="shared" ref="AL16" si="8">SUM(F17:AJ17)/8*1.5</f>
        <v>0</v>
      </c>
      <c r="AM16" s="235">
        <f>SUMIF($F$6:$AJ$6,"C.Nhật",$F16:$AJ17)/8*2</f>
        <v>0</v>
      </c>
      <c r="AN16" s="223">
        <f t="shared" ref="AN16" si="9">SUM(AK16:AM17)</f>
        <v>27</v>
      </c>
      <c r="AO16" s="237">
        <v>0</v>
      </c>
      <c r="AP16" s="223"/>
      <c r="AQ16" s="223"/>
      <c r="AR16" s="223"/>
      <c r="AS16" s="225"/>
      <c r="AT16" s="20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4" customFormat="1" ht="18" customHeight="1">
      <c r="A17" s="228"/>
      <c r="B17" s="228"/>
      <c r="C17" s="230"/>
      <c r="D17" s="232"/>
      <c r="E17" s="66" t="s">
        <v>31</v>
      </c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234"/>
      <c r="AL17" s="234"/>
      <c r="AM17" s="236"/>
      <c r="AN17" s="224"/>
      <c r="AO17" s="238"/>
      <c r="AP17" s="224"/>
      <c r="AQ17" s="224"/>
      <c r="AR17" s="224"/>
      <c r="AS17" s="226"/>
      <c r="AT17" s="20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4" customFormat="1" ht="18" customHeight="1">
      <c r="A18" s="227">
        <v>4</v>
      </c>
      <c r="B18" s="227" t="s">
        <v>92</v>
      </c>
      <c r="C18" s="229" t="str">
        <f>VLOOKUP(B18,DS,2,0)</f>
        <v>Nguyễn T Bích Thủy</v>
      </c>
      <c r="D18" s="231" t="str">
        <f>VLOOKUP(B18,DS,3,0)</f>
        <v>Công Đoạn 2</v>
      </c>
      <c r="E18" s="65" t="s">
        <v>32</v>
      </c>
      <c r="F18" s="138">
        <v>8</v>
      </c>
      <c r="G18" s="138">
        <v>8</v>
      </c>
      <c r="H18" s="138">
        <v>8</v>
      </c>
      <c r="I18" s="138"/>
      <c r="J18" s="138">
        <v>8</v>
      </c>
      <c r="K18" s="138">
        <v>8</v>
      </c>
      <c r="L18" s="138">
        <v>8</v>
      </c>
      <c r="M18" s="138">
        <v>8</v>
      </c>
      <c r="N18" s="138">
        <v>8</v>
      </c>
      <c r="O18" s="138">
        <v>8</v>
      </c>
      <c r="P18" s="138"/>
      <c r="Q18" s="138">
        <v>8</v>
      </c>
      <c r="R18" s="138">
        <v>8</v>
      </c>
      <c r="S18" s="138">
        <v>8</v>
      </c>
      <c r="T18" s="138">
        <v>8</v>
      </c>
      <c r="U18" s="138">
        <v>8</v>
      </c>
      <c r="V18" s="138">
        <v>8</v>
      </c>
      <c r="W18" s="138"/>
      <c r="X18" s="138">
        <v>8</v>
      </c>
      <c r="Y18" s="138">
        <v>8</v>
      </c>
      <c r="Z18" s="138">
        <v>8</v>
      </c>
      <c r="AA18" s="138">
        <v>8</v>
      </c>
      <c r="AB18" s="138">
        <v>8</v>
      </c>
      <c r="AC18" s="138">
        <v>8</v>
      </c>
      <c r="AD18" s="138"/>
      <c r="AE18" s="138">
        <v>8</v>
      </c>
      <c r="AF18" s="138">
        <v>8</v>
      </c>
      <c r="AG18" s="138">
        <v>8</v>
      </c>
      <c r="AH18" s="138">
        <v>8</v>
      </c>
      <c r="AI18" s="138">
        <v>8</v>
      </c>
      <c r="AJ18" s="138">
        <v>8</v>
      </c>
      <c r="AK18" s="233">
        <f t="shared" ref="AK18" si="10">((SUM(F18:AJ18))/8)-(SUMIF($F$6:$AJ$6,"C.Nhật",F18:AJ18)/8)</f>
        <v>27</v>
      </c>
      <c r="AL18" s="233">
        <f t="shared" ref="AL18" si="11">SUM(F19:AJ19)/8*1.5</f>
        <v>0</v>
      </c>
      <c r="AM18" s="235">
        <f>SUMIF($F$6:$AJ$6,"C.Nhật",$F18:$AJ19)/8*2</f>
        <v>0</v>
      </c>
      <c r="AN18" s="223">
        <f t="shared" ref="AN18" si="12">SUM(AK18:AM19)</f>
        <v>27</v>
      </c>
      <c r="AO18" s="237">
        <v>0</v>
      </c>
      <c r="AP18" s="223"/>
      <c r="AQ18" s="223"/>
      <c r="AR18" s="223"/>
      <c r="AS18" s="225"/>
      <c r="AT18" s="20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64" customFormat="1" ht="18" customHeight="1">
      <c r="A19" s="228"/>
      <c r="B19" s="228"/>
      <c r="C19" s="230"/>
      <c r="D19" s="232"/>
      <c r="E19" s="66" t="s">
        <v>31</v>
      </c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234"/>
      <c r="AL19" s="234"/>
      <c r="AM19" s="236"/>
      <c r="AN19" s="224"/>
      <c r="AO19" s="238"/>
      <c r="AP19" s="224"/>
      <c r="AQ19" s="224"/>
      <c r="AR19" s="224"/>
      <c r="AS19" s="226"/>
      <c r="AT19" s="20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67" customFormat="1" ht="12.75">
      <c r="A20" s="14"/>
      <c r="B20" s="68"/>
      <c r="C20" s="4"/>
      <c r="D20" s="109"/>
      <c r="E20" s="4"/>
      <c r="F20" s="72"/>
      <c r="G20" s="72"/>
      <c r="H20" s="69"/>
      <c r="I20" s="69"/>
      <c r="J20" s="115"/>
      <c r="K20" s="72"/>
      <c r="L20" s="69"/>
      <c r="M20" s="72"/>
      <c r="N20" s="72"/>
      <c r="O20" s="72"/>
      <c r="P20" s="72"/>
      <c r="Q20" s="69"/>
      <c r="R20" s="72"/>
      <c r="S20" s="72"/>
      <c r="T20" s="115"/>
      <c r="U20" s="72"/>
      <c r="V20" s="72"/>
      <c r="W20" s="72"/>
      <c r="X20" s="68"/>
      <c r="Y20" s="72"/>
      <c r="Z20" s="72"/>
      <c r="AA20" s="72"/>
      <c r="AB20" s="72"/>
      <c r="AC20" s="72"/>
      <c r="AD20" s="69"/>
      <c r="AE20" s="72"/>
      <c r="AF20" s="72"/>
      <c r="AG20" s="72"/>
      <c r="AH20" s="72"/>
      <c r="AI20" s="72"/>
      <c r="AJ20" s="72"/>
      <c r="AK20" s="4"/>
      <c r="AL20" s="4"/>
      <c r="AM20" s="95"/>
      <c r="AN20" s="71"/>
      <c r="AO20" s="71"/>
      <c r="AP20" s="71"/>
      <c r="AQ20" s="71"/>
      <c r="AR20" s="71"/>
      <c r="AS20" s="4"/>
      <c r="AT20" s="101"/>
    </row>
    <row r="21" spans="1:91" s="67" customFormat="1" ht="12.75">
      <c r="A21" s="14"/>
      <c r="B21" s="68"/>
      <c r="C21" s="14" t="s">
        <v>14</v>
      </c>
      <c r="D21" s="109"/>
      <c r="E21" s="4"/>
      <c r="F21" s="72"/>
      <c r="G21" s="72"/>
      <c r="H21" s="69"/>
      <c r="I21" s="69"/>
      <c r="J21" s="115"/>
      <c r="K21" s="72"/>
      <c r="L21" s="69"/>
      <c r="M21" s="72"/>
      <c r="N21" s="72"/>
      <c r="O21" s="72"/>
      <c r="P21" s="72"/>
      <c r="Q21" s="69"/>
      <c r="R21" s="72"/>
      <c r="S21" s="72"/>
      <c r="T21" s="115"/>
      <c r="U21" s="72"/>
      <c r="V21" s="72"/>
      <c r="W21" s="72"/>
      <c r="X21" s="68"/>
      <c r="Y21" s="72"/>
      <c r="Z21" s="72"/>
      <c r="AA21" s="72"/>
      <c r="AB21" s="72"/>
      <c r="AC21" s="72"/>
      <c r="AD21" s="69"/>
      <c r="AE21" s="72"/>
      <c r="AF21" s="72"/>
      <c r="AG21" s="72"/>
      <c r="AH21" s="72"/>
      <c r="AI21" s="72"/>
      <c r="AJ21" s="72"/>
      <c r="AK21" s="4"/>
      <c r="AL21" s="4"/>
      <c r="AM21" s="95"/>
      <c r="AN21" s="71"/>
      <c r="AO21" s="71"/>
      <c r="AP21" s="71"/>
      <c r="AQ21" s="71"/>
      <c r="AR21" s="71"/>
      <c r="AS21" s="4"/>
      <c r="AT21" s="101"/>
    </row>
    <row r="22" spans="1:91" s="67" customFormat="1" ht="12.75">
      <c r="A22" s="12"/>
      <c r="B22" s="12"/>
      <c r="C22" s="4"/>
      <c r="D22" s="109"/>
      <c r="E22" s="4"/>
      <c r="F22" s="72"/>
      <c r="G22" s="72"/>
      <c r="H22" s="116"/>
      <c r="I22" s="116"/>
      <c r="J22" s="116"/>
      <c r="K22" s="72"/>
      <c r="L22" s="116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6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101"/>
    </row>
    <row r="23" spans="1:91" s="70" customFormat="1" ht="15" customHeight="1">
      <c r="A23" s="12"/>
      <c r="B23" s="12"/>
      <c r="C23" s="4"/>
      <c r="D23" s="109"/>
      <c r="E23" s="4"/>
      <c r="F23" s="72"/>
      <c r="G23" s="72"/>
      <c r="H23" s="116"/>
      <c r="I23" s="116"/>
      <c r="J23" s="116"/>
      <c r="K23" s="72"/>
      <c r="L23" s="116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6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1" s="70" customFormat="1" ht="11.25">
      <c r="A24" s="12"/>
      <c r="B24" s="12"/>
      <c r="C24" s="4"/>
      <c r="D24" s="109"/>
      <c r="E24" s="4"/>
      <c r="F24" s="72"/>
      <c r="G24" s="72"/>
      <c r="H24" s="116"/>
      <c r="I24" s="116"/>
      <c r="J24" s="116"/>
      <c r="K24" s="72"/>
      <c r="L24" s="116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116"/>
      <c r="AE24" s="72"/>
      <c r="AF24" s="72"/>
      <c r="AG24" s="72"/>
      <c r="AH24" s="72"/>
      <c r="AI24" s="72"/>
      <c r="AJ24" s="72"/>
      <c r="AK24" s="4"/>
      <c r="AL24" s="4"/>
      <c r="AM24" s="95"/>
      <c r="AN24" s="73"/>
      <c r="AO24" s="73"/>
      <c r="AP24" s="73"/>
      <c r="AQ24" s="73"/>
      <c r="AR24" s="73"/>
      <c r="AS24" s="4"/>
      <c r="AT24" s="4"/>
    </row>
    <row r="25" spans="1:91" s="70" customFormat="1" ht="11.25">
      <c r="A25" s="12"/>
      <c r="B25" s="12"/>
      <c r="C25" s="4"/>
      <c r="D25" s="109"/>
      <c r="E25" s="4"/>
      <c r="F25" s="72"/>
      <c r="G25" s="72"/>
      <c r="H25" s="116"/>
      <c r="I25" s="116"/>
      <c r="J25" s="116"/>
      <c r="K25" s="72"/>
      <c r="L25" s="116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116"/>
      <c r="AE25" s="72"/>
      <c r="AF25" s="72"/>
      <c r="AG25" s="72"/>
      <c r="AH25" s="72"/>
      <c r="AI25" s="72"/>
      <c r="AJ25" s="72"/>
      <c r="AK25" s="4"/>
      <c r="AL25" s="4"/>
      <c r="AM25" s="95"/>
      <c r="AN25" s="73"/>
      <c r="AO25" s="73"/>
      <c r="AP25" s="73"/>
      <c r="AQ25" s="73"/>
      <c r="AR25" s="73"/>
      <c r="AS25" s="4"/>
      <c r="AT25" s="4"/>
    </row>
    <row r="26" spans="1:91" s="70" customFormat="1" ht="11.25">
      <c r="A26" s="10"/>
      <c r="B26" s="10"/>
      <c r="C26" s="14"/>
      <c r="D26" s="110"/>
      <c r="E26" s="74"/>
      <c r="F26" s="115"/>
      <c r="G26" s="117"/>
      <c r="H26" s="69"/>
      <c r="I26" s="69"/>
      <c r="J26" s="69"/>
      <c r="K26" s="117"/>
      <c r="L26" s="69"/>
      <c r="M26" s="117"/>
      <c r="N26" s="117"/>
      <c r="O26" s="117"/>
      <c r="P26" s="117"/>
      <c r="Q26" s="69"/>
      <c r="R26" s="115"/>
      <c r="S26" s="117"/>
      <c r="T26" s="117"/>
      <c r="U26" s="69"/>
      <c r="V26" s="117"/>
      <c r="W26" s="117"/>
      <c r="X26" s="69"/>
      <c r="Y26" s="117"/>
      <c r="Z26" s="117"/>
      <c r="AA26" s="117"/>
      <c r="AB26" s="117"/>
      <c r="AC26" s="117"/>
      <c r="AD26" s="69"/>
      <c r="AE26" s="117"/>
      <c r="AF26" s="117"/>
      <c r="AG26" s="117"/>
      <c r="AH26" s="117"/>
      <c r="AI26" s="117"/>
      <c r="AJ26" s="117"/>
      <c r="AK26" s="74"/>
      <c r="AM26" s="96"/>
      <c r="AN26" s="10"/>
      <c r="AO26" s="10"/>
      <c r="AP26" s="10"/>
      <c r="AQ26" s="10"/>
      <c r="AR26" s="10"/>
      <c r="AS26" s="14"/>
      <c r="AT26" s="4"/>
    </row>
    <row r="27" spans="1:91" s="70" customFormat="1" ht="12.75">
      <c r="A27" s="2"/>
      <c r="B27" s="2" t="s">
        <v>0</v>
      </c>
      <c r="C27" s="2"/>
      <c r="D27" s="199"/>
      <c r="E27" s="2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9"/>
      <c r="AI27" s="119"/>
      <c r="AJ27" s="119"/>
      <c r="AK27" s="2"/>
      <c r="AL27" s="2"/>
      <c r="AM27" s="97"/>
      <c r="AN27" s="2"/>
      <c r="AO27" s="2"/>
      <c r="AP27" s="2"/>
      <c r="AQ27" s="2"/>
      <c r="AR27" s="2"/>
      <c r="AS27" s="2"/>
      <c r="AT27" s="4"/>
    </row>
    <row r="28" spans="1:91" s="70" customFormat="1" ht="12.75">
      <c r="A28" s="2"/>
      <c r="B28" s="2"/>
      <c r="C28" s="2" t="s">
        <v>46</v>
      </c>
      <c r="D28" s="199"/>
      <c r="E28" s="2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9"/>
      <c r="AI28" s="119"/>
      <c r="AJ28" s="119"/>
      <c r="AK28" s="2"/>
      <c r="AL28" s="2"/>
      <c r="AM28" s="97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47</v>
      </c>
    </row>
    <row r="30" spans="1:91" ht="15" customHeight="1">
      <c r="C30" s="2" t="s">
        <v>48</v>
      </c>
    </row>
    <row r="31" spans="1:91" s="199" customFormat="1" ht="15" customHeight="1">
      <c r="A31" s="2"/>
      <c r="B31" s="2"/>
      <c r="C31" s="2" t="s">
        <v>49</v>
      </c>
      <c r="E31" s="2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9"/>
      <c r="AI31" s="119"/>
      <c r="AJ31" s="119"/>
      <c r="AK31" s="2"/>
      <c r="AL31" s="2"/>
      <c r="AM31" s="9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9" customFormat="1" ht="15" customHeight="1">
      <c r="A32" s="2"/>
      <c r="B32" s="2"/>
      <c r="C32" s="2" t="s">
        <v>50</v>
      </c>
      <c r="E32" s="2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9"/>
      <c r="AI32" s="119"/>
      <c r="AJ32" s="119"/>
      <c r="AK32" s="2"/>
      <c r="AL32" s="2"/>
      <c r="AM32" s="9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9" customFormat="1" ht="15" customHeight="1">
      <c r="A33" s="2"/>
      <c r="B33" s="2"/>
      <c r="C33" s="2" t="s">
        <v>51</v>
      </c>
      <c r="E33" s="2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9"/>
      <c r="AI33" s="119"/>
      <c r="AJ33" s="119"/>
      <c r="AK33" s="2"/>
      <c r="AL33" s="2"/>
      <c r="AM33" s="9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9" customFormat="1" ht="15" customHeight="1">
      <c r="A34" s="2"/>
      <c r="B34" s="2"/>
      <c r="C34" s="2" t="s">
        <v>52</v>
      </c>
      <c r="E34" s="2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9"/>
      <c r="AI34" s="119"/>
      <c r="AJ34" s="119"/>
      <c r="AK34" s="2"/>
      <c r="AL34" s="2"/>
      <c r="AM34" s="9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99" customFormat="1" ht="15" customHeight="1">
      <c r="A35" s="2"/>
      <c r="B35" s="2"/>
      <c r="C35" s="2" t="s">
        <v>53</v>
      </c>
      <c r="E35" s="2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9"/>
      <c r="AI35" s="119"/>
      <c r="AJ35" s="119"/>
      <c r="AK35" s="2"/>
      <c r="AL35" s="2"/>
      <c r="AM35" s="9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99" customFormat="1" ht="15" customHeight="1">
      <c r="A36" s="2"/>
      <c r="B36" s="2"/>
      <c r="C36" s="2" t="s">
        <v>54</v>
      </c>
      <c r="E36" s="2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9"/>
      <c r="AI36" s="119"/>
      <c r="AJ36" s="119"/>
      <c r="AK36" s="2"/>
      <c r="AL36" s="2"/>
      <c r="AM36" s="9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A12:A19 C12:E19" name="Range1_6_2"/>
    <protectedRange password="CC78" sqref="B12:B19" name="Range1_4_2"/>
  </protectedRanges>
  <mergeCells count="79">
    <mergeCell ref="AO16:AO17"/>
    <mergeCell ref="AP16:AP17"/>
    <mergeCell ref="AQ16:AQ17"/>
    <mergeCell ref="AR16:AR17"/>
    <mergeCell ref="AS16:AS17"/>
    <mergeCell ref="D16:D17"/>
    <mergeCell ref="AK16:AK17"/>
    <mergeCell ref="AL16:AL17"/>
    <mergeCell ref="AM16:AM17"/>
    <mergeCell ref="AN16:AN17"/>
    <mergeCell ref="AO14:AO15"/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12:AL13"/>
    <mergeCell ref="AM12:AM13"/>
    <mergeCell ref="AN12:AN13"/>
    <mergeCell ref="AO12:AO13"/>
    <mergeCell ref="AP12:AP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R12:AR13"/>
    <mergeCell ref="AS12:AS13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</mergeCells>
  <conditionalFormatting sqref="F5:AJ6 F9:AJ10">
    <cfRule type="expression" dxfId="3" priority="42" stopIfTrue="1">
      <formula>IF(WEEKDAY(F$5)=1,TRUE,FALSE)</formula>
    </cfRule>
  </conditionalFormatting>
  <conditionalFormatting sqref="F9:AJ10">
    <cfRule type="expression" dxfId="2" priority="41" stopIfTrue="1">
      <formula>IF(WEEKDAY(F$5)=1,TRUE,FALSE)</formula>
    </cfRule>
  </conditionalFormatting>
  <conditionalFormatting sqref="F12:AJ19">
    <cfRule type="expression" dxfId="1" priority="2" stopIfTrue="1">
      <formula>IF(WEEKDAY(F$5)=1,TRUE,FALSE)</formula>
    </cfRule>
  </conditionalFormatting>
  <conditionalFormatting sqref="F12:AJ19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tabSelected="1"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9" activeCellId="1" sqref="S12 S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4"/>
      <c r="B1" s="202"/>
      <c r="C1" s="202"/>
      <c r="D1" s="258" t="str">
        <f>"BẢNG THANH TOÁN LƯƠNG THÁNG"&amp;" "&amp;TEXT($E$4,"mm")&amp;" / "&amp;TEXT($E$4,"yyyy")</f>
        <v>BẢNG THANH TOÁN LƯƠNG THÁNG 12 / 2016</v>
      </c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9"/>
      <c r="R1" s="260" t="s">
        <v>88</v>
      </c>
      <c r="S1" s="261"/>
      <c r="T1" s="262"/>
      <c r="U1" s="125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4"/>
      <c r="B2" s="202"/>
      <c r="C2" s="202"/>
      <c r="D2" s="202"/>
      <c r="E2" s="78"/>
      <c r="F2" s="202"/>
      <c r="G2" s="202"/>
      <c r="H2" s="202"/>
      <c r="I2" s="202"/>
      <c r="J2" s="79"/>
      <c r="K2" s="202"/>
      <c r="L2" s="202"/>
      <c r="M2" s="202"/>
      <c r="N2" s="202"/>
      <c r="O2" s="202"/>
      <c r="P2" s="202"/>
      <c r="Q2" s="202"/>
      <c r="R2" s="202"/>
      <c r="S2" s="202"/>
      <c r="T2" s="56"/>
      <c r="U2" s="77">
        <f>MAX(F10:F19)</f>
        <v>27</v>
      </c>
      <c r="V2" s="108">
        <v>31</v>
      </c>
      <c r="W2" s="80"/>
      <c r="X2" s="80"/>
      <c r="Y2" s="5"/>
      <c r="Z2" s="5"/>
    </row>
    <row r="3" spans="1:31" s="4" customFormat="1" ht="15" customHeight="1">
      <c r="A3" s="134"/>
      <c r="B3" s="202"/>
      <c r="C3" s="202"/>
      <c r="D3" s="202"/>
      <c r="E3" s="78"/>
      <c r="F3" s="202"/>
      <c r="G3" s="202"/>
      <c r="H3" s="202"/>
      <c r="I3" s="202"/>
      <c r="J3" s="79"/>
      <c r="K3" s="202"/>
      <c r="L3" s="202"/>
      <c r="M3" s="202"/>
      <c r="N3" s="202"/>
      <c r="O3" s="202"/>
      <c r="P3" s="202"/>
      <c r="Q3" s="202"/>
      <c r="R3" s="202"/>
      <c r="S3" s="202"/>
      <c r="T3" s="56"/>
      <c r="U3" s="126"/>
      <c r="V3" s="127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1">
        <f>'CC -12'!$E$4</f>
        <v>42705</v>
      </c>
      <c r="F4" s="101"/>
      <c r="G4" s="101"/>
      <c r="H4" s="101"/>
      <c r="I4" s="101"/>
      <c r="J4" s="101"/>
      <c r="K4" s="101"/>
      <c r="L4" s="101"/>
      <c r="M4" s="101"/>
      <c r="N4" s="156">
        <v>0.08</v>
      </c>
      <c r="O4" s="156">
        <v>1.4999999999999999E-2</v>
      </c>
      <c r="P4" s="156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7" customFormat="1" ht="24" customHeight="1">
      <c r="A5" s="263" t="s">
        <v>19</v>
      </c>
      <c r="B5" s="263" t="s">
        <v>20</v>
      </c>
      <c r="C5" s="216" t="s">
        <v>1</v>
      </c>
      <c r="D5" s="216" t="s">
        <v>2</v>
      </c>
      <c r="E5" s="211" t="s">
        <v>56</v>
      </c>
      <c r="F5" s="265" t="s">
        <v>26</v>
      </c>
      <c r="G5" s="266"/>
      <c r="H5" s="266"/>
      <c r="I5" s="266"/>
      <c r="J5" s="266"/>
      <c r="K5" s="267"/>
      <c r="L5" s="254" t="s">
        <v>57</v>
      </c>
      <c r="M5" s="254" t="s">
        <v>5</v>
      </c>
      <c r="N5" s="216" t="s">
        <v>6</v>
      </c>
      <c r="O5" s="216"/>
      <c r="P5" s="216"/>
      <c r="Q5" s="254" t="s">
        <v>7</v>
      </c>
      <c r="R5" s="254" t="s">
        <v>8</v>
      </c>
      <c r="S5" s="254" t="s">
        <v>9</v>
      </c>
      <c r="T5" s="212" t="s">
        <v>10</v>
      </c>
      <c r="U5" s="101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4"/>
      <c r="B6" s="264"/>
      <c r="C6" s="216"/>
      <c r="D6" s="216"/>
      <c r="E6" s="211"/>
      <c r="F6" s="265" t="s">
        <v>59</v>
      </c>
      <c r="G6" s="267"/>
      <c r="H6" s="265" t="s">
        <v>81</v>
      </c>
      <c r="I6" s="266"/>
      <c r="J6" s="252" t="s">
        <v>27</v>
      </c>
      <c r="K6" s="254" t="s">
        <v>4</v>
      </c>
      <c r="L6" s="255"/>
      <c r="M6" s="255"/>
      <c r="N6" s="256" t="s">
        <v>12</v>
      </c>
      <c r="O6" s="254" t="s">
        <v>13</v>
      </c>
      <c r="P6" s="254" t="s">
        <v>34</v>
      </c>
      <c r="Q6" s="255"/>
      <c r="R6" s="255"/>
      <c r="S6" s="255"/>
      <c r="T6" s="213"/>
      <c r="U6" s="101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4"/>
      <c r="B7" s="264"/>
      <c r="C7" s="254"/>
      <c r="D7" s="254"/>
      <c r="E7" s="211"/>
      <c r="F7" s="203" t="s">
        <v>40</v>
      </c>
      <c r="G7" s="200" t="s">
        <v>18</v>
      </c>
      <c r="H7" s="203" t="s">
        <v>40</v>
      </c>
      <c r="I7" s="123" t="s">
        <v>18</v>
      </c>
      <c r="J7" s="253"/>
      <c r="K7" s="255"/>
      <c r="L7" s="268"/>
      <c r="M7" s="268"/>
      <c r="N7" s="257"/>
      <c r="O7" s="255"/>
      <c r="P7" s="255"/>
      <c r="Q7" s="255"/>
      <c r="R7" s="255"/>
      <c r="S7" s="255"/>
      <c r="T7" s="213"/>
      <c r="U7" s="101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0" t="s">
        <v>78</v>
      </c>
      <c r="B9" s="179" t="s">
        <v>89</v>
      </c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6" t="s">
        <v>84</v>
      </c>
      <c r="C10" s="86" t="str">
        <f t="shared" ref="C10" si="0">VLOOKUP(B10,DS,2,0)</f>
        <v>Lê Kim Ngọc Thảo</v>
      </c>
      <c r="D10" s="111" t="str">
        <f t="shared" ref="D10" si="1">VLOOKUP(B10,DS,3,0)</f>
        <v>Văn Phòng</v>
      </c>
      <c r="E10" s="87">
        <f t="shared" ref="E10" si="2">VLOOKUP(B10,DS,4,0)</f>
        <v>4000000</v>
      </c>
      <c r="F10" s="89">
        <f>VLOOKUP(B10,'CC -12'!$B$8:$AS$19,36,0)</f>
        <v>27</v>
      </c>
      <c r="G10" s="140">
        <f t="shared" ref="G10" si="3">ROUND(E10/$U$2*F10,0)</f>
        <v>4000000</v>
      </c>
      <c r="H10" s="89">
        <f>(VLOOKUP(B10,'CC -12'!$B$8:$AS$19,37,0)+VLOOKUP(B10,'CC -12'!$B$8:$AS$19,38,0))</f>
        <v>0</v>
      </c>
      <c r="I10" s="140">
        <f t="shared" ref="I10" si="4">ROUND(E10/$U$2*H10,0)</f>
        <v>0</v>
      </c>
      <c r="J10" s="90">
        <f t="shared" ref="J10" si="5">F10+H10</f>
        <v>27</v>
      </c>
      <c r="K10" s="37">
        <f>G10+I10</f>
        <v>4000000</v>
      </c>
      <c r="L10" s="87">
        <f t="shared" ref="L10" si="6">+F10*15000</f>
        <v>405000</v>
      </c>
      <c r="M10" s="38">
        <f t="shared" ref="M10" si="7">K10+L10</f>
        <v>4405000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8">M10-SUM(N10:P10)</f>
        <v>4405000</v>
      </c>
      <c r="R10" s="37">
        <f>VLOOKUP(B10,DS,23,0)</f>
        <v>0</v>
      </c>
      <c r="S10" s="43">
        <f t="shared" ref="S10" si="9">Q10-R10</f>
        <v>4405000</v>
      </c>
      <c r="T10" s="37"/>
      <c r="U10" s="101"/>
      <c r="V10" s="35"/>
      <c r="W10" s="28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188"/>
      <c r="B11" s="189"/>
      <c r="C11" s="190"/>
      <c r="D11" s="191"/>
      <c r="E11" s="192"/>
      <c r="F11" s="193"/>
      <c r="G11" s="194"/>
      <c r="H11" s="193"/>
      <c r="I11" s="194"/>
      <c r="J11" s="195"/>
      <c r="K11" s="196"/>
      <c r="L11" s="192"/>
      <c r="M11" s="197"/>
      <c r="N11" s="197"/>
      <c r="O11" s="197"/>
      <c r="P11" s="197"/>
      <c r="Q11" s="196"/>
      <c r="R11" s="196"/>
      <c r="S11" s="198"/>
      <c r="T11" s="196"/>
      <c r="U11" s="101"/>
      <c r="V11" s="35"/>
      <c r="W11" s="28"/>
      <c r="X11" s="5"/>
      <c r="Y11" s="5"/>
      <c r="Z11" s="5"/>
      <c r="AA11" s="4"/>
      <c r="AB11" s="4"/>
      <c r="AC11" s="4"/>
      <c r="AD11" s="4"/>
      <c r="AE11" s="4"/>
    </row>
    <row r="12" spans="1:31" s="32" customFormat="1" ht="21" customHeight="1">
      <c r="A12" s="251" t="s">
        <v>25</v>
      </c>
      <c r="B12" s="251"/>
      <c r="C12" s="251"/>
      <c r="D12" s="251"/>
      <c r="E12" s="135">
        <f>SUM(E9:E11)</f>
        <v>4000000</v>
      </c>
      <c r="F12" s="135"/>
      <c r="G12" s="135">
        <f>SUM(G9:G11)</f>
        <v>4000000</v>
      </c>
      <c r="H12" s="135"/>
      <c r="I12" s="135">
        <f>SUM(I9:I11)</f>
        <v>0</v>
      </c>
      <c r="J12" s="135"/>
      <c r="K12" s="135">
        <f>SUM(K9:K11)</f>
        <v>4000000</v>
      </c>
      <c r="L12" s="135">
        <f>SUM(L9:L11)</f>
        <v>405000</v>
      </c>
      <c r="M12" s="135">
        <f>SUM(M9:M11)</f>
        <v>4405000</v>
      </c>
      <c r="N12" s="135">
        <f>SUM(N9:N11)</f>
        <v>0</v>
      </c>
      <c r="O12" s="135">
        <f>SUM(O9:O11)</f>
        <v>0</v>
      </c>
      <c r="P12" s="135">
        <f>SUM(P9:P11)</f>
        <v>0</v>
      </c>
      <c r="Q12" s="135">
        <f>SUM(Q9:Q11)</f>
        <v>4405000</v>
      </c>
      <c r="R12" s="135">
        <f>SUM(R9:R11)</f>
        <v>0</v>
      </c>
      <c r="S12" s="135">
        <f>SUM(S9:S11)</f>
        <v>4405000</v>
      </c>
      <c r="T12" s="26"/>
      <c r="U12" s="101"/>
      <c r="V12" s="33"/>
      <c r="W12" s="33"/>
      <c r="X12" s="33"/>
      <c r="Y12" s="33"/>
      <c r="Z12" s="33"/>
    </row>
    <row r="13" spans="1:31" s="82" customFormat="1" ht="24" customHeight="1">
      <c r="A13" s="180" t="s">
        <v>79</v>
      </c>
      <c r="B13" s="179" t="s">
        <v>80</v>
      </c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01"/>
      <c r="V13" s="83"/>
      <c r="W13" s="83"/>
      <c r="X13" s="84"/>
      <c r="Y13" s="84"/>
      <c r="Z13" s="84"/>
      <c r="AA13" s="85"/>
      <c r="AB13" s="85"/>
      <c r="AC13" s="85"/>
      <c r="AD13" s="85"/>
      <c r="AE13" s="85"/>
    </row>
    <row r="14" spans="1:31" s="34" customFormat="1" ht="24" customHeight="1">
      <c r="A14" s="36">
        <v>1</v>
      </c>
      <c r="B14" s="136" t="s">
        <v>85</v>
      </c>
      <c r="C14" s="86" t="str">
        <f t="shared" ref="C14:C17" si="10">VLOOKUP(B14,DS,2,0)</f>
        <v>Diệp Văn Lân</v>
      </c>
      <c r="D14" s="111" t="str">
        <f t="shared" ref="D14:D17" si="11">VLOOKUP(B14,DS,3,0)</f>
        <v>Công Đoạn 1</v>
      </c>
      <c r="E14" s="87">
        <f t="shared" ref="E14:E17" si="12">VLOOKUP(B14,DS,4,0)</f>
        <v>3200000</v>
      </c>
      <c r="F14" s="89">
        <f>VLOOKUP(B14,'CC -12'!$B$8:$AS$19,36,0)</f>
        <v>27</v>
      </c>
      <c r="G14" s="140">
        <f t="shared" ref="G14:G17" si="13">ROUND(E14/$U$2*F14,0)</f>
        <v>3200000</v>
      </c>
      <c r="H14" s="89">
        <f>(VLOOKUP(B14,'CC -12'!$B$8:$AS$19,37,0)+VLOOKUP(B14,'CC -12'!$B$8:$AS$19,38,0))</f>
        <v>0</v>
      </c>
      <c r="I14" s="140">
        <f t="shared" ref="I14:I17" si="14">ROUND(E14/$U$2*H14,0)</f>
        <v>0</v>
      </c>
      <c r="J14" s="141">
        <f t="shared" ref="J14:K17" si="15">F14+H14</f>
        <v>27</v>
      </c>
      <c r="K14" s="37">
        <f t="shared" si="15"/>
        <v>3200000</v>
      </c>
      <c r="L14" s="87">
        <f t="shared" ref="L14:L17" si="16">+F14*15000</f>
        <v>405000</v>
      </c>
      <c r="M14" s="38">
        <f t="shared" ref="M14:M17" si="17">K14+L14</f>
        <v>3605000</v>
      </c>
      <c r="N14" s="38">
        <f>IF(VLOOKUP(B14,DS,9,0)="x",'L - 12'!E14*$N$4,0)</f>
        <v>0</v>
      </c>
      <c r="O14" s="38">
        <f t="shared" ref="O14:O17" si="18">IF(VLOOKUP(B14,DS,9,0)="x",E14*0.015,0)</f>
        <v>0</v>
      </c>
      <c r="P14" s="38">
        <f t="shared" ref="P14:P17" si="19">IF(VLOOKUP(B14,DS,9,0)="x",E14*0.01,0)</f>
        <v>0</v>
      </c>
      <c r="Q14" s="37">
        <f>M14-SUM(N14:P14)</f>
        <v>3605000</v>
      </c>
      <c r="R14" s="37">
        <f t="shared" ref="R14:R17" si="20">VLOOKUP(B14,DS,23,0)</f>
        <v>0</v>
      </c>
      <c r="S14" s="43">
        <f>Q14-R14</f>
        <v>3605000</v>
      </c>
      <c r="T14" s="37"/>
      <c r="U14" s="101"/>
      <c r="V14" s="35"/>
      <c r="W14" s="28"/>
      <c r="X14" s="5"/>
      <c r="Y14" s="5"/>
      <c r="Z14" s="5"/>
      <c r="AA14" s="4"/>
      <c r="AB14" s="4"/>
      <c r="AC14" s="4"/>
      <c r="AD14" s="4"/>
      <c r="AE14" s="4"/>
    </row>
    <row r="15" spans="1:31" s="34" customFormat="1" ht="24" customHeight="1">
      <c r="A15" s="36">
        <v>2</v>
      </c>
      <c r="B15" s="136" t="s">
        <v>86</v>
      </c>
      <c r="C15" s="86" t="str">
        <f t="shared" ref="C15:C16" si="21">VLOOKUP(B15,DS,2,0)</f>
        <v>Dương Thế Kiệt</v>
      </c>
      <c r="D15" s="111" t="str">
        <f t="shared" ref="D15:D16" si="22">VLOOKUP(B15,DS,3,0)</f>
        <v>Công Đoạn 1</v>
      </c>
      <c r="E15" s="87">
        <f t="shared" ref="E15:E16" si="23">VLOOKUP(B15,DS,4,0)</f>
        <v>3000000</v>
      </c>
      <c r="F15" s="89">
        <f>VLOOKUP(B15,'CC -12'!$B$8:$AS$19,36,0)</f>
        <v>27</v>
      </c>
      <c r="G15" s="140">
        <f t="shared" ref="G15:G16" si="24">ROUND(E15/$U$2*F15,0)</f>
        <v>3000000</v>
      </c>
      <c r="H15" s="89">
        <f>(VLOOKUP(B15,'CC -12'!$B$8:$AS$19,37,0)+VLOOKUP(B15,'CC -12'!$B$8:$AS$19,38,0))</f>
        <v>0</v>
      </c>
      <c r="I15" s="140">
        <f t="shared" ref="I15:I16" si="25">ROUND(E15/$U$2*H15,0)</f>
        <v>0</v>
      </c>
      <c r="J15" s="141">
        <f t="shared" ref="J15:J16" si="26">F15+H15</f>
        <v>27</v>
      </c>
      <c r="K15" s="37">
        <f t="shared" ref="K15:K16" si="27">G15+I15</f>
        <v>3000000</v>
      </c>
      <c r="L15" s="87">
        <f t="shared" ref="L15:L16" si="28">+F15*15000</f>
        <v>405000</v>
      </c>
      <c r="M15" s="38">
        <f t="shared" ref="M15:M16" si="29">K15+L15</f>
        <v>3405000</v>
      </c>
      <c r="N15" s="38">
        <f>IF(VLOOKUP(B15,DS,9,0)="x",'L - 12'!E15*$N$4,0)</f>
        <v>0</v>
      </c>
      <c r="O15" s="38">
        <f t="shared" ref="O15:O16" si="30">IF(VLOOKUP(B15,DS,9,0)="x",E15*0.015,0)</f>
        <v>0</v>
      </c>
      <c r="P15" s="38">
        <f t="shared" ref="P15:P16" si="31">IF(VLOOKUP(B15,DS,9,0)="x",E15*0.01,0)</f>
        <v>0</v>
      </c>
      <c r="Q15" s="37">
        <f t="shared" ref="Q15:Q16" si="32">M15-SUM(N15:P15)</f>
        <v>3405000</v>
      </c>
      <c r="R15" s="37">
        <f t="shared" ref="R15:R16" si="33">VLOOKUP(B15,DS,23,0)</f>
        <v>0</v>
      </c>
      <c r="S15" s="43">
        <f t="shared" ref="S15:S16" si="34">Q15-R15</f>
        <v>3405000</v>
      </c>
      <c r="T15" s="37"/>
      <c r="U15" s="101"/>
      <c r="V15" s="35"/>
      <c r="W15" s="28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3</v>
      </c>
      <c r="B16" s="136" t="s">
        <v>87</v>
      </c>
      <c r="C16" s="86" t="str">
        <f t="shared" si="21"/>
        <v>Lê Văn Hữu</v>
      </c>
      <c r="D16" s="111" t="str">
        <f t="shared" si="22"/>
        <v>Công Đoạn 2</v>
      </c>
      <c r="E16" s="87">
        <f t="shared" si="23"/>
        <v>3200000</v>
      </c>
      <c r="F16" s="89">
        <f>VLOOKUP(B16,'CC -12'!$B$8:$AS$19,36,0)</f>
        <v>27</v>
      </c>
      <c r="G16" s="140">
        <f t="shared" si="24"/>
        <v>3200000</v>
      </c>
      <c r="H16" s="89">
        <f>(VLOOKUP(B16,'CC -12'!$B$8:$AS$19,37,0)+VLOOKUP(B16,'CC -12'!$B$8:$AS$19,38,0))</f>
        <v>0</v>
      </c>
      <c r="I16" s="140">
        <f t="shared" si="25"/>
        <v>0</v>
      </c>
      <c r="J16" s="141">
        <f t="shared" si="26"/>
        <v>27</v>
      </c>
      <c r="K16" s="37">
        <f t="shared" si="27"/>
        <v>3200000</v>
      </c>
      <c r="L16" s="87">
        <f t="shared" si="28"/>
        <v>405000</v>
      </c>
      <c r="M16" s="38">
        <f t="shared" si="29"/>
        <v>3605000</v>
      </c>
      <c r="N16" s="38">
        <f>IF(VLOOKUP(B16,DS,9,0)="x",'L - 12'!E16*$N$4,0)</f>
        <v>0</v>
      </c>
      <c r="O16" s="38">
        <f t="shared" si="30"/>
        <v>0</v>
      </c>
      <c r="P16" s="38">
        <f t="shared" si="31"/>
        <v>0</v>
      </c>
      <c r="Q16" s="37">
        <f t="shared" si="32"/>
        <v>3605000</v>
      </c>
      <c r="R16" s="37">
        <f t="shared" si="33"/>
        <v>0</v>
      </c>
      <c r="S16" s="43">
        <f t="shared" si="34"/>
        <v>3605000</v>
      </c>
      <c r="T16" s="37"/>
      <c r="U16" s="101"/>
      <c r="V16" s="35"/>
      <c r="W16" s="28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4</v>
      </c>
      <c r="B17" s="136" t="s">
        <v>92</v>
      </c>
      <c r="C17" s="86" t="str">
        <f t="shared" si="10"/>
        <v>Nguyễn T Bích Thủy</v>
      </c>
      <c r="D17" s="111" t="str">
        <f t="shared" si="11"/>
        <v>Công Đoạn 2</v>
      </c>
      <c r="E17" s="87">
        <f t="shared" si="12"/>
        <v>3000000</v>
      </c>
      <c r="F17" s="89">
        <f>VLOOKUP(B17,'CC -12'!$B$8:$AS$19,36,0)</f>
        <v>27</v>
      </c>
      <c r="G17" s="140">
        <f t="shared" si="13"/>
        <v>3000000</v>
      </c>
      <c r="H17" s="89">
        <f>(VLOOKUP(B17,'CC -12'!$B$8:$AS$19,37,0)+VLOOKUP(B17,'CC -12'!$B$8:$AS$19,38,0))</f>
        <v>0</v>
      </c>
      <c r="I17" s="140">
        <f t="shared" si="14"/>
        <v>0</v>
      </c>
      <c r="J17" s="141">
        <f t="shared" si="15"/>
        <v>27</v>
      </c>
      <c r="K17" s="37">
        <f t="shared" si="15"/>
        <v>3000000</v>
      </c>
      <c r="L17" s="87">
        <f t="shared" si="16"/>
        <v>405000</v>
      </c>
      <c r="M17" s="38">
        <f t="shared" si="17"/>
        <v>3405000</v>
      </c>
      <c r="N17" s="38">
        <f>IF(VLOOKUP(B17,DS,9,0)="x",'L - 12'!E17*$N$4,0)</f>
        <v>0</v>
      </c>
      <c r="O17" s="38">
        <f t="shared" si="18"/>
        <v>0</v>
      </c>
      <c r="P17" s="38">
        <f t="shared" si="19"/>
        <v>0</v>
      </c>
      <c r="Q17" s="37">
        <f t="shared" ref="Q17" si="35">M17-SUM(N17:P17)</f>
        <v>3405000</v>
      </c>
      <c r="R17" s="37">
        <f t="shared" si="20"/>
        <v>0</v>
      </c>
      <c r="S17" s="43">
        <f t="shared" ref="S17" si="36">Q17-R17</f>
        <v>3405000</v>
      </c>
      <c r="T17" s="37"/>
      <c r="U17" s="101"/>
      <c r="V17" s="35"/>
      <c r="W17" s="28"/>
      <c r="X17" s="5"/>
      <c r="Y17" s="5"/>
      <c r="Z17" s="5"/>
      <c r="AA17" s="4"/>
      <c r="AB17" s="4"/>
      <c r="AC17" s="4"/>
      <c r="AD17" s="4"/>
      <c r="AE17" s="4"/>
    </row>
    <row r="18" spans="1:31" s="34" customFormat="1" ht="22.5" customHeight="1">
      <c r="A18" s="39"/>
      <c r="B18" s="177"/>
      <c r="C18" s="40"/>
      <c r="D18" s="3"/>
      <c r="E18" s="41"/>
      <c r="F18" s="41"/>
      <c r="G18" s="41"/>
      <c r="H18" s="41"/>
      <c r="I18" s="41"/>
      <c r="J18" s="42"/>
      <c r="K18" s="41"/>
      <c r="L18" s="41"/>
      <c r="M18" s="176"/>
      <c r="N18" s="41"/>
      <c r="O18" s="41"/>
      <c r="P18" s="41"/>
      <c r="Q18" s="41"/>
      <c r="R18" s="41"/>
      <c r="S18" s="41"/>
      <c r="T18" s="37"/>
      <c r="U18" s="101"/>
      <c r="V18" s="35"/>
      <c r="W18" s="35"/>
      <c r="X18" s="35"/>
      <c r="Y18" s="35"/>
      <c r="Z18" s="35"/>
    </row>
    <row r="19" spans="1:31" s="32" customFormat="1" ht="21" customHeight="1">
      <c r="A19" s="251" t="s">
        <v>25</v>
      </c>
      <c r="B19" s="251"/>
      <c r="C19" s="251"/>
      <c r="D19" s="251"/>
      <c r="E19" s="135">
        <f>SUM(E13:E18)</f>
        <v>12400000</v>
      </c>
      <c r="F19" s="135"/>
      <c r="G19" s="135">
        <f>SUM(G13:G18)</f>
        <v>12400000</v>
      </c>
      <c r="H19" s="135"/>
      <c r="I19" s="135">
        <f>SUM(I13:I18)</f>
        <v>0</v>
      </c>
      <c r="J19" s="135"/>
      <c r="K19" s="135">
        <f>SUM(K13:K18)</f>
        <v>12400000</v>
      </c>
      <c r="L19" s="135">
        <f>SUM(L13:L18)</f>
        <v>1620000</v>
      </c>
      <c r="M19" s="135">
        <f>SUM(M13:M18)</f>
        <v>14020000</v>
      </c>
      <c r="N19" s="135">
        <f>SUM(N13:N18)</f>
        <v>0</v>
      </c>
      <c r="O19" s="135">
        <f>SUM(O13:O18)</f>
        <v>0</v>
      </c>
      <c r="P19" s="135">
        <f>SUM(P13:P18)</f>
        <v>0</v>
      </c>
      <c r="Q19" s="135">
        <f>SUM(Q13:Q18)</f>
        <v>14020000</v>
      </c>
      <c r="R19" s="135">
        <f>SUM(R13:R18)</f>
        <v>0</v>
      </c>
      <c r="S19" s="135">
        <f>SUM(S13:S18)</f>
        <v>14020000</v>
      </c>
      <c r="T19" s="26"/>
      <c r="U19" s="101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2"/>
      <c r="E20" s="91"/>
      <c r="F20" s="9"/>
      <c r="G20" s="9"/>
      <c r="H20" s="9"/>
      <c r="I20" s="9"/>
      <c r="K20" s="9"/>
      <c r="L20" s="9"/>
      <c r="M20" s="99"/>
      <c r="N20" s="9"/>
      <c r="O20" s="9"/>
      <c r="P20" s="9"/>
      <c r="Q20" s="9"/>
      <c r="R20" s="9"/>
      <c r="S20" s="9"/>
      <c r="T20" s="9"/>
      <c r="U20" s="101"/>
    </row>
    <row r="21" spans="1:31" s="34" customFormat="1" ht="11.25" customHeight="1">
      <c r="A21" s="75"/>
      <c r="B21" s="75"/>
      <c r="C21" s="75"/>
      <c r="D21" s="128"/>
      <c r="E21" s="129"/>
      <c r="F21" s="75"/>
      <c r="G21" s="75"/>
      <c r="H21" s="75"/>
      <c r="I21" s="75"/>
      <c r="J21" s="130"/>
      <c r="K21" s="129"/>
      <c r="L21" s="75"/>
      <c r="M21" s="75"/>
      <c r="N21" s="75"/>
      <c r="O21" s="75"/>
      <c r="P21" s="75"/>
      <c r="Q21" s="75"/>
      <c r="R21" s="75"/>
      <c r="S21" s="105" t="str">
        <f>"Long An, ngày  "&amp;$V$2&amp;"   tháng   "&amp;TEXT(E4,"mm")&amp;"   năm "&amp;TEXT(E4,"yyyy")</f>
        <v>Long An, ngày  31   tháng   12   năm 2016</v>
      </c>
      <c r="T21" s="75"/>
      <c r="U21" s="131"/>
      <c r="V21" s="35"/>
      <c r="W21" s="35"/>
      <c r="X21" s="35"/>
      <c r="Y21" s="35"/>
      <c r="Z21" s="35"/>
    </row>
    <row r="22" spans="1:31" s="34" customFormat="1" ht="12.75">
      <c r="A22" s="29"/>
      <c r="B22" s="29"/>
      <c r="C22" s="29" t="s">
        <v>60</v>
      </c>
      <c r="D22" s="132"/>
      <c r="E22" s="76"/>
      <c r="F22" s="131"/>
      <c r="G22" s="76"/>
      <c r="H22" s="76"/>
      <c r="I22" s="76"/>
      <c r="J22" s="133"/>
      <c r="K22" s="35"/>
      <c r="L22" s="29"/>
      <c r="M22" s="142"/>
      <c r="N22" s="20"/>
      <c r="O22" s="20"/>
      <c r="P22" s="20"/>
      <c r="Q22" s="20"/>
      <c r="S22" s="131" t="s">
        <v>22</v>
      </c>
      <c r="T22" s="131"/>
      <c r="U22" s="131"/>
      <c r="V22" s="35"/>
      <c r="W22" s="35"/>
      <c r="X22" s="35"/>
      <c r="Y22" s="35"/>
      <c r="Z22" s="35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1"/>
    </row>
    <row r="24" spans="1:31" ht="12">
      <c r="C24" s="15"/>
      <c r="L24" s="15"/>
      <c r="T24" s="15"/>
      <c r="U24" s="101"/>
    </row>
    <row r="25" spans="1:31" ht="12">
      <c r="U25" s="101"/>
    </row>
    <row r="26" spans="1:31" ht="12">
      <c r="U26" s="101"/>
    </row>
    <row r="27" spans="1:31" ht="12">
      <c r="U27" s="101"/>
    </row>
    <row r="28" spans="1:31" ht="12">
      <c r="U28" s="101"/>
    </row>
    <row r="29" spans="1:31" ht="12">
      <c r="U29" s="101"/>
    </row>
    <row r="30" spans="1:31" ht="12">
      <c r="U30" s="101"/>
    </row>
  </sheetData>
  <protectedRanges>
    <protectedRange password="CC78" sqref="V18:IK19 C5:D7 B22:C22 V5:W9 A18:A23 B18:B21 B23 V13:W13 Q5:T7 E5:I6 D19 N5:P6 L5 L22 J6:K7 L7 A25:T58 U31:U58 N18:S18 V25:IK58 J18:L18 A59:IK65326 AF13:IK13 V12:IK12 D12 Q11:S11 AF11:IK11 W11 A11:B12 A10:B10 W10 AF5:IK10 Q10:S10" name="Range1"/>
    <protectedRange password="CC78" sqref="F7:H7" name="Range1_4"/>
    <protectedRange password="CC78" sqref="V22:IK23 S22:T23 N22:Q23 E22:I23" name="Range1_1_1"/>
    <protectedRange password="CC78" sqref="U1 W1:IK3 V4:IK4 B4:T4 R2:S3 B1:Q3 U18:U30 X13:AE13 X11:AE11 U11:U13 U4:U10 X5:AE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4:S17 AF14:IK17 A14:B17 W14:W17" name="Range1_5"/>
    <protectedRange password="CC78" sqref="X14:AE17 U14:U17" name="Range1_2_3"/>
    <protectedRange password="CC78" sqref="V14:V17" name="Range1_1_3"/>
    <protectedRange password="CC78" sqref="K10:K11 K14:K17" name="Range1_6"/>
    <protectedRange password="CC78" sqref="A2:A3" name="Range1_2_1_3"/>
    <protectedRange password="CC78" sqref="E12:T12" name="Range1_3"/>
    <protectedRange password="CC78" sqref="E19:T19" name="Range1_7"/>
    <protectedRange password="CC78" sqref="U2" name="Range1_2_2_1_1"/>
  </protectedRanges>
  <autoFilter ref="A7:AE10"/>
  <mergeCells count="24">
    <mergeCell ref="A12:D12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TH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-10'!Print_Area</vt:lpstr>
      <vt:lpstr>'CC -11'!Print_Area</vt:lpstr>
      <vt:lpstr>'CC -12'!Print_Area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2017-01-19T06:26:14Z</dcterms:modified>
</cp:coreProperties>
</file>