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 tabRatio="896" activeTab="14"/>
  </bookViews>
  <sheets>
    <sheet name="THL" sheetId="1" r:id="rId1"/>
    <sheet name="CC -1" sheetId="2" r:id="rId2"/>
    <sheet name="L - 1" sheetId="3" r:id="rId3"/>
    <sheet name="CC -2" sheetId="4" r:id="rId4"/>
    <sheet name="L - 2" sheetId="5" r:id="rId5"/>
    <sheet name="CC -3" sheetId="6" r:id="rId6"/>
    <sheet name="L - 3" sheetId="7" r:id="rId7"/>
    <sheet name="CC -4" sheetId="8" r:id="rId8"/>
    <sheet name="L - 4" sheetId="9" r:id="rId9"/>
    <sheet name="CC -5" sheetId="10" r:id="rId10"/>
    <sheet name="L - 5" sheetId="11" r:id="rId11"/>
    <sheet name="CC -6" sheetId="12" r:id="rId12"/>
    <sheet name="L - 6" sheetId="13" r:id="rId13"/>
    <sheet name="CC -7" sheetId="14" r:id="rId14"/>
    <sheet name="L - 7" sheetId="15" r:id="rId15"/>
    <sheet name="CC -8" sheetId="16" r:id="rId16"/>
    <sheet name="L - 8" sheetId="17" r:id="rId17"/>
    <sheet name="CC -9" sheetId="18" r:id="rId18"/>
    <sheet name="L - 9" sheetId="19" r:id="rId19"/>
    <sheet name="CC -10" sheetId="20" r:id="rId20"/>
    <sheet name="L - 10" sheetId="21" r:id="rId21"/>
    <sheet name="CC -11" sheetId="22" r:id="rId22"/>
    <sheet name="L - 11" sheetId="23" r:id="rId23"/>
    <sheet name="CC -12" sheetId="24" r:id="rId24"/>
    <sheet name="L - 12" sheetId="25" r:id="rId25"/>
  </sheets>
  <definedNames>
    <definedName name="____a1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-2'!$A$7:$AS$7</definedName>
    <definedName name="_xlnm._FilterDatabase" localSheetId="5" hidden="1">'CC -3'!$A$7:$AS$7</definedName>
    <definedName name="_xlnm._FilterDatabase" localSheetId="7" hidden="1">'CC -4'!$A$7:$AS$7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5" hidden="1">'CC -8'!$A$7:$AS$7</definedName>
    <definedName name="_xlnm._FilterDatabase" localSheetId="17" hidden="1">'CC -9'!$A$7:$AS$7</definedName>
    <definedName name="_xlnm._FilterDatabase" localSheetId="2" hidden="1">'L - 1'!$A$7:$AD$10</definedName>
    <definedName name="_xlnm._FilterDatabase" localSheetId="20" hidden="1">'L - 10'!$A$7:$AD$10</definedName>
    <definedName name="_xlnm._FilterDatabase" localSheetId="22" hidden="1">'L - 11'!$A$7:$AD$10</definedName>
    <definedName name="_xlnm._FilterDatabase" localSheetId="24" hidden="1">'L - 12'!$A$7:$AD$10</definedName>
    <definedName name="_xlnm._FilterDatabase" localSheetId="4" hidden="1">'L - 2'!$A$7:$AD$10</definedName>
    <definedName name="_xlnm._FilterDatabase" localSheetId="6" hidden="1">'L - 3'!$A$7:$AD$10</definedName>
    <definedName name="_xlnm._FilterDatabase" localSheetId="8" hidden="1">'L - 4'!$A$7:$AD$10</definedName>
    <definedName name="_xlnm._FilterDatabase" localSheetId="10" hidden="1">'L - 5'!$A$7:$AD$10</definedName>
    <definedName name="_xlnm._FilterDatabase" localSheetId="12" hidden="1">'L - 6'!$A$7:$AD$10</definedName>
    <definedName name="_xlnm._FilterDatabase" localSheetId="14" hidden="1">'L - 7'!$A$7:$AD$10</definedName>
    <definedName name="_xlnm._FilterDatabase" localSheetId="16" hidden="1">'L - 8'!$A$7:$AD$10</definedName>
    <definedName name="_xlnm._FilterDatabase" localSheetId="18" hidden="1">'L - 9'!$A$7:$AD$10</definedName>
    <definedName name="_xlnm._FilterDatabase" localSheetId="0" hidden="1">THL!$A$10:$Z$18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THL!$B$11:$X$23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2">'L - 1'!$A$1:$T$27</definedName>
    <definedName name="_xlnm.Print_Area" localSheetId="20">'L - 10'!$A$1:$T$24</definedName>
    <definedName name="_xlnm.Print_Area" localSheetId="22">'L - 11'!$A$1:$T$24</definedName>
    <definedName name="_xlnm.Print_Area" localSheetId="24">'L - 12'!$A$1:$T$25</definedName>
    <definedName name="_xlnm.Print_Area" localSheetId="4">'L - 2'!$A$1:$T$26</definedName>
    <definedName name="_xlnm.Print_Area" localSheetId="6">'L - 3'!$A$1:$T$29</definedName>
    <definedName name="_xlnm.Print_Area" localSheetId="8">'L - 4'!$A$1:$T$29</definedName>
    <definedName name="_xlnm.Print_Area" localSheetId="10">'L - 5'!$A$1:$T$28</definedName>
    <definedName name="_xlnm.Print_Area" localSheetId="12">'L - 6'!$A$1:$T$26</definedName>
    <definedName name="_xlnm.Print_Area" localSheetId="14">'L - 7'!$A$1:$T$27</definedName>
    <definedName name="_xlnm.Print_Area" localSheetId="16">'L - 8'!$A$1:$T$27</definedName>
    <definedName name="_xlnm.Print_Area" localSheetId="18">'L - 9'!$A$1:$T$26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R16" i="25" l="1"/>
  <c r="P16" i="25"/>
  <c r="O16" i="25"/>
  <c r="N16" i="25"/>
  <c r="L16" i="25"/>
  <c r="E16" i="25"/>
  <c r="D16" i="25"/>
  <c r="C16" i="25"/>
  <c r="R15" i="25"/>
  <c r="R18" i="25" s="1"/>
  <c r="P15" i="25"/>
  <c r="P18" i="25" s="1"/>
  <c r="O15" i="25"/>
  <c r="O18" i="25" s="1"/>
  <c r="N15" i="25"/>
  <c r="N18" i="25" s="1"/>
  <c r="L15" i="25"/>
  <c r="L18" i="25" s="1"/>
  <c r="E15" i="25"/>
  <c r="E18" i="25" s="1"/>
  <c r="D15" i="25"/>
  <c r="C15" i="25"/>
  <c r="R11" i="25"/>
  <c r="P11" i="25"/>
  <c r="O11" i="25"/>
  <c r="N11" i="25"/>
  <c r="L11" i="25"/>
  <c r="E11" i="25"/>
  <c r="D11" i="25"/>
  <c r="C11" i="25"/>
  <c r="R10" i="25"/>
  <c r="R13" i="25" s="1"/>
  <c r="P10" i="25"/>
  <c r="P13" i="25" s="1"/>
  <c r="O10" i="25"/>
  <c r="N10" i="25"/>
  <c r="N13" i="25" s="1"/>
  <c r="L10" i="25"/>
  <c r="L13" i="25" s="1"/>
  <c r="E10" i="25"/>
  <c r="E13" i="25" s="1"/>
  <c r="D10" i="25"/>
  <c r="C10" i="25"/>
  <c r="E4" i="25"/>
  <c r="S20" i="25" s="1"/>
  <c r="D1" i="25"/>
  <c r="AL16" i="24"/>
  <c r="D16" i="24"/>
  <c r="C16" i="24"/>
  <c r="A16" i="24"/>
  <c r="AL14" i="24"/>
  <c r="D14" i="24"/>
  <c r="C14" i="24"/>
  <c r="AL11" i="24"/>
  <c r="D11" i="24"/>
  <c r="C11" i="24"/>
  <c r="AL9" i="24"/>
  <c r="D9" i="24"/>
  <c r="C9" i="24"/>
  <c r="F5" i="24"/>
  <c r="F6" i="24" s="1"/>
  <c r="S1" i="24"/>
  <c r="R16" i="23"/>
  <c r="P16" i="23"/>
  <c r="O16" i="23"/>
  <c r="N16" i="23"/>
  <c r="L16" i="23"/>
  <c r="E16" i="23"/>
  <c r="D16" i="23"/>
  <c r="C16" i="23"/>
  <c r="R15" i="23"/>
  <c r="R18" i="23" s="1"/>
  <c r="P15" i="23"/>
  <c r="P18" i="23" s="1"/>
  <c r="O15" i="23"/>
  <c r="O18" i="23" s="1"/>
  <c r="N15" i="23"/>
  <c r="N18" i="23" s="1"/>
  <c r="L15" i="23"/>
  <c r="L18" i="23" s="1"/>
  <c r="E15" i="23"/>
  <c r="E18" i="23" s="1"/>
  <c r="D15" i="23"/>
  <c r="C15" i="23"/>
  <c r="R11" i="23"/>
  <c r="P11" i="23"/>
  <c r="O11" i="23"/>
  <c r="N11" i="23"/>
  <c r="L11" i="23"/>
  <c r="E11" i="23"/>
  <c r="D11" i="23"/>
  <c r="C11" i="23"/>
  <c r="R10" i="23"/>
  <c r="P10" i="23"/>
  <c r="P13" i="23" s="1"/>
  <c r="O10" i="23"/>
  <c r="O13" i="23" s="1"/>
  <c r="N10" i="23"/>
  <c r="L10" i="23"/>
  <c r="L13" i="23" s="1"/>
  <c r="E10" i="23"/>
  <c r="E13" i="23" s="1"/>
  <c r="D10" i="23"/>
  <c r="C10" i="23"/>
  <c r="E4" i="23"/>
  <c r="S20" i="23" s="1"/>
  <c r="AL16" i="22"/>
  <c r="D16" i="22"/>
  <c r="C16" i="22"/>
  <c r="A16" i="22"/>
  <c r="AL14" i="22"/>
  <c r="D14" i="22"/>
  <c r="C14" i="22"/>
  <c r="AL11" i="22"/>
  <c r="D11" i="22"/>
  <c r="C11" i="22"/>
  <c r="AL9" i="22"/>
  <c r="D9" i="22"/>
  <c r="C9" i="22"/>
  <c r="F5" i="22"/>
  <c r="F6" i="22" s="1"/>
  <c r="S1" i="22"/>
  <c r="F5" i="16"/>
  <c r="C11" i="3"/>
  <c r="D11" i="3"/>
  <c r="E11" i="3"/>
  <c r="L11" i="3"/>
  <c r="N11" i="3"/>
  <c r="O11" i="3"/>
  <c r="P11" i="3"/>
  <c r="R11" i="3"/>
  <c r="C12" i="3"/>
  <c r="D12" i="3"/>
  <c r="E12" i="3"/>
  <c r="L12" i="3"/>
  <c r="N12" i="3"/>
  <c r="O12" i="3"/>
  <c r="P12" i="3"/>
  <c r="R12" i="3"/>
  <c r="AL11" i="2"/>
  <c r="D11" i="2"/>
  <c r="C11" i="2"/>
  <c r="C20" i="2"/>
  <c r="D20" i="2"/>
  <c r="AL20" i="2"/>
  <c r="C22" i="2"/>
  <c r="D22" i="2"/>
  <c r="AL22" i="2"/>
  <c r="C18" i="3"/>
  <c r="D18" i="3"/>
  <c r="E18" i="3"/>
  <c r="L18" i="3"/>
  <c r="N18" i="3"/>
  <c r="O18" i="3"/>
  <c r="P18" i="3"/>
  <c r="R18" i="3"/>
  <c r="C19" i="3"/>
  <c r="D19" i="3"/>
  <c r="E19" i="3"/>
  <c r="L19" i="3"/>
  <c r="N19" i="3"/>
  <c r="O19" i="3"/>
  <c r="P19" i="3"/>
  <c r="R19" i="3"/>
  <c r="D1" i="23" l="1"/>
  <c r="O13" i="25"/>
  <c r="G5" i="24"/>
  <c r="H5" i="24" s="1"/>
  <c r="I5" i="24" s="1"/>
  <c r="G5" i="22"/>
  <c r="H5" i="22" s="1"/>
  <c r="H6" i="22" s="1"/>
  <c r="N13" i="23"/>
  <c r="R13" i="23"/>
  <c r="R16" i="21"/>
  <c r="P16" i="21"/>
  <c r="O16" i="21"/>
  <c r="N16" i="21"/>
  <c r="L16" i="21"/>
  <c r="E16" i="21"/>
  <c r="D16" i="21"/>
  <c r="C16" i="21"/>
  <c r="R15" i="21"/>
  <c r="R18" i="21" s="1"/>
  <c r="P15" i="21"/>
  <c r="P18" i="21" s="1"/>
  <c r="O15" i="21"/>
  <c r="O18" i="21" s="1"/>
  <c r="N15" i="21"/>
  <c r="N18" i="21" s="1"/>
  <c r="L15" i="21"/>
  <c r="L18" i="21" s="1"/>
  <c r="E15" i="21"/>
  <c r="E18" i="21" s="1"/>
  <c r="D15" i="21"/>
  <c r="C15" i="21"/>
  <c r="R11" i="21"/>
  <c r="P11" i="21"/>
  <c r="O11" i="21"/>
  <c r="N11" i="21"/>
  <c r="L11" i="21"/>
  <c r="E11" i="21"/>
  <c r="D11" i="21"/>
  <c r="C11" i="21"/>
  <c r="R10" i="21"/>
  <c r="R13" i="21" s="1"/>
  <c r="P10" i="21"/>
  <c r="O10" i="21"/>
  <c r="O13" i="21" s="1"/>
  <c r="N10" i="21"/>
  <c r="N13" i="21" s="1"/>
  <c r="L10" i="21"/>
  <c r="L13" i="21" s="1"/>
  <c r="E10" i="21"/>
  <c r="E13" i="21" s="1"/>
  <c r="D10" i="21"/>
  <c r="C10" i="21"/>
  <c r="E4" i="21"/>
  <c r="S20" i="21" s="1"/>
  <c r="AL16" i="20"/>
  <c r="D16" i="20"/>
  <c r="C16" i="20"/>
  <c r="A16" i="20"/>
  <c r="AL14" i="20"/>
  <c r="D14" i="20"/>
  <c r="C14" i="20"/>
  <c r="AL11" i="20"/>
  <c r="D11" i="20"/>
  <c r="C11" i="20"/>
  <c r="AL9" i="20"/>
  <c r="D9" i="20"/>
  <c r="C9" i="20"/>
  <c r="F5" i="20"/>
  <c r="F6" i="20" s="1"/>
  <c r="S1" i="20"/>
  <c r="R18" i="19"/>
  <c r="P18" i="19"/>
  <c r="O18" i="19"/>
  <c r="N18" i="19"/>
  <c r="L18" i="19"/>
  <c r="E18" i="19"/>
  <c r="D18" i="19"/>
  <c r="C18" i="19"/>
  <c r="R17" i="19"/>
  <c r="P17" i="19"/>
  <c r="O17" i="19"/>
  <c r="N17" i="19"/>
  <c r="L17" i="19"/>
  <c r="E17" i="19"/>
  <c r="D17" i="19"/>
  <c r="C17" i="19"/>
  <c r="R16" i="19"/>
  <c r="P16" i="19"/>
  <c r="O16" i="19"/>
  <c r="N16" i="19"/>
  <c r="L16" i="19"/>
  <c r="E16" i="19"/>
  <c r="D16" i="19"/>
  <c r="C16" i="19"/>
  <c r="R15" i="19"/>
  <c r="R20" i="19" s="1"/>
  <c r="P15" i="19"/>
  <c r="P20" i="19" s="1"/>
  <c r="O15" i="19"/>
  <c r="O20" i="19" s="1"/>
  <c r="N15" i="19"/>
  <c r="N20" i="19" s="1"/>
  <c r="L15" i="19"/>
  <c r="L20" i="19" s="1"/>
  <c r="E15" i="19"/>
  <c r="D15" i="19"/>
  <c r="C15" i="19"/>
  <c r="R11" i="19"/>
  <c r="P11" i="19"/>
  <c r="O11" i="19"/>
  <c r="N11" i="19"/>
  <c r="L11" i="19"/>
  <c r="E11" i="19"/>
  <c r="D11" i="19"/>
  <c r="C11" i="19"/>
  <c r="R10" i="19"/>
  <c r="R13" i="19" s="1"/>
  <c r="P10" i="19"/>
  <c r="P13" i="19" s="1"/>
  <c r="O10" i="19"/>
  <c r="O13" i="19" s="1"/>
  <c r="N10" i="19"/>
  <c r="N13" i="19" s="1"/>
  <c r="L10" i="19"/>
  <c r="L13" i="19" s="1"/>
  <c r="E10" i="19"/>
  <c r="D10" i="19"/>
  <c r="C10" i="19"/>
  <c r="E4" i="19"/>
  <c r="S22" i="19" s="1"/>
  <c r="AL20" i="18"/>
  <c r="D20" i="18"/>
  <c r="C20" i="18"/>
  <c r="AL18" i="18"/>
  <c r="D18" i="18"/>
  <c r="C18" i="18"/>
  <c r="AL16" i="18"/>
  <c r="D16" i="18"/>
  <c r="C16" i="18"/>
  <c r="A16" i="18"/>
  <c r="A18" i="18" s="1"/>
  <c r="A20" i="18" s="1"/>
  <c r="AL14" i="18"/>
  <c r="D14" i="18"/>
  <c r="C14" i="18"/>
  <c r="AL11" i="18"/>
  <c r="D11" i="18"/>
  <c r="C11" i="18"/>
  <c r="AL9" i="18"/>
  <c r="D9" i="18"/>
  <c r="C9" i="18"/>
  <c r="F5" i="18"/>
  <c r="F6" i="18" s="1"/>
  <c r="S1" i="18"/>
  <c r="R18" i="17"/>
  <c r="P18" i="17"/>
  <c r="O18" i="17"/>
  <c r="N18" i="17"/>
  <c r="L18" i="17"/>
  <c r="E18" i="17"/>
  <c r="D18" i="17"/>
  <c r="C18" i="17"/>
  <c r="R17" i="17"/>
  <c r="P17" i="17"/>
  <c r="O17" i="17"/>
  <c r="N17" i="17"/>
  <c r="L17" i="17"/>
  <c r="E17" i="17"/>
  <c r="D17" i="17"/>
  <c r="C17" i="17"/>
  <c r="R16" i="17"/>
  <c r="P16" i="17"/>
  <c r="O16" i="17"/>
  <c r="N16" i="17"/>
  <c r="L16" i="17"/>
  <c r="E16" i="17"/>
  <c r="D16" i="17"/>
  <c r="C16" i="17"/>
  <c r="R15" i="17"/>
  <c r="R20" i="17" s="1"/>
  <c r="P15" i="17"/>
  <c r="P20" i="17" s="1"/>
  <c r="O15" i="17"/>
  <c r="O20" i="17" s="1"/>
  <c r="N15" i="17"/>
  <c r="N20" i="17" s="1"/>
  <c r="L15" i="17"/>
  <c r="L20" i="17" s="1"/>
  <c r="E15" i="17"/>
  <c r="E20" i="17" s="1"/>
  <c r="D15" i="17"/>
  <c r="C15" i="17"/>
  <c r="R11" i="17"/>
  <c r="P11" i="17"/>
  <c r="O11" i="17"/>
  <c r="N11" i="17"/>
  <c r="L11" i="17"/>
  <c r="E11" i="17"/>
  <c r="D11" i="17"/>
  <c r="C11" i="17"/>
  <c r="R10" i="17"/>
  <c r="R13" i="17" s="1"/>
  <c r="P10" i="17"/>
  <c r="P13" i="17" s="1"/>
  <c r="O10" i="17"/>
  <c r="O13" i="17" s="1"/>
  <c r="N10" i="17"/>
  <c r="N13" i="17" s="1"/>
  <c r="L10" i="17"/>
  <c r="L13" i="17" s="1"/>
  <c r="E10" i="17"/>
  <c r="E13" i="17" s="1"/>
  <c r="D10" i="17"/>
  <c r="C10" i="17"/>
  <c r="E4" i="17"/>
  <c r="S22" i="17" s="1"/>
  <c r="AL20" i="16"/>
  <c r="D20" i="16"/>
  <c r="C20" i="16"/>
  <c r="AL18" i="16"/>
  <c r="D18" i="16"/>
  <c r="C18" i="16"/>
  <c r="AL16" i="16"/>
  <c r="D16" i="16"/>
  <c r="C16" i="16"/>
  <c r="A16" i="16"/>
  <c r="A18" i="16" s="1"/>
  <c r="A20" i="16" s="1"/>
  <c r="AL14" i="16"/>
  <c r="D14" i="16"/>
  <c r="C14" i="16"/>
  <c r="AL11" i="16"/>
  <c r="D11" i="16"/>
  <c r="C11" i="16"/>
  <c r="AL9" i="16"/>
  <c r="D9" i="16"/>
  <c r="C9" i="16"/>
  <c r="F6" i="16"/>
  <c r="S1" i="16"/>
  <c r="R18" i="15"/>
  <c r="P18" i="15"/>
  <c r="O18" i="15"/>
  <c r="N18" i="15"/>
  <c r="L18" i="15"/>
  <c r="E18" i="15"/>
  <c r="D18" i="15"/>
  <c r="C18" i="15"/>
  <c r="R17" i="15"/>
  <c r="P17" i="15"/>
  <c r="O17" i="15"/>
  <c r="N17" i="15"/>
  <c r="L17" i="15"/>
  <c r="E17" i="15"/>
  <c r="D17" i="15"/>
  <c r="C17" i="15"/>
  <c r="R16" i="15"/>
  <c r="P16" i="15"/>
  <c r="O16" i="15"/>
  <c r="N16" i="15"/>
  <c r="L16" i="15"/>
  <c r="E16" i="15"/>
  <c r="D16" i="15"/>
  <c r="C16" i="15"/>
  <c r="R15" i="15"/>
  <c r="R20" i="15" s="1"/>
  <c r="P15" i="15"/>
  <c r="P20" i="15" s="1"/>
  <c r="O15" i="15"/>
  <c r="O20" i="15" s="1"/>
  <c r="N15" i="15"/>
  <c r="N20" i="15" s="1"/>
  <c r="L15" i="15"/>
  <c r="L20" i="15" s="1"/>
  <c r="E15" i="15"/>
  <c r="D15" i="15"/>
  <c r="C15" i="15"/>
  <c r="R11" i="15"/>
  <c r="P11" i="15"/>
  <c r="O11" i="15"/>
  <c r="N11" i="15"/>
  <c r="L11" i="15"/>
  <c r="E11" i="15"/>
  <c r="D11" i="15"/>
  <c r="C11" i="15"/>
  <c r="R10" i="15"/>
  <c r="R13" i="15" s="1"/>
  <c r="P10" i="15"/>
  <c r="O10" i="15"/>
  <c r="O13" i="15" s="1"/>
  <c r="N10" i="15"/>
  <c r="N13" i="15" s="1"/>
  <c r="L10" i="15"/>
  <c r="E10" i="15"/>
  <c r="D10" i="15"/>
  <c r="C10" i="15"/>
  <c r="E4" i="15"/>
  <c r="S22" i="15" s="1"/>
  <c r="AL20" i="14"/>
  <c r="D20" i="14"/>
  <c r="C20" i="14"/>
  <c r="AL18" i="14"/>
  <c r="D18" i="14"/>
  <c r="C18" i="14"/>
  <c r="AL16" i="14"/>
  <c r="D16" i="14"/>
  <c r="C16" i="14"/>
  <c r="A16" i="14"/>
  <c r="A18" i="14" s="1"/>
  <c r="A20" i="14" s="1"/>
  <c r="AL14" i="14"/>
  <c r="D14" i="14"/>
  <c r="C14" i="14"/>
  <c r="AL11" i="14"/>
  <c r="D11" i="14"/>
  <c r="C11" i="14"/>
  <c r="AL9" i="14"/>
  <c r="D9" i="14"/>
  <c r="C9" i="14"/>
  <c r="F5" i="14"/>
  <c r="G5" i="14" s="1"/>
  <c r="S1" i="14"/>
  <c r="R18" i="13"/>
  <c r="P18" i="13"/>
  <c r="O18" i="13"/>
  <c r="N18" i="13"/>
  <c r="L18" i="13"/>
  <c r="E18" i="13"/>
  <c r="D18" i="13"/>
  <c r="C18" i="13"/>
  <c r="R17" i="13"/>
  <c r="P17" i="13"/>
  <c r="O17" i="13"/>
  <c r="N17" i="13"/>
  <c r="L17" i="13"/>
  <c r="E17" i="13"/>
  <c r="D17" i="13"/>
  <c r="C17" i="13"/>
  <c r="R16" i="13"/>
  <c r="P16" i="13"/>
  <c r="O16" i="13"/>
  <c r="N16" i="13"/>
  <c r="L16" i="13"/>
  <c r="E16" i="13"/>
  <c r="D16" i="13"/>
  <c r="C16" i="13"/>
  <c r="R15" i="13"/>
  <c r="R20" i="13" s="1"/>
  <c r="P15" i="13"/>
  <c r="P20" i="13" s="1"/>
  <c r="O15" i="13"/>
  <c r="O20" i="13" s="1"/>
  <c r="N15" i="13"/>
  <c r="N20" i="13" s="1"/>
  <c r="L15" i="13"/>
  <c r="L20" i="13" s="1"/>
  <c r="E15" i="13"/>
  <c r="E20" i="13" s="1"/>
  <c r="D15" i="13"/>
  <c r="C15" i="13"/>
  <c r="R11" i="13"/>
  <c r="P11" i="13"/>
  <c r="O11" i="13"/>
  <c r="N11" i="13"/>
  <c r="L11" i="13"/>
  <c r="E11" i="13"/>
  <c r="D11" i="13"/>
  <c r="C11" i="13"/>
  <c r="R10" i="13"/>
  <c r="R13" i="13" s="1"/>
  <c r="P10" i="13"/>
  <c r="P13" i="13" s="1"/>
  <c r="O10" i="13"/>
  <c r="O13" i="13" s="1"/>
  <c r="N10" i="13"/>
  <c r="N13" i="13" s="1"/>
  <c r="L10" i="13"/>
  <c r="L13" i="13" s="1"/>
  <c r="E10" i="13"/>
  <c r="E13" i="13" s="1"/>
  <c r="D10" i="13"/>
  <c r="C10" i="13"/>
  <c r="E4" i="13"/>
  <c r="S22" i="13" s="1"/>
  <c r="AL20" i="12"/>
  <c r="D20" i="12"/>
  <c r="C20" i="12"/>
  <c r="AL18" i="12"/>
  <c r="D18" i="12"/>
  <c r="C18" i="12"/>
  <c r="AL16" i="12"/>
  <c r="D16" i="12"/>
  <c r="C16" i="12"/>
  <c r="A16" i="12"/>
  <c r="A18" i="12" s="1"/>
  <c r="A20" i="12" s="1"/>
  <c r="AL14" i="12"/>
  <c r="D14" i="12"/>
  <c r="C14" i="12"/>
  <c r="AL11" i="12"/>
  <c r="D11" i="12"/>
  <c r="C11" i="12"/>
  <c r="AL9" i="12"/>
  <c r="D9" i="12"/>
  <c r="C9" i="12"/>
  <c r="F5" i="12"/>
  <c r="G5" i="12" s="1"/>
  <c r="S1" i="12"/>
  <c r="R18" i="11"/>
  <c r="P18" i="11"/>
  <c r="O18" i="11"/>
  <c r="N18" i="11"/>
  <c r="L18" i="11"/>
  <c r="E18" i="11"/>
  <c r="D18" i="11"/>
  <c r="C18" i="11"/>
  <c r="R17" i="11"/>
  <c r="P17" i="11"/>
  <c r="O17" i="11"/>
  <c r="N17" i="11"/>
  <c r="L17" i="11"/>
  <c r="E17" i="11"/>
  <c r="D17" i="11"/>
  <c r="C17" i="11"/>
  <c r="R16" i="11"/>
  <c r="P16" i="11"/>
  <c r="O16" i="11"/>
  <c r="N16" i="11"/>
  <c r="L16" i="11"/>
  <c r="E16" i="11"/>
  <c r="D16" i="11"/>
  <c r="C16" i="11"/>
  <c r="R15" i="11"/>
  <c r="R20" i="11" s="1"/>
  <c r="P15" i="11"/>
  <c r="P20" i="11" s="1"/>
  <c r="O15" i="11"/>
  <c r="O20" i="11" s="1"/>
  <c r="N15" i="11"/>
  <c r="N20" i="11" s="1"/>
  <c r="L15" i="11"/>
  <c r="L20" i="11" s="1"/>
  <c r="E15" i="11"/>
  <c r="E20" i="11" s="1"/>
  <c r="D15" i="11"/>
  <c r="C15" i="11"/>
  <c r="R11" i="11"/>
  <c r="P11" i="11"/>
  <c r="O11" i="11"/>
  <c r="N11" i="11"/>
  <c r="L11" i="11"/>
  <c r="E11" i="11"/>
  <c r="D11" i="11"/>
  <c r="C11" i="11"/>
  <c r="R10" i="11"/>
  <c r="R13" i="11" s="1"/>
  <c r="P10" i="11"/>
  <c r="P13" i="11" s="1"/>
  <c r="O10" i="11"/>
  <c r="O13" i="11" s="1"/>
  <c r="N10" i="11"/>
  <c r="N13" i="11" s="1"/>
  <c r="L10" i="11"/>
  <c r="L13" i="11" s="1"/>
  <c r="E10" i="11"/>
  <c r="E13" i="11" s="1"/>
  <c r="D10" i="11"/>
  <c r="C10" i="11"/>
  <c r="E4" i="11"/>
  <c r="S22" i="11" s="1"/>
  <c r="AL20" i="10"/>
  <c r="D20" i="10"/>
  <c r="C20" i="10"/>
  <c r="AL18" i="10"/>
  <c r="D18" i="10"/>
  <c r="C18" i="10"/>
  <c r="AL16" i="10"/>
  <c r="D16" i="10"/>
  <c r="C16" i="10"/>
  <c r="A16" i="10"/>
  <c r="A18" i="10" s="1"/>
  <c r="A20" i="10" s="1"/>
  <c r="AL14" i="10"/>
  <c r="D14" i="10"/>
  <c r="C14" i="10"/>
  <c r="AL11" i="10"/>
  <c r="D11" i="10"/>
  <c r="C11" i="10"/>
  <c r="AL9" i="10"/>
  <c r="D9" i="10"/>
  <c r="C9" i="10"/>
  <c r="F5" i="10"/>
  <c r="F6" i="10" s="1"/>
  <c r="S1" i="10"/>
  <c r="R18" i="9"/>
  <c r="P18" i="9"/>
  <c r="O18" i="9"/>
  <c r="N18" i="9"/>
  <c r="L18" i="9"/>
  <c r="E18" i="9"/>
  <c r="D18" i="9"/>
  <c r="C18" i="9"/>
  <c r="R17" i="9"/>
  <c r="P17" i="9"/>
  <c r="O17" i="9"/>
  <c r="N17" i="9"/>
  <c r="L17" i="9"/>
  <c r="E17" i="9"/>
  <c r="D17" i="9"/>
  <c r="C17" i="9"/>
  <c r="R16" i="9"/>
  <c r="P16" i="9"/>
  <c r="O16" i="9"/>
  <c r="N16" i="9"/>
  <c r="L16" i="9"/>
  <c r="E16" i="9"/>
  <c r="D16" i="9"/>
  <c r="C16" i="9"/>
  <c r="R15" i="9"/>
  <c r="R20" i="9" s="1"/>
  <c r="P15" i="9"/>
  <c r="O15" i="9"/>
  <c r="O20" i="9" s="1"/>
  <c r="N15" i="9"/>
  <c r="N20" i="9" s="1"/>
  <c r="L15" i="9"/>
  <c r="L20" i="9" s="1"/>
  <c r="E15" i="9"/>
  <c r="E20" i="9" s="1"/>
  <c r="D15" i="9"/>
  <c r="C15" i="9"/>
  <c r="R11" i="9"/>
  <c r="P11" i="9"/>
  <c r="O11" i="9"/>
  <c r="N11" i="9"/>
  <c r="L11" i="9"/>
  <c r="E11" i="9"/>
  <c r="D11" i="9"/>
  <c r="C11" i="9"/>
  <c r="R10" i="9"/>
  <c r="R13" i="9" s="1"/>
  <c r="P10" i="9"/>
  <c r="P13" i="9" s="1"/>
  <c r="O10" i="9"/>
  <c r="O13" i="9" s="1"/>
  <c r="N10" i="9"/>
  <c r="N13" i="9" s="1"/>
  <c r="L10" i="9"/>
  <c r="L13" i="9" s="1"/>
  <c r="E10" i="9"/>
  <c r="E13" i="9" s="1"/>
  <c r="D10" i="9"/>
  <c r="C10" i="9"/>
  <c r="E4" i="9"/>
  <c r="S22" i="9" s="1"/>
  <c r="AL20" i="8"/>
  <c r="D20" i="8"/>
  <c r="C20" i="8"/>
  <c r="AL18" i="8"/>
  <c r="D18" i="8"/>
  <c r="C18" i="8"/>
  <c r="AL16" i="8"/>
  <c r="D16" i="8"/>
  <c r="C16" i="8"/>
  <c r="A16" i="8"/>
  <c r="A18" i="8" s="1"/>
  <c r="A20" i="8" s="1"/>
  <c r="AL14" i="8"/>
  <c r="D14" i="8"/>
  <c r="C14" i="8"/>
  <c r="AL11" i="8"/>
  <c r="D11" i="8"/>
  <c r="C11" i="8"/>
  <c r="AL9" i="8"/>
  <c r="D9" i="8"/>
  <c r="C9" i="8"/>
  <c r="F5" i="8"/>
  <c r="F6" i="8" s="1"/>
  <c r="S1" i="8"/>
  <c r="R18" i="7"/>
  <c r="P18" i="7"/>
  <c r="O18" i="7"/>
  <c r="N18" i="7"/>
  <c r="L18" i="7"/>
  <c r="E18" i="7"/>
  <c r="D18" i="7"/>
  <c r="C18" i="7"/>
  <c r="R17" i="7"/>
  <c r="P17" i="7"/>
  <c r="O17" i="7"/>
  <c r="N17" i="7"/>
  <c r="L17" i="7"/>
  <c r="E17" i="7"/>
  <c r="D17" i="7"/>
  <c r="C17" i="7"/>
  <c r="R16" i="7"/>
  <c r="P16" i="7"/>
  <c r="O16" i="7"/>
  <c r="N16" i="7"/>
  <c r="L16" i="7"/>
  <c r="E16" i="7"/>
  <c r="D16" i="7"/>
  <c r="C16" i="7"/>
  <c r="R15" i="7"/>
  <c r="R20" i="7" s="1"/>
  <c r="P15" i="7"/>
  <c r="P20" i="7" s="1"/>
  <c r="O15" i="7"/>
  <c r="O20" i="7" s="1"/>
  <c r="N15" i="7"/>
  <c r="L15" i="7"/>
  <c r="L20" i="7" s="1"/>
  <c r="E15" i="7"/>
  <c r="D15" i="7"/>
  <c r="C15" i="7"/>
  <c r="R11" i="7"/>
  <c r="P11" i="7"/>
  <c r="O11" i="7"/>
  <c r="N11" i="7"/>
  <c r="L11" i="7"/>
  <c r="E11" i="7"/>
  <c r="D11" i="7"/>
  <c r="C11" i="7"/>
  <c r="R10" i="7"/>
  <c r="R13" i="7" s="1"/>
  <c r="P10" i="7"/>
  <c r="P13" i="7" s="1"/>
  <c r="O10" i="7"/>
  <c r="O13" i="7" s="1"/>
  <c r="N10" i="7"/>
  <c r="N13" i="7" s="1"/>
  <c r="L10" i="7"/>
  <c r="L13" i="7" s="1"/>
  <c r="E10" i="7"/>
  <c r="D10" i="7"/>
  <c r="C10" i="7"/>
  <c r="E4" i="7"/>
  <c r="S22" i="7" s="1"/>
  <c r="AL20" i="6"/>
  <c r="D20" i="6"/>
  <c r="C20" i="6"/>
  <c r="AL18" i="6"/>
  <c r="D18" i="6"/>
  <c r="C18" i="6"/>
  <c r="AL16" i="6"/>
  <c r="D16" i="6"/>
  <c r="C16" i="6"/>
  <c r="A16" i="6"/>
  <c r="A18" i="6" s="1"/>
  <c r="A20" i="6" s="1"/>
  <c r="AL14" i="6"/>
  <c r="D14" i="6"/>
  <c r="C14" i="6"/>
  <c r="AL11" i="6"/>
  <c r="D11" i="6"/>
  <c r="C11" i="6"/>
  <c r="AL9" i="6"/>
  <c r="D9" i="6"/>
  <c r="C9" i="6"/>
  <c r="F5" i="6"/>
  <c r="F6" i="6" s="1"/>
  <c r="S1" i="6"/>
  <c r="R18" i="5"/>
  <c r="P18" i="5"/>
  <c r="O18" i="5"/>
  <c r="N18" i="5"/>
  <c r="L18" i="5"/>
  <c r="E18" i="5"/>
  <c r="D18" i="5"/>
  <c r="C18" i="5"/>
  <c r="R17" i="5"/>
  <c r="P17" i="5"/>
  <c r="O17" i="5"/>
  <c r="N17" i="5"/>
  <c r="L17" i="5"/>
  <c r="E17" i="5"/>
  <c r="D17" i="5"/>
  <c r="C17" i="5"/>
  <c r="R16" i="5"/>
  <c r="P16" i="5"/>
  <c r="O16" i="5"/>
  <c r="N16" i="5"/>
  <c r="L16" i="5"/>
  <c r="E16" i="5"/>
  <c r="D16" i="5"/>
  <c r="C16" i="5"/>
  <c r="R15" i="5"/>
  <c r="R20" i="5" s="1"/>
  <c r="P15" i="5"/>
  <c r="P20" i="5" s="1"/>
  <c r="O15" i="5"/>
  <c r="O20" i="5" s="1"/>
  <c r="N15" i="5"/>
  <c r="N20" i="5" s="1"/>
  <c r="L15" i="5"/>
  <c r="L20" i="5" s="1"/>
  <c r="E15" i="5"/>
  <c r="D15" i="5"/>
  <c r="C15" i="5"/>
  <c r="R11" i="5"/>
  <c r="P11" i="5"/>
  <c r="O11" i="5"/>
  <c r="N11" i="5"/>
  <c r="L11" i="5"/>
  <c r="E11" i="5"/>
  <c r="D11" i="5"/>
  <c r="C11" i="5"/>
  <c r="R10" i="5"/>
  <c r="R13" i="5" s="1"/>
  <c r="P10" i="5"/>
  <c r="O10" i="5"/>
  <c r="O13" i="5" s="1"/>
  <c r="N10" i="5"/>
  <c r="N13" i="5" s="1"/>
  <c r="L10" i="5"/>
  <c r="E10" i="5"/>
  <c r="D10" i="5"/>
  <c r="C10" i="5"/>
  <c r="E4" i="5"/>
  <c r="D1" i="5" s="1"/>
  <c r="AL20" i="4"/>
  <c r="D20" i="4"/>
  <c r="C20" i="4"/>
  <c r="AL18" i="4"/>
  <c r="D18" i="4"/>
  <c r="C18" i="4"/>
  <c r="AL16" i="4"/>
  <c r="D16" i="4"/>
  <c r="C16" i="4"/>
  <c r="A16" i="4"/>
  <c r="A18" i="4" s="1"/>
  <c r="A20" i="4" s="1"/>
  <c r="AL14" i="4"/>
  <c r="D14" i="4"/>
  <c r="C14" i="4"/>
  <c r="AL11" i="4"/>
  <c r="D11" i="4"/>
  <c r="C11" i="4"/>
  <c r="AL9" i="4"/>
  <c r="D9" i="4"/>
  <c r="C9" i="4"/>
  <c r="G5" i="4"/>
  <c r="H5" i="4" s="1"/>
  <c r="F5" i="4"/>
  <c r="F6" i="4" s="1"/>
  <c r="S1" i="4"/>
  <c r="R17" i="3"/>
  <c r="P17" i="3"/>
  <c r="O17" i="3"/>
  <c r="N17" i="3"/>
  <c r="L17" i="3"/>
  <c r="E17" i="3"/>
  <c r="D17" i="3"/>
  <c r="C17" i="3"/>
  <c r="R16" i="3"/>
  <c r="R21" i="3" s="1"/>
  <c r="P16" i="3"/>
  <c r="P21" i="3" s="1"/>
  <c r="O16" i="3"/>
  <c r="O21" i="3" s="1"/>
  <c r="N16" i="3"/>
  <c r="N21" i="3" s="1"/>
  <c r="L16" i="3"/>
  <c r="E16" i="3"/>
  <c r="E21" i="3" s="1"/>
  <c r="D16" i="3"/>
  <c r="C16" i="3"/>
  <c r="R10" i="3"/>
  <c r="R14" i="3" s="1"/>
  <c r="P10" i="3"/>
  <c r="O10" i="3"/>
  <c r="O14" i="3" s="1"/>
  <c r="N10" i="3"/>
  <c r="N14" i="3" s="1"/>
  <c r="L14" i="3"/>
  <c r="E10" i="3"/>
  <c r="E14" i="3" s="1"/>
  <c r="D10" i="3"/>
  <c r="C10" i="3"/>
  <c r="E4" i="3"/>
  <c r="S23" i="3" s="1"/>
  <c r="AL18" i="2"/>
  <c r="D18" i="2"/>
  <c r="C18" i="2"/>
  <c r="A18" i="2"/>
  <c r="A20" i="2" s="1"/>
  <c r="A22" i="2" s="1"/>
  <c r="AL16" i="2"/>
  <c r="D16" i="2"/>
  <c r="C16" i="2"/>
  <c r="AL13" i="2"/>
  <c r="D13" i="2"/>
  <c r="C13" i="2"/>
  <c r="AL9" i="2"/>
  <c r="D9" i="2"/>
  <c r="C9" i="2"/>
  <c r="F5" i="2"/>
  <c r="G5" i="2" s="1"/>
  <c r="S1" i="2"/>
  <c r="N102" i="1"/>
  <c r="N100" i="1"/>
  <c r="N94" i="1"/>
  <c r="N86" i="1"/>
  <c r="N84" i="1"/>
  <c r="N78" i="1"/>
  <c r="M78" i="1"/>
  <c r="N108" i="1" s="1"/>
  <c r="M77" i="1"/>
  <c r="N106" i="1" s="1"/>
  <c r="M76" i="1"/>
  <c r="N104" i="1" s="1"/>
  <c r="M75" i="1"/>
  <c r="M74" i="1"/>
  <c r="M73" i="1"/>
  <c r="N98" i="1" s="1"/>
  <c r="M72" i="1"/>
  <c r="N96" i="1" s="1"/>
  <c r="M71" i="1"/>
  <c r="N70" i="1"/>
  <c r="M70" i="1"/>
  <c r="N92" i="1" s="1"/>
  <c r="M69" i="1"/>
  <c r="N90" i="1" s="1"/>
  <c r="M68" i="1"/>
  <c r="N88" i="1" s="1"/>
  <c r="M67" i="1"/>
  <c r="M66" i="1"/>
  <c r="M65" i="1"/>
  <c r="N82" i="1" s="1"/>
  <c r="N64" i="1"/>
  <c r="M64" i="1"/>
  <c r="N80" i="1" s="1"/>
  <c r="M63" i="1"/>
  <c r="N62" i="1"/>
  <c r="M62" i="1"/>
  <c r="N76" i="1" s="1"/>
  <c r="M61" i="1"/>
  <c r="N74" i="1" s="1"/>
  <c r="M60" i="1"/>
  <c r="N72" i="1" s="1"/>
  <c r="M59" i="1"/>
  <c r="M58" i="1"/>
  <c r="N68" i="1" s="1"/>
  <c r="M57" i="1"/>
  <c r="N66" i="1" s="1"/>
  <c r="M56" i="1"/>
  <c r="M55" i="1"/>
  <c r="N54" i="1"/>
  <c r="M54" i="1"/>
  <c r="N60" i="1" s="1"/>
  <c r="M53" i="1"/>
  <c r="N58" i="1" s="1"/>
  <c r="M52" i="1"/>
  <c r="N56" i="1" s="1"/>
  <c r="M51" i="1"/>
  <c r="M50" i="1"/>
  <c r="N52" i="1" s="1"/>
  <c r="M49" i="1"/>
  <c r="N50" i="1" s="1"/>
  <c r="N48" i="1"/>
  <c r="M48" i="1"/>
  <c r="K26" i="1"/>
  <c r="K27" i="1" s="1"/>
  <c r="U22" i="1"/>
  <c r="U22" i="1" a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L22" i="1" a="1"/>
  <c r="L22" i="1" s="1"/>
  <c r="K22" i="1" a="1"/>
  <c r="K22" i="1" s="1"/>
  <c r="J22" i="1" a="1"/>
  <c r="J22" i="1" s="1"/>
  <c r="U21" i="1"/>
  <c r="T21" i="1"/>
  <c r="S21" i="1"/>
  <c r="R21" i="1"/>
  <c r="Q21" i="1"/>
  <c r="P21" i="1"/>
  <c r="O21" i="1"/>
  <c r="N21" i="1"/>
  <c r="M21" i="1"/>
  <c r="L21" i="1"/>
  <c r="K21" i="1"/>
  <c r="J21" i="1"/>
  <c r="H21" i="1"/>
  <c r="G21" i="1"/>
  <c r="F21" i="1"/>
  <c r="E21" i="1"/>
  <c r="A20" i="1"/>
  <c r="A19" i="1"/>
  <c r="A18" i="1"/>
  <c r="A17" i="1"/>
  <c r="A16" i="1"/>
  <c r="A15" i="1"/>
  <c r="A14" i="1"/>
  <c r="A13" i="1"/>
  <c r="A12" i="1"/>
  <c r="A11" i="1"/>
  <c r="A6" i="1"/>
  <c r="H6" i="24" l="1"/>
  <c r="G6" i="22"/>
  <c r="G6" i="24"/>
  <c r="I6" i="24"/>
  <c r="J5" i="24"/>
  <c r="I5" i="22"/>
  <c r="I6" i="22"/>
  <c r="J5" i="22"/>
  <c r="G5" i="18"/>
  <c r="G6" i="18" s="1"/>
  <c r="D1" i="19"/>
  <c r="D1" i="17"/>
  <c r="G5" i="16"/>
  <c r="G6" i="16" s="1"/>
  <c r="D1" i="13"/>
  <c r="F6" i="12"/>
  <c r="L21" i="3"/>
  <c r="N20" i="7"/>
  <c r="P13" i="15"/>
  <c r="P13" i="21"/>
  <c r="P20" i="9"/>
  <c r="L13" i="15"/>
  <c r="G5" i="8"/>
  <c r="G6" i="8" s="1"/>
  <c r="D1" i="7"/>
  <c r="P14" i="3"/>
  <c r="G6" i="2"/>
  <c r="H5" i="2"/>
  <c r="D1" i="3"/>
  <c r="F6" i="2"/>
  <c r="H5" i="14"/>
  <c r="G6" i="14"/>
  <c r="G6" i="12"/>
  <c r="H5" i="12"/>
  <c r="F6" i="14"/>
  <c r="D1" i="15"/>
  <c r="E20" i="15"/>
  <c r="E13" i="15"/>
  <c r="G5" i="20"/>
  <c r="D1" i="21"/>
  <c r="E13" i="19"/>
  <c r="E20" i="19"/>
  <c r="G5" i="10"/>
  <c r="D1" i="11"/>
  <c r="P13" i="5"/>
  <c r="L13" i="5"/>
  <c r="I5" i="4"/>
  <c r="H6" i="4"/>
  <c r="G6" i="4"/>
  <c r="G5" i="6"/>
  <c r="E13" i="5"/>
  <c r="E20" i="5"/>
  <c r="S22" i="5"/>
  <c r="D1" i="9"/>
  <c r="E13" i="7"/>
  <c r="E20" i="7"/>
  <c r="J6" i="24" l="1"/>
  <c r="K5" i="24"/>
  <c r="K5" i="22"/>
  <c r="J6" i="22"/>
  <c r="H5" i="18"/>
  <c r="H5" i="16"/>
  <c r="H5" i="8"/>
  <c r="I5" i="8" s="1"/>
  <c r="H6" i="2"/>
  <c r="I5" i="2"/>
  <c r="G6" i="20"/>
  <c r="H5" i="20"/>
  <c r="H6" i="12"/>
  <c r="I5" i="12"/>
  <c r="H6" i="16"/>
  <c r="I5" i="16"/>
  <c r="H6" i="14"/>
  <c r="I5" i="14"/>
  <c r="H6" i="18"/>
  <c r="I5" i="18"/>
  <c r="G6" i="10"/>
  <c r="H5" i="10"/>
  <c r="H5" i="6"/>
  <c r="G6" i="6"/>
  <c r="I6" i="4"/>
  <c r="J5" i="4"/>
  <c r="H6" i="8"/>
  <c r="L5" i="24" l="1"/>
  <c r="K6" i="24"/>
  <c r="L5" i="22"/>
  <c r="K6" i="22"/>
  <c r="J5" i="2"/>
  <c r="I6" i="2"/>
  <c r="J5" i="12"/>
  <c r="I6" i="12"/>
  <c r="I6" i="18"/>
  <c r="J5" i="18"/>
  <c r="I6" i="14"/>
  <c r="J5" i="14"/>
  <c r="J5" i="16"/>
  <c r="I6" i="16"/>
  <c r="I5" i="20"/>
  <c r="H6" i="20"/>
  <c r="I5" i="10"/>
  <c r="H6" i="10"/>
  <c r="J6" i="4"/>
  <c r="K5" i="4"/>
  <c r="I5" i="6"/>
  <c r="H6" i="6"/>
  <c r="J5" i="8"/>
  <c r="I6" i="8"/>
  <c r="M5" i="24" l="1"/>
  <c r="L6" i="24"/>
  <c r="L6" i="22"/>
  <c r="M5" i="22"/>
  <c r="J6" i="2"/>
  <c r="K5" i="2"/>
  <c r="K5" i="16"/>
  <c r="J6" i="16"/>
  <c r="K5" i="14"/>
  <c r="J6" i="14"/>
  <c r="J5" i="20"/>
  <c r="I6" i="20"/>
  <c r="J6" i="18"/>
  <c r="K5" i="18"/>
  <c r="K5" i="12"/>
  <c r="J6" i="12"/>
  <c r="J5" i="10"/>
  <c r="I6" i="10"/>
  <c r="L5" i="4"/>
  <c r="K6" i="4"/>
  <c r="J6" i="8"/>
  <c r="K5" i="8"/>
  <c r="J5" i="6"/>
  <c r="I6" i="6"/>
  <c r="M6" i="24" l="1"/>
  <c r="N5" i="24"/>
  <c r="M6" i="22"/>
  <c r="N5" i="22"/>
  <c r="L5" i="2"/>
  <c r="K6" i="2"/>
  <c r="K6" i="12"/>
  <c r="L5" i="12"/>
  <c r="L5" i="14"/>
  <c r="K6" i="14"/>
  <c r="L5" i="18"/>
  <c r="K6" i="18"/>
  <c r="K6" i="16"/>
  <c r="L5" i="16"/>
  <c r="J6" i="20"/>
  <c r="K5" i="20"/>
  <c r="J6" i="10"/>
  <c r="K5" i="10"/>
  <c r="M5" i="4"/>
  <c r="L6" i="4"/>
  <c r="J6" i="6"/>
  <c r="K5" i="6"/>
  <c r="K6" i="8"/>
  <c r="L5" i="8"/>
  <c r="N6" i="24" l="1"/>
  <c r="O5" i="24"/>
  <c r="O5" i="22"/>
  <c r="N6" i="22"/>
  <c r="M5" i="2"/>
  <c r="L6" i="2"/>
  <c r="L6" i="16"/>
  <c r="M5" i="16"/>
  <c r="K6" i="20"/>
  <c r="L5" i="20"/>
  <c r="L6" i="14"/>
  <c r="M5" i="14"/>
  <c r="M5" i="18"/>
  <c r="L6" i="18"/>
  <c r="L6" i="12"/>
  <c r="M5" i="12"/>
  <c r="K6" i="10"/>
  <c r="L5" i="10"/>
  <c r="M5" i="8"/>
  <c r="L6" i="8"/>
  <c r="K6" i="6"/>
  <c r="L5" i="6"/>
  <c r="M6" i="4"/>
  <c r="N5" i="4"/>
  <c r="P5" i="24" l="1"/>
  <c r="O6" i="24"/>
  <c r="P5" i="22"/>
  <c r="O6" i="22"/>
  <c r="N5" i="2"/>
  <c r="M6" i="2"/>
  <c r="N5" i="12"/>
  <c r="M6" i="12"/>
  <c r="M6" i="14"/>
  <c r="N5" i="14"/>
  <c r="M6" i="18"/>
  <c r="N5" i="18"/>
  <c r="M5" i="20"/>
  <c r="L6" i="20"/>
  <c r="N5" i="16"/>
  <c r="M6" i="16"/>
  <c r="M5" i="10"/>
  <c r="L6" i="10"/>
  <c r="N6" i="4"/>
  <c r="O5" i="4"/>
  <c r="M5" i="6"/>
  <c r="L6" i="6"/>
  <c r="N5" i="8"/>
  <c r="M6" i="8"/>
  <c r="Q5" i="24" l="1"/>
  <c r="P6" i="24"/>
  <c r="P6" i="22"/>
  <c r="Q5" i="22"/>
  <c r="N6" i="2"/>
  <c r="O5" i="2"/>
  <c r="O5" i="16"/>
  <c r="N6" i="16"/>
  <c r="N5" i="20"/>
  <c r="M6" i="20"/>
  <c r="N6" i="18"/>
  <c r="O5" i="18"/>
  <c r="O5" i="12"/>
  <c r="N6" i="12"/>
  <c r="O5" i="14"/>
  <c r="N6" i="14"/>
  <c r="N5" i="10"/>
  <c r="M6" i="10"/>
  <c r="N5" i="6"/>
  <c r="M6" i="6"/>
  <c r="N6" i="8"/>
  <c r="O5" i="8"/>
  <c r="P5" i="4"/>
  <c r="O6" i="4"/>
  <c r="Q6" i="24" l="1"/>
  <c r="R5" i="24"/>
  <c r="Q6" i="22"/>
  <c r="R5" i="22"/>
  <c r="O6" i="2"/>
  <c r="P5" i="2"/>
  <c r="O6" i="16"/>
  <c r="P5" i="16"/>
  <c r="N6" i="20"/>
  <c r="O5" i="20"/>
  <c r="P5" i="14"/>
  <c r="O6" i="14"/>
  <c r="O6" i="12"/>
  <c r="P5" i="12"/>
  <c r="P5" i="18"/>
  <c r="O6" i="18"/>
  <c r="N6" i="10"/>
  <c r="O5" i="10"/>
  <c r="N6" i="6"/>
  <c r="O5" i="6"/>
  <c r="Q5" i="4"/>
  <c r="P6" i="4"/>
  <c r="O6" i="8"/>
  <c r="P5" i="8"/>
  <c r="R6" i="24" l="1"/>
  <c r="S5" i="24"/>
  <c r="S5" i="22"/>
  <c r="R6" i="22"/>
  <c r="Q5" i="2"/>
  <c r="P6" i="2"/>
  <c r="P6" i="12"/>
  <c r="Q5" i="12"/>
  <c r="O6" i="20"/>
  <c r="P5" i="20"/>
  <c r="Q5" i="18"/>
  <c r="P6" i="18"/>
  <c r="P6" i="14"/>
  <c r="Q5" i="14"/>
  <c r="P6" i="16"/>
  <c r="Q5" i="16"/>
  <c r="O6" i="10"/>
  <c r="P5" i="10"/>
  <c r="Q5" i="8"/>
  <c r="P6" i="8"/>
  <c r="O6" i="6"/>
  <c r="P5" i="6"/>
  <c r="Q6" i="4"/>
  <c r="R5" i="4"/>
  <c r="T5" i="24" l="1"/>
  <c r="S6" i="24"/>
  <c r="T5" i="22"/>
  <c r="S6" i="22"/>
  <c r="R5" i="2"/>
  <c r="Q6" i="2"/>
  <c r="R5" i="12"/>
  <c r="Q6" i="12"/>
  <c r="Q6" i="14"/>
  <c r="R5" i="14"/>
  <c r="Q5" i="20"/>
  <c r="P6" i="20"/>
  <c r="R5" i="16"/>
  <c r="Q6" i="16"/>
  <c r="Q6" i="18"/>
  <c r="R5" i="18"/>
  <c r="Q5" i="10"/>
  <c r="P6" i="10"/>
  <c r="P6" i="6"/>
  <c r="Q5" i="6"/>
  <c r="R6" i="4"/>
  <c r="S5" i="4"/>
  <c r="R5" i="8"/>
  <c r="Q6" i="8"/>
  <c r="U5" i="24" l="1"/>
  <c r="T6" i="24"/>
  <c r="T6" i="22"/>
  <c r="U5" i="22"/>
  <c r="R6" i="2"/>
  <c r="S5" i="2"/>
  <c r="S5" i="14"/>
  <c r="R6" i="14"/>
  <c r="R6" i="18"/>
  <c r="S5" i="18"/>
  <c r="S5" i="16"/>
  <c r="R6" i="16"/>
  <c r="R5" i="20"/>
  <c r="Q6" i="20"/>
  <c r="S5" i="12"/>
  <c r="R6" i="12"/>
  <c r="R5" i="10"/>
  <c r="Q6" i="10"/>
  <c r="T5" i="4"/>
  <c r="S6" i="4"/>
  <c r="R5" i="6"/>
  <c r="Q6" i="6"/>
  <c r="R6" i="8"/>
  <c r="S5" i="8"/>
  <c r="U6" i="24" l="1"/>
  <c r="V5" i="24"/>
  <c r="U6" i="22"/>
  <c r="V5" i="22"/>
  <c r="S6" i="2"/>
  <c r="T5" i="2"/>
  <c r="S6" i="18"/>
  <c r="T5" i="18"/>
  <c r="R6" i="20"/>
  <c r="S5" i="20"/>
  <c r="S6" i="12"/>
  <c r="T5" i="12"/>
  <c r="S6" i="16"/>
  <c r="T5" i="16"/>
  <c r="T5" i="14"/>
  <c r="S6" i="14"/>
  <c r="R6" i="10"/>
  <c r="S5" i="10"/>
  <c r="S6" i="8"/>
  <c r="T5" i="8"/>
  <c r="R6" i="6"/>
  <c r="S5" i="6"/>
  <c r="U5" i="4"/>
  <c r="T6" i="4"/>
  <c r="V6" i="24" l="1"/>
  <c r="W5" i="24"/>
  <c r="W5" i="22"/>
  <c r="V6" i="22"/>
  <c r="U5" i="2"/>
  <c r="T6" i="2"/>
  <c r="T6" i="12"/>
  <c r="U5" i="12"/>
  <c r="T6" i="18"/>
  <c r="U5" i="18"/>
  <c r="T6" i="14"/>
  <c r="U5" i="14"/>
  <c r="T6" i="16"/>
  <c r="U5" i="16"/>
  <c r="S6" i="20"/>
  <c r="T5" i="20"/>
  <c r="S6" i="10"/>
  <c r="T5" i="10"/>
  <c r="U6" i="4"/>
  <c r="V5" i="4"/>
  <c r="S6" i="6"/>
  <c r="T5" i="6"/>
  <c r="U5" i="8"/>
  <c r="T6" i="8"/>
  <c r="X5" i="24" l="1"/>
  <c r="W6" i="24"/>
  <c r="X5" i="22"/>
  <c r="W6" i="22"/>
  <c r="V5" i="2"/>
  <c r="U6" i="2"/>
  <c r="U5" i="20"/>
  <c r="T6" i="20"/>
  <c r="V5" i="16"/>
  <c r="U6" i="16"/>
  <c r="U6" i="18"/>
  <c r="V5" i="18"/>
  <c r="U6" i="14"/>
  <c r="V5" i="14"/>
  <c r="V5" i="12"/>
  <c r="U6" i="12"/>
  <c r="U5" i="10"/>
  <c r="T6" i="10"/>
  <c r="V6" i="4"/>
  <c r="W5" i="4"/>
  <c r="V5" i="8"/>
  <c r="U6" i="8"/>
  <c r="T6" i="6"/>
  <c r="U5" i="6"/>
  <c r="Y5" i="24" l="1"/>
  <c r="X6" i="24"/>
  <c r="X6" i="22"/>
  <c r="Y5" i="22"/>
  <c r="V6" i="2"/>
  <c r="W5" i="2"/>
  <c r="V6" i="18"/>
  <c r="W5" i="18"/>
  <c r="W5" i="14"/>
  <c r="V6" i="14"/>
  <c r="W5" i="16"/>
  <c r="V6" i="16"/>
  <c r="W5" i="12"/>
  <c r="V6" i="12"/>
  <c r="V5" i="20"/>
  <c r="U6" i="20"/>
  <c r="V5" i="10"/>
  <c r="U6" i="10"/>
  <c r="U6" i="6"/>
  <c r="V5" i="6"/>
  <c r="V6" i="8"/>
  <c r="W5" i="8"/>
  <c r="X5" i="4"/>
  <c r="W6" i="4"/>
  <c r="Y6" i="24" l="1"/>
  <c r="Z5" i="24"/>
  <c r="Y6" i="22"/>
  <c r="Z5" i="22"/>
  <c r="W6" i="2"/>
  <c r="X5" i="2"/>
  <c r="W6" i="12"/>
  <c r="X5" i="12"/>
  <c r="X5" i="14"/>
  <c r="W6" i="14"/>
  <c r="X5" i="18"/>
  <c r="W6" i="18"/>
  <c r="V6" i="20"/>
  <c r="W5" i="20"/>
  <c r="W6" i="16"/>
  <c r="X5" i="16"/>
  <c r="V6" i="10"/>
  <c r="W5" i="10"/>
  <c r="Y5" i="4"/>
  <c r="X6" i="4"/>
  <c r="W6" i="8"/>
  <c r="X5" i="8"/>
  <c r="V6" i="6"/>
  <c r="W5" i="6"/>
  <c r="Z6" i="24" l="1"/>
  <c r="AA5" i="24"/>
  <c r="AA5" i="22"/>
  <c r="Z6" i="22"/>
  <c r="Y5" i="2"/>
  <c r="X6" i="2"/>
  <c r="W6" i="20"/>
  <c r="X5" i="20"/>
  <c r="X6" i="14"/>
  <c r="Y5" i="14"/>
  <c r="X6" i="16"/>
  <c r="Y5" i="16"/>
  <c r="X6" i="12"/>
  <c r="Y5" i="12"/>
  <c r="Y5" i="18"/>
  <c r="X6" i="18"/>
  <c r="W6" i="10"/>
  <c r="X5" i="10"/>
  <c r="X5" i="6"/>
  <c r="W6" i="6"/>
  <c r="Y5" i="8"/>
  <c r="X6" i="8"/>
  <c r="Y6" i="4"/>
  <c r="Z5" i="4"/>
  <c r="AB5" i="24" l="1"/>
  <c r="AA6" i="24"/>
  <c r="AB5" i="22"/>
  <c r="AA6" i="22"/>
  <c r="Z5" i="2"/>
  <c r="Y6" i="2"/>
  <c r="Y5" i="20"/>
  <c r="X6" i="20"/>
  <c r="Y6" i="18"/>
  <c r="Z5" i="18"/>
  <c r="Z5" i="12"/>
  <c r="Y6" i="12"/>
  <c r="Y6" i="14"/>
  <c r="Z5" i="14"/>
  <c r="Z5" i="16"/>
  <c r="Y6" i="16"/>
  <c r="Y5" i="10"/>
  <c r="X6" i="10"/>
  <c r="Z5" i="8"/>
  <c r="Y6" i="8"/>
  <c r="Z6" i="4"/>
  <c r="AA5" i="4"/>
  <c r="Y5" i="6"/>
  <c r="X6" i="6"/>
  <c r="AC5" i="24" l="1"/>
  <c r="AB6" i="24"/>
  <c r="AB6" i="22"/>
  <c r="AC5" i="22"/>
  <c r="Z6" i="2"/>
  <c r="AA5" i="2"/>
  <c r="AA5" i="14"/>
  <c r="Z6" i="14"/>
  <c r="Z6" i="18"/>
  <c r="AA5" i="18"/>
  <c r="AA5" i="16"/>
  <c r="Z6" i="16"/>
  <c r="AA5" i="12"/>
  <c r="Z6" i="12"/>
  <c r="Z5" i="20"/>
  <c r="Y6" i="20"/>
  <c r="Z5" i="10"/>
  <c r="Y6" i="10"/>
  <c r="AB5" i="4"/>
  <c r="AA6" i="4"/>
  <c r="Z5" i="6"/>
  <c r="Y6" i="6"/>
  <c r="Z6" i="8"/>
  <c r="AA5" i="8"/>
  <c r="AC6" i="24" l="1"/>
  <c r="AD5" i="24"/>
  <c r="AC6" i="22"/>
  <c r="AD5" i="22"/>
  <c r="AA6" i="2"/>
  <c r="AB5" i="2"/>
  <c r="AA6" i="18"/>
  <c r="AB5" i="18"/>
  <c r="AA6" i="12"/>
  <c r="AB5" i="12"/>
  <c r="Z6" i="20"/>
  <c r="AA5" i="20"/>
  <c r="AA6" i="16"/>
  <c r="AB5" i="16"/>
  <c r="AB5" i="14"/>
  <c r="AA6" i="14"/>
  <c r="Z6" i="10"/>
  <c r="AA5" i="10"/>
  <c r="Z6" i="6"/>
  <c r="AA5" i="6"/>
  <c r="AA6" i="8"/>
  <c r="AB5" i="8"/>
  <c r="AC5" i="4"/>
  <c r="AB6" i="4"/>
  <c r="AD6" i="24" l="1"/>
  <c r="AE5" i="24"/>
  <c r="AE5" i="22"/>
  <c r="AD6" i="22"/>
  <c r="AC5" i="2"/>
  <c r="AB6" i="2"/>
  <c r="AA6" i="20"/>
  <c r="AB5" i="20"/>
  <c r="AB6" i="18"/>
  <c r="AC5" i="18"/>
  <c r="AB6" i="14"/>
  <c r="AC5" i="14"/>
  <c r="AB6" i="16"/>
  <c r="AC5" i="16"/>
  <c r="AB6" i="12"/>
  <c r="AC5" i="12"/>
  <c r="AA6" i="10"/>
  <c r="AB5" i="10"/>
  <c r="AC5" i="8"/>
  <c r="AB6" i="8"/>
  <c r="AC6" i="4"/>
  <c r="AD5" i="4"/>
  <c r="AA6" i="6"/>
  <c r="AB5" i="6"/>
  <c r="AF5" i="24" l="1"/>
  <c r="AE6" i="24"/>
  <c r="AF5" i="22"/>
  <c r="AE6" i="22"/>
  <c r="AD5" i="2"/>
  <c r="AC6" i="2"/>
  <c r="AD5" i="12"/>
  <c r="AC6" i="12"/>
  <c r="AD5" i="16"/>
  <c r="AC6" i="16"/>
  <c r="AC6" i="18"/>
  <c r="AD5" i="18"/>
  <c r="AC6" i="14"/>
  <c r="AD5" i="14"/>
  <c r="AC5" i="20"/>
  <c r="AB6" i="20"/>
  <c r="AC5" i="10"/>
  <c r="AB6" i="10"/>
  <c r="AC5" i="6"/>
  <c r="AB6" i="6"/>
  <c r="AD6" i="4"/>
  <c r="AE5" i="4"/>
  <c r="AD5" i="8"/>
  <c r="AC6" i="8"/>
  <c r="AG5" i="24" l="1"/>
  <c r="AF6" i="24"/>
  <c r="AF6" i="22"/>
  <c r="AG5" i="22"/>
  <c r="AD6" i="2"/>
  <c r="AE5" i="2"/>
  <c r="AD6" i="18"/>
  <c r="AE5" i="18"/>
  <c r="AE5" i="14"/>
  <c r="AD6" i="14"/>
  <c r="AE5" i="16"/>
  <c r="AD6" i="16"/>
  <c r="AD5" i="20"/>
  <c r="AC6" i="20"/>
  <c r="AE5" i="12"/>
  <c r="AD6" i="12"/>
  <c r="AD5" i="10"/>
  <c r="AC6" i="10"/>
  <c r="AF5" i="4"/>
  <c r="AE6" i="4"/>
  <c r="AD6" i="8"/>
  <c r="AE5" i="8"/>
  <c r="AD5" i="6"/>
  <c r="AC6" i="6"/>
  <c r="AG6" i="24" l="1"/>
  <c r="AH5" i="24"/>
  <c r="AG6" i="22"/>
  <c r="AH5" i="22"/>
  <c r="AE6" i="2"/>
  <c r="AF5" i="2"/>
  <c r="AD6" i="20"/>
  <c r="AE5" i="20"/>
  <c r="AF5" i="14"/>
  <c r="AE6" i="14"/>
  <c r="AF5" i="18"/>
  <c r="AE6" i="18"/>
  <c r="AE6" i="12"/>
  <c r="AF5" i="12"/>
  <c r="AE6" i="16"/>
  <c r="AF5" i="16"/>
  <c r="AD6" i="10"/>
  <c r="AE5" i="10"/>
  <c r="AE6" i="8"/>
  <c r="AF5" i="8"/>
  <c r="AD6" i="6"/>
  <c r="AE5" i="6"/>
  <c r="AG5" i="4"/>
  <c r="AF6" i="4"/>
  <c r="AH6" i="24" l="1"/>
  <c r="AI5" i="24"/>
  <c r="AI5" i="22"/>
  <c r="AH6" i="22"/>
  <c r="AG5" i="2"/>
  <c r="AF6" i="2"/>
  <c r="AF6" i="16"/>
  <c r="AG5" i="16"/>
  <c r="AE6" i="20"/>
  <c r="AF5" i="20"/>
  <c r="AF6" i="12"/>
  <c r="AG5" i="12"/>
  <c r="AF6" i="14"/>
  <c r="AG5" i="14"/>
  <c r="AG5" i="18"/>
  <c r="AF6" i="18"/>
  <c r="AE6" i="10"/>
  <c r="AF5" i="10"/>
  <c r="AE6" i="6"/>
  <c r="AF5" i="6"/>
  <c r="AG6" i="4"/>
  <c r="AH5" i="4"/>
  <c r="AG5" i="8"/>
  <c r="AF6" i="8"/>
  <c r="AJ5" i="24" l="1"/>
  <c r="AJ6" i="24" s="1"/>
  <c r="AI6" i="24"/>
  <c r="AJ5" i="22"/>
  <c r="AJ6" i="22" s="1"/>
  <c r="AI6" i="22"/>
  <c r="AH5" i="2"/>
  <c r="AG6" i="2"/>
  <c r="AH5" i="16"/>
  <c r="AG6" i="16"/>
  <c r="AG6" i="18"/>
  <c r="AH5" i="18"/>
  <c r="AG6" i="14"/>
  <c r="AH5" i="14"/>
  <c r="AG5" i="20"/>
  <c r="AF6" i="20"/>
  <c r="AH5" i="12"/>
  <c r="AG6" i="12"/>
  <c r="AG5" i="10"/>
  <c r="AF6" i="10"/>
  <c r="AH6" i="4"/>
  <c r="AI5" i="4"/>
  <c r="AH5" i="8"/>
  <c r="AG6" i="8"/>
  <c r="AG5" i="6"/>
  <c r="AF6" i="6"/>
  <c r="AM14" i="24" l="1"/>
  <c r="H15" i="25" s="1"/>
  <c r="AM9" i="24"/>
  <c r="H10" i="25" s="1"/>
  <c r="AK14" i="24"/>
  <c r="AK9" i="24"/>
  <c r="AK16" i="24"/>
  <c r="AK11" i="24"/>
  <c r="AM16" i="24"/>
  <c r="H16" i="25" s="1"/>
  <c r="AM11" i="24"/>
  <c r="H11" i="25" s="1"/>
  <c r="AM9" i="22"/>
  <c r="H10" i="23" s="1"/>
  <c r="AK9" i="22"/>
  <c r="AM16" i="22"/>
  <c r="H16" i="23" s="1"/>
  <c r="AK14" i="22"/>
  <c r="AM14" i="22"/>
  <c r="H15" i="23" s="1"/>
  <c r="AK11" i="22"/>
  <c r="AM11" i="22"/>
  <c r="H11" i="23" s="1"/>
  <c r="AK16" i="22"/>
  <c r="AH6" i="2"/>
  <c r="AI5" i="2"/>
  <c r="AH6" i="18"/>
  <c r="AI5" i="18"/>
  <c r="AH5" i="20"/>
  <c r="AG6" i="20"/>
  <c r="AI5" i="14"/>
  <c r="AH6" i="14"/>
  <c r="AI5" i="12"/>
  <c r="AH6" i="12"/>
  <c r="AI5" i="16"/>
  <c r="AH6" i="16"/>
  <c r="AH5" i="10"/>
  <c r="AG6" i="10"/>
  <c r="AH5" i="6"/>
  <c r="AG6" i="6"/>
  <c r="AH6" i="8"/>
  <c r="AI5" i="8"/>
  <c r="AJ5" i="4"/>
  <c r="AJ6" i="4" s="1"/>
  <c r="AI6" i="4"/>
  <c r="AN9" i="24" l="1"/>
  <c r="F10" i="25"/>
  <c r="J10" i="25" s="1"/>
  <c r="U2" i="25"/>
  <c r="AN14" i="24"/>
  <c r="F15" i="25"/>
  <c r="J15" i="25" s="1"/>
  <c r="F11" i="25"/>
  <c r="J11" i="25" s="1"/>
  <c r="AN11" i="24"/>
  <c r="AN16" i="24"/>
  <c r="F16" i="25"/>
  <c r="J16" i="25" s="1"/>
  <c r="F16" i="23"/>
  <c r="J16" i="23" s="1"/>
  <c r="AN16" i="22"/>
  <c r="U2" i="23"/>
  <c r="F10" i="23"/>
  <c r="J10" i="23" s="1"/>
  <c r="AN9" i="22"/>
  <c r="F15" i="23"/>
  <c r="J15" i="23" s="1"/>
  <c r="AN14" i="22"/>
  <c r="AN11" i="22"/>
  <c r="F11" i="23"/>
  <c r="J11" i="23" s="1"/>
  <c r="AI6" i="2"/>
  <c r="AK9" i="2" s="1"/>
  <c r="AJ5" i="2"/>
  <c r="AJ6" i="2" s="1"/>
  <c r="AK18" i="2"/>
  <c r="AM13" i="2"/>
  <c r="H12" i="3" s="1"/>
  <c r="AK16" i="2"/>
  <c r="AI6" i="18"/>
  <c r="AJ5" i="18"/>
  <c r="AJ6" i="18" s="1"/>
  <c r="AI6" i="12"/>
  <c r="AJ5" i="12"/>
  <c r="AJ6" i="12" s="1"/>
  <c r="AH6" i="20"/>
  <c r="AI5" i="20"/>
  <c r="AI6" i="16"/>
  <c r="AJ5" i="16"/>
  <c r="AJ6" i="16" s="1"/>
  <c r="AJ5" i="14"/>
  <c r="AJ6" i="14" s="1"/>
  <c r="AI6" i="14"/>
  <c r="AH6" i="10"/>
  <c r="AI5" i="10"/>
  <c r="AM16" i="4"/>
  <c r="H16" i="5" s="1"/>
  <c r="AM9" i="4"/>
  <c r="H10" i="5" s="1"/>
  <c r="AK11" i="4"/>
  <c r="AM18" i="4"/>
  <c r="H17" i="5" s="1"/>
  <c r="AK16" i="4"/>
  <c r="AM14" i="4"/>
  <c r="H15" i="5" s="1"/>
  <c r="AK9" i="4"/>
  <c r="AM11" i="4"/>
  <c r="H11" i="5" s="1"/>
  <c r="AK14" i="4"/>
  <c r="AK20" i="4"/>
  <c r="AM20" i="4"/>
  <c r="H18" i="5" s="1"/>
  <c r="AK18" i="4"/>
  <c r="AH6" i="6"/>
  <c r="AI5" i="6"/>
  <c r="AI6" i="8"/>
  <c r="AJ5" i="8"/>
  <c r="AJ6" i="8" s="1"/>
  <c r="AK11" i="2" l="1"/>
  <c r="AM11" i="2"/>
  <c r="H11" i="3" s="1"/>
  <c r="G10" i="25"/>
  <c r="G11" i="25"/>
  <c r="G16" i="25"/>
  <c r="I10" i="25"/>
  <c r="G15" i="25"/>
  <c r="I16" i="25"/>
  <c r="I11" i="25"/>
  <c r="I15" i="25"/>
  <c r="G11" i="23"/>
  <c r="G10" i="23"/>
  <c r="G16" i="23"/>
  <c r="G15" i="23"/>
  <c r="I16" i="23"/>
  <c r="I11" i="23"/>
  <c r="I15" i="23"/>
  <c r="I10" i="23"/>
  <c r="AK22" i="2"/>
  <c r="AM20" i="2"/>
  <c r="H18" i="3" s="1"/>
  <c r="AK20" i="2"/>
  <c r="AM22" i="2"/>
  <c r="H19" i="3" s="1"/>
  <c r="F16" i="3"/>
  <c r="F10" i="3"/>
  <c r="AM9" i="2"/>
  <c r="AM16" i="2"/>
  <c r="H16" i="3" s="1"/>
  <c r="AM18" i="2"/>
  <c r="H17" i="3" s="1"/>
  <c r="AK13" i="2"/>
  <c r="F12" i="3" s="1"/>
  <c r="J12" i="3" s="1"/>
  <c r="F17" i="3"/>
  <c r="AI6" i="20"/>
  <c r="AJ5" i="20"/>
  <c r="AJ6" i="20" s="1"/>
  <c r="AM16" i="16"/>
  <c r="H16" i="17" s="1"/>
  <c r="AK16" i="16"/>
  <c r="AM18" i="16"/>
  <c r="H17" i="17" s="1"/>
  <c r="AM11" i="16"/>
  <c r="H11" i="17" s="1"/>
  <c r="AK18" i="16"/>
  <c r="AM14" i="16"/>
  <c r="H15" i="17" s="1"/>
  <c r="AK9" i="16"/>
  <c r="AM20" i="16"/>
  <c r="H18" i="17" s="1"/>
  <c r="AK20" i="16"/>
  <c r="AM9" i="16"/>
  <c r="H10" i="17" s="1"/>
  <c r="AK11" i="16"/>
  <c r="AK14" i="16"/>
  <c r="AK11" i="12"/>
  <c r="AM20" i="12"/>
  <c r="H18" i="13" s="1"/>
  <c r="AK9" i="12"/>
  <c r="AM18" i="12"/>
  <c r="H17" i="13" s="1"/>
  <c r="AM16" i="12"/>
  <c r="H16" i="13" s="1"/>
  <c r="AM9" i="12"/>
  <c r="H10" i="13" s="1"/>
  <c r="AK18" i="12"/>
  <c r="AM11" i="12"/>
  <c r="H11" i="13" s="1"/>
  <c r="AK20" i="12"/>
  <c r="AM14" i="12"/>
  <c r="H15" i="13" s="1"/>
  <c r="AK16" i="12"/>
  <c r="AK14" i="12"/>
  <c r="AM18" i="18"/>
  <c r="H17" i="19" s="1"/>
  <c r="AK9" i="18"/>
  <c r="AK20" i="18"/>
  <c r="AM9" i="18"/>
  <c r="H10" i="19" s="1"/>
  <c r="AK14" i="18"/>
  <c r="AM11" i="18"/>
  <c r="H11" i="19" s="1"/>
  <c r="AK11" i="18"/>
  <c r="AM14" i="18"/>
  <c r="H15" i="19" s="1"/>
  <c r="AK18" i="18"/>
  <c r="AM20" i="18"/>
  <c r="H18" i="19" s="1"/>
  <c r="AM16" i="18"/>
  <c r="H16" i="19" s="1"/>
  <c r="AK16" i="18"/>
  <c r="AM14" i="14"/>
  <c r="H15" i="15" s="1"/>
  <c r="AK20" i="14"/>
  <c r="AK14" i="14"/>
  <c r="AM16" i="14"/>
  <c r="H16" i="15" s="1"/>
  <c r="AM11" i="14"/>
  <c r="H11" i="15" s="1"/>
  <c r="AM18" i="14"/>
  <c r="H17" i="15" s="1"/>
  <c r="AM20" i="14"/>
  <c r="H18" i="15" s="1"/>
  <c r="AK9" i="14"/>
  <c r="AK18" i="14"/>
  <c r="AM9" i="14"/>
  <c r="H10" i="15" s="1"/>
  <c r="AK11" i="14"/>
  <c r="AK16" i="14"/>
  <c r="AI6" i="10"/>
  <c r="AJ5" i="10"/>
  <c r="AJ6" i="10" s="1"/>
  <c r="AJ5" i="6"/>
  <c r="AJ6" i="6" s="1"/>
  <c r="AI6" i="6"/>
  <c r="AK14" i="8"/>
  <c r="AM16" i="8"/>
  <c r="H16" i="9" s="1"/>
  <c r="AM9" i="8"/>
  <c r="H10" i="9" s="1"/>
  <c r="AM14" i="8"/>
  <c r="H15" i="9" s="1"/>
  <c r="AK20" i="8"/>
  <c r="AK9" i="8"/>
  <c r="AM20" i="8"/>
  <c r="H18" i="9" s="1"/>
  <c r="AK18" i="8"/>
  <c r="AK11" i="8"/>
  <c r="AM18" i="8"/>
  <c r="H17" i="9" s="1"/>
  <c r="AK16" i="8"/>
  <c r="AM11" i="8"/>
  <c r="H11" i="9" s="1"/>
  <c r="AN18" i="4"/>
  <c r="F17" i="5"/>
  <c r="J17" i="5" s="1"/>
  <c r="AN14" i="4"/>
  <c r="F15" i="5"/>
  <c r="J15" i="5" s="1"/>
  <c r="F16" i="5"/>
  <c r="J16" i="5" s="1"/>
  <c r="AN16" i="4"/>
  <c r="AN9" i="4"/>
  <c r="F10" i="5"/>
  <c r="J10" i="5" s="1"/>
  <c r="U2" i="5"/>
  <c r="F18" i="5"/>
  <c r="J18" i="5" s="1"/>
  <c r="AN20" i="4"/>
  <c r="F11" i="5"/>
  <c r="J11" i="5" s="1"/>
  <c r="AN11" i="4"/>
  <c r="AN11" i="2" l="1"/>
  <c r="F11" i="3"/>
  <c r="J11" i="3" s="1"/>
  <c r="I18" i="25"/>
  <c r="K16" i="25"/>
  <c r="M16" i="25" s="1"/>
  <c r="Q16" i="25" s="1"/>
  <c r="S16" i="25" s="1"/>
  <c r="I13" i="25"/>
  <c r="K11" i="25"/>
  <c r="M11" i="25" s="1"/>
  <c r="Q11" i="25" s="1"/>
  <c r="S11" i="25" s="1"/>
  <c r="G18" i="25"/>
  <c r="K15" i="25"/>
  <c r="K10" i="25"/>
  <c r="G13" i="25"/>
  <c r="I13" i="23"/>
  <c r="I18" i="23"/>
  <c r="K11" i="23"/>
  <c r="M11" i="23" s="1"/>
  <c r="Q11" i="23" s="1"/>
  <c r="S11" i="23" s="1"/>
  <c r="K10" i="23"/>
  <c r="G13" i="23"/>
  <c r="K15" i="23"/>
  <c r="G18" i="23"/>
  <c r="K16" i="23"/>
  <c r="M16" i="23" s="1"/>
  <c r="Q16" i="23" s="1"/>
  <c r="S16" i="23" s="1"/>
  <c r="AN22" i="2"/>
  <c r="F19" i="3"/>
  <c r="J19" i="3" s="1"/>
  <c r="AN20" i="2"/>
  <c r="F18" i="3"/>
  <c r="J18" i="3" s="1"/>
  <c r="H10" i="3"/>
  <c r="J10" i="3" s="1"/>
  <c r="J17" i="3"/>
  <c r="AN16" i="2"/>
  <c r="AN13" i="2"/>
  <c r="AN9" i="2"/>
  <c r="J16" i="3"/>
  <c r="AN18" i="2"/>
  <c r="U2" i="3"/>
  <c r="AN14" i="14"/>
  <c r="F15" i="15"/>
  <c r="J15" i="15" s="1"/>
  <c r="F17" i="19"/>
  <c r="J17" i="19" s="1"/>
  <c r="AN18" i="18"/>
  <c r="F15" i="19"/>
  <c r="J15" i="19" s="1"/>
  <c r="AN14" i="18"/>
  <c r="F15" i="17"/>
  <c r="J15" i="17" s="1"/>
  <c r="AN14" i="16"/>
  <c r="F17" i="17"/>
  <c r="J17" i="17" s="1"/>
  <c r="AN18" i="16"/>
  <c r="F16" i="17"/>
  <c r="J16" i="17" s="1"/>
  <c r="AN16" i="16"/>
  <c r="F17" i="15"/>
  <c r="J17" i="15" s="1"/>
  <c r="AN18" i="14"/>
  <c r="F18" i="15"/>
  <c r="J18" i="15" s="1"/>
  <c r="AN20" i="14"/>
  <c r="AN16" i="18"/>
  <c r="F16" i="19"/>
  <c r="J16" i="19" s="1"/>
  <c r="F18" i="13"/>
  <c r="J18" i="13" s="1"/>
  <c r="AN20" i="12"/>
  <c r="AN11" i="12"/>
  <c r="F11" i="13"/>
  <c r="J11" i="13" s="1"/>
  <c r="AN11" i="16"/>
  <c r="F11" i="17"/>
  <c r="J11" i="17" s="1"/>
  <c r="F16" i="15"/>
  <c r="J16" i="15" s="1"/>
  <c r="AN16" i="14"/>
  <c r="F10" i="15"/>
  <c r="J10" i="15" s="1"/>
  <c r="U2" i="15"/>
  <c r="AN9" i="14"/>
  <c r="F11" i="19"/>
  <c r="J11" i="19" s="1"/>
  <c r="AN11" i="18"/>
  <c r="F18" i="19"/>
  <c r="J18" i="19" s="1"/>
  <c r="AN20" i="18"/>
  <c r="U2" i="19"/>
  <c r="F10" i="19"/>
  <c r="J10" i="19" s="1"/>
  <c r="AN9" i="18"/>
  <c r="AN14" i="12"/>
  <c r="F15" i="13"/>
  <c r="J15" i="13" s="1"/>
  <c r="F10" i="17"/>
  <c r="J10" i="17" s="1"/>
  <c r="AN9" i="16"/>
  <c r="U2" i="17"/>
  <c r="AM9" i="20"/>
  <c r="H10" i="21" s="1"/>
  <c r="AM14" i="20"/>
  <c r="H15" i="21" s="1"/>
  <c r="AM11" i="20"/>
  <c r="H11" i="21" s="1"/>
  <c r="AK14" i="20"/>
  <c r="AK9" i="20"/>
  <c r="AK11" i="20"/>
  <c r="AK16" i="20"/>
  <c r="AM16" i="20"/>
  <c r="H16" i="21" s="1"/>
  <c r="F11" i="15"/>
  <c r="J11" i="15" s="1"/>
  <c r="AN11" i="14"/>
  <c r="F16" i="13"/>
  <c r="J16" i="13" s="1"/>
  <c r="AN16" i="12"/>
  <c r="AN18" i="12"/>
  <c r="F17" i="13"/>
  <c r="J17" i="13" s="1"/>
  <c r="F10" i="13"/>
  <c r="J10" i="13" s="1"/>
  <c r="U2" i="13"/>
  <c r="AN9" i="12"/>
  <c r="AN20" i="16"/>
  <c r="F18" i="17"/>
  <c r="J18" i="17" s="1"/>
  <c r="AK16" i="10"/>
  <c r="AM16" i="10"/>
  <c r="H16" i="11" s="1"/>
  <c r="AM11" i="10"/>
  <c r="H11" i="11" s="1"/>
  <c r="AM20" i="10"/>
  <c r="H18" i="11" s="1"/>
  <c r="AK11" i="10"/>
  <c r="AK18" i="10"/>
  <c r="AK9" i="10"/>
  <c r="AM14" i="10"/>
  <c r="H15" i="11" s="1"/>
  <c r="AK14" i="10"/>
  <c r="AM18" i="10"/>
  <c r="H17" i="11" s="1"/>
  <c r="AM9" i="10"/>
  <c r="H10" i="11" s="1"/>
  <c r="AK20" i="10"/>
  <c r="G16" i="5"/>
  <c r="G10" i="5"/>
  <c r="G15" i="5"/>
  <c r="G11" i="5"/>
  <c r="G17" i="5"/>
  <c r="I11" i="5"/>
  <c r="I18" i="5"/>
  <c r="I15" i="5"/>
  <c r="G18" i="5"/>
  <c r="I17" i="5"/>
  <c r="I10" i="5"/>
  <c r="I16" i="5"/>
  <c r="F11" i="9"/>
  <c r="J11" i="9" s="1"/>
  <c r="AN11" i="8"/>
  <c r="F15" i="9"/>
  <c r="J15" i="9" s="1"/>
  <c r="AN14" i="8"/>
  <c r="F10" i="9"/>
  <c r="J10" i="9" s="1"/>
  <c r="AN9" i="8"/>
  <c r="U2" i="9"/>
  <c r="F16" i="9"/>
  <c r="J16" i="9" s="1"/>
  <c r="AN16" i="8"/>
  <c r="F17" i="9"/>
  <c r="J17" i="9" s="1"/>
  <c r="AN18" i="8"/>
  <c r="AN20" i="8"/>
  <c r="F18" i="9"/>
  <c r="J18" i="9" s="1"/>
  <c r="AK16" i="6"/>
  <c r="AK9" i="6"/>
  <c r="AM11" i="6"/>
  <c r="H11" i="7" s="1"/>
  <c r="AM16" i="6"/>
  <c r="H16" i="7" s="1"/>
  <c r="AK18" i="6"/>
  <c r="AM18" i="6"/>
  <c r="H17" i="7" s="1"/>
  <c r="AM20" i="6"/>
  <c r="H18" i="7" s="1"/>
  <c r="AK20" i="6"/>
  <c r="AK14" i="6"/>
  <c r="AM9" i="6"/>
  <c r="H10" i="7" s="1"/>
  <c r="AM14" i="6"/>
  <c r="H15" i="7" s="1"/>
  <c r="AK11" i="6"/>
  <c r="M15" i="25" l="1"/>
  <c r="K18" i="25"/>
  <c r="K13" i="25"/>
  <c r="M10" i="25"/>
  <c r="K18" i="23"/>
  <c r="M15" i="23"/>
  <c r="M10" i="23"/>
  <c r="K13" i="23"/>
  <c r="G12" i="3"/>
  <c r="I12" i="3"/>
  <c r="G11" i="3"/>
  <c r="I11" i="3"/>
  <c r="I13" i="5"/>
  <c r="K11" i="5"/>
  <c r="M11" i="5" s="1"/>
  <c r="Q11" i="5" s="1"/>
  <c r="S11" i="5" s="1"/>
  <c r="I18" i="3"/>
  <c r="I19" i="3"/>
  <c r="G19" i="3"/>
  <c r="G18" i="3"/>
  <c r="I17" i="3"/>
  <c r="G17" i="3"/>
  <c r="G10" i="3"/>
  <c r="I16" i="3"/>
  <c r="G16" i="3"/>
  <c r="I10" i="3"/>
  <c r="G16" i="19"/>
  <c r="G11" i="19"/>
  <c r="G15" i="19"/>
  <c r="G10" i="19"/>
  <c r="I16" i="19"/>
  <c r="G17" i="19"/>
  <c r="I17" i="19"/>
  <c r="I18" i="19"/>
  <c r="G18" i="19"/>
  <c r="I10" i="19"/>
  <c r="I15" i="19"/>
  <c r="I11" i="19"/>
  <c r="G18" i="13"/>
  <c r="I16" i="13"/>
  <c r="I17" i="13"/>
  <c r="G16" i="13"/>
  <c r="G11" i="13"/>
  <c r="I11" i="13"/>
  <c r="I18" i="13"/>
  <c r="I15" i="13"/>
  <c r="G10" i="13"/>
  <c r="G17" i="13"/>
  <c r="I10" i="13"/>
  <c r="G15" i="13"/>
  <c r="F16" i="21"/>
  <c r="J16" i="21" s="1"/>
  <c r="AN16" i="20"/>
  <c r="F10" i="21"/>
  <c r="J10" i="21" s="1"/>
  <c r="AN9" i="20"/>
  <c r="U2" i="21"/>
  <c r="F15" i="21"/>
  <c r="J15" i="21" s="1"/>
  <c r="AN14" i="20"/>
  <c r="G15" i="15"/>
  <c r="I11" i="15"/>
  <c r="G11" i="15"/>
  <c r="I10" i="15"/>
  <c r="G16" i="15"/>
  <c r="I15" i="15"/>
  <c r="I16" i="15"/>
  <c r="G17" i="15"/>
  <c r="G10" i="15"/>
  <c r="I17" i="15"/>
  <c r="G18" i="15"/>
  <c r="I18" i="15"/>
  <c r="F11" i="21"/>
  <c r="J11" i="21" s="1"/>
  <c r="AN11" i="20"/>
  <c r="G16" i="17"/>
  <c r="G11" i="17"/>
  <c r="G10" i="17"/>
  <c r="I16" i="17"/>
  <c r="I11" i="17"/>
  <c r="I17" i="17"/>
  <c r="I15" i="17"/>
  <c r="I18" i="17"/>
  <c r="G17" i="17"/>
  <c r="G18" i="17"/>
  <c r="I10" i="17"/>
  <c r="G15" i="17"/>
  <c r="AN20" i="10"/>
  <c r="F18" i="11"/>
  <c r="J18" i="11" s="1"/>
  <c r="F17" i="11"/>
  <c r="J17" i="11" s="1"/>
  <c r="AN18" i="10"/>
  <c r="F15" i="11"/>
  <c r="J15" i="11" s="1"/>
  <c r="AN14" i="10"/>
  <c r="F10" i="11"/>
  <c r="J10" i="11" s="1"/>
  <c r="AN9" i="10"/>
  <c r="U2" i="11"/>
  <c r="F11" i="11"/>
  <c r="J11" i="11" s="1"/>
  <c r="AN11" i="10"/>
  <c r="F16" i="11"/>
  <c r="J16" i="11" s="1"/>
  <c r="AN16" i="10"/>
  <c r="F15" i="7"/>
  <c r="J15" i="7" s="1"/>
  <c r="AN14" i="6"/>
  <c r="I20" i="5"/>
  <c r="G13" i="5"/>
  <c r="K10" i="5"/>
  <c r="F11" i="7"/>
  <c r="J11" i="7" s="1"/>
  <c r="AN11" i="6"/>
  <c r="F18" i="7"/>
  <c r="J18" i="7" s="1"/>
  <c r="AN20" i="6"/>
  <c r="K17" i="5"/>
  <c r="M17" i="5" s="1"/>
  <c r="Q17" i="5" s="1"/>
  <c r="S17" i="5" s="1"/>
  <c r="K16" i="5"/>
  <c r="M16" i="5" s="1"/>
  <c r="Q16" i="5" s="1"/>
  <c r="S16" i="5" s="1"/>
  <c r="F17" i="7"/>
  <c r="J17" i="7" s="1"/>
  <c r="AN18" i="6"/>
  <c r="U2" i="7"/>
  <c r="F10" i="7"/>
  <c r="J10" i="7" s="1"/>
  <c r="AN9" i="6"/>
  <c r="AN16" i="6"/>
  <c r="F16" i="7"/>
  <c r="J16" i="7" s="1"/>
  <c r="G18" i="9"/>
  <c r="G17" i="9"/>
  <c r="G11" i="9"/>
  <c r="G10" i="9"/>
  <c r="I16" i="9"/>
  <c r="G15" i="9"/>
  <c r="I11" i="9"/>
  <c r="G16" i="9"/>
  <c r="I18" i="9"/>
  <c r="I15" i="9"/>
  <c r="I17" i="9"/>
  <c r="I10" i="9"/>
  <c r="K18" i="5"/>
  <c r="M18" i="5" s="1"/>
  <c r="Q18" i="5" s="1"/>
  <c r="S18" i="5" s="1"/>
  <c r="G20" i="5"/>
  <c r="K15" i="5"/>
  <c r="I13" i="9" l="1"/>
  <c r="K17" i="13"/>
  <c r="M17" i="13" s="1"/>
  <c r="Q17" i="13" s="1"/>
  <c r="S17" i="13" s="1"/>
  <c r="M13" i="25"/>
  <c r="Q10" i="25"/>
  <c r="Q15" i="25"/>
  <c r="M18" i="25"/>
  <c r="Q10" i="23"/>
  <c r="M13" i="23"/>
  <c r="Q15" i="23"/>
  <c r="M18" i="23"/>
  <c r="K11" i="3"/>
  <c r="M11" i="3" s="1"/>
  <c r="Q11" i="3" s="1"/>
  <c r="S11" i="3" s="1"/>
  <c r="K18" i="15"/>
  <c r="M18" i="15" s="1"/>
  <c r="Q18" i="15" s="1"/>
  <c r="S18" i="15" s="1"/>
  <c r="K11" i="15"/>
  <c r="M11" i="15" s="1"/>
  <c r="Q11" i="15" s="1"/>
  <c r="S11" i="15" s="1"/>
  <c r="K17" i="19"/>
  <c r="M17" i="19" s="1"/>
  <c r="Q17" i="19" s="1"/>
  <c r="S17" i="19" s="1"/>
  <c r="K16" i="17"/>
  <c r="M16" i="17" s="1"/>
  <c r="Q16" i="17" s="1"/>
  <c r="S16" i="17" s="1"/>
  <c r="K12" i="3"/>
  <c r="M12" i="3" s="1"/>
  <c r="Q12" i="3" s="1"/>
  <c r="S12" i="3" s="1"/>
  <c r="I13" i="17"/>
  <c r="K18" i="19"/>
  <c r="M18" i="19" s="1"/>
  <c r="Q18" i="19" s="1"/>
  <c r="S18" i="19" s="1"/>
  <c r="K18" i="3"/>
  <c r="M18" i="3" s="1"/>
  <c r="Q18" i="3" s="1"/>
  <c r="S18" i="3" s="1"/>
  <c r="K16" i="9"/>
  <c r="M16" i="9" s="1"/>
  <c r="Q16" i="9" s="1"/>
  <c r="S16" i="9" s="1"/>
  <c r="K19" i="3"/>
  <c r="M19" i="3" s="1"/>
  <c r="Q19" i="3" s="1"/>
  <c r="S19" i="3" s="1"/>
  <c r="K17" i="3"/>
  <c r="M17" i="3" s="1"/>
  <c r="Q17" i="3" s="1"/>
  <c r="S17" i="3" s="1"/>
  <c r="I14" i="3"/>
  <c r="K10" i="3"/>
  <c r="G14" i="3"/>
  <c r="G21" i="3"/>
  <c r="K16" i="3"/>
  <c r="I21" i="3"/>
  <c r="G13" i="17"/>
  <c r="K10" i="17"/>
  <c r="G20" i="15"/>
  <c r="K15" i="15"/>
  <c r="G13" i="19"/>
  <c r="K10" i="19"/>
  <c r="K11" i="17"/>
  <c r="M11" i="17" s="1"/>
  <c r="Q11" i="17" s="1"/>
  <c r="S11" i="17" s="1"/>
  <c r="I20" i="15"/>
  <c r="I11" i="21"/>
  <c r="G11" i="21"/>
  <c r="I15" i="21"/>
  <c r="G16" i="21"/>
  <c r="I16" i="21"/>
  <c r="G15" i="21"/>
  <c r="I10" i="21"/>
  <c r="G10" i="21"/>
  <c r="G13" i="13"/>
  <c r="K10" i="13"/>
  <c r="G20" i="19"/>
  <c r="K15" i="19"/>
  <c r="K18" i="17"/>
  <c r="M18" i="17" s="1"/>
  <c r="Q18" i="17" s="1"/>
  <c r="S18" i="17" s="1"/>
  <c r="G13" i="15"/>
  <c r="K10" i="15"/>
  <c r="K16" i="15"/>
  <c r="M16" i="15" s="1"/>
  <c r="Q16" i="15" s="1"/>
  <c r="S16" i="15" s="1"/>
  <c r="K15" i="13"/>
  <c r="G20" i="13"/>
  <c r="K11" i="13"/>
  <c r="M11" i="13" s="1"/>
  <c r="Q11" i="13" s="1"/>
  <c r="S11" i="13" s="1"/>
  <c r="I20" i="19"/>
  <c r="K11" i="19"/>
  <c r="M11" i="19" s="1"/>
  <c r="Q11" i="19" s="1"/>
  <c r="S11" i="19" s="1"/>
  <c r="G20" i="17"/>
  <c r="K15" i="17"/>
  <c r="K17" i="17"/>
  <c r="M17" i="17" s="1"/>
  <c r="Q17" i="17" s="1"/>
  <c r="S17" i="17" s="1"/>
  <c r="I20" i="17"/>
  <c r="K17" i="15"/>
  <c r="M17" i="15" s="1"/>
  <c r="Q17" i="15" s="1"/>
  <c r="S17" i="15" s="1"/>
  <c r="I13" i="15"/>
  <c r="I13" i="13"/>
  <c r="I20" i="13"/>
  <c r="K16" i="13"/>
  <c r="M16" i="13" s="1"/>
  <c r="Q16" i="13" s="1"/>
  <c r="S16" i="13" s="1"/>
  <c r="K18" i="13"/>
  <c r="M18" i="13" s="1"/>
  <c r="Q18" i="13" s="1"/>
  <c r="S18" i="13" s="1"/>
  <c r="I13" i="19"/>
  <c r="K16" i="19"/>
  <c r="M16" i="19" s="1"/>
  <c r="Q16" i="19" s="1"/>
  <c r="S16" i="19" s="1"/>
  <c r="G18" i="11"/>
  <c r="I11" i="11"/>
  <c r="I17" i="11"/>
  <c r="G11" i="11"/>
  <c r="I15" i="11"/>
  <c r="G10" i="11"/>
  <c r="I18" i="11"/>
  <c r="G16" i="11"/>
  <c r="G17" i="11"/>
  <c r="G15" i="11"/>
  <c r="I10" i="11"/>
  <c r="I16" i="11"/>
  <c r="I20" i="9"/>
  <c r="K10" i="9"/>
  <c r="G13" i="9"/>
  <c r="K17" i="9"/>
  <c r="M17" i="9" s="1"/>
  <c r="Q17" i="9" s="1"/>
  <c r="S17" i="9" s="1"/>
  <c r="K15" i="9"/>
  <c r="G20" i="9"/>
  <c r="K11" i="9"/>
  <c r="M11" i="9" s="1"/>
  <c r="Q11" i="9" s="1"/>
  <c r="S11" i="9" s="1"/>
  <c r="K18" i="9"/>
  <c r="M18" i="9" s="1"/>
  <c r="Q18" i="9" s="1"/>
  <c r="S18" i="9" s="1"/>
  <c r="K13" i="5"/>
  <c r="M10" i="5"/>
  <c r="G16" i="7"/>
  <c r="G11" i="7"/>
  <c r="G17" i="7"/>
  <c r="I10" i="7"/>
  <c r="I18" i="7"/>
  <c r="I11" i="7"/>
  <c r="I16" i="7"/>
  <c r="G10" i="7"/>
  <c r="I17" i="7"/>
  <c r="I15" i="7"/>
  <c r="G18" i="7"/>
  <c r="G15" i="7"/>
  <c r="M15" i="5"/>
  <c r="K20" i="5"/>
  <c r="Q18" i="25" l="1"/>
  <c r="S15" i="25"/>
  <c r="S18" i="25" s="1"/>
  <c r="S10" i="25"/>
  <c r="S13" i="25" s="1"/>
  <c r="Q13" i="25"/>
  <c r="S15" i="23"/>
  <c r="S18" i="23" s="1"/>
  <c r="Q18" i="23"/>
  <c r="S10" i="23"/>
  <c r="S13" i="23" s="1"/>
  <c r="Q13" i="23"/>
  <c r="K17" i="11"/>
  <c r="M17" i="11" s="1"/>
  <c r="Q17" i="11" s="1"/>
  <c r="S17" i="11" s="1"/>
  <c r="K11" i="11"/>
  <c r="M11" i="11" s="1"/>
  <c r="Q11" i="11" s="1"/>
  <c r="S11" i="11" s="1"/>
  <c r="I18" i="21"/>
  <c r="I13" i="11"/>
  <c r="K18" i="7"/>
  <c r="M18" i="7" s="1"/>
  <c r="Q18" i="7" s="1"/>
  <c r="S18" i="7" s="1"/>
  <c r="K21" i="3"/>
  <c r="M16" i="3"/>
  <c r="M10" i="3"/>
  <c r="K14" i="3"/>
  <c r="K20" i="17"/>
  <c r="M15" i="17"/>
  <c r="M15" i="19"/>
  <c r="K20" i="19"/>
  <c r="K10" i="21"/>
  <c r="G13" i="21"/>
  <c r="K20" i="15"/>
  <c r="M15" i="15"/>
  <c r="K13" i="15"/>
  <c r="M10" i="15"/>
  <c r="I13" i="21"/>
  <c r="K13" i="13"/>
  <c r="M10" i="13"/>
  <c r="M10" i="19"/>
  <c r="K13" i="19"/>
  <c r="K13" i="17"/>
  <c r="M10" i="17"/>
  <c r="K20" i="13"/>
  <c r="M15" i="13"/>
  <c r="K15" i="21"/>
  <c r="G18" i="21"/>
  <c r="K16" i="21"/>
  <c r="M16" i="21" s="1"/>
  <c r="Q16" i="21" s="1"/>
  <c r="S16" i="21" s="1"/>
  <c r="K11" i="21"/>
  <c r="M11" i="21" s="1"/>
  <c r="Q11" i="21" s="1"/>
  <c r="S11" i="21" s="1"/>
  <c r="K10" i="11"/>
  <c r="G13" i="11"/>
  <c r="K16" i="11"/>
  <c r="M16" i="11" s="1"/>
  <c r="Q16" i="11" s="1"/>
  <c r="S16" i="11" s="1"/>
  <c r="I20" i="11"/>
  <c r="K18" i="11"/>
  <c r="M18" i="11" s="1"/>
  <c r="Q18" i="11" s="1"/>
  <c r="S18" i="11" s="1"/>
  <c r="K17" i="7"/>
  <c r="M17" i="7" s="1"/>
  <c r="Q17" i="7" s="1"/>
  <c r="S17" i="7" s="1"/>
  <c r="K15" i="11"/>
  <c r="G20" i="11"/>
  <c r="G13" i="7"/>
  <c r="K10" i="7"/>
  <c r="I20" i="7"/>
  <c r="K11" i="7"/>
  <c r="M11" i="7" s="1"/>
  <c r="Q11" i="7" s="1"/>
  <c r="S11" i="7" s="1"/>
  <c r="M13" i="5"/>
  <c r="Q10" i="5"/>
  <c r="K13" i="9"/>
  <c r="M10" i="9"/>
  <c r="G20" i="7"/>
  <c r="K15" i="7"/>
  <c r="I13" i="7"/>
  <c r="Q15" i="5"/>
  <c r="M20" i="5"/>
  <c r="K16" i="7"/>
  <c r="M16" i="7" s="1"/>
  <c r="Q16" i="7" s="1"/>
  <c r="S16" i="7" s="1"/>
  <c r="K20" i="9"/>
  <c r="M15" i="9"/>
  <c r="Q10" i="3" l="1"/>
  <c r="M14" i="3"/>
  <c r="Q16" i="3"/>
  <c r="M21" i="3"/>
  <c r="Q10" i="19"/>
  <c r="M13" i="19"/>
  <c r="Q15" i="19"/>
  <c r="M20" i="19"/>
  <c r="K18" i="21"/>
  <c r="M15" i="21"/>
  <c r="Q10" i="13"/>
  <c r="M13" i="13"/>
  <c r="M20" i="17"/>
  <c r="Q15" i="17"/>
  <c r="M13" i="17"/>
  <c r="Q10" i="17"/>
  <c r="M13" i="15"/>
  <c r="Q10" i="15"/>
  <c r="Q15" i="13"/>
  <c r="M20" i="13"/>
  <c r="M20" i="15"/>
  <c r="Q15" i="15"/>
  <c r="K13" i="21"/>
  <c r="M10" i="21"/>
  <c r="K20" i="11"/>
  <c r="M15" i="11"/>
  <c r="K13" i="11"/>
  <c r="M10" i="11"/>
  <c r="M15" i="7"/>
  <c r="K20" i="7"/>
  <c r="Q13" i="5"/>
  <c r="S10" i="5"/>
  <c r="S13" i="5" s="1"/>
  <c r="M10" i="7"/>
  <c r="K13" i="7"/>
  <c r="Q15" i="9"/>
  <c r="M20" i="9"/>
  <c r="Q20" i="5"/>
  <c r="S15" i="5"/>
  <c r="S20" i="5" s="1"/>
  <c r="Q10" i="9"/>
  <c r="M13" i="9"/>
  <c r="Q21" i="3" l="1"/>
  <c r="S16" i="3"/>
  <c r="S21" i="3" s="1"/>
  <c r="S10" i="3"/>
  <c r="S14" i="3" s="1"/>
  <c r="Q14" i="3"/>
  <c r="Q13" i="13"/>
  <c r="S10" i="13"/>
  <c r="S13" i="13" s="1"/>
  <c r="Q10" i="21"/>
  <c r="M13" i="21"/>
  <c r="Q13" i="17"/>
  <c r="S10" i="17"/>
  <c r="S13" i="17" s="1"/>
  <c r="S15" i="13"/>
  <c r="S20" i="13" s="1"/>
  <c r="Q20" i="13"/>
  <c r="Q20" i="19"/>
  <c r="S15" i="19"/>
  <c r="S20" i="19" s="1"/>
  <c r="Q20" i="15"/>
  <c r="S15" i="15"/>
  <c r="S20" i="15" s="1"/>
  <c r="Q13" i="15"/>
  <c r="S10" i="15"/>
  <c r="S13" i="15" s="1"/>
  <c r="Q20" i="17"/>
  <c r="S15" i="17"/>
  <c r="S20" i="17" s="1"/>
  <c r="Q15" i="21"/>
  <c r="M18" i="21"/>
  <c r="Q13" i="19"/>
  <c r="S10" i="19"/>
  <c r="S13" i="19" s="1"/>
  <c r="Q10" i="11"/>
  <c r="M13" i="11"/>
  <c r="Q15" i="11"/>
  <c r="M20" i="11"/>
  <c r="S10" i="9"/>
  <c r="S13" i="9" s="1"/>
  <c r="Q13" i="9"/>
  <c r="S15" i="9"/>
  <c r="S20" i="9" s="1"/>
  <c r="Q20" i="9"/>
  <c r="Q10" i="7"/>
  <c r="M13" i="7"/>
  <c r="Q15" i="7"/>
  <c r="M20" i="7"/>
  <c r="S10" i="21" l="1"/>
  <c r="S13" i="21" s="1"/>
  <c r="Q13" i="21"/>
  <c r="S15" i="21"/>
  <c r="S18" i="21" s="1"/>
  <c r="Q18" i="21"/>
  <c r="S15" i="11"/>
  <c r="S20" i="11" s="1"/>
  <c r="Q20" i="11"/>
  <c r="S10" i="11"/>
  <c r="S13" i="11" s="1"/>
  <c r="Q13" i="11"/>
  <c r="Q20" i="7"/>
  <c r="S15" i="7"/>
  <c r="S20" i="7" s="1"/>
  <c r="Q13" i="7"/>
  <c r="S10" i="7"/>
  <c r="S13" i="7" s="1"/>
</calcChain>
</file>

<file path=xl/sharedStrings.xml><?xml version="1.0" encoding="utf-8"?>
<sst xmlns="http://schemas.openxmlformats.org/spreadsheetml/2006/main" count="1215" uniqueCount="181">
  <si>
    <t>Công ty TNHH Hải sản An Lạc</t>
  </si>
  <si>
    <t>Địa chỉ: Lô A14, đường 4A, KCN Hải Sơn, Đức Hòa, Long An</t>
  </si>
  <si>
    <t>CẬP NHẬT THÔNG TIN NGƯỜI LAO ĐỘNG  HÀNG THÁNG</t>
  </si>
  <si>
    <t>STT</t>
  </si>
  <si>
    <t>Mã NV</t>
  </si>
  <si>
    <t>Họ và Tên</t>
  </si>
  <si>
    <t>Chức Vụ</t>
  </si>
  <si>
    <t>Lương căn bản</t>
  </si>
  <si>
    <t>Phụ cấp</t>
  </si>
  <si>
    <t>Số người phụ thuộc</t>
  </si>
  <si>
    <t>Tham gia BH</t>
  </si>
  <si>
    <t>Tham gia công đoàn</t>
  </si>
  <si>
    <t>Tạm ứng</t>
  </si>
  <si>
    <t>Ghi Chú</t>
  </si>
  <si>
    <t>Cơm</t>
  </si>
  <si>
    <t>Khác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</si>
  <si>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</si>
  <si>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</si>
  <si>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</si>
  <si>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</si>
  <si>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</si>
  <si>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</si>
  <si>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</si>
  <si>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</si>
  <si>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</si>
  <si>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</si>
  <si>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</si>
  <si>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</si>
  <si>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QL01</t>
  </si>
  <si>
    <t>Nguyễn Đức Hải</t>
  </si>
  <si>
    <t>Giám Đốc</t>
  </si>
  <si>
    <t>QL02</t>
  </si>
  <si>
    <t>Huỳnh Hoàng Đạo</t>
  </si>
  <si>
    <t>Quản Đốc</t>
  </si>
  <si>
    <t>QL03</t>
  </si>
  <si>
    <t>Võ Ngọc Thùy Lan</t>
  </si>
  <si>
    <t>QL04</t>
  </si>
  <si>
    <t>Nguyễn Thị Thu Hà</t>
  </si>
  <si>
    <t>Kế Toán</t>
  </si>
  <si>
    <t>CN01</t>
  </si>
  <si>
    <t>Nguyễn Thị Thanh Thúy</t>
  </si>
  <si>
    <t>Công nhân</t>
  </si>
  <si>
    <t>CN02</t>
  </si>
  <si>
    <t>Huỳnh Đoàn Viết Thanh</t>
  </si>
  <si>
    <t>CN03</t>
  </si>
  <si>
    <t>Trần Ngọc Thoại</t>
  </si>
  <si>
    <t>CN04</t>
  </si>
  <si>
    <t>Nguyễn Đức Huy</t>
  </si>
  <si>
    <t>TỔNG CỘNG</t>
  </si>
  <si>
    <t>TQL</t>
  </si>
  <si>
    <t>SLĐ</t>
  </si>
  <si>
    <t>TL - Chi</t>
  </si>
  <si>
    <t>Long An, Ngày     tháng     năm 2012</t>
  </si>
  <si>
    <t>Lập biểu</t>
  </si>
  <si>
    <t>Giám đốc</t>
  </si>
  <si>
    <t>Họ và Tên:</t>
  </si>
  <si>
    <t xml:space="preserve"> Lâm Thị Mộng Kiều </t>
  </si>
  <si>
    <t>ALTP001</t>
  </si>
  <si>
    <t>Huỳnh Thị Hường</t>
  </si>
  <si>
    <t>ALTP002</t>
  </si>
  <si>
    <t>Nguyễn Thị Rong</t>
  </si>
  <si>
    <t>ALTP003</t>
  </si>
  <si>
    <t>Sơn Thị Nil</t>
  </si>
  <si>
    <t>ALTP004</t>
  </si>
  <si>
    <t>Huỳnh Thị Bé Tha</t>
  </si>
  <si>
    <t>ALTP005</t>
  </si>
  <si>
    <t>Huỳnh Thị Bé Thi</t>
  </si>
  <si>
    <t>ALTP006</t>
  </si>
  <si>
    <t>Nguyễn Thị Kim Hồng</t>
  </si>
  <si>
    <t>ALTP007</t>
  </si>
  <si>
    <t>Nguyễn Thị Lựu</t>
  </si>
  <si>
    <t>ALTP008</t>
  </si>
  <si>
    <t>Lý Thị Được</t>
  </si>
  <si>
    <t>ALTP009</t>
  </si>
  <si>
    <t>Lý La Quan</t>
  </si>
  <si>
    <t>ALTP010</t>
  </si>
  <si>
    <t>Trà Thị Soi</t>
  </si>
  <si>
    <t>ALTP011</t>
  </si>
  <si>
    <t>Nguyễn Thị Diễm Hương</t>
  </si>
  <si>
    <t>ALTP012</t>
  </si>
  <si>
    <t>Sơn Thị Muỗi Tron</t>
  </si>
  <si>
    <t>ALTP013</t>
  </si>
  <si>
    <t>Sơn Thị Thương</t>
  </si>
  <si>
    <t>ALTP014</t>
  </si>
  <si>
    <t>Thạch Thị Som Ươne</t>
  </si>
  <si>
    <t>ALTP015</t>
  </si>
  <si>
    <t>Huỳnh Thị Như</t>
  </si>
  <si>
    <t>ALTP016</t>
  </si>
  <si>
    <t>Sơn Thị Chành Ny</t>
  </si>
  <si>
    <t>ALTP017</t>
  </si>
  <si>
    <t>Sơn Thị Chành Đa</t>
  </si>
  <si>
    <t>ALTP018</t>
  </si>
  <si>
    <t>Trần Thị Bích Phượng</t>
  </si>
  <si>
    <t>ALTP019</t>
  </si>
  <si>
    <t>Sơn Thị Trường Sa</t>
  </si>
  <si>
    <t>ALTP020</t>
  </si>
  <si>
    <t>Lý Thị Sà Kha</t>
  </si>
  <si>
    <t>Lâm Thị Sà Mít</t>
  </si>
  <si>
    <t>ALTP021</t>
  </si>
  <si>
    <t xml:space="preserve"> Lâm Thị Mộng Thường</t>
  </si>
  <si>
    <t>Trần Thị Toan</t>
  </si>
  <si>
    <t>ALTP022</t>
  </si>
  <si>
    <t>Nguyễn Văn Bé Hai</t>
  </si>
  <si>
    <t>ALTP027</t>
  </si>
  <si>
    <t>Thạch Tiền</t>
  </si>
  <si>
    <t>Nguyễn Hữu Nhơn</t>
  </si>
  <si>
    <t>ALTP023</t>
  </si>
  <si>
    <t>Hứa Hậu</t>
  </si>
  <si>
    <t>Huỳnh Minh Hiếu</t>
  </si>
  <si>
    <t>ALTP024</t>
  </si>
  <si>
    <t>Sơn Pép</t>
  </si>
  <si>
    <t>ALTP025</t>
  </si>
  <si>
    <t>Sơn Lét</t>
  </si>
  <si>
    <t>Phạm Thành Đô</t>
  </si>
  <si>
    <t>ALTP026</t>
  </si>
  <si>
    <t>Trần Nhiên</t>
  </si>
  <si>
    <t>ALTN001</t>
  </si>
  <si>
    <t>Thạch Giang</t>
  </si>
  <si>
    <t>ALTN002</t>
  </si>
  <si>
    <t>Thạch Quyền</t>
  </si>
  <si>
    <t>ALTN003</t>
  </si>
  <si>
    <t>Lâm Lin</t>
  </si>
  <si>
    <t>ALTN004</t>
  </si>
  <si>
    <t>Lâm Chanh Đa Ra</t>
  </si>
  <si>
    <t>Nguyễn Văn Tâm</t>
  </si>
  <si>
    <t>ALTN005</t>
  </si>
  <si>
    <t>ALTN006</t>
  </si>
  <si>
    <t>ALTN007</t>
  </si>
  <si>
    <t>ALTN008</t>
  </si>
  <si>
    <t>ALTN009</t>
  </si>
  <si>
    <t>ALTN010</t>
  </si>
  <si>
    <t>ALTN011</t>
  </si>
  <si>
    <t>BP: Quản lý &amp; CN Trực Tiếp SX</t>
  </si>
  <si>
    <t>Stt</t>
  </si>
  <si>
    <t>Chức
vụ</t>
  </si>
  <si>
    <t>Giờ công</t>
  </si>
  <si>
    <t>Cộng (Giờ)</t>
  </si>
  <si>
    <t>Tổng công thực tế</t>
  </si>
  <si>
    <t>Ngày lễ</t>
  </si>
  <si>
    <t>Nghỉ việc riêng có lương</t>
  </si>
  <si>
    <t>Nghỉ không lương</t>
  </si>
  <si>
    <t>Nghỉ phép năm</t>
  </si>
  <si>
    <t>Ghi chú</t>
  </si>
  <si>
    <t>BT</t>
  </si>
  <si>
    <t>TC</t>
  </si>
  <si>
    <t>CN</t>
  </si>
  <si>
    <t>I</t>
  </si>
  <si>
    <t>BP: Quản lý :</t>
  </si>
  <si>
    <t>BT,CN</t>
  </si>
  <si>
    <t>II</t>
  </si>
  <si>
    <t>BP: Công Nhân: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</si>
  <si>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</si>
  <si>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</si>
  <si>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</si>
  <si>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</si>
  <si>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</si>
  <si>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</si>
  <si>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</si>
  <si>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</si>
  <si>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</si>
  <si>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Ngày công
trong tháng</t>
  </si>
  <si>
    <t>MNV</t>
  </si>
  <si>
    <t>Thu nhập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</si>
  <si>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</si>
  <si>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</si>
  <si>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</si>
  <si>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</si>
  <si>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</si>
  <si>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</si>
  <si>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Ngày công hành chính</t>
  </si>
  <si>
    <t>Tăng ca &amp; CN</t>
  </si>
  <si>
    <t>Tổng ngày công</t>
  </si>
  <si>
    <t>Thu nhập theo ngày công</t>
  </si>
  <si>
    <t>BHXH</t>
  </si>
  <si>
    <t>BHYT</t>
  </si>
  <si>
    <t>BHTN</t>
  </si>
  <si>
    <t>Số ngày</t>
  </si>
  <si>
    <t>thành tiền</t>
  </si>
  <si>
    <t>BP: Quản lý:</t>
  </si>
  <si>
    <t>BP: Thành Phẩm:</t>
  </si>
  <si>
    <t>Người lập biểu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</si>
</sst>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1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dd"/>
    <numFmt numFmtId="167" formatCode="0.0"/>
    <numFmt numFmtId="168" formatCode="#,##0.0_);\(#,##0.0\)"/>
    <numFmt numFmtId="169" formatCode="_-&quot;ñ&quot;* #,##0_-;\-&quot;ñ&quot;* #,##0_-;_-&quot;ñ&quot;* &quot;-&quot;_-;_-@_-"/>
    <numFmt numFmtId="170" formatCode="##.##%"/>
    <numFmt numFmtId="171" formatCode="00.000"/>
    <numFmt numFmtId="172" formatCode="_-* #,##0\ _F_-;\-* #,##0\ _F_-;_-* &quot;-&quot;\ _F_-;_-@_-"/>
    <numFmt numFmtId="173" formatCode="&quot;?&quot;#,##0;&quot;?&quot;\-#,##0"/>
    <numFmt numFmtId="174" formatCode="_ * #,##0.00_ ;_ * \-#,##0.00_ ;_ * &quot;-&quot;??_ ;_ @_ "/>
    <numFmt numFmtId="175" formatCode="_ * #,##0_ ;_ * \-#,##0_ ;_ * &quot;-&quot;_ ;_ @_ "/>
    <numFmt numFmtId="176" formatCode="_-* #,##0_-;\-* #,##0_-;_-* &quot;-&quot;_-;_-@_-"/>
    <numFmt numFmtId="177" formatCode="_-* #,##0\ &quot;F&quot;_-;\-* #,##0\ &quot;F&quot;_-;_-* &quot;-&quot;\ &quot;F&quot;_-;_-@_-"/>
    <numFmt numFmtId="178" formatCode="_-* #,##0\ &quot;$&quot;_-;\-* #,##0\ &quot;$&quot;_-;_-* &quot;-&quot;\ &quot;$&quot;_-;_-@_-"/>
    <numFmt numFmtId="179" formatCode="_-&quot;$&quot;* #,##0_-;\-&quot;$&quot;* #,##0_-;_-&quot;$&quot;* &quot;-&quot;_-;_-@_-"/>
    <numFmt numFmtId="180" formatCode="_-* #,##0.00_-;\-* #,##0.00_-;_-* &quot;-&quot;??_-;_-@_-"/>
    <numFmt numFmtId="181" formatCode="_-* #,##0.00\ _V_N_D_-;\-* #,##0.00\ _V_N_D_-;_-* &quot;-&quot;??\ _V_N_D_-;_-@_-"/>
    <numFmt numFmtId="182" formatCode="_-* #,##0.00\ _F_-;\-* #,##0.00\ _F_-;_-* &quot;-&quot;??\ _F_-;_-@_-"/>
    <numFmt numFmtId="183" formatCode="_-* #,##0.00\ _ñ_-;\-* #,##0.00\ _ñ_-;_-* &quot;-&quot;??\ _ñ_-;_-@_-"/>
    <numFmt numFmtId="184" formatCode="_(&quot;$&quot;\ * #,##0_);_(&quot;$&quot;\ * \(#,##0\);_(&quot;$&quot;\ * &quot;-&quot;_);_(@_)"/>
    <numFmt numFmtId="185" formatCode="_-* #,##0\ &quot;ñ&quot;_-;\-* #,##0\ &quot;ñ&quot;_-;_-* &quot;-&quot;\ &quot;ñ&quot;_-;_-@_-"/>
    <numFmt numFmtId="186" formatCode="_-* #,##0\ _V_N_D_-;\-* #,##0\ _V_N_D_-;_-* &quot;-&quot;\ _V_N_D_-;_-@_-"/>
    <numFmt numFmtId="187" formatCode="_-* #,##0\ _$_-;\-* #,##0\ _$_-;_-* &quot;-&quot;\ _$_-;_-@_-"/>
    <numFmt numFmtId="188" formatCode="_-* #,##0\ _ñ_-;\-* #,##0\ _ñ_-;_-* &quot;-&quot;\ _ñ_-;_-@_-"/>
    <numFmt numFmtId="189" formatCode="&quot;SFr.&quot;\ #,##0.00;[Red]&quot;SFr.&quot;\ \-#,##0.00"/>
    <numFmt numFmtId="190" formatCode="_ &quot;SFr.&quot;\ * #,##0_ ;_ &quot;SFr.&quot;\ * \-#,##0_ ;_ &quot;SFr.&quot;\ * &quot;-&quot;_ ;_ @_ "/>
    <numFmt numFmtId="191" formatCode="_ &quot;\&quot;* #,##0.00_ ;_ &quot;\&quot;* \-#,##0.00_ ;_ &quot;\&quot;* &quot;-&quot;??_ ;_ @_ "/>
    <numFmt numFmtId="192" formatCode="_ * #,##0_ ;_ * &quot;\&quot;&quot;\&quot;&quot;\&quot;&quot;\&quot;&quot;\&quot;&quot;\&quot;&quot;\&quot;&quot;\&quot;&quot;\&quot;&quot;\&quot;&quot;\&quot;&quot;\&quot;\-#,##0_ ;_ * &quot;-&quot;_ ;_ @_ "/>
    <numFmt numFmtId="193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194" formatCode="_ * #,##0.00_ ;_ * &quot;\&quot;&quot;\&quot;&quot;\&quot;&quot;\&quot;&quot;\&quot;&quot;\&quot;&quot;\&quot;&quot;\&quot;&quot;\&quot;&quot;\&quot;&quot;\&quot;&quot;\&quot;\-#,##0.00_ ;_ * &quot;-&quot;??_ ;_ @_ "/>
    <numFmt numFmtId="195" formatCode="&quot;\&quot;#,##0;&quot;\&quot;&quot;\&quot;&quot;\&quot;&quot;\&quot;&quot;\&quot;&quot;\&quot;&quot;\&quot;&quot;\&quot;&quot;\&quot;&quot;\&quot;&quot;\&quot;&quot;\&quot;&quot;\&quot;&quot;\&quot;\-#,##0"/>
    <numFmt numFmtId="196" formatCode="&quot;\&quot;#,##0;[Red]&quot;\&quot;&quot;\&quot;&quot;\&quot;&quot;\&quot;&quot;\&quot;&quot;\&quot;&quot;\&quot;&quot;\&quot;&quot;\&quot;&quot;\&quot;&quot;\&quot;&quot;\&quot;&quot;\&quot;&quot;\&quot;\-#,##0"/>
    <numFmt numFmtId="197" formatCode="&quot;\&quot;#,##0.00;&quot;\&quot;&quot;\&quot;&quot;\&quot;&quot;\&quot;&quot;\&quot;&quot;\&quot;&quot;\&quot;&quot;\&quot;&quot;\&quot;&quot;\&quot;&quot;\&quot;&quot;\&quot;&quot;\&quot;&quot;\&quot;\-#,##0.00"/>
    <numFmt numFmtId="198" formatCode="##,###.##"/>
    <numFmt numFmtId="199" formatCode="_-* #,##0.00\ &quot;F&quot;_-;\-* #,##0.00\ &quot;F&quot;_-;_-* &quot;-&quot;??\ &quot;F&quot;_-;_-@_-"/>
    <numFmt numFmtId="200" formatCode="#0.##"/>
    <numFmt numFmtId="201" formatCode="_-* #,##0\ _k_r_-;\-* #,##0\ _k_r_-;_-* &quot;-&quot;\ _k_r_-;_-@_-"/>
    <numFmt numFmtId="202" formatCode="#,###"/>
    <numFmt numFmtId="203" formatCode="&quot;Ngày&quot;\ dd&quot; tháng&quot;\ mm&quot; năm&quot;\ yyyy"/>
    <numFmt numFmtId="204" formatCode="#,##0;\(#,##0\)"/>
    <numFmt numFmtId="205" formatCode="##,##0%"/>
    <numFmt numFmtId="206" formatCode="#,###%"/>
    <numFmt numFmtId="207" formatCode="##.##"/>
    <numFmt numFmtId="208" formatCode="###,###"/>
    <numFmt numFmtId="209" formatCode="###.###"/>
    <numFmt numFmtId="210" formatCode="##,###.####"/>
    <numFmt numFmtId="211" formatCode="\$#,##0\ ;\(\$#,##0\)"/>
    <numFmt numFmtId="212" formatCode="\t0.00%"/>
    <numFmt numFmtId="213" formatCode="##,##0.##"/>
    <numFmt numFmtId="214" formatCode="m\o\n\th\ \D\,\ \y\y\y\y"/>
    <numFmt numFmtId="215" formatCode="_(* #,##0.000_);_(* \(#,##0.000\);_(* &quot;-&quot;??_);_(@_)"/>
    <numFmt numFmtId="216" formatCode="_(* #,##0.0000_);_(* \(#,##0.0000\);_(* &quot;-&quot;??_);_(@_)"/>
    <numFmt numFmtId="217" formatCode="\t#\ ??/??"/>
    <numFmt numFmtId="218" formatCode="#,##0\ &quot;$&quot;_);[Red]\(#,##0\ &quot;$&quot;\)"/>
    <numFmt numFmtId="219" formatCode="&quot;$&quot;###,0&quot;.&quot;00_);[Red]\(&quot;$&quot;###,0&quot;.&quot;00\)"/>
    <numFmt numFmtId="220" formatCode="m/d"/>
    <numFmt numFmtId="221" formatCode="&quot;ß&quot;#,##0;\-&quot;&quot;\ß&quot;&quot;#,##0"/>
    <numFmt numFmtId="222" formatCode="0##,###.00"/>
    <numFmt numFmtId="223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24" formatCode="#,##0.00\ &quot;F&quot;;[Red]\-#,##0.00\ &quot;F&quot;"/>
    <numFmt numFmtId="225" formatCode="#,##0.00\ \ "/>
    <numFmt numFmtId="226" formatCode="_ * #,##0_ ;_ * \-#,##0_ ;_ * &quot;-&quot;??_ ;_ @_ "/>
    <numFmt numFmtId="227" formatCode="&quot;\&quot;#,##0.00;[Red]&quot;\&quot;&quot;\&quot;&quot;\&quot;&quot;\&quot;&quot;\&quot;&quot;\&quot;&quot;\&quot;&quot;\&quot;&quot;\&quot;&quot;\&quot;&quot;\&quot;&quot;\&quot;&quot;\&quot;&quot;\&quot;\-#,##0.00"/>
    <numFmt numFmtId="228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29" formatCode="_-&quot;$&quot;* #,##0.00_-;\-&quot;$&quot;* #,##0.00_-;_-&quot;$&quot;* &quot;-&quot;??_-;_-@_-"/>
    <numFmt numFmtId="230" formatCode="#,##0\ &quot;F&quot;;[Red]\-#,##0\ &quot;F&quot;"/>
    <numFmt numFmtId="231" formatCode="#,##0.00\ &quot;F&quot;;\-#,##0.00\ &quot;F&quot;"/>
    <numFmt numFmtId="232" formatCode="0.000"/>
    <numFmt numFmtId="233" formatCode="_-* #,##0\ &quot;€&quot;_-;\-* #,##0\ &quot;€&quot;_-;_-* &quot;-&quot;\ &quot;€&quot;_-;_-@_-"/>
    <numFmt numFmtId="234" formatCode="_-* #,##0.00\ &quot;€&quot;_-;\-* #,##0.00\ &quot;€&quot;_-;_-* &quot;-&quot;??\ &quot;€&quot;_-;_-@_-"/>
    <numFmt numFmtId="235" formatCode="_-* #,##0_-;&quot;\&quot;\!\-* #,##0_-;_-* &quot;-&quot;_-;_-@_-"/>
    <numFmt numFmtId="236" formatCode="_-* #,##0.00\ _k_r_._-;\-* #,##0.00\ _k_r_._-;_-* &quot;-&quot;??\ _k_r_._-;_-@_-"/>
    <numFmt numFmtId="237" formatCode="&quot;\&quot;#,##0.00;[Red]&quot;\&quot;\-#,##0.00"/>
    <numFmt numFmtId="238" formatCode="&quot;\&quot;#,##0;[Red]&quot;\&quot;\-#,##0"/>
    <numFmt numFmtId="239" formatCode="_-&quot;£&quot;* #,##0_-;\-&quot;£&quot;* #,##0_-;_-&quot;£&quot;* &quot;-&quot;_-;_-@_-"/>
    <numFmt numFmtId="240" formatCode="_-&quot;£&quot;* #,##0.00_-;\-&quot;£&quot;* #,##0.00_-;_-&quot;£&quot;* &quot;-&quot;??_-;_-@_-"/>
  </numFmts>
  <fonts count="103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0"/>
      <color indexed="9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b/>
      <sz val="11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9"/>
      <color indexed="10"/>
      <name val="Times New Roman"/>
      <family val="1"/>
    </font>
    <font>
      <b/>
      <sz val="14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b/>
      <sz val="22"/>
      <name val="Times New Roman"/>
      <family val="1"/>
    </font>
    <font>
      <sz val="22"/>
      <name val="Times New Roman"/>
      <family val="1"/>
    </font>
    <font>
      <b/>
      <sz val="9"/>
      <color theme="0"/>
      <name val="Times New Roman"/>
      <family val="1"/>
    </font>
    <font>
      <sz val="12"/>
      <name val="VNI-Times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Helv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2"/>
      <name val="Tms Rmn"/>
    </font>
    <font>
      <sz val="11"/>
      <name val="µ¸¿ò"/>
      <charset val="129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b/>
      <sz val="9"/>
      <name val="VNI-Times"/>
    </font>
    <font>
      <sz val="8"/>
      <name val="SVNtimes new roman"/>
      <family val="2"/>
    </font>
    <font>
      <sz val="11"/>
      <color indexed="8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</font>
    <font>
      <sz val="12"/>
      <name val="바탕체"/>
      <family val="1"/>
      <charset val="129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0"/>
      <name val="VNI-Helve"/>
    </font>
    <font>
      <sz val="9"/>
      <name val="VNI-Times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0"/>
      <name val=".VnAvant"/>
      <family val="2"/>
    </font>
    <font>
      <sz val="12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3"/>
      <name val=".VnTime"/>
      <family val="2"/>
    </font>
    <font>
      <b/>
      <sz val="12"/>
      <name val="VNI-Cooper"/>
    </font>
    <font>
      <b/>
      <sz val="12"/>
      <name val=".VnTime"/>
      <family val="2"/>
    </font>
    <font>
      <sz val="10"/>
      <name val=".VnArial Narrow"/>
      <family val="2"/>
    </font>
    <font>
      <sz val="8"/>
      <name val="VN Helvetica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</borders>
  <cellStyleXfs count="58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9" fontId="30" fillId="0" borderId="0" applyFont="0" applyFill="0" applyBorder="0" applyAlignment="0" applyProtection="0"/>
    <xf numFmtId="170" fontId="31" fillId="0" borderId="20">
      <alignment horizontal="center"/>
      <protection hidden="1"/>
    </xf>
    <xf numFmtId="0" fontId="32" fillId="0" borderId="9" applyNumberFormat="0"/>
    <xf numFmtId="171" fontId="33" fillId="0" borderId="0" applyFont="0" applyFill="0" applyBorder="0" applyAlignment="0" applyProtection="0"/>
    <xf numFmtId="172" fontId="34" fillId="0" borderId="0" applyFont="0" applyFill="0" applyBorder="0" applyAlignment="0" applyProtection="0"/>
    <xf numFmtId="173" fontId="33" fillId="0" borderId="0" applyFont="0" applyFill="0" applyBorder="0" applyAlignment="0" applyProtection="0"/>
    <xf numFmtId="0" fontId="35" fillId="0" borderId="0"/>
    <xf numFmtId="174" fontId="36" fillId="0" borderId="0" applyFont="0" applyFill="0" applyBorder="0" applyAlignment="0" applyProtection="0"/>
    <xf numFmtId="175" fontId="36" fillId="0" borderId="0" applyFont="0" applyFill="0" applyBorder="0" applyAlignment="0" applyProtection="0"/>
    <xf numFmtId="176" fontId="37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7" fontId="3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7" fontId="3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7" fontId="3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/>
    <xf numFmtId="178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43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3" fontId="34" fillId="0" borderId="0" applyFont="0" applyFill="0" applyBorder="0" applyAlignment="0" applyProtection="0"/>
    <xf numFmtId="176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178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84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85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3" fontId="34" fillId="0" borderId="0" applyFont="0" applyFill="0" applyBorder="0" applyAlignment="0" applyProtection="0"/>
    <xf numFmtId="180" fontId="30" fillId="0" borderId="0" applyFont="0" applyFill="0" applyBorder="0" applyAlignment="0" applyProtection="0"/>
    <xf numFmtId="41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72" fontId="30" fillId="0" borderId="0" applyFont="0" applyFill="0" applyBorder="0" applyAlignment="0" applyProtection="0"/>
    <xf numFmtId="187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8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178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84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85" fontId="34" fillId="0" borderId="0" applyFont="0" applyFill="0" applyBorder="0" applyAlignment="0" applyProtection="0"/>
    <xf numFmtId="176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41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72" fontId="30" fillId="0" borderId="0" applyFont="0" applyFill="0" applyBorder="0" applyAlignment="0" applyProtection="0"/>
    <xf numFmtId="187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8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3" fontId="34" fillId="0" borderId="0" applyFont="0" applyFill="0" applyBorder="0" applyAlignment="0" applyProtection="0"/>
    <xf numFmtId="176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7" fontId="34" fillId="0" borderId="0" applyFont="0" applyFill="0" applyBorder="0" applyAlignment="0" applyProtection="0"/>
    <xf numFmtId="184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85" fontId="34" fillId="0" borderId="0" applyFont="0" applyFill="0" applyBorder="0" applyAlignment="0" applyProtection="0"/>
    <xf numFmtId="176" fontId="30" fillId="0" borderId="0" applyFont="0" applyFill="0" applyBorder="0" applyAlignment="0" applyProtection="0"/>
    <xf numFmtId="41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72" fontId="30" fillId="0" borderId="0" applyFont="0" applyFill="0" applyBorder="0" applyAlignment="0" applyProtection="0"/>
    <xf numFmtId="187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8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3" fontId="34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0" fontId="2" fillId="0" borderId="0"/>
    <xf numFmtId="0" fontId="32" fillId="0" borderId="9"/>
    <xf numFmtId="0" fontId="32" fillId="0" borderId="9"/>
    <xf numFmtId="0" fontId="43" fillId="6" borderId="0"/>
    <xf numFmtId="9" fontId="44" fillId="0" borderId="0" applyBorder="0" applyAlignment="0" applyProtection="0"/>
    <xf numFmtId="0" fontId="45" fillId="6" borderId="0"/>
    <xf numFmtId="0" fontId="46" fillId="6" borderId="0"/>
    <xf numFmtId="0" fontId="47" fillId="0" borderId="0">
      <alignment wrapText="1"/>
    </xf>
    <xf numFmtId="0" fontId="48" fillId="0" borderId="0"/>
    <xf numFmtId="189" fontId="2" fillId="0" borderId="0" applyFont="0" applyFill="0" applyBorder="0" applyAlignment="0" applyProtection="0"/>
    <xf numFmtId="0" fontId="49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49" fillId="0" borderId="0" applyFont="0" applyFill="0" applyBorder="0" applyAlignment="0" applyProtection="0"/>
    <xf numFmtId="191" fontId="50" fillId="0" borderId="0" applyFont="0" applyFill="0" applyBorder="0" applyAlignment="0" applyProtection="0"/>
    <xf numFmtId="175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175" fontId="50" fillId="0" borderId="0" applyFont="0" applyFill="0" applyBorder="0" applyAlignment="0" applyProtection="0"/>
    <xf numFmtId="174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174" fontId="50" fillId="0" borderId="0" applyFont="0" applyFill="0" applyBorder="0" applyAlignment="0" applyProtection="0"/>
    <xf numFmtId="179" fontId="30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49" fillId="0" borderId="0"/>
    <xf numFmtId="0" fontId="4" fillId="0" borderId="0"/>
    <xf numFmtId="0" fontId="49" fillId="0" borderId="0"/>
    <xf numFmtId="0" fontId="52" fillId="0" borderId="0"/>
    <xf numFmtId="192" fontId="2" fillId="0" borderId="0" applyFill="0" applyBorder="0" applyAlignment="0"/>
    <xf numFmtId="193" fontId="2" fillId="0" borderId="0" applyFill="0" applyBorder="0" applyAlignment="0"/>
    <xf numFmtId="194" fontId="2" fillId="0" borderId="0" applyFill="0" applyBorder="0" applyAlignment="0"/>
    <xf numFmtId="195" fontId="2" fillId="0" borderId="0" applyFill="0" applyBorder="0" applyAlignment="0"/>
    <xf numFmtId="196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3" fillId="0" borderId="0"/>
    <xf numFmtId="198" fontId="54" fillId="0" borderId="21" applyBorder="0"/>
    <xf numFmtId="198" fontId="55" fillId="0" borderId="9">
      <protection locked="0"/>
    </xf>
    <xf numFmtId="199" fontId="34" fillId="0" borderId="0" applyFont="0" applyFill="0" applyBorder="0" applyAlignment="0" applyProtection="0"/>
    <xf numFmtId="3" fontId="56" fillId="7" borderId="2"/>
    <xf numFmtId="200" fontId="57" fillId="0" borderId="9"/>
    <xf numFmtId="192" fontId="2" fillId="0" borderId="0" applyFont="0" applyFill="0" applyBorder="0" applyAlignment="0" applyProtection="0"/>
    <xf numFmtId="201" fontId="2" fillId="0" borderId="0" applyFont="0" applyFill="0" applyBorder="0" applyProtection="0"/>
    <xf numFmtId="201" fontId="2" fillId="0" borderId="0"/>
    <xf numFmtId="43" fontId="3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58" fillId="0" borderId="0" applyFont="0" applyFill="0" applyBorder="0" applyAlignment="0" applyProtection="0"/>
    <xf numFmtId="202" fontId="30" fillId="0" borderId="0" applyFont="0" applyFill="0" applyBorder="0" applyAlignment="0" applyProtection="0"/>
    <xf numFmtId="20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204" fontId="4" fillId="0" borderId="0"/>
    <xf numFmtId="3" fontId="2" fillId="0" borderId="0" applyFont="0" applyFill="0" applyBorder="0" applyAlignment="0" applyProtection="0"/>
    <xf numFmtId="205" fontId="59" fillId="0" borderId="0">
      <protection locked="0"/>
    </xf>
    <xf numFmtId="206" fontId="59" fillId="0" borderId="0">
      <protection locked="0"/>
    </xf>
    <xf numFmtId="207" fontId="60" fillId="0" borderId="12">
      <protection locked="0"/>
    </xf>
    <xf numFmtId="208" fontId="59" fillId="0" borderId="0">
      <protection locked="0"/>
    </xf>
    <xf numFmtId="209" fontId="59" fillId="0" borderId="0">
      <protection locked="0"/>
    </xf>
    <xf numFmtId="208" fontId="59" fillId="0" borderId="0" applyNumberFormat="0">
      <protection locked="0"/>
    </xf>
    <xf numFmtId="208" fontId="59" fillId="0" borderId="0">
      <protection locked="0"/>
    </xf>
    <xf numFmtId="198" fontId="61" fillId="0" borderId="20"/>
    <xf numFmtId="210" fontId="61" fillId="0" borderId="20"/>
    <xf numFmtId="193" fontId="2" fillId="0" borderId="0" applyFont="0" applyFill="0" applyBorder="0" applyAlignment="0" applyProtection="0"/>
    <xf numFmtId="211" fontId="2" fillId="0" borderId="0" applyFont="0" applyFill="0" applyBorder="0" applyAlignment="0" applyProtection="0"/>
    <xf numFmtId="212" fontId="2" fillId="0" borderId="0"/>
    <xf numFmtId="198" fontId="31" fillId="0" borderId="20">
      <alignment horizontal="center"/>
      <protection hidden="1"/>
    </xf>
    <xf numFmtId="175" fontId="62" fillId="0" borderId="0" applyFont="0" applyFill="0" applyBorder="0" applyAlignment="0" applyProtection="0"/>
    <xf numFmtId="175" fontId="63" fillId="0" borderId="0" applyFont="0" applyFill="0" applyBorder="0" applyAlignment="0" applyProtection="0"/>
    <xf numFmtId="213" fontId="64" fillId="0" borderId="20">
      <alignment horizontal="center"/>
      <protection hidden="1"/>
    </xf>
    <xf numFmtId="2" fontId="31" fillId="0" borderId="20">
      <alignment horizontal="center"/>
      <protection hidden="1"/>
    </xf>
    <xf numFmtId="0" fontId="2" fillId="0" borderId="0" applyFont="0" applyFill="0" applyBorder="0" applyAlignment="0" applyProtection="0"/>
    <xf numFmtId="14" fontId="65" fillId="0" borderId="0" applyFill="0" applyBorder="0" applyAlignment="0"/>
    <xf numFmtId="214" fontId="66" fillId="0" borderId="0">
      <protection locked="0"/>
    </xf>
    <xf numFmtId="215" fontId="30" fillId="0" borderId="0" applyFont="0" applyFill="0" applyBorder="0" applyAlignment="0" applyProtection="0"/>
    <xf numFmtId="216" fontId="30" fillId="0" borderId="0" applyFont="0" applyFill="0" applyBorder="0" applyAlignment="0" applyProtection="0"/>
    <xf numFmtId="217" fontId="2" fillId="0" borderId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6" fillId="7" borderId="2">
      <alignment horizontal="centerContinuous" vertical="center" wrapText="1"/>
    </xf>
    <xf numFmtId="3" fontId="56" fillId="7" borderId="2">
      <alignment horizontal="center" vertical="center" wrapText="1"/>
    </xf>
    <xf numFmtId="2" fontId="2" fillId="0" borderId="0" applyFont="0" applyFill="0" applyBorder="0" applyAlignment="0" applyProtection="0"/>
    <xf numFmtId="38" fontId="67" fillId="6" borderId="0" applyNumberFormat="0" applyBorder="0" applyAlignment="0" applyProtection="0"/>
    <xf numFmtId="0" fontId="68" fillId="0" borderId="0">
      <alignment horizontal="left"/>
    </xf>
    <xf numFmtId="0" fontId="69" fillId="0" borderId="22" applyNumberFormat="0" applyAlignment="0" applyProtection="0">
      <alignment horizontal="left" vertical="center"/>
    </xf>
    <xf numFmtId="0" fontId="69" fillId="0" borderId="14">
      <alignment horizontal="left" vertical="center"/>
    </xf>
    <xf numFmtId="0" fontId="70" fillId="0" borderId="0" applyProtection="0"/>
    <xf numFmtId="0" fontId="69" fillId="0" borderId="0" applyProtection="0"/>
    <xf numFmtId="49" fontId="71" fillId="0" borderId="2">
      <alignment vertical="center"/>
    </xf>
    <xf numFmtId="188" fontId="34" fillId="0" borderId="0" applyFont="0" applyFill="0" applyBorder="0" applyAlignment="0" applyProtection="0"/>
    <xf numFmtId="0" fontId="72" fillId="0" borderId="0"/>
    <xf numFmtId="10" fontId="67" fillId="8" borderId="2" applyNumberFormat="0" applyBorder="0" applyAlignment="0" applyProtection="0"/>
    <xf numFmtId="2" fontId="73" fillId="0" borderId="13" applyBorder="0"/>
    <xf numFmtId="3" fontId="56" fillId="0" borderId="23"/>
    <xf numFmtId="3" fontId="74" fillId="0" borderId="24"/>
    <xf numFmtId="3" fontId="56" fillId="0" borderId="2">
      <alignment horizontal="center" vertical="center" wrapText="1"/>
    </xf>
    <xf numFmtId="3" fontId="56" fillId="0" borderId="2">
      <alignment horizontal="centerContinuous" vertical="center"/>
    </xf>
    <xf numFmtId="0" fontId="75" fillId="0" borderId="0"/>
    <xf numFmtId="2" fontId="76" fillId="0" borderId="5" applyBorder="0"/>
    <xf numFmtId="2" fontId="77" fillId="0" borderId="0" applyNumberFormat="0" applyFill="0">
      <alignment horizontal="center"/>
    </xf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98" fontId="67" fillId="0" borderId="21" applyFont="0"/>
    <xf numFmtId="3" fontId="2" fillId="0" borderId="25"/>
    <xf numFmtId="38" fontId="78" fillId="0" borderId="0" applyFont="0" applyFill="0" applyBorder="0" applyAlignment="0" applyProtection="0"/>
    <xf numFmtId="40" fontId="78" fillId="0" borderId="0" applyFont="0" applyFill="0" applyBorder="0" applyAlignment="0" applyProtection="0"/>
    <xf numFmtId="0" fontId="79" fillId="0" borderId="9"/>
    <xf numFmtId="0" fontId="80" fillId="0" borderId="26"/>
    <xf numFmtId="202" fontId="81" fillId="0" borderId="16"/>
    <xf numFmtId="218" fontId="78" fillId="0" borderId="0" applyFont="0" applyFill="0" applyBorder="0" applyAlignment="0" applyProtection="0"/>
    <xf numFmtId="219" fontId="78" fillId="0" borderId="0" applyFont="0" applyFill="0" applyBorder="0" applyAlignment="0" applyProtection="0"/>
    <xf numFmtId="220" fontId="2" fillId="0" borderId="0" applyFont="0" applyFill="0" applyBorder="0" applyAlignment="0" applyProtection="0"/>
    <xf numFmtId="221" fontId="2" fillId="0" borderId="0" applyFont="0" applyFill="0" applyBorder="0" applyAlignment="0" applyProtection="0"/>
    <xf numFmtId="0" fontId="82" fillId="0" borderId="0" applyNumberFormat="0" applyFont="0" applyFill="0" applyAlignment="0"/>
    <xf numFmtId="0" fontId="61" fillId="0" borderId="0">
      <alignment horizontal="justify" vertical="top"/>
    </xf>
    <xf numFmtId="0" fontId="4" fillId="0" borderId="0"/>
    <xf numFmtId="37" fontId="83" fillId="0" borderId="0"/>
    <xf numFmtId="0" fontId="84" fillId="0" borderId="0"/>
    <xf numFmtId="222" fontId="85" fillId="0" borderId="0"/>
    <xf numFmtId="0" fontId="34" fillId="0" borderId="0"/>
    <xf numFmtId="0" fontId="2" fillId="0" borderId="0"/>
    <xf numFmtId="0" fontId="30" fillId="0" borderId="0"/>
    <xf numFmtId="0" fontId="1" fillId="0" borderId="0"/>
    <xf numFmtId="0" fontId="2" fillId="0" borderId="0"/>
    <xf numFmtId="0" fontId="1" fillId="0" borderId="0"/>
    <xf numFmtId="0" fontId="75" fillId="0" borderId="0"/>
    <xf numFmtId="0" fontId="2" fillId="0" borderId="0" applyFont="0" applyFill="0" applyBorder="0" applyAlignment="0" applyProtection="0"/>
    <xf numFmtId="0" fontId="4" fillId="0" borderId="0"/>
    <xf numFmtId="196" fontId="2" fillId="0" borderId="0" applyFont="0" applyFill="0" applyBorder="0" applyAlignment="0" applyProtection="0"/>
    <xf numFmtId="223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88" fontId="34" fillId="0" borderId="0" applyFont="0" applyFill="0" applyBorder="0" applyAlignment="0" applyProtection="0"/>
    <xf numFmtId="3" fontId="34" fillId="0" borderId="27">
      <alignment horizontal="right" wrapText="1"/>
    </xf>
    <xf numFmtId="0" fontId="41" fillId="0" borderId="0" applyNumberFormat="0" applyFill="0" applyBorder="0" applyAlignment="0" applyProtection="0"/>
    <xf numFmtId="187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8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72" fontId="30" fillId="0" borderId="0" applyFont="0" applyFill="0" applyBorder="0" applyAlignment="0" applyProtection="0"/>
    <xf numFmtId="187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8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178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84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85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72" fontId="30" fillId="0" borderId="0" applyFont="0" applyFill="0" applyBorder="0" applyAlignment="0" applyProtection="0"/>
    <xf numFmtId="0" fontId="80" fillId="0" borderId="0"/>
    <xf numFmtId="224" fontId="86" fillId="0" borderId="13">
      <alignment horizontal="right" vertical="center"/>
    </xf>
    <xf numFmtId="225" fontId="34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6" fontId="2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0" fontId="87" fillId="0" borderId="0">
      <alignment horizontal="centerContinuous"/>
    </xf>
    <xf numFmtId="198" fontId="61" fillId="0" borderId="20">
      <protection hidden="1"/>
    </xf>
    <xf numFmtId="49" fontId="65" fillId="0" borderId="0" applyFill="0" applyBorder="0" applyAlignment="0"/>
    <xf numFmtId="227" fontId="2" fillId="0" borderId="0" applyFill="0" applyBorder="0" applyAlignment="0"/>
    <xf numFmtId="228" fontId="2" fillId="0" borderId="0" applyFill="0" applyBorder="0" applyAlignment="0"/>
    <xf numFmtId="177" fontId="86" fillId="0" borderId="13">
      <alignment horizontal="center"/>
    </xf>
    <xf numFmtId="0" fontId="75" fillId="0" borderId="28"/>
    <xf numFmtId="49" fontId="88" fillId="0" borderId="0">
      <alignment horizontal="justify" vertical="center" wrapText="1"/>
    </xf>
    <xf numFmtId="40" fontId="10" fillId="0" borderId="0"/>
    <xf numFmtId="0" fontId="89" fillId="0" borderId="9"/>
    <xf numFmtId="0" fontId="70" fillId="0" borderId="0">
      <alignment horizontal="center"/>
    </xf>
    <xf numFmtId="176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229" fontId="2" fillId="0" borderId="0" applyFont="0" applyFill="0" applyBorder="0" applyAlignment="0" applyProtection="0"/>
    <xf numFmtId="230" fontId="86" fillId="0" borderId="0"/>
    <xf numFmtId="231" fontId="86" fillId="0" borderId="2"/>
    <xf numFmtId="0" fontId="90" fillId="0" borderId="8">
      <alignment horizontal="left" vertical="center"/>
    </xf>
    <xf numFmtId="232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91" fillId="0" borderId="0" applyNumberFormat="0" applyFill="0" applyBorder="0" applyAlignment="0" applyProtection="0"/>
    <xf numFmtId="0" fontId="92" fillId="0" borderId="0">
      <alignment horizontal="left" wrapText="1"/>
    </xf>
    <xf numFmtId="233" fontId="93" fillId="0" borderId="0" applyFont="0" applyFill="0" applyBorder="0" applyAlignment="0" applyProtection="0"/>
    <xf numFmtId="234" fontId="93" fillId="0" borderId="0" applyFont="0" applyFill="0" applyBorder="0" applyAlignment="0" applyProtection="0"/>
    <xf numFmtId="0" fontId="93" fillId="0" borderId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18" fillId="0" borderId="0">
      <alignment vertical="center"/>
    </xf>
    <xf numFmtId="40" fontId="95" fillId="0" borderId="0" applyFont="0" applyFill="0" applyBorder="0" applyAlignment="0" applyProtection="0"/>
    <xf numFmtId="38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9" fontId="96" fillId="0" borderId="0" applyFont="0" applyFill="0" applyBorder="0" applyAlignment="0" applyProtection="0"/>
    <xf numFmtId="0" fontId="97" fillId="0" borderId="0"/>
    <xf numFmtId="235" fontId="98" fillId="0" borderId="0" applyFont="0" applyFill="0" applyBorder="0" applyAlignment="0" applyProtection="0"/>
    <xf numFmtId="236" fontId="2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37" fontId="63" fillId="0" borderId="0" applyFont="0" applyFill="0" applyBorder="0" applyAlignment="0" applyProtection="0"/>
    <xf numFmtId="238" fontId="63" fillId="0" borderId="0" applyFont="0" applyFill="0" applyBorder="0" applyAlignment="0" applyProtection="0"/>
    <xf numFmtId="0" fontId="99" fillId="0" borderId="0"/>
    <xf numFmtId="0" fontId="82" fillId="0" borderId="0"/>
    <xf numFmtId="176" fontId="100" fillId="0" borderId="0" applyFont="0" applyFill="0" applyBorder="0" applyAlignment="0" applyProtection="0"/>
    <xf numFmtId="180" fontId="100" fillId="0" borderId="0" applyFont="0" applyFill="0" applyBorder="0" applyAlignment="0" applyProtection="0"/>
    <xf numFmtId="174" fontId="101" fillId="0" borderId="0" applyFont="0" applyFill="0" applyBorder="0" applyAlignment="0" applyProtection="0"/>
    <xf numFmtId="175" fontId="101" fillId="0" borderId="0" applyFont="0" applyFill="0" applyBorder="0" applyAlignment="0" applyProtection="0"/>
    <xf numFmtId="0" fontId="101" fillId="0" borderId="0"/>
    <xf numFmtId="239" fontId="100" fillId="0" borderId="0" applyFont="0" applyFill="0" applyBorder="0" applyAlignment="0" applyProtection="0"/>
    <xf numFmtId="6" fontId="102" fillId="0" borderId="0" applyFont="0" applyFill="0" applyBorder="0" applyAlignment="0" applyProtection="0"/>
    <xf numFmtId="240" fontId="100" fillId="0" borderId="0" applyFont="0" applyFill="0" applyBorder="0" applyAlignment="0" applyProtection="0"/>
    <xf numFmtId="234" fontId="101" fillId="0" borderId="0" applyFont="0" applyFill="0" applyBorder="0" applyAlignment="0" applyProtection="0"/>
    <xf numFmtId="233" fontId="101" fillId="0" borderId="0" applyFont="0" applyFill="0" applyBorder="0" applyAlignment="0" applyProtection="0"/>
  </cellStyleXfs>
  <cellXfs count="26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1" applyNumberFormat="1" applyFont="1"/>
    <xf numFmtId="10" fontId="4" fillId="0" borderId="0" xfId="0" applyNumberFormat="1" applyFont="1"/>
    <xf numFmtId="0" fontId="5" fillId="0" borderId="0" xfId="0" applyFont="1"/>
    <xf numFmtId="0" fontId="8" fillId="0" borderId="1" xfId="0" applyFont="1" applyBorder="1" applyAlignment="1">
      <alignment vertical="center"/>
    </xf>
    <xf numFmtId="164" fontId="9" fillId="0" borderId="0" xfId="1" applyNumberFormat="1" applyFont="1"/>
    <xf numFmtId="0" fontId="9" fillId="0" borderId="0" xfId="0" applyFont="1"/>
    <xf numFmtId="164" fontId="3" fillId="0" borderId="0" xfId="1" applyNumberFormat="1" applyFont="1"/>
    <xf numFmtId="164" fontId="10" fillId="2" borderId="2" xfId="1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 wrapText="1"/>
    </xf>
    <xf numFmtId="164" fontId="11" fillId="4" borderId="9" xfId="1" applyNumberFormat="1" applyFont="1" applyFill="1" applyBorder="1" applyAlignment="1">
      <alignment horizontal="center" vertical="center" wrapText="1"/>
    </xf>
    <xf numFmtId="164" fontId="11" fillId="0" borderId="9" xfId="1" applyNumberFormat="1" applyFont="1" applyBorder="1" applyAlignment="1">
      <alignment horizontal="center" vertical="center" wrapText="1"/>
    </xf>
    <xf numFmtId="164" fontId="12" fillId="0" borderId="0" xfId="1" applyNumberFormat="1" applyFont="1"/>
    <xf numFmtId="164" fontId="11" fillId="0" borderId="0" xfId="1" applyNumberFormat="1" applyFont="1"/>
    <xf numFmtId="0" fontId="11" fillId="0" borderId="0" xfId="0" applyFont="1"/>
    <xf numFmtId="0" fontId="13" fillId="0" borderId="9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/>
    </xf>
    <xf numFmtId="164" fontId="13" fillId="0" borderId="9" xfId="1" applyNumberFormat="1" applyFont="1" applyBorder="1" applyAlignment="1">
      <alignment horizontal="center" vertical="center" wrapText="1"/>
    </xf>
    <xf numFmtId="164" fontId="14" fillId="0" borderId="0" xfId="1" applyNumberFormat="1" applyFont="1"/>
    <xf numFmtId="164" fontId="13" fillId="0" borderId="0" xfId="1" applyNumberFormat="1" applyFont="1"/>
    <xf numFmtId="0" fontId="13" fillId="0" borderId="0" xfId="0" applyFont="1"/>
    <xf numFmtId="0" fontId="13" fillId="0" borderId="9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164" fontId="4" fillId="0" borderId="2" xfId="1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164" fontId="15" fillId="0" borderId="0" xfId="1" applyNumberFormat="1" applyFont="1" applyBorder="1" applyAlignment="1">
      <alignment horizontal="center" vertical="center"/>
    </xf>
    <xf numFmtId="10" fontId="15" fillId="0" borderId="0" xfId="1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vertical="center" wrapText="1"/>
    </xf>
    <xf numFmtId="43" fontId="4" fillId="0" borderId="0" xfId="1" applyNumberFormat="1" applyFont="1" applyAlignment="1">
      <alignment vertical="center" wrapText="1"/>
    </xf>
    <xf numFmtId="164" fontId="15" fillId="0" borderId="0" xfId="1" applyNumberFormat="1" applyFont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15" fillId="0" borderId="0" xfId="0" applyFont="1" applyFill="1" applyBorder="1" applyAlignment="1">
      <alignment horizontal="left" vertical="center"/>
    </xf>
    <xf numFmtId="164" fontId="15" fillId="0" borderId="0" xfId="1" applyNumberFormat="1" applyFont="1" applyAlignment="1">
      <alignment vertical="center" wrapText="1"/>
    </xf>
    <xf numFmtId="164" fontId="15" fillId="0" borderId="0" xfId="1" applyNumberFormat="1" applyFont="1" applyFill="1" applyBorder="1" applyAlignment="1">
      <alignment horizontal="center" vertical="center"/>
    </xf>
    <xf numFmtId="164" fontId="15" fillId="0" borderId="0" xfId="1" applyNumberFormat="1" applyFont="1" applyBorder="1" applyAlignment="1">
      <alignment horizontal="left" vertical="center"/>
    </xf>
    <xf numFmtId="0" fontId="4" fillId="0" borderId="0" xfId="0" applyFont="1" applyBorder="1"/>
    <xf numFmtId="10" fontId="4" fillId="0" borderId="0" xfId="0" applyNumberFormat="1" applyFont="1" applyBorder="1"/>
    <xf numFmtId="164" fontId="4" fillId="0" borderId="0" xfId="1" applyNumberFormat="1" applyFont="1" applyBorder="1"/>
    <xf numFmtId="0" fontId="4" fillId="0" borderId="0" xfId="0" applyFont="1" applyAlignment="1"/>
    <xf numFmtId="0" fontId="3" fillId="0" borderId="0" xfId="2" applyNumberFormat="1" applyFont="1" applyBorder="1" applyAlignment="1"/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NumberFormat="1" applyFont="1" applyBorder="1" applyAlignment="1">
      <alignment horizontal="center" vertical="center" wrapText="1"/>
    </xf>
    <xf numFmtId="0" fontId="17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 applyAlignment="1">
      <alignment vertical="center" wrapText="1"/>
    </xf>
    <xf numFmtId="0" fontId="19" fillId="0" borderId="0" xfId="0" applyFont="1" applyBorder="1" applyAlignment="1">
      <alignment vertical="center"/>
    </xf>
    <xf numFmtId="43" fontId="17" fillId="0" borderId="0" xfId="1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43" fontId="19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2" fillId="0" borderId="0" xfId="0" applyNumberFormat="1" applyFont="1" applyBorder="1" applyAlignment="1">
      <alignment horizontal="center" vertical="center" wrapText="1"/>
    </xf>
    <xf numFmtId="43" fontId="23" fillId="0" borderId="0" xfId="1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25" fillId="0" borderId="1" xfId="0" applyNumberFormat="1" applyFont="1" applyBorder="1" applyAlignment="1">
      <alignment horizontal="center"/>
    </xf>
    <xf numFmtId="14" fontId="26" fillId="0" borderId="1" xfId="0" applyNumberFormat="1" applyFont="1" applyBorder="1" applyAlignment="1">
      <alignment horizontal="center"/>
    </xf>
    <xf numFmtId="14" fontId="26" fillId="0" borderId="1" xfId="0" applyNumberFormat="1" applyFont="1" applyBorder="1" applyAlignment="1"/>
    <xf numFmtId="165" fontId="24" fillId="0" borderId="1" xfId="1" applyNumberFormat="1" applyFont="1" applyFill="1" applyBorder="1" applyAlignment="1">
      <alignment horizontal="center" vertical="center"/>
    </xf>
    <xf numFmtId="165" fontId="24" fillId="0" borderId="1" xfId="1" applyNumberFormat="1" applyFont="1" applyBorder="1" applyAlignment="1">
      <alignment horizontal="center" vertical="center"/>
    </xf>
    <xf numFmtId="43" fontId="24" fillId="0" borderId="1" xfId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166" fontId="21" fillId="2" borderId="2" xfId="0" applyNumberFormat="1" applyFont="1" applyFill="1" applyBorder="1" applyAlignment="1">
      <alignment horizontal="center" vertical="center"/>
    </xf>
    <xf numFmtId="0" fontId="15" fillId="0" borderId="0" xfId="0" applyFont="1"/>
    <xf numFmtId="165" fontId="21" fillId="2" borderId="8" xfId="1" applyNumberFormat="1" applyFont="1" applyFill="1" applyBorder="1" applyAlignment="1">
      <alignment horizontal="center" vertical="center" textRotation="90"/>
    </xf>
    <xf numFmtId="0" fontId="16" fillId="2" borderId="5" xfId="0" applyFont="1" applyFill="1" applyBorder="1" applyAlignment="1">
      <alignment horizontal="center" vertical="center"/>
    </xf>
    <xf numFmtId="43" fontId="16" fillId="2" borderId="5" xfId="1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0" xfId="0" applyFont="1" applyFill="1"/>
    <xf numFmtId="0" fontId="21" fillId="0" borderId="16" xfId="3" applyFont="1" applyFill="1" applyBorder="1" applyAlignment="1">
      <alignment horizontal="center" vertical="center"/>
    </xf>
    <xf numFmtId="165" fontId="22" fillId="0" borderId="16" xfId="4" applyNumberFormat="1" applyFont="1" applyFill="1" applyBorder="1" applyAlignment="1">
      <alignment horizontal="center" vertical="center"/>
    </xf>
    <xf numFmtId="0" fontId="21" fillId="0" borderId="18" xfId="3" applyFont="1" applyFill="1" applyBorder="1" applyAlignment="1">
      <alignment horizontal="center" vertical="center"/>
    </xf>
    <xf numFmtId="165" fontId="22" fillId="0" borderId="18" xfId="4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/>
    </xf>
    <xf numFmtId="0" fontId="21" fillId="0" borderId="0" xfId="0" applyFont="1" applyAlignment="1">
      <alignment horizontal="center"/>
    </xf>
    <xf numFmtId="0" fontId="21" fillId="0" borderId="0" xfId="0" applyFont="1" applyFill="1" applyAlignment="1">
      <alignment vertical="center"/>
    </xf>
    <xf numFmtId="0" fontId="21" fillId="0" borderId="0" xfId="0" applyFont="1" applyFill="1" applyAlignment="1">
      <alignment horizontal="center" vertical="center"/>
    </xf>
    <xf numFmtId="165" fontId="21" fillId="0" borderId="0" xfId="1" applyNumberFormat="1" applyFont="1" applyFill="1" applyAlignment="1">
      <alignment horizontal="center" vertical="center"/>
    </xf>
    <xf numFmtId="165" fontId="16" fillId="0" borderId="0" xfId="1" applyNumberFormat="1" applyFont="1" applyFill="1" applyBorder="1" applyAlignment="1">
      <alignment horizontal="center" vertical="center"/>
    </xf>
    <xf numFmtId="165" fontId="21" fillId="0" borderId="0" xfId="1" applyNumberFormat="1" applyFont="1" applyFill="1" applyAlignment="1">
      <alignment horizontal="center"/>
    </xf>
    <xf numFmtId="43" fontId="21" fillId="0" borderId="0" xfId="1" applyFont="1" applyFill="1" applyAlignment="1">
      <alignment vertical="center"/>
    </xf>
    <xf numFmtId="43" fontId="16" fillId="0" borderId="0" xfId="1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4" fillId="0" borderId="0" xfId="0" applyNumberFormat="1" applyFont="1"/>
    <xf numFmtId="0" fontId="21" fillId="0" borderId="0" xfId="0" applyFont="1" applyFill="1" applyBorder="1" applyAlignment="1">
      <alignment horizontal="center" vertical="center"/>
    </xf>
    <xf numFmtId="165" fontId="21" fillId="0" borderId="0" xfId="1" applyNumberFormat="1" applyFont="1" applyFill="1" applyBorder="1" applyAlignment="1">
      <alignment horizontal="center" vertical="center"/>
    </xf>
    <xf numFmtId="43" fontId="21" fillId="0" borderId="0" xfId="1" applyFont="1" applyFill="1" applyAlignment="1">
      <alignment horizontal="center" vertical="center"/>
    </xf>
    <xf numFmtId="0" fontId="21" fillId="0" borderId="0" xfId="0" applyFont="1"/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vertical="center"/>
    </xf>
    <xf numFmtId="165" fontId="16" fillId="0" borderId="0" xfId="1" applyNumberFormat="1" applyFont="1" applyFill="1" applyAlignment="1">
      <alignment horizontal="center" vertical="center"/>
    </xf>
    <xf numFmtId="43" fontId="16" fillId="0" borderId="0" xfId="1" applyFont="1" applyFill="1" applyAlignment="1">
      <alignment vertical="center"/>
    </xf>
    <xf numFmtId="0" fontId="4" fillId="0" borderId="0" xfId="0" applyFont="1" applyAlignment="1">
      <alignment horizontal="center"/>
    </xf>
    <xf numFmtId="165" fontId="4" fillId="0" borderId="0" xfId="1" applyNumberFormat="1" applyFont="1" applyFill="1" applyAlignment="1">
      <alignment horizontal="center"/>
    </xf>
    <xf numFmtId="165" fontId="4" fillId="0" borderId="0" xfId="1" applyNumberFormat="1" applyFont="1" applyAlignment="1">
      <alignment horizontal="center"/>
    </xf>
    <xf numFmtId="43" fontId="4" fillId="0" borderId="0" xfId="1" applyFont="1"/>
    <xf numFmtId="0" fontId="27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vertical="center" wrapText="1"/>
    </xf>
    <xf numFmtId="0" fontId="28" fillId="0" borderId="0" xfId="0" applyFont="1" applyFill="1" applyBorder="1" applyAlignment="1">
      <alignment horizontal="center" vertical="center"/>
    </xf>
    <xf numFmtId="164" fontId="21" fillId="0" borderId="0" xfId="1" applyNumberFormat="1" applyFont="1" applyFill="1" applyAlignment="1">
      <alignment vertical="center"/>
    </xf>
    <xf numFmtId="164" fontId="27" fillId="0" borderId="0" xfId="1" applyNumberFormat="1" applyFont="1" applyFill="1" applyBorder="1" applyAlignment="1">
      <alignment horizontal="center" vertical="center"/>
    </xf>
    <xf numFmtId="43" fontId="27" fillId="0" borderId="0" xfId="1" applyFont="1" applyFill="1" applyBorder="1" applyAlignment="1">
      <alignment horizontal="center" vertical="center"/>
    </xf>
    <xf numFmtId="165" fontId="16" fillId="2" borderId="2" xfId="1" applyNumberFormat="1" applyFont="1" applyFill="1" applyBorder="1" applyAlignment="1">
      <alignment vertical="center"/>
    </xf>
    <xf numFmtId="165" fontId="16" fillId="2" borderId="0" xfId="1" applyNumberFormat="1" applyFont="1" applyFill="1" applyBorder="1" applyAlignment="1">
      <alignment vertical="center"/>
    </xf>
    <xf numFmtId="0" fontId="19" fillId="0" borderId="0" xfId="0" applyFont="1" applyBorder="1"/>
    <xf numFmtId="14" fontId="29" fillId="0" borderId="0" xfId="0" applyNumberFormat="1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164" fontId="19" fillId="0" borderId="0" xfId="1" applyNumberFormat="1" applyFont="1" applyFill="1" applyAlignment="1">
      <alignment vertical="center"/>
    </xf>
    <xf numFmtId="0" fontId="19" fillId="0" borderId="0" xfId="0" applyFont="1" applyFill="1" applyAlignment="1">
      <alignment vertical="center"/>
    </xf>
    <xf numFmtId="164" fontId="20" fillId="0" borderId="0" xfId="1" applyNumberFormat="1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5" xfId="4" applyNumberFormat="1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/>
    </xf>
    <xf numFmtId="164" fontId="22" fillId="0" borderId="0" xfId="1" applyNumberFormat="1" applyFont="1" applyFill="1" applyAlignment="1">
      <alignment horizontal="center" vertical="center" wrapText="1"/>
    </xf>
    <xf numFmtId="164" fontId="22" fillId="0" borderId="0" xfId="1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2" fillId="0" borderId="0" xfId="0" applyFont="1" applyFill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left" vertical="center"/>
    </xf>
    <xf numFmtId="0" fontId="22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164" fontId="4" fillId="0" borderId="9" xfId="1" applyNumberFormat="1" applyFont="1" applyFill="1" applyBorder="1" applyAlignment="1">
      <alignment horizontal="left" vertical="center"/>
    </xf>
    <xf numFmtId="165" fontId="4" fillId="0" borderId="9" xfId="1" applyNumberFormat="1" applyFont="1" applyFill="1" applyBorder="1" applyAlignment="1">
      <alignment horizontal="left" vertical="center"/>
    </xf>
    <xf numFmtId="164" fontId="4" fillId="0" borderId="9" xfId="4" applyNumberFormat="1" applyFont="1" applyFill="1" applyBorder="1" applyAlignment="1">
      <alignment horizontal="center" vertical="center" wrapText="1"/>
    </xf>
    <xf numFmtId="43" fontId="4" fillId="0" borderId="9" xfId="1" applyNumberFormat="1" applyFont="1" applyFill="1" applyBorder="1" applyAlignment="1">
      <alignment horizontal="left" vertical="center"/>
    </xf>
    <xf numFmtId="164" fontId="4" fillId="0" borderId="9" xfId="1" applyNumberFormat="1" applyFont="1" applyFill="1" applyBorder="1" applyAlignment="1">
      <alignment horizontal="center" vertical="center" wrapText="1"/>
    </xf>
    <xf numFmtId="164" fontId="4" fillId="0" borderId="9" xfId="1" quotePrefix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164" fontId="4" fillId="0" borderId="8" xfId="1" applyNumberFormat="1" applyFont="1" applyFill="1" applyBorder="1" applyAlignment="1">
      <alignment horizontal="left" vertical="center"/>
    </xf>
    <xf numFmtId="165" fontId="4" fillId="0" borderId="8" xfId="1" applyNumberFormat="1" applyFont="1" applyFill="1" applyBorder="1" applyAlignment="1">
      <alignment horizontal="left" vertical="center"/>
    </xf>
    <xf numFmtId="164" fontId="4" fillId="0" borderId="8" xfId="4" applyNumberFormat="1" applyFont="1" applyFill="1" applyBorder="1" applyAlignment="1">
      <alignment horizontal="center" vertical="center" wrapText="1"/>
    </xf>
    <xf numFmtId="43" fontId="4" fillId="0" borderId="8" xfId="1" applyNumberFormat="1" applyFont="1" applyFill="1" applyBorder="1" applyAlignment="1">
      <alignment horizontal="left" vertical="center"/>
    </xf>
    <xf numFmtId="164" fontId="4" fillId="0" borderId="8" xfId="1" applyNumberFormat="1" applyFont="1" applyFill="1" applyBorder="1" applyAlignment="1">
      <alignment horizontal="center" vertical="center" wrapText="1"/>
    </xf>
    <xf numFmtId="164" fontId="4" fillId="0" borderId="8" xfId="1" quotePrefix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20" fillId="0" borderId="2" xfId="0" applyNumberFormat="1" applyFont="1" applyFill="1" applyBorder="1" applyAlignment="1">
      <alignment vertical="center" wrapText="1"/>
    </xf>
    <xf numFmtId="164" fontId="20" fillId="0" borderId="2" xfId="1" applyNumberFormat="1" applyFont="1" applyFill="1" applyBorder="1" applyAlignment="1">
      <alignment horizontal="center" vertical="center" wrapText="1"/>
    </xf>
    <xf numFmtId="164" fontId="20" fillId="0" borderId="0" xfId="1" applyNumberFormat="1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43" fontId="4" fillId="0" borderId="9" xfId="4" applyNumberFormat="1" applyFont="1" applyFill="1" applyBorder="1" applyAlignment="1">
      <alignment horizontal="left" vertical="center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center" vertical="center"/>
    </xf>
    <xf numFmtId="164" fontId="4" fillId="0" borderId="18" xfId="1" applyNumberFormat="1" applyFont="1" applyFill="1" applyBorder="1" applyAlignment="1">
      <alignment horizontal="center" vertical="center" wrapText="1"/>
    </xf>
    <xf numFmtId="43" fontId="4" fillId="0" borderId="18" xfId="1" applyFont="1" applyFill="1" applyBorder="1" applyAlignment="1">
      <alignment horizontal="center" vertical="center" wrapText="1"/>
    </xf>
    <xf numFmtId="164" fontId="4" fillId="0" borderId="18" xfId="1" quotePrefix="1" applyNumberFormat="1" applyFont="1" applyFill="1" applyBorder="1" applyAlignment="1">
      <alignment horizontal="center" vertical="center" wrapText="1"/>
    </xf>
    <xf numFmtId="164" fontId="4" fillId="0" borderId="0" xfId="1" applyNumberFormat="1" applyFont="1" applyFill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11" xfId="0" applyFont="1" applyFill="1" applyBorder="1" applyAlignment="1">
      <alignment vertical="center" wrapText="1"/>
    </xf>
    <xf numFmtId="0" fontId="21" fillId="0" borderId="11" xfId="0" applyFont="1" applyFill="1" applyBorder="1" applyAlignment="1">
      <alignment horizontal="center" vertical="center" wrapText="1"/>
    </xf>
    <xf numFmtId="164" fontId="21" fillId="0" borderId="11" xfId="1" applyNumberFormat="1" applyFont="1" applyFill="1" applyBorder="1" applyAlignment="1">
      <alignment vertical="center" wrapText="1"/>
    </xf>
    <xf numFmtId="43" fontId="21" fillId="0" borderId="0" xfId="1" applyFont="1" applyFill="1" applyAlignment="1">
      <alignment vertical="center" wrapText="1"/>
    </xf>
    <xf numFmtId="164" fontId="21" fillId="0" borderId="11" xfId="0" applyNumberFormat="1" applyFont="1" applyFill="1" applyBorder="1" applyAlignment="1">
      <alignment vertical="center" wrapText="1"/>
    </xf>
    <xf numFmtId="164" fontId="21" fillId="0" borderId="0" xfId="1" applyNumberFormat="1" applyFont="1" applyFill="1" applyAlignment="1">
      <alignment vertical="center" wrapText="1"/>
    </xf>
    <xf numFmtId="0" fontId="21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vertical="center" wrapText="1"/>
    </xf>
    <xf numFmtId="43" fontId="4" fillId="0" borderId="0" xfId="1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43" fontId="4" fillId="0" borderId="0" xfId="1" applyFont="1" applyFill="1" applyAlignment="1">
      <alignment vertical="center" wrapText="1"/>
    </xf>
    <xf numFmtId="0" fontId="15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164" fontId="21" fillId="0" borderId="0" xfId="1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164" fontId="21" fillId="0" borderId="0" xfId="1" applyNumberFormat="1" applyFont="1" applyFill="1" applyAlignment="1">
      <alignment horizontal="center" vertical="center" wrapText="1"/>
    </xf>
    <xf numFmtId="43" fontId="11" fillId="0" borderId="9" xfId="1" applyNumberFormat="1" applyFont="1" applyBorder="1" applyAlignment="1">
      <alignment horizontal="center" vertical="center" wrapText="1"/>
    </xf>
    <xf numFmtId="164" fontId="20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center" wrapText="1"/>
    </xf>
    <xf numFmtId="164" fontId="10" fillId="2" borderId="3" xfId="1" applyNumberFormat="1" applyFont="1" applyFill="1" applyBorder="1" applyAlignment="1">
      <alignment horizontal="center" vertical="center" wrapText="1"/>
    </xf>
    <xf numFmtId="164" fontId="10" fillId="2" borderId="4" xfId="1" applyNumberFormat="1" applyFont="1" applyFill="1" applyBorder="1" applyAlignment="1">
      <alignment horizontal="center" vertical="center" wrapText="1"/>
    </xf>
    <xf numFmtId="164" fontId="10" fillId="2" borderId="6" xfId="1" applyNumberFormat="1" applyFont="1" applyFill="1" applyBorder="1" applyAlignment="1">
      <alignment horizontal="center" vertical="center" wrapText="1"/>
    </xf>
    <xf numFmtId="164" fontId="10" fillId="2" borderId="7" xfId="1" applyNumberFormat="1" applyFont="1" applyFill="1" applyBorder="1" applyAlignment="1">
      <alignment horizontal="center" vertical="center" wrapText="1"/>
    </xf>
    <xf numFmtId="164" fontId="10" fillId="2" borderId="2" xfId="1" applyNumberFormat="1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8" xfId="1" applyNumberFormat="1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43" fontId="21" fillId="0" borderId="5" xfId="1" applyFont="1" applyBorder="1" applyAlignment="1">
      <alignment horizontal="center" vertical="center"/>
    </xf>
    <xf numFmtId="43" fontId="21" fillId="0" borderId="17" xfId="1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164" fontId="4" fillId="0" borderId="17" xfId="1" applyNumberFormat="1" applyFont="1" applyBorder="1" applyAlignment="1">
      <alignment horizontal="center" vertical="center"/>
    </xf>
    <xf numFmtId="43" fontId="18" fillId="0" borderId="13" xfId="1" applyFont="1" applyBorder="1" applyAlignment="1">
      <alignment horizontal="center" vertical="center" wrapText="1"/>
    </xf>
    <xf numFmtId="43" fontId="18" fillId="0" borderId="14" xfId="1" applyFont="1" applyBorder="1" applyAlignment="1">
      <alignment horizontal="center" vertical="center" wrapText="1"/>
    </xf>
    <xf numFmtId="43" fontId="18" fillId="0" borderId="15" xfId="1" applyFont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43" fontId="20" fillId="2" borderId="5" xfId="1" applyFont="1" applyFill="1" applyBorder="1" applyAlignment="1">
      <alignment horizontal="center" vertical="center" wrapText="1"/>
    </xf>
    <xf numFmtId="43" fontId="20" fillId="2" borderId="8" xfId="1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 wrapText="1"/>
    </xf>
    <xf numFmtId="0" fontId="21" fillId="0" borderId="17" xfId="0" applyFont="1" applyFill="1" applyBorder="1" applyAlignment="1">
      <alignment horizontal="center" vertical="center" wrapText="1"/>
    </xf>
    <xf numFmtId="0" fontId="21" fillId="0" borderId="5" xfId="3" applyNumberFormat="1" applyFont="1" applyFill="1" applyBorder="1" applyAlignment="1">
      <alignment horizontal="left" vertical="center"/>
    </xf>
    <xf numFmtId="0" fontId="21" fillId="0" borderId="17" xfId="3" applyNumberFormat="1" applyFont="1" applyFill="1" applyBorder="1" applyAlignment="1">
      <alignment horizontal="left" vertical="center"/>
    </xf>
    <xf numFmtId="0" fontId="21" fillId="0" borderId="5" xfId="3" applyNumberFormat="1" applyFont="1" applyFill="1" applyBorder="1" applyAlignment="1">
      <alignment horizontal="center" vertical="center" wrapText="1"/>
    </xf>
    <xf numFmtId="0" fontId="21" fillId="0" borderId="17" xfId="3" applyNumberFormat="1" applyFont="1" applyFill="1" applyBorder="1" applyAlignment="1">
      <alignment horizontal="center" vertical="center" wrapText="1"/>
    </xf>
    <xf numFmtId="167" fontId="22" fillId="5" borderId="5" xfId="0" applyNumberFormat="1" applyFont="1" applyFill="1" applyBorder="1" applyAlignment="1">
      <alignment horizontal="center" vertical="center"/>
    </xf>
    <xf numFmtId="0" fontId="22" fillId="5" borderId="17" xfId="0" applyFont="1" applyFill="1" applyBorder="1" applyAlignment="1">
      <alignment horizontal="center" vertical="center"/>
    </xf>
    <xf numFmtId="168" fontId="22" fillId="5" borderId="5" xfId="1" applyNumberFormat="1" applyFont="1" applyFill="1" applyBorder="1" applyAlignment="1">
      <alignment horizontal="center" vertical="center"/>
    </xf>
    <xf numFmtId="168" fontId="22" fillId="5" borderId="17" xfId="1" applyNumberFormat="1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168" fontId="21" fillId="0" borderId="5" xfId="1" applyNumberFormat="1" applyFont="1" applyBorder="1" applyAlignment="1">
      <alignment horizontal="center" vertical="center"/>
    </xf>
    <xf numFmtId="168" fontId="21" fillId="0" borderId="17" xfId="1" applyNumberFormat="1" applyFont="1" applyBorder="1" applyAlignment="1">
      <alignment horizontal="center" vertical="center"/>
    </xf>
    <xf numFmtId="167" fontId="22" fillId="5" borderId="17" xfId="0" applyNumberFormat="1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horizontal="center" vertical="center"/>
    </xf>
    <xf numFmtId="43" fontId="24" fillId="3" borderId="13" xfId="1" applyFont="1" applyFill="1" applyBorder="1" applyAlignment="1">
      <alignment horizontal="center" vertical="center" wrapText="1"/>
    </xf>
    <xf numFmtId="43" fontId="24" fillId="3" borderId="14" xfId="1" applyFont="1" applyFill="1" applyBorder="1" applyAlignment="1">
      <alignment horizontal="center" vertical="center" wrapText="1"/>
    </xf>
    <xf numFmtId="43" fontId="24" fillId="3" borderId="15" xfId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43" fontId="10" fillId="2" borderId="5" xfId="1" applyFont="1" applyFill="1" applyBorder="1" applyAlignment="1">
      <alignment horizontal="center" vertical="center" wrapText="1"/>
    </xf>
    <xf numFmtId="43" fontId="10" fillId="2" borderId="8" xfId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</cellXfs>
  <cellStyles count="585">
    <cellStyle name="_x0001_" xfId="5"/>
    <cellStyle name="%" xfId="6"/>
    <cellStyle name="," xfId="7"/>
    <cellStyle name="??" xfId="8"/>
    <cellStyle name="?? [0.00]_List-dwg" xfId="9"/>
    <cellStyle name="?? [0]" xfId="10"/>
    <cellStyle name="??&amp;O?&amp;H?_x0008_??_x0007__x0001__x0001_" xfId="11"/>
    <cellStyle name="???? [0.00]_List-dwg" xfId="12"/>
    <cellStyle name="????_List-dwg" xfId="13"/>
    <cellStyle name="???[0]_Book1" xfId="14"/>
    <cellStyle name="???_???" xfId="15"/>
    <cellStyle name="??_ ??? ???? " xfId="16"/>
    <cellStyle name="_01 DUNGTIEN BIEU SX KINH DOANH" xfId="17"/>
    <cellStyle name="_01 modul tvql 06 08 09" xfId="18"/>
    <cellStyle name="_01 modul tvql 06 08 09_J&amp;J BCC+BL 082011 v2" xfId="19"/>
    <cellStyle name="_01 modul tvql 06 08 09_thaotuan luong 102011 v2" xfId="20"/>
    <cellStyle name="_Book1" xfId="21"/>
    <cellStyle name="_Book1_01 modul tvql 06 08 09" xfId="22"/>
    <cellStyle name="_Book1_1" xfId="23"/>
    <cellStyle name="_Book1_1_01 modul tvql 06 08 09" xfId="24"/>
    <cellStyle name="_Book1_1_CHINH DUC - MTCV GUI ANH HAI 051208" xfId="25"/>
    <cellStyle name="_Book1_1_CHINH DUC - MTCV GUI ANH HAI 051208_J&amp;J BCC+BL 082011 v2" xfId="26"/>
    <cellStyle name="_Book1_1_CHINH DUC - MTCV GUI ANH HAI 051208_thaotuan luong 102011 v2" xfId="27"/>
    <cellStyle name="_Book1_1_DAINAM" xfId="28"/>
    <cellStyle name="_Book1_1_DSKH" xfId="29"/>
    <cellStyle name="_Book1_1_DSKH_J&amp;J BCC+BL 082011 v2" xfId="30"/>
    <cellStyle name="_Book1_1_DSKH_thaotuan luong 102011 v2" xfId="31"/>
    <cellStyle name="_Book1_1_DUNG TIEN MAUKETOAN" xfId="32"/>
    <cellStyle name="_Book1_1_DUNG TIEN MAUKETOAN_J&amp;J BCC+BL 082011 v2" xfId="33"/>
    <cellStyle name="_Book1_1_DUNG TIEN MAUKETOAN_thaotuan luong 102011 v2" xfId="34"/>
    <cellStyle name="_Book1_1_hiep thanh bao gia thang 2008" xfId="35"/>
    <cellStyle name="_Book1_1_KH - HE THONG BM" xfId="36"/>
    <cellStyle name="_Book1_1_KH - Mau gui KH" xfId="37"/>
    <cellStyle name="_Book1_1_nhatkycongviec" xfId="38"/>
    <cellStyle name="_Book1_1_nhatkycongviec_J&amp;J BCC+BL 082011 v2" xfId="39"/>
    <cellStyle name="_Book1_1_nhatkycongviec_thaotuan luong 102011 v2" xfId="40"/>
    <cellStyle name="_Book1_1_NS DANH MUC  CONGVIEC" xfId="41"/>
    <cellStyle name="_Book1_1_viva ky nang mem 1108" xfId="42"/>
    <cellStyle name="_Book1_1_VIVA SO QUY 2009" xfId="43"/>
    <cellStyle name="_Book1_1_VIVA SO QUY 2009_J&amp;J BCC+BL 082011 v2" xfId="44"/>
    <cellStyle name="_Book1_1_VIVA SO QUY 2009_thaotuan luong 102011 v2" xfId="45"/>
    <cellStyle name="_Book1_1_VV - BIEU MAU NOI BO" xfId="46"/>
    <cellStyle name="_Book1_1_VV - BIEU MAU NOI BO_J&amp;J BCC+BL 082011 v2" xfId="47"/>
    <cellStyle name="_Book1_1_VV - BIEU MAU NOI BO_thaotuan luong 102011 v2" xfId="48"/>
    <cellStyle name="_Book1_1_VV - MT SWOT" xfId="49"/>
    <cellStyle name="_Book1_1_vv bao gia dvns 0309" xfId="50"/>
    <cellStyle name="_Book1_1_vv bao gia dvns 0309_J&amp;J BCC+BL 082011 v2" xfId="51"/>
    <cellStyle name="_Book1_1_vv bao gia dvns 0309_thaotuan luong 102011 v2" xfId="52"/>
    <cellStyle name="_Book1_1_vv bao gia mau 0309" xfId="53"/>
    <cellStyle name="_Book1_1_vv bieu mau gui kh" xfId="54"/>
    <cellStyle name="_Book1_1_vv bieu mau gui kh_J&amp;J BCC+BL 082011 v2" xfId="55"/>
    <cellStyle name="_Book1_1_vv bieu mau gui kh_thaotuan luong 102011 v2" xfId="56"/>
    <cellStyle name="_Book1_1_vv de nghi thanh toan" xfId="57"/>
    <cellStyle name="_Book1_1_vv de nghi thanh toan_J&amp;J BCC+BL 082011 v2" xfId="58"/>
    <cellStyle name="_Book1_1_vv de nghi thanh toan_thaotuan luong 102011 v2" xfId="59"/>
    <cellStyle name="_Book1_1_vv memo" xfId="60"/>
    <cellStyle name="_Book1_1_vv memo_J&amp;J BCC+BL 082011 v2" xfId="61"/>
    <cellStyle name="_Book1_1_vv memo_thaotuan luong 102011 v2" xfId="62"/>
    <cellStyle name="_Book1_2" xfId="63"/>
    <cellStyle name="_Book1_BC-QT-WB-dthao" xfId="64"/>
    <cellStyle name="_Book1_CHINH DUC - MTCV GUI ANH HAI 051208" xfId="65"/>
    <cellStyle name="_Book1_DAINAM" xfId="66"/>
    <cellStyle name="_Book1_DSKH" xfId="67"/>
    <cellStyle name="_Book1_DUNG TIEN MAUKETOAN" xfId="68"/>
    <cellStyle name="_Book1_hiep thanh bao gia thang 2008" xfId="69"/>
    <cellStyle name="_Book1_KH - HE THONG BM" xfId="70"/>
    <cellStyle name="_Book1_KH - Mau gui KH" xfId="71"/>
    <cellStyle name="_Book1_nhatkycongviec" xfId="72"/>
    <cellStyle name="_Book1_NS DANH MUC  CONGVIEC" xfId="73"/>
    <cellStyle name="_Book1_phieu yeu cau bo sung thong tin." xfId="74"/>
    <cellStyle name="_Book1_viva ky nang mem 1108" xfId="75"/>
    <cellStyle name="_Book1_VIVA SO QUY 2009" xfId="76"/>
    <cellStyle name="_Book1_VV - BIEU MAU NOI BO" xfId="77"/>
    <cellStyle name="_Book1_VV - MT SWOT" xfId="78"/>
    <cellStyle name="_Book1_vv bao gia dvns 0309" xfId="79"/>
    <cellStyle name="_Book1_vv bao gia mau 0309" xfId="80"/>
    <cellStyle name="_Book1_vv bieu mau gui kh" xfId="81"/>
    <cellStyle name="_Book1_vv de nghi thanh toan" xfId="82"/>
    <cellStyle name="_Book1_vv memo" xfId="83"/>
    <cellStyle name="_CHINH DUC - MTCV GUI ANH HAI 051208" xfId="84"/>
    <cellStyle name="_DAINAM" xfId="85"/>
    <cellStyle name="_DAINAM_J&amp;J BCC+BL 082011 v2" xfId="86"/>
    <cellStyle name="_DAINAM_thaotuan luong 102011 v2" xfId="87"/>
    <cellStyle name="_DSKH" xfId="88"/>
    <cellStyle name="_DUNG TIEN" xfId="89"/>
    <cellStyle name="_DUNG TIEN MAUKETOAN" xfId="90"/>
    <cellStyle name="_DUNG TIEN_J&amp;J BCC+BL 082011 v2" xfId="91"/>
    <cellStyle name="_DUNG TIEN_thaotuan luong 102011 v2" xfId="92"/>
    <cellStyle name="_hiep thanh bao gia thang 2008" xfId="93"/>
    <cellStyle name="_hiep thanh bao gia thang 2008_J&amp;J BCC+BL 082011 v2" xfId="94"/>
    <cellStyle name="_hiep thanh bao gia thang 2008_thaotuan luong 102011 v2" xfId="95"/>
    <cellStyle name="_KH - HE THONG BM" xfId="96"/>
    <cellStyle name="_KH - HE THONG BM_J&amp;J BCC+BL 082011 v2" xfId="97"/>
    <cellStyle name="_KH - HE THONG BM_thaotuan luong 102011 v2" xfId="98"/>
    <cellStyle name="_KH - Mau gui KH" xfId="99"/>
    <cellStyle name="_KH - Mau gui KH_J&amp;J BCC+BL 082011 v2" xfId="100"/>
    <cellStyle name="_KH - Mau gui KH_thaotuan luong 102011 v2" xfId="101"/>
    <cellStyle name="_KT (2)" xfId="102"/>
    <cellStyle name="_KT (2)_1" xfId="103"/>
    <cellStyle name="_KT (2)_1_Lora-tungchau" xfId="104"/>
    <cellStyle name="_KT (2)_1_Qt-HT3PQ1(CauKho)" xfId="105"/>
    <cellStyle name="_KT (2)_2" xfId="106"/>
    <cellStyle name="_KT (2)_2_TG-TH" xfId="107"/>
    <cellStyle name="_KT (2)_2_TG-TH_BAO CAO KLCT PT2000" xfId="108"/>
    <cellStyle name="_KT (2)_2_TG-TH_BAO CAO PT2000" xfId="109"/>
    <cellStyle name="_KT (2)_2_TG-TH_BAO CAO PT2000_Book1" xfId="110"/>
    <cellStyle name="_KT (2)_2_TG-TH_Bao cao XDCB 2001 - T11 KH dieu chinh 20-11-THAI" xfId="111"/>
    <cellStyle name="_KT (2)_2_TG-TH_Book1" xfId="112"/>
    <cellStyle name="_KT (2)_2_TG-TH_Book1_1" xfId="113"/>
    <cellStyle name="_KT (2)_2_TG-TH_Book1_2" xfId="114"/>
    <cellStyle name="_KT (2)_2_TG-TH_DTCDT MR.2N110.HOCMON.TDTOAN.CCUNG" xfId="115"/>
    <cellStyle name="_KT (2)_2_TG-TH_Lora-tungchau" xfId="116"/>
    <cellStyle name="_KT (2)_2_TG-TH_PGIA-phieu tham tra Kho bac" xfId="117"/>
    <cellStyle name="_KT (2)_2_TG-TH_PT02-02" xfId="118"/>
    <cellStyle name="_KT (2)_2_TG-TH_PT02-02_Book1" xfId="119"/>
    <cellStyle name="_KT (2)_2_TG-TH_PT02-03" xfId="120"/>
    <cellStyle name="_KT (2)_2_TG-TH_PT02-03_Book1" xfId="121"/>
    <cellStyle name="_KT (2)_2_TG-TH_Qt-HT3PQ1(CauKho)" xfId="122"/>
    <cellStyle name="_KT (2)_3" xfId="123"/>
    <cellStyle name="_KT (2)_3_TG-TH" xfId="124"/>
    <cellStyle name="_KT (2)_3_TG-TH_Book1" xfId="125"/>
    <cellStyle name="_KT (2)_3_TG-TH_Book1_BC-QT-WB-dthao" xfId="126"/>
    <cellStyle name="_KT (2)_3_TG-TH_Lora-tungchau" xfId="127"/>
    <cellStyle name="_KT (2)_3_TG-TH_PERSONAL" xfId="128"/>
    <cellStyle name="_KT (2)_3_TG-TH_PERSONAL_HTQ.8 GD1" xfId="129"/>
    <cellStyle name="_KT (2)_3_TG-TH_PERSONAL_Tong hop KHCB 2001" xfId="130"/>
    <cellStyle name="_KT (2)_3_TG-TH_Qt-HT3PQ1(CauKho)" xfId="131"/>
    <cellStyle name="_KT (2)_4" xfId="132"/>
    <cellStyle name="_KT (2)_4_BAO CAO KLCT PT2000" xfId="133"/>
    <cellStyle name="_KT (2)_4_BAO CAO PT2000" xfId="134"/>
    <cellStyle name="_KT (2)_4_BAO CAO PT2000_Book1" xfId="135"/>
    <cellStyle name="_KT (2)_4_Bao cao XDCB 2001 - T11 KH dieu chinh 20-11-THAI" xfId="136"/>
    <cellStyle name="_KT (2)_4_Book1" xfId="137"/>
    <cellStyle name="_KT (2)_4_Book1_1" xfId="138"/>
    <cellStyle name="_KT (2)_4_Book1_2" xfId="139"/>
    <cellStyle name="_KT (2)_4_DTCDT MR.2N110.HOCMON.TDTOAN.CCUNG" xfId="140"/>
    <cellStyle name="_KT (2)_4_Lora-tungchau" xfId="141"/>
    <cellStyle name="_KT (2)_4_PGIA-phieu tham tra Kho bac" xfId="142"/>
    <cellStyle name="_KT (2)_4_PT02-02" xfId="143"/>
    <cellStyle name="_KT (2)_4_PT02-02_Book1" xfId="144"/>
    <cellStyle name="_KT (2)_4_PT02-03" xfId="145"/>
    <cellStyle name="_KT (2)_4_PT02-03_Book1" xfId="146"/>
    <cellStyle name="_KT (2)_4_Qt-HT3PQ1(CauKho)" xfId="147"/>
    <cellStyle name="_KT (2)_4_TG-TH" xfId="148"/>
    <cellStyle name="_KT (2)_5" xfId="149"/>
    <cellStyle name="_KT (2)_5_BAO CAO KLCT PT2000" xfId="150"/>
    <cellStyle name="_KT (2)_5_BAO CAO PT2000" xfId="151"/>
    <cellStyle name="_KT (2)_5_BAO CAO PT2000_Book1" xfId="152"/>
    <cellStyle name="_KT (2)_5_Bao cao XDCB 2001 - T11 KH dieu chinh 20-11-THAI" xfId="153"/>
    <cellStyle name="_KT (2)_5_Book1" xfId="154"/>
    <cellStyle name="_KT (2)_5_Book1_1" xfId="155"/>
    <cellStyle name="_KT (2)_5_Book1_2" xfId="156"/>
    <cellStyle name="_KT (2)_5_Book1_BC-QT-WB-dthao" xfId="157"/>
    <cellStyle name="_KT (2)_5_DTCDT MR.2N110.HOCMON.TDTOAN.CCUNG" xfId="158"/>
    <cellStyle name="_KT (2)_5_Lora-tungchau" xfId="159"/>
    <cellStyle name="_KT (2)_5_PGIA-phieu tham tra Kho bac" xfId="160"/>
    <cellStyle name="_KT (2)_5_PT02-02" xfId="161"/>
    <cellStyle name="_KT (2)_5_PT02-02_Book1" xfId="162"/>
    <cellStyle name="_KT (2)_5_PT02-03" xfId="163"/>
    <cellStyle name="_KT (2)_5_PT02-03_Book1" xfId="164"/>
    <cellStyle name="_KT (2)_5_Qt-HT3PQ1(CauKho)" xfId="165"/>
    <cellStyle name="_KT (2)_Book1" xfId="166"/>
    <cellStyle name="_KT (2)_Book1_BC-QT-WB-dthao" xfId="167"/>
    <cellStyle name="_KT (2)_Lora-tungchau" xfId="168"/>
    <cellStyle name="_KT (2)_PERSONAL" xfId="169"/>
    <cellStyle name="_KT (2)_PERSONAL_HTQ.8 GD1" xfId="170"/>
    <cellStyle name="_KT (2)_PERSONAL_Tong hop KHCB 2001" xfId="171"/>
    <cellStyle name="_KT (2)_Qt-HT3PQ1(CauKho)" xfId="172"/>
    <cellStyle name="_KT (2)_TG-TH" xfId="173"/>
    <cellStyle name="_KT_TG" xfId="174"/>
    <cellStyle name="_KT_TG_1" xfId="175"/>
    <cellStyle name="_KT_TG_1_BAO CAO KLCT PT2000" xfId="176"/>
    <cellStyle name="_KT_TG_1_BAO CAO PT2000" xfId="177"/>
    <cellStyle name="_KT_TG_1_BAO CAO PT2000_Book1" xfId="178"/>
    <cellStyle name="_KT_TG_1_Bao cao XDCB 2001 - T11 KH dieu chinh 20-11-THAI" xfId="179"/>
    <cellStyle name="_KT_TG_1_Book1" xfId="180"/>
    <cellStyle name="_KT_TG_1_Book1_1" xfId="181"/>
    <cellStyle name="_KT_TG_1_Book1_2" xfId="182"/>
    <cellStyle name="_KT_TG_1_Book1_BC-QT-WB-dthao" xfId="183"/>
    <cellStyle name="_KT_TG_1_DTCDT MR.2N110.HOCMON.TDTOAN.CCUNG" xfId="184"/>
    <cellStyle name="_KT_TG_1_Lora-tungchau" xfId="185"/>
    <cellStyle name="_KT_TG_1_PGIA-phieu tham tra Kho bac" xfId="186"/>
    <cellStyle name="_KT_TG_1_PT02-02" xfId="187"/>
    <cellStyle name="_KT_TG_1_PT02-02_Book1" xfId="188"/>
    <cellStyle name="_KT_TG_1_PT02-03" xfId="189"/>
    <cellStyle name="_KT_TG_1_PT02-03_Book1" xfId="190"/>
    <cellStyle name="_KT_TG_1_Qt-HT3PQ1(CauKho)" xfId="191"/>
    <cellStyle name="_KT_TG_2" xfId="192"/>
    <cellStyle name="_KT_TG_2_BAO CAO KLCT PT2000" xfId="193"/>
    <cellStyle name="_KT_TG_2_BAO CAO PT2000" xfId="194"/>
    <cellStyle name="_KT_TG_2_BAO CAO PT2000_Book1" xfId="195"/>
    <cellStyle name="_KT_TG_2_Bao cao XDCB 2001 - T11 KH dieu chinh 20-11-THAI" xfId="196"/>
    <cellStyle name="_KT_TG_2_Book1" xfId="197"/>
    <cellStyle name="_KT_TG_2_Book1_1" xfId="198"/>
    <cellStyle name="_KT_TG_2_Book1_2" xfId="199"/>
    <cellStyle name="_KT_TG_2_DTCDT MR.2N110.HOCMON.TDTOAN.CCUNG" xfId="200"/>
    <cellStyle name="_KT_TG_2_Lora-tungchau" xfId="201"/>
    <cellStyle name="_KT_TG_2_PGIA-phieu tham tra Kho bac" xfId="202"/>
    <cellStyle name="_KT_TG_2_PT02-02" xfId="203"/>
    <cellStyle name="_KT_TG_2_PT02-02_Book1" xfId="204"/>
    <cellStyle name="_KT_TG_2_PT02-03" xfId="205"/>
    <cellStyle name="_KT_TG_2_PT02-03_Book1" xfId="206"/>
    <cellStyle name="_KT_TG_2_Qt-HT3PQ1(CauKho)" xfId="207"/>
    <cellStyle name="_KT_TG_3" xfId="208"/>
    <cellStyle name="_KT_TG_4" xfId="209"/>
    <cellStyle name="_KT_TG_4_Lora-tungchau" xfId="210"/>
    <cellStyle name="_KT_TG_4_Qt-HT3PQ1(CauKho)" xfId="211"/>
    <cellStyle name="_Lora-tungchau" xfId="212"/>
    <cellStyle name="_nhatkycongviec" xfId="213"/>
    <cellStyle name="_NS DANH MUC  CONGVIEC" xfId="214"/>
    <cellStyle name="_NS DANH MUC  CONGVIEC_J&amp;J BCC+BL 082011 v2" xfId="215"/>
    <cellStyle name="_NS DANH MUC  CONGVIEC_thaotuan luong 102011 v2" xfId="216"/>
    <cellStyle name="_PERSONAL" xfId="217"/>
    <cellStyle name="_PERSONAL_HTQ.8 GD1" xfId="218"/>
    <cellStyle name="_PERSONAL_Tong hop KHCB 2001" xfId="219"/>
    <cellStyle name="_phieu yeu cau bo sung thong tin." xfId="220"/>
    <cellStyle name="_Qt-HT3PQ1(CauKho)" xfId="221"/>
    <cellStyle name="_TG-TH" xfId="222"/>
    <cellStyle name="_TG-TH_1" xfId="223"/>
    <cellStyle name="_TG-TH_1_BAO CAO KLCT PT2000" xfId="224"/>
    <cellStyle name="_TG-TH_1_BAO CAO PT2000" xfId="225"/>
    <cellStyle name="_TG-TH_1_BAO CAO PT2000_Book1" xfId="226"/>
    <cellStyle name="_TG-TH_1_Bao cao XDCB 2001 - T11 KH dieu chinh 20-11-THAI" xfId="227"/>
    <cellStyle name="_TG-TH_1_Book1" xfId="228"/>
    <cellStyle name="_TG-TH_1_Book1_1" xfId="229"/>
    <cellStyle name="_TG-TH_1_Book1_2" xfId="230"/>
    <cellStyle name="_TG-TH_1_Book1_BC-QT-WB-dthao" xfId="231"/>
    <cellStyle name="_TG-TH_1_DTCDT MR.2N110.HOCMON.TDTOAN.CCUNG" xfId="232"/>
    <cellStyle name="_TG-TH_1_Lora-tungchau" xfId="233"/>
    <cellStyle name="_TG-TH_1_PGIA-phieu tham tra Kho bac" xfId="234"/>
    <cellStyle name="_TG-TH_1_PT02-02" xfId="235"/>
    <cellStyle name="_TG-TH_1_PT02-02_Book1" xfId="236"/>
    <cellStyle name="_TG-TH_1_PT02-03" xfId="237"/>
    <cellStyle name="_TG-TH_1_PT02-03_Book1" xfId="238"/>
    <cellStyle name="_TG-TH_1_Qt-HT3PQ1(CauKho)" xfId="239"/>
    <cellStyle name="_TG-TH_2" xfId="240"/>
    <cellStyle name="_TG-TH_2_BAO CAO KLCT PT2000" xfId="241"/>
    <cellStyle name="_TG-TH_2_BAO CAO PT2000" xfId="242"/>
    <cellStyle name="_TG-TH_2_BAO CAO PT2000_Book1" xfId="243"/>
    <cellStyle name="_TG-TH_2_Bao cao XDCB 2001 - T11 KH dieu chinh 20-11-THAI" xfId="244"/>
    <cellStyle name="_TG-TH_2_Book1" xfId="245"/>
    <cellStyle name="_TG-TH_2_Book1_1" xfId="246"/>
    <cellStyle name="_TG-TH_2_Book1_2" xfId="247"/>
    <cellStyle name="_TG-TH_2_DTCDT MR.2N110.HOCMON.TDTOAN.CCUNG" xfId="248"/>
    <cellStyle name="_TG-TH_2_Lora-tungchau" xfId="249"/>
    <cellStyle name="_TG-TH_2_PGIA-phieu tham tra Kho bac" xfId="250"/>
    <cellStyle name="_TG-TH_2_PT02-02" xfId="251"/>
    <cellStyle name="_TG-TH_2_PT02-02_Book1" xfId="252"/>
    <cellStyle name="_TG-TH_2_PT02-03" xfId="253"/>
    <cellStyle name="_TG-TH_2_PT02-03_Book1" xfId="254"/>
    <cellStyle name="_TG-TH_2_Qt-HT3PQ1(CauKho)" xfId="255"/>
    <cellStyle name="_TG-TH_3" xfId="256"/>
    <cellStyle name="_TG-TH_3_Lora-tungchau" xfId="257"/>
    <cellStyle name="_TG-TH_3_Qt-HT3PQ1(CauKho)" xfId="258"/>
    <cellStyle name="_TG-TH_4" xfId="259"/>
    <cellStyle name="_viva ky nang mem 1108" xfId="260"/>
    <cellStyle name="_viva ky nang mem 1108_J&amp;J BCC+BL 082011 v2" xfId="261"/>
    <cellStyle name="_viva ky nang mem 1108_thaotuan luong 102011 v2" xfId="262"/>
    <cellStyle name="_VIVA SO QUY 2009" xfId="263"/>
    <cellStyle name="_VV - BIEU MAU NOI BO" xfId="264"/>
    <cellStyle name="_VV - MT SWOT" xfId="265"/>
    <cellStyle name="_VV - MT SWOT_J&amp;J BCC+BL 082011 v2" xfId="266"/>
    <cellStyle name="_VV - MT SWOT_thaotuan luong 102011 v2" xfId="267"/>
    <cellStyle name="_vv bao gia dvns 0309" xfId="268"/>
    <cellStyle name="_vv bao gia mau 0309" xfId="269"/>
    <cellStyle name="_vv bao gia mau 0309_J&amp;J BCC+BL 082011 v2" xfId="270"/>
    <cellStyle name="_vv bao gia mau 0309_thaotuan luong 102011 v2" xfId="271"/>
    <cellStyle name="_vv bieu mau gui kh" xfId="272"/>
    <cellStyle name="_vv de nghi thanh toan" xfId="273"/>
    <cellStyle name="_vv memo" xfId="274"/>
    <cellStyle name="•W€_STDFOR" xfId="275"/>
    <cellStyle name="000," xfId="276"/>
    <cellStyle name="000,000" xfId="277"/>
    <cellStyle name="1" xfId="278"/>
    <cellStyle name="¹éºÐÀ²_      " xfId="279"/>
    <cellStyle name="2" xfId="280"/>
    <cellStyle name="3" xfId="281"/>
    <cellStyle name="4" xfId="282"/>
    <cellStyle name="a" xfId="283"/>
    <cellStyle name="ÅëÈ­ [0]_      " xfId="284"/>
    <cellStyle name="AeE­ [0]_INQUIRY ¿?¾÷AßAø " xfId="285"/>
    <cellStyle name="ÅëÈ­_      " xfId="286"/>
    <cellStyle name="AeE­_INQUIRY ¿?¾÷AßAø " xfId="287"/>
    <cellStyle name="ÅëÈ­_L601CPT" xfId="288"/>
    <cellStyle name="ÄÞ¸¶ [0]_      " xfId="289"/>
    <cellStyle name="AÞ¸¶ [0]_INQUIRY ¿?¾÷AßAø" xfId="290"/>
    <cellStyle name="ÄÞ¸¶ [0]_L601CPT" xfId="291"/>
    <cellStyle name="ÄÞ¸¶_      " xfId="292"/>
    <cellStyle name="AÞ¸¶_INQUIRY ¿?¾÷AßAø" xfId="293"/>
    <cellStyle name="ÄÞ¸¶_L601CPT" xfId="294"/>
    <cellStyle name="AutoFormat Options" xfId="295"/>
    <cellStyle name="Body" xfId="296"/>
    <cellStyle name="C?AØ_¿?¾÷CoE² " xfId="297"/>
    <cellStyle name="Ç¥ÁØ_      " xfId="298"/>
    <cellStyle name="C￥AØ_¿μ¾÷CoE² " xfId="299"/>
    <cellStyle name="Ç¥ÁØ_±¸¹Ì´ëÃ¥" xfId="300"/>
    <cellStyle name="Calc Currency (0)" xfId="301"/>
    <cellStyle name="Calc Currency (2)" xfId="302"/>
    <cellStyle name="Calc Percent (0)" xfId="303"/>
    <cellStyle name="Calc Percent (1)" xfId="304"/>
    <cellStyle name="Calc Percent (2)" xfId="305"/>
    <cellStyle name="Calc Units (0)" xfId="306"/>
    <cellStyle name="Calc Units (1)" xfId="307"/>
    <cellStyle name="Calc Units (2)" xfId="308"/>
    <cellStyle name="category" xfId="309"/>
    <cellStyle name="CC1" xfId="310"/>
    <cellStyle name="CC2" xfId="311"/>
    <cellStyle name="Cerrency_Sheet2_XANGDAU" xfId="312"/>
    <cellStyle name="cg" xfId="313"/>
    <cellStyle name="chchuyen" xfId="314"/>
    <cellStyle name="Comma" xfId="1" builtinId="3"/>
    <cellStyle name="Comma [00]" xfId="315"/>
    <cellStyle name="Comma [000,000]" xfId="316"/>
    <cellStyle name="Comma 000,000" xfId="317"/>
    <cellStyle name="Comma 2" xfId="318"/>
    <cellStyle name="Comma 2 2" xfId="4"/>
    <cellStyle name="Comma 3" xfId="319"/>
    <cellStyle name="Comma 4" xfId="320"/>
    <cellStyle name="Comma 5" xfId="321"/>
    <cellStyle name="Comma 6" xfId="322"/>
    <cellStyle name="Comma 6 2" xfId="323"/>
    <cellStyle name="comma zerodec" xfId="324"/>
    <cellStyle name="Comma0" xfId="325"/>
    <cellStyle name="CT1" xfId="326"/>
    <cellStyle name="CT2" xfId="327"/>
    <cellStyle name="CT4" xfId="328"/>
    <cellStyle name="CT5" xfId="329"/>
    <cellStyle name="ct7" xfId="330"/>
    <cellStyle name="ct8" xfId="331"/>
    <cellStyle name="cth1" xfId="332"/>
    <cellStyle name="Cthuc" xfId="333"/>
    <cellStyle name="Cthuc1" xfId="334"/>
    <cellStyle name="Currency [00]" xfId="335"/>
    <cellStyle name="Currency0" xfId="336"/>
    <cellStyle name="Currency1" xfId="337"/>
    <cellStyle name="d" xfId="338"/>
    <cellStyle name="D$_x0004_P??_x0010__x000b_?_x0015_?$_x0004_?_x000f_?" xfId="339"/>
    <cellStyle name="D$_x0004_P?_x0010__x000b_픲_x0015_딡$_x0004_뗈_x000f_?" xfId="340"/>
    <cellStyle name="d%" xfId="341"/>
    <cellStyle name="d1" xfId="342"/>
    <cellStyle name="Date" xfId="343"/>
    <cellStyle name="Date Short" xfId="344"/>
    <cellStyle name="Date_Book1" xfId="345"/>
    <cellStyle name="Dezimal [0]_UXO VII" xfId="346"/>
    <cellStyle name="Dezimal_UXO VII" xfId="347"/>
    <cellStyle name="Dollar (zero dec)" xfId="348"/>
    <cellStyle name="Enter Currency (0)" xfId="349"/>
    <cellStyle name="Enter Currency (2)" xfId="350"/>
    <cellStyle name="Enter Units (0)" xfId="351"/>
    <cellStyle name="Enter Units (1)" xfId="352"/>
    <cellStyle name="Enter Units (2)" xfId="353"/>
    <cellStyle name="f1" xfId="354"/>
    <cellStyle name="f2" xfId="355"/>
    <cellStyle name="Fixed" xfId="356"/>
    <cellStyle name="Grey" xfId="357"/>
    <cellStyle name="HEADER" xfId="358"/>
    <cellStyle name="Header1" xfId="359"/>
    <cellStyle name="Header2" xfId="360"/>
    <cellStyle name="HEADING1" xfId="361"/>
    <cellStyle name="HEADING2" xfId="362"/>
    <cellStyle name="Hoa-Scholl" xfId="363"/>
    <cellStyle name="i·0" xfId="364"/>
    <cellStyle name="Îáû÷íûé_ÏÄÍÃ" xfId="365"/>
    <cellStyle name="Input [yellow]" xfId="366"/>
    <cellStyle name="k" xfId="367"/>
    <cellStyle name="k0" xfId="368"/>
    <cellStyle name="k1" xfId="369"/>
    <cellStyle name="k2" xfId="370"/>
    <cellStyle name="k3" xfId="371"/>
    <cellStyle name="khanh" xfId="372"/>
    <cellStyle name="khoa2" xfId="373"/>
    <cellStyle name="kien1" xfId="374"/>
    <cellStyle name="Link Currency (0)" xfId="375"/>
    <cellStyle name="Link Currency (2)" xfId="376"/>
    <cellStyle name="Link Units (0)" xfId="377"/>
    <cellStyle name="Link Units (1)" xfId="378"/>
    <cellStyle name="Link Units (2)" xfId="379"/>
    <cellStyle name="luc" xfId="380"/>
    <cellStyle name="luc2" xfId="381"/>
    <cellStyle name="Millares [0]_Well Timing" xfId="382"/>
    <cellStyle name="Millares_Well Timing" xfId="383"/>
    <cellStyle name="Môc" xfId="384"/>
    <cellStyle name="Model" xfId="385"/>
    <cellStyle name="moi" xfId="386"/>
    <cellStyle name="Moneda [0]_Well Timing" xfId="387"/>
    <cellStyle name="Moneda_Well Timing" xfId="388"/>
    <cellStyle name="Monétaire [0]_TARIFFS DB" xfId="389"/>
    <cellStyle name="Monétaire_TARIFFS DB" xfId="390"/>
    <cellStyle name="n" xfId="391"/>
    <cellStyle name="n1" xfId="392"/>
    <cellStyle name="New Times Roman" xfId="393"/>
    <cellStyle name="no dec" xfId="394"/>
    <cellStyle name="Non défini" xfId="395"/>
    <cellStyle name="Normal" xfId="0" builtinId="0"/>
    <cellStyle name="Normal - Style1" xfId="396"/>
    <cellStyle name="Normal 2" xfId="397"/>
    <cellStyle name="Normal 2 2" xfId="398"/>
    <cellStyle name="Normal 3" xfId="399"/>
    <cellStyle name="Normal 4" xfId="400"/>
    <cellStyle name="Normal 5" xfId="401"/>
    <cellStyle name="Normal 5 2" xfId="402"/>
    <cellStyle name="Normal_Book1" xfId="2"/>
    <cellStyle name="Normal_Sheet1" xfId="3"/>
    <cellStyle name="Normal1" xfId="403"/>
    <cellStyle name="omma [0]_Mktg Prog" xfId="404"/>
    <cellStyle name="ormal_Sheet1_1" xfId="405"/>
    <cellStyle name="Percent [0]" xfId="406"/>
    <cellStyle name="Percent [00]" xfId="407"/>
    <cellStyle name="Percent [2]" xfId="408"/>
    <cellStyle name="PrePop Currency (0)" xfId="409"/>
    <cellStyle name="PrePop Currency (2)" xfId="410"/>
    <cellStyle name="PrePop Units (0)" xfId="411"/>
    <cellStyle name="PrePop Units (1)" xfId="412"/>
    <cellStyle name="PrePop Units (2)" xfId="413"/>
    <cellStyle name="S—_x0008_" xfId="414"/>
    <cellStyle name="s1" xfId="415"/>
    <cellStyle name="Style 1" xfId="416"/>
    <cellStyle name="Style 10" xfId="417"/>
    <cellStyle name="Style 11" xfId="418"/>
    <cellStyle name="Style 12" xfId="419"/>
    <cellStyle name="Style 13" xfId="420"/>
    <cellStyle name="Style 14" xfId="421"/>
    <cellStyle name="Style 15" xfId="422"/>
    <cellStyle name="Style 16" xfId="423"/>
    <cellStyle name="Style 17" xfId="424"/>
    <cellStyle name="Style 18" xfId="425"/>
    <cellStyle name="Style 19" xfId="426"/>
    <cellStyle name="Style 2" xfId="427"/>
    <cellStyle name="Style 20" xfId="428"/>
    <cellStyle name="Style 21" xfId="429"/>
    <cellStyle name="Style 22" xfId="430"/>
    <cellStyle name="Style 23" xfId="431"/>
    <cellStyle name="Style 24" xfId="432"/>
    <cellStyle name="Style 25" xfId="433"/>
    <cellStyle name="Style 26" xfId="434"/>
    <cellStyle name="Style 27" xfId="435"/>
    <cellStyle name="Style 28" xfId="436"/>
    <cellStyle name="Style 29" xfId="437"/>
    <cellStyle name="Style 3" xfId="438"/>
    <cellStyle name="Style 30" xfId="439"/>
    <cellStyle name="Style 31" xfId="440"/>
    <cellStyle name="Style 32" xfId="441"/>
    <cellStyle name="Style 33" xfId="442"/>
    <cellStyle name="Style 34" xfId="443"/>
    <cellStyle name="Style 35" xfId="444"/>
    <cellStyle name="Style 36" xfId="445"/>
    <cellStyle name="Style 37" xfId="446"/>
    <cellStyle name="Style 38" xfId="447"/>
    <cellStyle name="Style 39" xfId="448"/>
    <cellStyle name="Style 4" xfId="449"/>
    <cellStyle name="Style 40" xfId="450"/>
    <cellStyle name="Style 41" xfId="451"/>
    <cellStyle name="Style 42" xfId="452"/>
    <cellStyle name="Style 43" xfId="453"/>
    <cellStyle name="Style 5" xfId="454"/>
    <cellStyle name="Style 6" xfId="455"/>
    <cellStyle name="Style 7" xfId="456"/>
    <cellStyle name="Style 8" xfId="457"/>
    <cellStyle name="Style 9" xfId="458"/>
    <cellStyle name="subhead" xfId="459"/>
    <cellStyle name="T" xfId="460"/>
    <cellStyle name="T_01 DUNGTIEN BIEU SX KINH DOANH" xfId="461"/>
    <cellStyle name="T_01 modul tvql 06 08 09" xfId="462"/>
    <cellStyle name="T_01 modul tvql 06 08 09_J&amp;J BCC+BL 082011 v2" xfId="463"/>
    <cellStyle name="T_01 modul tvql 06 08 09_thaotuan luong 102011 v2" xfId="464"/>
    <cellStyle name="T_Book1" xfId="465"/>
    <cellStyle name="T_Book1_01 DUNGTIEN BIEU SX KINH DOANH" xfId="466"/>
    <cellStyle name="T_Book1_01 modul tvql 06 08 09" xfId="467"/>
    <cellStyle name="T_Book1_01 modul tvql 06 08 09_DA - BL 062011 (new)" xfId="468"/>
    <cellStyle name="T_Book1_01 modul tvql 06 08 09_thaotuan luong 102011" xfId="469"/>
    <cellStyle name="T_Book1_01 modul tvql 06 08 09_thaotuan luong 102011 v2" xfId="470"/>
    <cellStyle name="T_Book1_DA - BL 062011 (new)" xfId="471"/>
    <cellStyle name="T_Book1_DAINAM" xfId="472"/>
    <cellStyle name="T_Book1_DAINAM_DA - BL 062011 (new)" xfId="473"/>
    <cellStyle name="T_Book1_DAINAM_thaotuan luong 102011" xfId="474"/>
    <cellStyle name="T_Book1_DAINAM_thaotuan luong 102011 v2" xfId="475"/>
    <cellStyle name="T_Book1_DSKH" xfId="476"/>
    <cellStyle name="T_Book1_DSKH_J&amp;J BCC+BL 082011 v2" xfId="477"/>
    <cellStyle name="T_Book1_DSKH_thaotuan luong 102011 v2" xfId="478"/>
    <cellStyle name="T_Book1_DUNG TIEN" xfId="479"/>
    <cellStyle name="T_Book1_DUNG TIEN MAUKETOAN" xfId="480"/>
    <cellStyle name="T_Book1_DUNG TIEN MAUKETOAN_J&amp;J BCC+BL 082011 v2" xfId="481"/>
    <cellStyle name="T_Book1_DUNG TIEN MAUKETOAN_thaotuan luong 102011 v2" xfId="482"/>
    <cellStyle name="T_Book1_DUNG TIEN_DA - BL 062011 (new)" xfId="483"/>
    <cellStyle name="T_Book1_DUNG TIEN_thaotuan luong 102011" xfId="484"/>
    <cellStyle name="T_Book1_DUNG TIEN_thaotuan luong 102011 v2" xfId="485"/>
    <cellStyle name="T_Book1_hiep thanh bao gia thang 2008" xfId="486"/>
    <cellStyle name="T_Book1_hiep thanh bao gia thang 2008_DA - BL 062011 (new)" xfId="487"/>
    <cellStyle name="T_Book1_hiep thanh bao gia thang 2008_thaotuan luong 102011" xfId="488"/>
    <cellStyle name="T_Book1_hiep thanh bao gia thang 2008_thaotuan luong 102011 v2" xfId="489"/>
    <cellStyle name="T_Book1_NS DANH MUC  CONGVIEC" xfId="490"/>
    <cellStyle name="T_Book1_NS DANH MUC  CONGVIEC_DA - BL 062011 (new)" xfId="491"/>
    <cellStyle name="T_Book1_NS DANH MUC  CONGVIEC_thaotuan luong 102011" xfId="492"/>
    <cellStyle name="T_Book1_NS DANH MUC  CONGVIEC_thaotuan luong 102011 v2" xfId="493"/>
    <cellStyle name="T_Book1_thaotuan luong 102011" xfId="494"/>
    <cellStyle name="T_Book1_thaotuan luong 102011 v2" xfId="495"/>
    <cellStyle name="T_Book1_VIVA SO QUY 2009" xfId="496"/>
    <cellStyle name="T_Book1_VIVA SO QUY 2009_J&amp;J BCC+BL 082011 v2" xfId="497"/>
    <cellStyle name="T_Book1_VIVA SO QUY 2009_thaotuan luong 102011 v2" xfId="498"/>
    <cellStyle name="T_Copy of VT - BHXH-Q.Phu Nhuan" xfId="499"/>
    <cellStyle name="T_Copy of VT - BHXH-Q.Phu Nhuan_DA - BL 062011 (new)" xfId="500"/>
    <cellStyle name="T_Copy of VT - BHXH-Q.Phu Nhuan_thaotuan luong 102011" xfId="501"/>
    <cellStyle name="T_Copy of VT - BHXH-Q.Phu Nhuan_thaotuan luong 102011 v2" xfId="502"/>
    <cellStyle name="T_DAINAM" xfId="503"/>
    <cellStyle name="T_DAINAM_J&amp;J BCC+BL 082011 v2" xfId="504"/>
    <cellStyle name="T_DAINAM_thaotuan luong 102011 v2" xfId="505"/>
    <cellStyle name="T_DSKH" xfId="506"/>
    <cellStyle name="T_DSKH_DA - BL 062011 (new)" xfId="507"/>
    <cellStyle name="T_DSKH_thaotuan luong 102011" xfId="508"/>
    <cellStyle name="T_DSKH_thaotuan luong 102011 v2" xfId="509"/>
    <cellStyle name="T_DUNG TIEN" xfId="510"/>
    <cellStyle name="T_DUNG TIEN MAUKETOAN" xfId="511"/>
    <cellStyle name="T_DUNG TIEN MAUKETOAN_DA - BL 062011 (new)" xfId="512"/>
    <cellStyle name="T_DUNG TIEN MAUKETOAN_thaotuan luong 102011" xfId="513"/>
    <cellStyle name="T_DUNG TIEN MAUKETOAN_thaotuan luong 102011 v2" xfId="514"/>
    <cellStyle name="T_DUNG TIEN_J&amp;J BCC+BL 082011 v2" xfId="515"/>
    <cellStyle name="T_DUNG TIEN_thaotuan luong 102011 v2" xfId="516"/>
    <cellStyle name="T_hiep thanh bao gia thang 2008" xfId="517"/>
    <cellStyle name="T_hiep thanh bao gia thang 2008_J&amp;J BCC+BL 082011 v2" xfId="518"/>
    <cellStyle name="T_hiep thanh bao gia thang 2008_thaotuan luong 102011 v2" xfId="519"/>
    <cellStyle name="T_HNC- BHXH quy 4-07" xfId="520"/>
    <cellStyle name="T_HNC- BHXH quy 4-07_DA - BL 062011 (new)" xfId="521"/>
    <cellStyle name="T_HNC- BHXH quy 4-07_thaotuan luong 102011" xfId="522"/>
    <cellStyle name="T_HNC- BHXH quy 4-07_thaotuan luong 102011 v2" xfId="523"/>
    <cellStyle name="T_J&amp;J BCC+BL 082011 v2" xfId="524"/>
    <cellStyle name="T_NS DANH MUC  CONGVIEC" xfId="525"/>
    <cellStyle name="T_NS DANH MUC  CONGVIEC_J&amp;J BCC+BL 082011 v2" xfId="526"/>
    <cellStyle name="T_NS DANH MUC  CONGVIEC_thaotuan luong 102011 v2" xfId="527"/>
    <cellStyle name="T_thaotuan luong 102011 v2" xfId="528"/>
    <cellStyle name="T_VIVA SO QUY 2009" xfId="529"/>
    <cellStyle name="T_VIVA SO QUY 2009_DA - BL 062011 (new)" xfId="530"/>
    <cellStyle name="T_VIVA SO QUY 2009_thaotuan luong 102011" xfId="531"/>
    <cellStyle name="T_VIVA SO QUY 2009_thaotuan luong 102011 v2" xfId="532"/>
    <cellStyle name="TD1" xfId="533"/>
    <cellStyle name="tde" xfId="534"/>
    <cellStyle name="Text Indent A" xfId="535"/>
    <cellStyle name="Text Indent B" xfId="536"/>
    <cellStyle name="Text Indent C" xfId="537"/>
    <cellStyle name="th" xfId="538"/>
    <cellStyle name="þ_x001d_ð¤_x000c_¯þ_x0014__x000d_¨þU_x0001_À_x0004_ _x0015__x000f__x0001__x0001_" xfId="539"/>
    <cellStyle name="Tiªu ®Ì" xfId="540"/>
    <cellStyle name="Times New Roman" xfId="541"/>
    <cellStyle name="TiÓu môc" xfId="542"/>
    <cellStyle name="Tua de so" xfId="543"/>
    <cellStyle name="Tusental (0)_pldt" xfId="544"/>
    <cellStyle name="Tusental_pldt" xfId="545"/>
    <cellStyle name="Valuta (0)_pldt" xfId="546"/>
    <cellStyle name="Valuta_pldt" xfId="547"/>
    <cellStyle name="viet" xfId="548"/>
    <cellStyle name="viet2" xfId="549"/>
    <cellStyle name="vntxt2" xfId="550"/>
    <cellStyle name="Währung [0]_UXO VII" xfId="551"/>
    <cellStyle name="Währung_UXO VII" xfId="552"/>
    <cellStyle name="xuan" xfId="553"/>
    <cellStyle name="Обычный_Elec-12 Fin" xfId="554"/>
    <cellStyle name="เครื่องหมายสกุลเงิน [0]_FTC_OFFER" xfId="555"/>
    <cellStyle name="เครื่องหมายสกุลเงิน_FTC_OFFER" xfId="556"/>
    <cellStyle name="ปกติ_FTC_OFFER" xfId="557"/>
    <cellStyle name=" [0.00]_ Att. 1- Cover" xfId="558"/>
    <cellStyle name="_ Att. 1- Cover" xfId="559"/>
    <cellStyle name="?_ Att. 1- Cover" xfId="560"/>
    <cellStyle name="똿뗦먛귟 [0.00]_PRODUCT DETAIL Q1" xfId="561"/>
    <cellStyle name="똿뗦먛귟_PRODUCT DETAIL Q1" xfId="562"/>
    <cellStyle name="믅됞 [0.00]_PRODUCT DETAIL Q1" xfId="563"/>
    <cellStyle name="믅됞_PRODUCT DETAIL Q1" xfId="564"/>
    <cellStyle name="백분율_95" xfId="565"/>
    <cellStyle name="뷭?_BOOKSHIP" xfId="566"/>
    <cellStyle name="쉼표 [0]_PCS-3~1" xfId="567"/>
    <cellStyle name="쉼표_EQ_ROOM cost" xfId="568"/>
    <cellStyle name="콤마 [0]_ 비목별 월별기술 " xfId="569"/>
    <cellStyle name="콤마_ 비목별 월별기술 " xfId="570"/>
    <cellStyle name="통화 [0]_1202" xfId="571"/>
    <cellStyle name="통화_1202" xfId="572"/>
    <cellStyle name="표준_(정보부문)월별인원계획" xfId="573"/>
    <cellStyle name="一般_00Q3902REV.1" xfId="574"/>
    <cellStyle name="千分位[0]_00Q3902REV.1" xfId="575"/>
    <cellStyle name="千分位_00Q3902REV.1" xfId="576"/>
    <cellStyle name="桁区切り [0.00]_List-dwg瑩畳䵜楡" xfId="577"/>
    <cellStyle name="桁区切り_List-dwgist-" xfId="578"/>
    <cellStyle name="標準_List-dwgis" xfId="579"/>
    <cellStyle name="貨幣 [0]_00Q3902REV.1" xfId="580"/>
    <cellStyle name="貨幣[0]_BRE" xfId="581"/>
    <cellStyle name="貨幣_00Q3902REV.1" xfId="582"/>
    <cellStyle name="通貨 [0.00]_List-dwgwg" xfId="583"/>
    <cellStyle name="通貨_List-dwgis" xfId="584"/>
  </cellStyles>
  <dxfs count="72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Z109"/>
  <sheetViews>
    <sheetView topLeftCell="A8" workbookViewId="0">
      <pane ySplit="3" topLeftCell="A11" activePane="bottomLeft" state="frozen"/>
      <selection activeCell="E19" sqref="E19"/>
      <selection pane="bottomLeft" activeCell="H12" sqref="H11:V12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3" customWidth="1"/>
    <col min="6" max="6" width="10.85546875" style="4" hidden="1" customWidth="1"/>
    <col min="7" max="8" width="9.7109375" style="4" customWidth="1"/>
    <col min="9" max="9" width="10.5703125" style="2" customWidth="1"/>
    <col min="10" max="21" width="10.5703125" style="2" hidden="1" customWidth="1"/>
    <col min="22" max="22" width="10.5703125" style="2" customWidth="1"/>
    <col min="23" max="23" width="10.85546875" style="3" customWidth="1"/>
    <col min="24" max="24" width="13.28515625" style="3" customWidth="1"/>
    <col min="25" max="26" width="11.85546875" style="3" customWidth="1"/>
    <col min="27" max="16384" width="9.140625" style="2"/>
  </cols>
  <sheetData>
    <row r="1" spans="1:26" ht="15">
      <c r="A1" s="1" t="s">
        <v>0</v>
      </c>
    </row>
    <row r="2" spans="1:26" ht="15">
      <c r="A2" s="1" t="s">
        <v>1</v>
      </c>
    </row>
    <row r="3" spans="1:26" ht="15">
      <c r="A3" s="1"/>
    </row>
    <row r="4" spans="1:26">
      <c r="A4" s="5"/>
      <c r="B4" s="5"/>
    </row>
    <row r="5" spans="1:26" ht="23.25" customHeight="1">
      <c r="A5" s="202" t="s">
        <v>2</v>
      </c>
      <c r="B5" s="202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2"/>
    </row>
    <row r="6" spans="1:26" ht="23.25" customHeight="1">
      <c r="A6" s="203" t="str">
        <f>"Tháng "&amp;'CC -1'!C4&amp;" năm 2011"</f>
        <v>Tháng  năm 2011</v>
      </c>
      <c r="B6" s="203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  <c r="V6" s="203"/>
      <c r="W6" s="203"/>
      <c r="X6" s="203"/>
    </row>
    <row r="7" spans="1:26" s="8" customFormat="1" ht="19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Z7" s="7"/>
    </row>
    <row r="8" spans="1:26" s="1" customFormat="1" ht="20.25" customHeight="1">
      <c r="A8" s="204" t="s">
        <v>3</v>
      </c>
      <c r="B8" s="204" t="s">
        <v>4</v>
      </c>
      <c r="C8" s="204" t="s">
        <v>5</v>
      </c>
      <c r="D8" s="204" t="s">
        <v>6</v>
      </c>
      <c r="E8" s="205" t="s">
        <v>7</v>
      </c>
      <c r="F8" s="206"/>
      <c r="G8" s="209" t="s">
        <v>8</v>
      </c>
      <c r="H8" s="209"/>
      <c r="I8" s="209" t="s">
        <v>9</v>
      </c>
      <c r="J8" s="209" t="s">
        <v>10</v>
      </c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10" t="s">
        <v>11</v>
      </c>
      <c r="W8" s="210" t="s">
        <v>12</v>
      </c>
      <c r="X8" s="210" t="s">
        <v>13</v>
      </c>
      <c r="Y8" s="9"/>
      <c r="Z8" s="9"/>
    </row>
    <row r="9" spans="1:26" s="1" customFormat="1" ht="20.25" customHeight="1">
      <c r="A9" s="204"/>
      <c r="B9" s="204"/>
      <c r="C9" s="204"/>
      <c r="D9" s="204"/>
      <c r="E9" s="207"/>
      <c r="F9" s="208"/>
      <c r="G9" s="10" t="s">
        <v>14</v>
      </c>
      <c r="H9" s="10" t="s">
        <v>15</v>
      </c>
      <c r="I9" s="209"/>
      <c r="J9" s="10" t="s">
        <v>16</v>
      </c>
      <c r="K9" s="10" t="s">
        <v>17</v>
      </c>
      <c r="L9" s="10" t="s">
        <v>18</v>
      </c>
      <c r="M9" s="10" t="s">
        <v>19</v>
      </c>
      <c r="N9" s="10" t="s">
        <v>20</v>
      </c>
      <c r="O9" s="10" t="s">
        <v>21</v>
      </c>
      <c r="P9" s="10" t="s">
        <v>22</v>
      </c>
      <c r="Q9" s="10" t="s">
        <v>23</v>
      </c>
      <c r="R9" s="10" t="s">
        <v>24</v>
      </c>
      <c r="S9" s="10" t="s">
        <v>25</v>
      </c>
      <c r="T9" s="10" t="s">
        <v>26</v>
      </c>
      <c r="U9" s="10" t="s">
        <v>27</v>
      </c>
      <c r="V9" s="211"/>
      <c r="W9" s="211"/>
      <c r="X9" s="211"/>
      <c r="Y9" s="9"/>
      <c r="Z9" s="9"/>
    </row>
    <row r="10" spans="1:26" ht="14.25" customHeight="1">
      <c r="A10" s="11">
        <v>1</v>
      </c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</row>
    <row r="11" spans="1:26" s="18" customFormat="1" ht="21.75" customHeight="1">
      <c r="A11" s="12">
        <f>IF(B11&lt;&gt;"",ROW()-10,"")</f>
        <v>1</v>
      </c>
      <c r="B11" s="12" t="s">
        <v>28</v>
      </c>
      <c r="C11" s="13" t="s">
        <v>29</v>
      </c>
      <c r="D11" s="12" t="s">
        <v>30</v>
      </c>
      <c r="E11" s="14">
        <v>2877500</v>
      </c>
      <c r="F11" s="15"/>
      <c r="G11" s="15">
        <v>260000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6"/>
      <c r="Z11" s="17"/>
    </row>
    <row r="12" spans="1:26" s="18" customFormat="1" ht="21.75" customHeight="1">
      <c r="A12" s="12">
        <f t="shared" ref="A12:A20" si="0">IF(B12&lt;&gt;"",ROW()-10,"")</f>
        <v>2</v>
      </c>
      <c r="B12" s="12" t="s">
        <v>31</v>
      </c>
      <c r="C12" s="13" t="s">
        <v>32</v>
      </c>
      <c r="D12" s="12" t="s">
        <v>33</v>
      </c>
      <c r="E12" s="14">
        <v>2877500</v>
      </c>
      <c r="F12" s="15"/>
      <c r="G12" s="15">
        <v>260000</v>
      </c>
      <c r="H12" s="199"/>
      <c r="I12" s="199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6"/>
      <c r="Z12" s="17"/>
    </row>
    <row r="13" spans="1:26" s="18" customFormat="1" ht="21.75" customHeight="1">
      <c r="A13" s="12">
        <f t="shared" si="0"/>
        <v>3</v>
      </c>
      <c r="B13" s="12" t="s">
        <v>34</v>
      </c>
      <c r="C13" s="13" t="s">
        <v>35</v>
      </c>
      <c r="D13" s="12" t="s">
        <v>30</v>
      </c>
      <c r="E13" s="14">
        <v>1565000</v>
      </c>
      <c r="F13" s="15"/>
      <c r="G13" s="15">
        <v>260000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6"/>
      <c r="Z13" s="17"/>
    </row>
    <row r="14" spans="1:26" s="24" customFormat="1" ht="21.75" customHeight="1">
      <c r="A14" s="19">
        <f t="shared" si="0"/>
        <v>4</v>
      </c>
      <c r="B14" s="12" t="s">
        <v>36</v>
      </c>
      <c r="C14" s="20" t="s">
        <v>37</v>
      </c>
      <c r="D14" s="12" t="s">
        <v>38</v>
      </c>
      <c r="E14" s="14">
        <v>1240000</v>
      </c>
      <c r="F14" s="21"/>
      <c r="G14" s="15">
        <v>260000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2"/>
      <c r="Z14" s="23"/>
    </row>
    <row r="15" spans="1:26" s="24" customFormat="1" ht="21.75" customHeight="1">
      <c r="A15" s="19">
        <f t="shared" si="0"/>
        <v>5</v>
      </c>
      <c r="B15" s="25" t="s">
        <v>39</v>
      </c>
      <c r="C15" s="26" t="s">
        <v>40</v>
      </c>
      <c r="D15" s="19" t="s">
        <v>41</v>
      </c>
      <c r="E15" s="21">
        <v>1365000</v>
      </c>
      <c r="F15" s="21"/>
      <c r="G15" s="21">
        <v>260000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2"/>
      <c r="Z15" s="23"/>
    </row>
    <row r="16" spans="1:26" s="24" customFormat="1" ht="21.75" customHeight="1">
      <c r="A16" s="19">
        <f t="shared" si="0"/>
        <v>6</v>
      </c>
      <c r="B16" s="25" t="s">
        <v>42</v>
      </c>
      <c r="C16" s="26" t="s">
        <v>43</v>
      </c>
      <c r="D16" s="19" t="s">
        <v>41</v>
      </c>
      <c r="E16" s="21">
        <v>1275000</v>
      </c>
      <c r="F16" s="21"/>
      <c r="G16" s="21">
        <v>260000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2"/>
      <c r="Z16" s="23"/>
    </row>
    <row r="17" spans="1:26" s="24" customFormat="1" ht="21.75" customHeight="1">
      <c r="A17" s="19">
        <f t="shared" si="0"/>
        <v>7</v>
      </c>
      <c r="B17" s="25" t="s">
        <v>44</v>
      </c>
      <c r="C17" s="26" t="s">
        <v>45</v>
      </c>
      <c r="D17" s="19" t="s">
        <v>41</v>
      </c>
      <c r="E17" s="21">
        <v>990000</v>
      </c>
      <c r="F17" s="21"/>
      <c r="G17" s="21">
        <v>260000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2"/>
      <c r="Z17" s="23"/>
    </row>
    <row r="18" spans="1:26" s="24" customFormat="1" ht="21.75" customHeight="1">
      <c r="A18" s="19">
        <f t="shared" si="0"/>
        <v>8</v>
      </c>
      <c r="B18" s="25" t="s">
        <v>46</v>
      </c>
      <c r="C18" s="26" t="s">
        <v>47</v>
      </c>
      <c r="D18" s="19" t="s">
        <v>41</v>
      </c>
      <c r="E18" s="21">
        <v>1015000</v>
      </c>
      <c r="F18" s="21"/>
      <c r="G18" s="21">
        <v>260000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2"/>
      <c r="Z18" s="23"/>
    </row>
    <row r="19" spans="1:26" ht="21.75" customHeight="1">
      <c r="A19" s="12" t="str">
        <f t="shared" si="0"/>
        <v/>
      </c>
      <c r="B19" s="27"/>
      <c r="C19" s="28"/>
      <c r="D19" s="29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9"/>
    </row>
    <row r="20" spans="1:26" ht="21.75" customHeight="1">
      <c r="A20" s="12" t="str">
        <f t="shared" si="0"/>
        <v/>
      </c>
      <c r="B20" s="31"/>
      <c r="C20" s="32"/>
      <c r="D20" s="33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9"/>
    </row>
    <row r="21" spans="1:26" ht="21.75" customHeight="1">
      <c r="A21" s="212" t="s">
        <v>48</v>
      </c>
      <c r="B21" s="213"/>
      <c r="C21" s="213"/>
      <c r="D21" s="35" t="s">
        <v>49</v>
      </c>
      <c r="E21" s="36">
        <f>SUM(E11:E20)</f>
        <v>13205000</v>
      </c>
      <c r="F21" s="36">
        <f>SUM(F11:F20)</f>
        <v>0</v>
      </c>
      <c r="G21" s="36">
        <f>SUM(G11:G20)</f>
        <v>2080000</v>
      </c>
      <c r="H21" s="36">
        <f>SUM(H11:H20)</f>
        <v>0</v>
      </c>
      <c r="I21" s="36"/>
      <c r="J21" s="36">
        <f t="shared" ref="J21:U21" si="1">SUMIF(J$11:J$20,"x",$E$11:$E$20)</f>
        <v>0</v>
      </c>
      <c r="K21" s="36">
        <f t="shared" si="1"/>
        <v>0</v>
      </c>
      <c r="L21" s="36">
        <f t="shared" si="1"/>
        <v>0</v>
      </c>
      <c r="M21" s="36">
        <f t="shared" si="1"/>
        <v>0</v>
      </c>
      <c r="N21" s="36">
        <f t="shared" si="1"/>
        <v>0</v>
      </c>
      <c r="O21" s="36">
        <f t="shared" si="1"/>
        <v>0</v>
      </c>
      <c r="P21" s="36">
        <f t="shared" si="1"/>
        <v>0</v>
      </c>
      <c r="Q21" s="36">
        <f t="shared" si="1"/>
        <v>0</v>
      </c>
      <c r="R21" s="36">
        <f t="shared" si="1"/>
        <v>0</v>
      </c>
      <c r="S21" s="36">
        <f t="shared" si="1"/>
        <v>0</v>
      </c>
      <c r="T21" s="36">
        <f t="shared" si="1"/>
        <v>0</v>
      </c>
      <c r="U21" s="36">
        <f t="shared" si="1"/>
        <v>0</v>
      </c>
      <c r="V21" s="36"/>
      <c r="W21" s="36"/>
      <c r="X21" s="36"/>
      <c r="Y21" s="9"/>
    </row>
    <row r="22" spans="1:26" ht="21.75" customHeight="1">
      <c r="A22" s="214"/>
      <c r="B22" s="215"/>
      <c r="C22" s="215"/>
      <c r="D22" s="35" t="s">
        <v>50</v>
      </c>
      <c r="E22" s="36"/>
      <c r="F22" s="36"/>
      <c r="G22" s="36"/>
      <c r="H22" s="36"/>
      <c r="I22" s="36"/>
      <c r="J22" s="36">
        <f t="array" ref="J22">SUM((J$11:J$20="x")*1)</f>
        <v>0</v>
      </c>
      <c r="K22" s="36">
        <f t="array" ref="K22">SUM((K$11:K$20="x")*1)</f>
        <v>0</v>
      </c>
      <c r="L22" s="36">
        <f t="array" ref="L22">SUM((L$11:L$20="x")*1)</f>
        <v>0</v>
      </c>
      <c r="M22" s="36">
        <f t="array" ref="M22">SUM((M$11:M$20="x")*1)</f>
        <v>0</v>
      </c>
      <c r="N22" s="36">
        <f t="array" ref="N22">SUM((N$11:N$20="x")*1)</f>
        <v>0</v>
      </c>
      <c r="O22" s="36">
        <f t="array" ref="O22">SUM((O$11:O$20="x")*1)</f>
        <v>0</v>
      </c>
      <c r="P22" s="36">
        <f t="array" ref="P22">SUM((P$11:P$20="x")*1)</f>
        <v>0</v>
      </c>
      <c r="Q22" s="36">
        <f t="array" ref="Q22">SUM((Q$11:Q$20="x")*1)</f>
        <v>0</v>
      </c>
      <c r="R22" s="36">
        <f t="array" ref="R22">SUM((R$11:R$20="x")*1)</f>
        <v>0</v>
      </c>
      <c r="S22" s="36">
        <f t="array" ref="S22">SUM((S$11:S$20="x")*1)</f>
        <v>0</v>
      </c>
      <c r="T22" s="36">
        <f t="array" ref="T22">SUM((T$11:T$20="x")*1)</f>
        <v>0</v>
      </c>
      <c r="U22" s="36">
        <f t="array" ref="U22">SUM((U$11:U$20="x")*1)</f>
        <v>0</v>
      </c>
      <c r="V22" s="36"/>
      <c r="W22" s="36"/>
      <c r="X22" s="36"/>
      <c r="Y22" s="9"/>
    </row>
    <row r="23" spans="1:26" ht="21.75" customHeight="1">
      <c r="A23" s="216"/>
      <c r="B23" s="217"/>
      <c r="C23" s="217"/>
      <c r="D23" s="35" t="s">
        <v>51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9"/>
    </row>
    <row r="24" spans="1:26" ht="11.25" customHeight="1">
      <c r="A24" s="37"/>
      <c r="B24" s="37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</row>
    <row r="25" spans="1:26" ht="11.25" customHeight="1">
      <c r="A25" s="37"/>
      <c r="B25" s="37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9" t="s">
        <v>52</v>
      </c>
      <c r="X25" s="38"/>
    </row>
    <row r="26" spans="1:26" ht="16.5" customHeight="1">
      <c r="A26" s="37"/>
      <c r="B26" s="37"/>
      <c r="C26" s="40" t="s">
        <v>53</v>
      </c>
      <c r="D26" s="41"/>
      <c r="E26" s="42"/>
      <c r="F26" s="43"/>
      <c r="G26" s="43"/>
      <c r="H26" s="43"/>
      <c r="I26" s="44"/>
      <c r="J26" s="44">
        <v>8278</v>
      </c>
      <c r="K26" s="45">
        <f>E13/27/8</f>
        <v>7245.3703703703704</v>
      </c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6" t="s">
        <v>54</v>
      </c>
      <c r="X26" s="46"/>
    </row>
    <row r="27" spans="1:26" ht="11.25" customHeight="1">
      <c r="A27" s="37"/>
      <c r="B27" s="37"/>
      <c r="C27" s="40"/>
      <c r="D27" s="41"/>
      <c r="E27" s="42"/>
      <c r="F27" s="43"/>
      <c r="G27" s="43"/>
      <c r="H27" s="43"/>
      <c r="I27" s="44"/>
      <c r="J27" s="44"/>
      <c r="K27" s="44">
        <f>J26/K26</f>
        <v>1.1425226837060702</v>
      </c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6"/>
      <c r="X27" s="46"/>
    </row>
    <row r="28" spans="1:26" ht="11.25" customHeight="1">
      <c r="A28" s="37"/>
      <c r="B28" s="37"/>
      <c r="C28" s="40"/>
      <c r="D28" s="41"/>
      <c r="E28" s="42"/>
      <c r="F28" s="43"/>
      <c r="G28" s="43"/>
      <c r="H28" s="43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6"/>
      <c r="X28" s="46"/>
    </row>
    <row r="29" spans="1:26" ht="11.25" customHeight="1">
      <c r="A29" s="37"/>
      <c r="B29" s="37"/>
      <c r="C29" s="40"/>
      <c r="D29" s="41"/>
      <c r="E29" s="42"/>
      <c r="F29" s="43"/>
      <c r="G29" s="43"/>
      <c r="H29" s="43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6"/>
      <c r="X29" s="46"/>
    </row>
    <row r="30" spans="1:26" ht="11.25" customHeight="1">
      <c r="A30" s="37"/>
      <c r="B30" s="37"/>
      <c r="C30" s="40"/>
      <c r="D30" s="41"/>
      <c r="E30" s="42"/>
      <c r="F30" s="43"/>
      <c r="G30" s="43"/>
      <c r="H30" s="43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6"/>
      <c r="X30" s="46"/>
    </row>
    <row r="31" spans="1:26" ht="11.25" customHeight="1">
      <c r="A31" s="37"/>
      <c r="B31" s="37"/>
      <c r="C31" s="40"/>
      <c r="D31" s="41"/>
      <c r="E31" s="42"/>
      <c r="F31" s="43"/>
      <c r="G31" s="43"/>
      <c r="H31" s="43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6"/>
      <c r="X31" s="46"/>
    </row>
    <row r="32" spans="1:26" s="3" customFormat="1">
      <c r="A32" s="47"/>
      <c r="B32" s="47"/>
      <c r="C32" s="48" t="s">
        <v>55</v>
      </c>
      <c r="D32" s="41"/>
      <c r="E32" s="42"/>
      <c r="F32" s="43"/>
      <c r="G32" s="43"/>
      <c r="H32" s="43"/>
      <c r="I32" s="44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50"/>
      <c r="X32" s="51"/>
    </row>
    <row r="33" spans="1:24" s="3" customFormat="1" ht="9" customHeight="1">
      <c r="A33" s="2"/>
      <c r="B33" s="2"/>
      <c r="C33" s="52"/>
      <c r="D33" s="52"/>
      <c r="E33" s="42"/>
      <c r="F33" s="53"/>
      <c r="G33" s="53"/>
      <c r="H33" s="53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4"/>
      <c r="X33" s="54"/>
    </row>
    <row r="34" spans="1:24" s="3" customFormat="1">
      <c r="A34" s="2"/>
      <c r="B34" s="2"/>
      <c r="C34" s="2"/>
      <c r="D34" s="2"/>
      <c r="E34" s="42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4" s="3" customFormat="1">
      <c r="A35" s="2"/>
      <c r="B35" s="2"/>
      <c r="C35" s="2"/>
      <c r="D35" s="2"/>
      <c r="E35" s="42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48" spans="1:24">
      <c r="C48" s="55"/>
      <c r="G48" s="26" t="s">
        <v>56</v>
      </c>
      <c r="J48" s="2" t="s">
        <v>57</v>
      </c>
      <c r="K48" s="2" t="s">
        <v>56</v>
      </c>
      <c r="M48" s="2" t="str">
        <f>VLOOKUP(K48,$G$48:$J$107,4,0)</f>
        <v>ALTP001</v>
      </c>
      <c r="N48" s="201" t="str">
        <f>M48</f>
        <v>ALTP001</v>
      </c>
    </row>
    <row r="49" spans="3:14">
      <c r="C49" s="55"/>
      <c r="G49" s="26" t="s">
        <v>58</v>
      </c>
      <c r="J49" s="2" t="s">
        <v>59</v>
      </c>
      <c r="K49" s="2" t="s">
        <v>58</v>
      </c>
      <c r="M49" s="2" t="str">
        <f t="shared" ref="M49:M78" si="2">VLOOKUP(K49,$G$48:$J$107,4,0)</f>
        <v>ALTP002</v>
      </c>
      <c r="N49" s="201"/>
    </row>
    <row r="50" spans="3:14">
      <c r="C50" s="55"/>
      <c r="G50" s="26" t="s">
        <v>60</v>
      </c>
      <c r="J50" s="2" t="s">
        <v>61</v>
      </c>
      <c r="K50" s="2" t="s">
        <v>60</v>
      </c>
      <c r="M50" s="2" t="str">
        <f t="shared" si="2"/>
        <v>ALTP003</v>
      </c>
      <c r="N50" s="201" t="str">
        <f>M49</f>
        <v>ALTP002</v>
      </c>
    </row>
    <row r="51" spans="3:14">
      <c r="C51" s="55"/>
      <c r="G51" s="26" t="s">
        <v>62</v>
      </c>
      <c r="J51" s="2" t="s">
        <v>63</v>
      </c>
      <c r="K51" s="2" t="s">
        <v>62</v>
      </c>
      <c r="M51" s="2" t="str">
        <f t="shared" si="2"/>
        <v>ALTP004</v>
      </c>
      <c r="N51" s="201"/>
    </row>
    <row r="52" spans="3:14">
      <c r="C52" s="55"/>
      <c r="G52" s="26" t="s">
        <v>64</v>
      </c>
      <c r="J52" s="2" t="s">
        <v>65</v>
      </c>
      <c r="K52" s="2" t="s">
        <v>64</v>
      </c>
      <c r="M52" s="2" t="str">
        <f t="shared" si="2"/>
        <v>ALTP005</v>
      </c>
      <c r="N52" s="201" t="str">
        <f>M50</f>
        <v>ALTP003</v>
      </c>
    </row>
    <row r="53" spans="3:14">
      <c r="C53" s="55"/>
      <c r="G53" s="26" t="s">
        <v>66</v>
      </c>
      <c r="J53" s="2" t="s">
        <v>67</v>
      </c>
      <c r="K53" s="2" t="s">
        <v>66</v>
      </c>
      <c r="M53" s="2" t="str">
        <f t="shared" si="2"/>
        <v>ALTP006</v>
      </c>
      <c r="N53" s="201"/>
    </row>
    <row r="54" spans="3:14">
      <c r="C54" s="55"/>
      <c r="G54" s="26" t="s">
        <v>68</v>
      </c>
      <c r="J54" s="2" t="s">
        <v>69</v>
      </c>
      <c r="K54" s="2" t="s">
        <v>68</v>
      </c>
      <c r="M54" s="2" t="str">
        <f t="shared" si="2"/>
        <v>ALTP007</v>
      </c>
      <c r="N54" s="201" t="str">
        <f>M51</f>
        <v>ALTP004</v>
      </c>
    </row>
    <row r="55" spans="3:14">
      <c r="C55" s="55"/>
      <c r="G55" s="26" t="s">
        <v>70</v>
      </c>
      <c r="J55" s="2" t="s">
        <v>71</v>
      </c>
      <c r="K55" s="2" t="s">
        <v>70</v>
      </c>
      <c r="M55" s="2" t="str">
        <f t="shared" si="2"/>
        <v>ALTP008</v>
      </c>
      <c r="N55" s="201"/>
    </row>
    <row r="56" spans="3:14">
      <c r="C56" s="55"/>
      <c r="G56" s="26" t="s">
        <v>72</v>
      </c>
      <c r="J56" s="2" t="s">
        <v>73</v>
      </c>
      <c r="K56" s="2" t="s">
        <v>72</v>
      </c>
      <c r="M56" s="2" t="str">
        <f t="shared" si="2"/>
        <v>ALTP009</v>
      </c>
      <c r="N56" s="201" t="str">
        <f>M52</f>
        <v>ALTP005</v>
      </c>
    </row>
    <row r="57" spans="3:14">
      <c r="C57" s="55"/>
      <c r="G57" s="26" t="s">
        <v>74</v>
      </c>
      <c r="J57" s="2" t="s">
        <v>75</v>
      </c>
      <c r="K57" s="2" t="s">
        <v>74</v>
      </c>
      <c r="M57" s="2" t="str">
        <f t="shared" si="2"/>
        <v>ALTP010</v>
      </c>
      <c r="N57" s="201"/>
    </row>
    <row r="58" spans="3:14">
      <c r="C58" s="55"/>
      <c r="G58" s="26" t="s">
        <v>76</v>
      </c>
      <c r="J58" s="2" t="s">
        <v>77</v>
      </c>
      <c r="K58" s="2" t="s">
        <v>76</v>
      </c>
      <c r="M58" s="2" t="str">
        <f t="shared" si="2"/>
        <v>ALTP011</v>
      </c>
      <c r="N58" s="201" t="str">
        <f>M53</f>
        <v>ALTP006</v>
      </c>
    </row>
    <row r="59" spans="3:14">
      <c r="C59" s="55"/>
      <c r="G59" s="26" t="s">
        <v>78</v>
      </c>
      <c r="J59" s="2" t="s">
        <v>79</v>
      </c>
      <c r="K59" s="2" t="s">
        <v>80</v>
      </c>
      <c r="M59" s="2" t="str">
        <f t="shared" si="2"/>
        <v>ALTP013</v>
      </c>
      <c r="N59" s="201"/>
    </row>
    <row r="60" spans="3:14">
      <c r="C60" s="55"/>
      <c r="G60" s="26" t="s">
        <v>80</v>
      </c>
      <c r="J60" s="2" t="s">
        <v>81</v>
      </c>
      <c r="K60" s="2" t="s">
        <v>82</v>
      </c>
      <c r="M60" s="2" t="str">
        <f t="shared" si="2"/>
        <v>ALTP014</v>
      </c>
      <c r="N60" s="201" t="str">
        <f>M54</f>
        <v>ALTP007</v>
      </c>
    </row>
    <row r="61" spans="3:14">
      <c r="C61" s="55"/>
      <c r="G61" s="26" t="s">
        <v>82</v>
      </c>
      <c r="J61" s="2" t="s">
        <v>83</v>
      </c>
      <c r="K61" s="2" t="s">
        <v>84</v>
      </c>
      <c r="M61" s="2" t="str">
        <f t="shared" si="2"/>
        <v>ALTP015</v>
      </c>
      <c r="N61" s="201"/>
    </row>
    <row r="62" spans="3:14">
      <c r="C62" s="55"/>
      <c r="G62" s="26" t="s">
        <v>84</v>
      </c>
      <c r="J62" s="2" t="s">
        <v>85</v>
      </c>
      <c r="K62" s="2" t="s">
        <v>86</v>
      </c>
      <c r="M62" s="2" t="str">
        <f t="shared" si="2"/>
        <v>ALTP016</v>
      </c>
      <c r="N62" s="201" t="str">
        <f>M55</f>
        <v>ALTP008</v>
      </c>
    </row>
    <row r="63" spans="3:14">
      <c r="C63" s="55"/>
      <c r="G63" s="26" t="s">
        <v>86</v>
      </c>
      <c r="J63" s="2" t="s">
        <v>87</v>
      </c>
      <c r="K63" s="2" t="s">
        <v>88</v>
      </c>
      <c r="M63" s="2" t="str">
        <f t="shared" si="2"/>
        <v>ALTP017</v>
      </c>
      <c r="N63" s="201"/>
    </row>
    <row r="64" spans="3:14">
      <c r="C64" s="55"/>
      <c r="G64" s="26" t="s">
        <v>88</v>
      </c>
      <c r="J64" s="2" t="s">
        <v>89</v>
      </c>
      <c r="K64" s="2" t="s">
        <v>90</v>
      </c>
      <c r="M64" s="2" t="str">
        <f t="shared" si="2"/>
        <v>ALTP018</v>
      </c>
      <c r="N64" s="201" t="str">
        <f>M56</f>
        <v>ALTP009</v>
      </c>
    </row>
    <row r="65" spans="3:14">
      <c r="C65" s="55"/>
      <c r="G65" s="26" t="s">
        <v>90</v>
      </c>
      <c r="J65" s="2" t="s">
        <v>91</v>
      </c>
      <c r="K65" s="2" t="s">
        <v>92</v>
      </c>
      <c r="M65" s="2" t="str">
        <f t="shared" si="2"/>
        <v>ALTP019</v>
      </c>
      <c r="N65" s="201"/>
    </row>
    <row r="66" spans="3:14">
      <c r="C66" s="55"/>
      <c r="G66" s="26" t="s">
        <v>92</v>
      </c>
      <c r="J66" s="2" t="s">
        <v>93</v>
      </c>
      <c r="K66" s="2" t="s">
        <v>94</v>
      </c>
      <c r="M66" s="2" t="str">
        <f t="shared" si="2"/>
        <v>ALTP020</v>
      </c>
      <c r="N66" s="201" t="str">
        <f>M57</f>
        <v>ALTP010</v>
      </c>
    </row>
    <row r="67" spans="3:14">
      <c r="C67" s="55"/>
      <c r="G67" s="26" t="s">
        <v>94</v>
      </c>
      <c r="J67" s="2" t="s">
        <v>95</v>
      </c>
      <c r="K67" s="2" t="s">
        <v>96</v>
      </c>
      <c r="M67" s="2" t="str">
        <f t="shared" si="2"/>
        <v>ALTP025</v>
      </c>
      <c r="N67" s="201"/>
    </row>
    <row r="68" spans="3:14">
      <c r="C68" s="55"/>
      <c r="G68" s="26" t="s">
        <v>97</v>
      </c>
      <c r="J68" s="2" t="s">
        <v>98</v>
      </c>
      <c r="K68" s="2" t="s">
        <v>99</v>
      </c>
      <c r="M68" s="2" t="str">
        <f t="shared" si="2"/>
        <v>ALTP027</v>
      </c>
      <c r="N68" s="201" t="str">
        <f>M58</f>
        <v>ALTP011</v>
      </c>
    </row>
    <row r="69" spans="3:14">
      <c r="C69" s="55"/>
      <c r="G69" s="26" t="s">
        <v>100</v>
      </c>
      <c r="J69" s="2" t="s">
        <v>101</v>
      </c>
      <c r="K69" s="2" t="s">
        <v>102</v>
      </c>
      <c r="M69" s="2" t="str">
        <f t="shared" si="2"/>
        <v>ALTN001</v>
      </c>
      <c r="N69" s="201"/>
    </row>
    <row r="70" spans="3:14">
      <c r="C70" s="55"/>
      <c r="G70" s="26" t="s">
        <v>99</v>
      </c>
      <c r="J70" s="2" t="s">
        <v>103</v>
      </c>
      <c r="K70" s="2" t="s">
        <v>104</v>
      </c>
      <c r="M70" s="2" t="str">
        <f t="shared" si="2"/>
        <v>ALTN002</v>
      </c>
      <c r="N70" s="201" t="str">
        <f>M59</f>
        <v>ALTP013</v>
      </c>
    </row>
    <row r="71" spans="3:14">
      <c r="C71" s="55"/>
      <c r="G71" s="2" t="s">
        <v>105</v>
      </c>
      <c r="J71" s="2" t="s">
        <v>106</v>
      </c>
      <c r="K71" s="2" t="s">
        <v>107</v>
      </c>
      <c r="M71" s="2" t="str">
        <f t="shared" si="2"/>
        <v>ALTN003</v>
      </c>
      <c r="N71" s="201"/>
    </row>
    <row r="72" spans="3:14">
      <c r="C72" s="55"/>
      <c r="G72" s="2" t="s">
        <v>108</v>
      </c>
      <c r="J72" s="2" t="s">
        <v>109</v>
      </c>
      <c r="K72" s="2" t="s">
        <v>110</v>
      </c>
      <c r="M72" s="2" t="str">
        <f t="shared" si="2"/>
        <v>ALTN004</v>
      </c>
      <c r="N72" s="201" t="str">
        <f>M60</f>
        <v>ALTP014</v>
      </c>
    </row>
    <row r="73" spans="3:14">
      <c r="C73" s="55"/>
      <c r="G73" s="2" t="s">
        <v>96</v>
      </c>
      <c r="J73" s="2" t="s">
        <v>111</v>
      </c>
      <c r="K73" s="2" t="s">
        <v>112</v>
      </c>
      <c r="M73" s="2" t="str">
        <f t="shared" si="2"/>
        <v>ALTN006</v>
      </c>
      <c r="N73" s="201"/>
    </row>
    <row r="74" spans="3:14">
      <c r="C74" s="55"/>
      <c r="G74" s="2" t="s">
        <v>113</v>
      </c>
      <c r="J74" s="2" t="s">
        <v>114</v>
      </c>
      <c r="K74" s="2" t="s">
        <v>115</v>
      </c>
      <c r="M74" s="2" t="str">
        <f t="shared" si="2"/>
        <v>ALTN007</v>
      </c>
      <c r="N74" s="201" t="str">
        <f>M61</f>
        <v>ALTP015</v>
      </c>
    </row>
    <row r="75" spans="3:14">
      <c r="C75" s="55"/>
      <c r="G75" s="2" t="s">
        <v>102</v>
      </c>
      <c r="J75" s="2" t="s">
        <v>116</v>
      </c>
      <c r="K75" s="2" t="s">
        <v>117</v>
      </c>
      <c r="M75" s="2" t="str">
        <f t="shared" si="2"/>
        <v>ALTN008</v>
      </c>
      <c r="N75" s="201"/>
    </row>
    <row r="76" spans="3:14">
      <c r="C76" s="55"/>
      <c r="G76" s="2" t="s">
        <v>104</v>
      </c>
      <c r="J76" s="2" t="s">
        <v>118</v>
      </c>
      <c r="K76" s="2" t="s">
        <v>119</v>
      </c>
      <c r="M76" s="2" t="str">
        <f t="shared" si="2"/>
        <v>ALTN009</v>
      </c>
      <c r="N76" s="201" t="str">
        <f>M62</f>
        <v>ALTP016</v>
      </c>
    </row>
    <row r="77" spans="3:14">
      <c r="C77" s="55"/>
      <c r="G77" s="2" t="s">
        <v>107</v>
      </c>
      <c r="J77" s="2" t="s">
        <v>120</v>
      </c>
      <c r="K77" s="2" t="s">
        <v>121</v>
      </c>
      <c r="M77" s="2" t="str">
        <f t="shared" si="2"/>
        <v>ALTN010</v>
      </c>
      <c r="N77" s="201"/>
    </row>
    <row r="78" spans="3:14">
      <c r="C78" s="55"/>
      <c r="G78" s="2" t="s">
        <v>110</v>
      </c>
      <c r="J78" s="2" t="s">
        <v>122</v>
      </c>
      <c r="K78" s="2" t="s">
        <v>123</v>
      </c>
      <c r="M78" s="2" t="str">
        <f t="shared" si="2"/>
        <v>ALTN011</v>
      </c>
      <c r="N78" s="201" t="str">
        <f>M63</f>
        <v>ALTP017</v>
      </c>
    </row>
    <row r="79" spans="3:14">
      <c r="C79" s="55"/>
      <c r="G79" s="2" t="s">
        <v>124</v>
      </c>
      <c r="J79" s="2" t="s">
        <v>125</v>
      </c>
      <c r="N79" s="201"/>
    </row>
    <row r="80" spans="3:14">
      <c r="C80" s="55"/>
      <c r="G80" s="4" t="s">
        <v>112</v>
      </c>
      <c r="J80" s="2" t="s">
        <v>126</v>
      </c>
      <c r="N80" s="201" t="str">
        <f>M64</f>
        <v>ALTP018</v>
      </c>
    </row>
    <row r="81" spans="3:14">
      <c r="C81" s="55"/>
      <c r="G81" s="4" t="s">
        <v>115</v>
      </c>
      <c r="J81" s="2" t="s">
        <v>127</v>
      </c>
      <c r="N81" s="201"/>
    </row>
    <row r="82" spans="3:14">
      <c r="C82" s="55"/>
      <c r="G82" s="4" t="s">
        <v>117</v>
      </c>
      <c r="J82" s="2" t="s">
        <v>128</v>
      </c>
      <c r="N82" s="201" t="str">
        <f>M65</f>
        <v>ALTP019</v>
      </c>
    </row>
    <row r="83" spans="3:14">
      <c r="C83" s="55"/>
      <c r="G83" s="4" t="s">
        <v>119</v>
      </c>
      <c r="J83" s="2" t="s">
        <v>129</v>
      </c>
      <c r="N83" s="201"/>
    </row>
    <row r="84" spans="3:14">
      <c r="C84" s="55"/>
      <c r="G84" s="4" t="s">
        <v>121</v>
      </c>
      <c r="J84" s="2" t="s">
        <v>130</v>
      </c>
      <c r="N84" s="201" t="str">
        <f>M66</f>
        <v>ALTP020</v>
      </c>
    </row>
    <row r="85" spans="3:14">
      <c r="C85" s="55"/>
      <c r="G85" s="4" t="s">
        <v>123</v>
      </c>
      <c r="J85" s="2" t="s">
        <v>131</v>
      </c>
      <c r="N85" s="201"/>
    </row>
    <row r="86" spans="3:14">
      <c r="C86" s="55"/>
      <c r="N86" s="201" t="str">
        <f>M67</f>
        <v>ALTP025</v>
      </c>
    </row>
    <row r="87" spans="3:14">
      <c r="C87" s="55"/>
      <c r="N87" s="201"/>
    </row>
    <row r="88" spans="3:14">
      <c r="C88" s="55"/>
      <c r="N88" s="201" t="str">
        <f>M68</f>
        <v>ALTP027</v>
      </c>
    </row>
    <row r="89" spans="3:14">
      <c r="C89" s="55"/>
      <c r="N89" s="201"/>
    </row>
    <row r="90" spans="3:14">
      <c r="C90" s="55"/>
      <c r="N90" s="201" t="str">
        <f>M69</f>
        <v>ALTN001</v>
      </c>
    </row>
    <row r="91" spans="3:14">
      <c r="C91" s="55"/>
      <c r="N91" s="201"/>
    </row>
    <row r="92" spans="3:14">
      <c r="C92" s="55"/>
      <c r="N92" s="201" t="str">
        <f>M70</f>
        <v>ALTN002</v>
      </c>
    </row>
    <row r="93" spans="3:14">
      <c r="C93" s="55"/>
      <c r="N93" s="201"/>
    </row>
    <row r="94" spans="3:14">
      <c r="C94" s="55"/>
      <c r="N94" s="201" t="str">
        <f>M71</f>
        <v>ALTN003</v>
      </c>
    </row>
    <row r="95" spans="3:14">
      <c r="C95" s="55"/>
      <c r="N95" s="201"/>
    </row>
    <row r="96" spans="3:14">
      <c r="C96" s="55"/>
      <c r="N96" s="201" t="str">
        <f>M72</f>
        <v>ALTN004</v>
      </c>
    </row>
    <row r="97" spans="3:14">
      <c r="C97" s="55"/>
      <c r="N97" s="201"/>
    </row>
    <row r="98" spans="3:14">
      <c r="C98" s="55"/>
      <c r="N98" s="201" t="str">
        <f>M73</f>
        <v>ALTN006</v>
      </c>
    </row>
    <row r="99" spans="3:14">
      <c r="C99" s="55"/>
      <c r="N99" s="201"/>
    </row>
    <row r="100" spans="3:14">
      <c r="C100" s="55"/>
      <c r="N100" s="201" t="str">
        <f>M74</f>
        <v>ALTN007</v>
      </c>
    </row>
    <row r="101" spans="3:14">
      <c r="C101" s="55"/>
      <c r="N101" s="201"/>
    </row>
    <row r="102" spans="3:14">
      <c r="C102" s="55"/>
      <c r="N102" s="201" t="str">
        <f>M75</f>
        <v>ALTN008</v>
      </c>
    </row>
    <row r="103" spans="3:14">
      <c r="C103" s="55"/>
      <c r="N103" s="201"/>
    </row>
    <row r="104" spans="3:14">
      <c r="C104" s="55"/>
      <c r="N104" s="201" t="str">
        <f>M76</f>
        <v>ALTN009</v>
      </c>
    </row>
    <row r="105" spans="3:14">
      <c r="C105" s="55"/>
      <c r="N105" s="201"/>
    </row>
    <row r="106" spans="3:14">
      <c r="C106" s="55"/>
      <c r="N106" s="201" t="str">
        <f>M77</f>
        <v>ALTN010</v>
      </c>
    </row>
    <row r="107" spans="3:14">
      <c r="C107" s="55"/>
      <c r="N107" s="201"/>
    </row>
    <row r="108" spans="3:14">
      <c r="C108" s="55"/>
      <c r="N108" s="201" t="str">
        <f>M78</f>
        <v>ALTN011</v>
      </c>
    </row>
    <row r="109" spans="3:14">
      <c r="C109" s="55"/>
      <c r="N109" s="201"/>
    </row>
  </sheetData>
  <protectedRanges>
    <protectedRange password="CC78" sqref="E36:E65337 C33:D65337 W8:W9 B24:B65337 C19:D23 F33:JG47 F99:M99 Y8:JG12 F48 H48:J48 L48:JG48 L49:L75 F86:L98 N49:JG99 M49:M78 F100:JG65337 K76:L85 F49:J69 F71:J85 F70 H70:J70 F8:H8 J19:JG23 J11:X12 J13:JG13 V14:JG18 A8:A65337 B8:D9 B10:X10 E11:H23" name="Range1_12_12"/>
    <protectedRange password="CC78" sqref="C26:C31 E33:E35 W26:JG31 D26:H32" name="Range1_1_1"/>
    <protectedRange password="CC78" sqref="C32 W32:JG32" name="Range1_3_1"/>
    <protectedRange password="CC78" sqref="A5:JG7" name="Range1_2_1"/>
    <protectedRange password="CC78" sqref="I8:V9 I11:I23" name="Range1_3_2"/>
    <protectedRange password="CC78" sqref="B19:B23" name="Range1_1_2"/>
    <protectedRange password="CC78" sqref="E8:E9 F9" name="Range1_4_1"/>
    <protectedRange password="CC78" sqref="B15:B18" name="Range1_6_1"/>
    <protectedRange password="CC78" sqref="D14:D18" name="Range1_7_1"/>
    <protectedRange password="CC78" sqref="J11:U18" name="Range1_11_1"/>
  </protectedRanges>
  <autoFilter ref="A10:Z18"/>
  <mergeCells count="45">
    <mergeCell ref="N100:N101"/>
    <mergeCell ref="N102:N103"/>
    <mergeCell ref="N104:N105"/>
    <mergeCell ref="N106:N107"/>
    <mergeCell ref="N108:N109"/>
    <mergeCell ref="N98:N99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4:N95"/>
    <mergeCell ref="N96:N97"/>
    <mergeCell ref="N74:N75"/>
    <mergeCell ref="N52:N53"/>
    <mergeCell ref="N54:N55"/>
    <mergeCell ref="N56:N57"/>
    <mergeCell ref="N58:N59"/>
    <mergeCell ref="N60:N61"/>
    <mergeCell ref="N62:N63"/>
    <mergeCell ref="N64:N65"/>
    <mergeCell ref="N66:N67"/>
    <mergeCell ref="N68:N69"/>
    <mergeCell ref="N70:N71"/>
    <mergeCell ref="N72:N73"/>
    <mergeCell ref="N50:N51"/>
    <mergeCell ref="A5:X5"/>
    <mergeCell ref="A6:X6"/>
    <mergeCell ref="A8:A9"/>
    <mergeCell ref="B8:B9"/>
    <mergeCell ref="C8:C9"/>
    <mergeCell ref="D8:D9"/>
    <mergeCell ref="E8:F9"/>
    <mergeCell ref="G8:H8"/>
    <mergeCell ref="I8:I9"/>
    <mergeCell ref="J8:U8"/>
    <mergeCell ref="V8:V9"/>
    <mergeCell ref="W8:W9"/>
    <mergeCell ref="X8:X9"/>
    <mergeCell ref="A21:C23"/>
    <mergeCell ref="N48:N49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K40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T1" sqref="AT1:AU104857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8.5703125" style="2" customWidth="1"/>
    <col min="47" max="16384" width="3.7109375" style="2"/>
  </cols>
  <sheetData>
    <row r="1" spans="1:89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01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22" t="s">
        <v>132</v>
      </c>
      <c r="AN1" s="223"/>
      <c r="AO1" s="223"/>
      <c r="AP1" s="223"/>
      <c r="AQ1" s="223"/>
      <c r="AR1" s="223"/>
      <c r="AS1" s="224"/>
    </row>
    <row r="2" spans="1:89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</row>
    <row r="3" spans="1:89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</row>
    <row r="4" spans="1:89" ht="14.25" customHeight="1">
      <c r="A4" s="69"/>
      <c r="B4" s="69"/>
      <c r="C4" s="70"/>
      <c r="D4" s="71"/>
      <c r="E4" s="72">
        <v>41275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</row>
    <row r="5" spans="1:89" s="78" customFormat="1" ht="18.75" customHeight="1">
      <c r="A5" s="225" t="s">
        <v>133</v>
      </c>
      <c r="B5" s="225" t="s">
        <v>4</v>
      </c>
      <c r="C5" s="225" t="s">
        <v>5</v>
      </c>
      <c r="D5" s="227" t="s">
        <v>134</v>
      </c>
      <c r="E5" s="225" t="s">
        <v>135</v>
      </c>
      <c r="F5" s="77">
        <f>+E4</f>
        <v>41275</v>
      </c>
      <c r="G5" s="77">
        <f t="shared" ref="G5:AJ5" si="0">F5+1</f>
        <v>41276</v>
      </c>
      <c r="H5" s="77">
        <f t="shared" si="0"/>
        <v>41277</v>
      </c>
      <c r="I5" s="77">
        <f t="shared" si="0"/>
        <v>41278</v>
      </c>
      <c r="J5" s="77">
        <f t="shared" si="0"/>
        <v>41279</v>
      </c>
      <c r="K5" s="77">
        <f t="shared" si="0"/>
        <v>41280</v>
      </c>
      <c r="L5" s="77">
        <f t="shared" si="0"/>
        <v>41281</v>
      </c>
      <c r="M5" s="77">
        <f t="shared" si="0"/>
        <v>41282</v>
      </c>
      <c r="N5" s="77">
        <f t="shared" si="0"/>
        <v>41283</v>
      </c>
      <c r="O5" s="77">
        <f t="shared" si="0"/>
        <v>41284</v>
      </c>
      <c r="P5" s="77">
        <f t="shared" si="0"/>
        <v>41285</v>
      </c>
      <c r="Q5" s="77">
        <f t="shared" si="0"/>
        <v>41286</v>
      </c>
      <c r="R5" s="77">
        <f t="shared" si="0"/>
        <v>41287</v>
      </c>
      <c r="S5" s="77">
        <f t="shared" si="0"/>
        <v>41288</v>
      </c>
      <c r="T5" s="77">
        <f t="shared" si="0"/>
        <v>41289</v>
      </c>
      <c r="U5" s="77">
        <f t="shared" si="0"/>
        <v>41290</v>
      </c>
      <c r="V5" s="77">
        <f t="shared" si="0"/>
        <v>41291</v>
      </c>
      <c r="W5" s="77">
        <f t="shared" si="0"/>
        <v>41292</v>
      </c>
      <c r="X5" s="77">
        <f t="shared" si="0"/>
        <v>41293</v>
      </c>
      <c r="Y5" s="77">
        <f t="shared" si="0"/>
        <v>41294</v>
      </c>
      <c r="Z5" s="77">
        <f t="shared" si="0"/>
        <v>41295</v>
      </c>
      <c r="AA5" s="77">
        <f t="shared" si="0"/>
        <v>41296</v>
      </c>
      <c r="AB5" s="77">
        <f t="shared" si="0"/>
        <v>41297</v>
      </c>
      <c r="AC5" s="77">
        <f t="shared" si="0"/>
        <v>41298</v>
      </c>
      <c r="AD5" s="77">
        <f t="shared" si="0"/>
        <v>41299</v>
      </c>
      <c r="AE5" s="77">
        <f t="shared" si="0"/>
        <v>41300</v>
      </c>
      <c r="AF5" s="77">
        <f t="shared" si="0"/>
        <v>41301</v>
      </c>
      <c r="AG5" s="77">
        <f t="shared" si="0"/>
        <v>41302</v>
      </c>
      <c r="AH5" s="77">
        <f>AG5+1</f>
        <v>41303</v>
      </c>
      <c r="AI5" s="77">
        <f t="shared" si="0"/>
        <v>41304</v>
      </c>
      <c r="AJ5" s="77">
        <f t="shared" si="0"/>
        <v>41305</v>
      </c>
      <c r="AK5" s="228" t="s">
        <v>136</v>
      </c>
      <c r="AL5" s="229"/>
      <c r="AM5" s="230"/>
      <c r="AN5" s="231" t="s">
        <v>137</v>
      </c>
      <c r="AO5" s="231" t="s">
        <v>138</v>
      </c>
      <c r="AP5" s="231" t="s">
        <v>139</v>
      </c>
      <c r="AQ5" s="231" t="s">
        <v>140</v>
      </c>
      <c r="AR5" s="231" t="s">
        <v>141</v>
      </c>
      <c r="AS5" s="227" t="s">
        <v>142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78" customFormat="1" ht="39.75" customHeight="1">
      <c r="A6" s="226"/>
      <c r="B6" s="226"/>
      <c r="C6" s="226"/>
      <c r="D6" s="226"/>
      <c r="E6" s="226"/>
      <c r="F6" s="79" t="str">
        <f>CHOOSE(WEEKDAY(F5),"C.Nhật","T.Hai","T.Ba","T.Tư","T.Năm","T.Sáu","T.Bảy")</f>
        <v>T.Ba</v>
      </c>
      <c r="G6" s="79" t="str">
        <f t="shared" ref="G6:AJ6" si="1">CHOOSE(WEEKDAY(G5),"C.Nhật","T.Hai","T.Ba","T.Tư","T.Năm","T.Sáu","T.Bảy")</f>
        <v>T.Tư</v>
      </c>
      <c r="H6" s="79" t="str">
        <f t="shared" si="1"/>
        <v>T.Năm</v>
      </c>
      <c r="I6" s="79" t="str">
        <f t="shared" si="1"/>
        <v>T.Sáu</v>
      </c>
      <c r="J6" s="79" t="str">
        <f t="shared" si="1"/>
        <v>T.Bảy</v>
      </c>
      <c r="K6" s="79" t="str">
        <f t="shared" si="1"/>
        <v>C.Nhật</v>
      </c>
      <c r="L6" s="79" t="str">
        <f t="shared" si="1"/>
        <v>T.Hai</v>
      </c>
      <c r="M6" s="79" t="str">
        <f t="shared" si="1"/>
        <v>T.Ba</v>
      </c>
      <c r="N6" s="79" t="str">
        <f t="shared" si="1"/>
        <v>T.Tư</v>
      </c>
      <c r="O6" s="79" t="str">
        <f t="shared" si="1"/>
        <v>T.Năm</v>
      </c>
      <c r="P6" s="79" t="str">
        <f t="shared" si="1"/>
        <v>T.Sáu</v>
      </c>
      <c r="Q6" s="79" t="str">
        <f t="shared" si="1"/>
        <v>T.Bảy</v>
      </c>
      <c r="R6" s="79" t="str">
        <f t="shared" si="1"/>
        <v>C.Nhật</v>
      </c>
      <c r="S6" s="79" t="str">
        <f t="shared" si="1"/>
        <v>T.Hai</v>
      </c>
      <c r="T6" s="79" t="str">
        <f t="shared" si="1"/>
        <v>T.Ba</v>
      </c>
      <c r="U6" s="79" t="str">
        <f t="shared" si="1"/>
        <v>T.Tư</v>
      </c>
      <c r="V6" s="79" t="str">
        <f t="shared" si="1"/>
        <v>T.Năm</v>
      </c>
      <c r="W6" s="79" t="str">
        <f t="shared" si="1"/>
        <v>T.Sáu</v>
      </c>
      <c r="X6" s="79" t="str">
        <f t="shared" si="1"/>
        <v>T.Bảy</v>
      </c>
      <c r="Y6" s="79" t="str">
        <f t="shared" si="1"/>
        <v>C.Nhật</v>
      </c>
      <c r="Z6" s="79" t="str">
        <f t="shared" si="1"/>
        <v>T.Hai</v>
      </c>
      <c r="AA6" s="79" t="str">
        <f t="shared" si="1"/>
        <v>T.Ba</v>
      </c>
      <c r="AB6" s="79" t="str">
        <f t="shared" si="1"/>
        <v>T.Tư</v>
      </c>
      <c r="AC6" s="79" t="str">
        <f t="shared" si="1"/>
        <v>T.Năm</v>
      </c>
      <c r="AD6" s="79" t="str">
        <f t="shared" si="1"/>
        <v>T.Sáu</v>
      </c>
      <c r="AE6" s="79" t="str">
        <f t="shared" si="1"/>
        <v>T.Bảy</v>
      </c>
      <c r="AF6" s="79" t="str">
        <f t="shared" si="1"/>
        <v>C.Nhật</v>
      </c>
      <c r="AG6" s="79" t="str">
        <f t="shared" si="1"/>
        <v>T.Hai</v>
      </c>
      <c r="AH6" s="79" t="str">
        <f t="shared" si="1"/>
        <v>T.Ba</v>
      </c>
      <c r="AI6" s="79" t="str">
        <f t="shared" si="1"/>
        <v>T.Tư</v>
      </c>
      <c r="AJ6" s="79" t="str">
        <f t="shared" si="1"/>
        <v>T.Năm</v>
      </c>
      <c r="AK6" s="80" t="s">
        <v>143</v>
      </c>
      <c r="AL6" s="80" t="s">
        <v>144</v>
      </c>
      <c r="AM6" s="81" t="s">
        <v>145</v>
      </c>
      <c r="AN6" s="232"/>
      <c r="AO6" s="232"/>
      <c r="AP6" s="232"/>
      <c r="AQ6" s="232"/>
      <c r="AR6" s="232"/>
      <c r="AS6" s="226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</row>
    <row r="9" spans="1:89" s="78" customFormat="1" ht="18" customHeight="1">
      <c r="A9" s="233">
        <v>1</v>
      </c>
      <c r="B9" s="233" t="s">
        <v>31</v>
      </c>
      <c r="C9" s="235" t="str">
        <f>VLOOKUP(B9,DS,2,0)</f>
        <v>Huỳnh Hoàng Đạo</v>
      </c>
      <c r="D9" s="237" t="str">
        <f>VLOOKUP(B9,DS,3,0)</f>
        <v>Quản Đốc</v>
      </c>
      <c r="E9" s="90" t="s">
        <v>148</v>
      </c>
      <c r="F9" s="91">
        <v>8</v>
      </c>
      <c r="G9" s="91">
        <v>8</v>
      </c>
      <c r="H9" s="91">
        <v>8</v>
      </c>
      <c r="I9" s="91">
        <v>3.5</v>
      </c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239">
        <f>((SUM(F9:AJ9))/8)-(SUMIF($F$6:$AJ$6,"C.Nhật",F9:AJ9)/8)</f>
        <v>3.4375</v>
      </c>
      <c r="AL9" s="239">
        <f>SUM(F10:AJ10)/8*1.5</f>
        <v>0</v>
      </c>
      <c r="AM9" s="241">
        <f>SUMIF($F$6:$AJ$6,"C.Nhật",$F9:$AJ10)/8*2</f>
        <v>0</v>
      </c>
      <c r="AN9" s="218">
        <f>SUM(AK9:AM10)</f>
        <v>3.4375</v>
      </c>
      <c r="AO9" s="244">
        <v>0</v>
      </c>
      <c r="AP9" s="218"/>
      <c r="AQ9" s="218"/>
      <c r="AR9" s="218"/>
      <c r="AS9" s="220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78" customFormat="1" ht="18" customHeight="1">
      <c r="A10" s="234"/>
      <c r="B10" s="234"/>
      <c r="C10" s="236"/>
      <c r="D10" s="238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40"/>
      <c r="AL10" s="240"/>
      <c r="AM10" s="242"/>
      <c r="AN10" s="219"/>
      <c r="AO10" s="245"/>
      <c r="AP10" s="219"/>
      <c r="AQ10" s="219"/>
      <c r="AR10" s="219"/>
      <c r="AS10" s="221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78" customFormat="1" ht="18" customHeight="1">
      <c r="A11" s="233">
        <v>1</v>
      </c>
      <c r="B11" s="233" t="s">
        <v>34</v>
      </c>
      <c r="C11" s="235" t="str">
        <f>VLOOKUP(B11,DS,2,0)</f>
        <v>Võ Ngọc Thùy Lan</v>
      </c>
      <c r="D11" s="237" t="str">
        <f>VLOOKUP(B11,DS,3,0)</f>
        <v>Giám Đốc</v>
      </c>
      <c r="E11" s="90" t="s">
        <v>148</v>
      </c>
      <c r="F11" s="91">
        <v>8</v>
      </c>
      <c r="G11" s="91">
        <v>8</v>
      </c>
      <c r="H11" s="91">
        <v>8</v>
      </c>
      <c r="I11" s="91">
        <v>8</v>
      </c>
      <c r="J11" s="91">
        <v>8</v>
      </c>
      <c r="K11" s="91"/>
      <c r="L11" s="91">
        <v>8</v>
      </c>
      <c r="M11" s="91">
        <v>8</v>
      </c>
      <c r="N11" s="91">
        <v>8</v>
      </c>
      <c r="O11" s="91">
        <v>8</v>
      </c>
      <c r="P11" s="91">
        <v>8</v>
      </c>
      <c r="Q11" s="91">
        <v>8</v>
      </c>
      <c r="R11" s="91"/>
      <c r="S11" s="91">
        <v>8</v>
      </c>
      <c r="T11" s="91">
        <v>8</v>
      </c>
      <c r="U11" s="91">
        <v>8</v>
      </c>
      <c r="V11" s="91">
        <v>8</v>
      </c>
      <c r="W11" s="91">
        <v>8</v>
      </c>
      <c r="X11" s="91">
        <v>8</v>
      </c>
      <c r="Y11" s="91"/>
      <c r="Z11" s="91">
        <v>8</v>
      </c>
      <c r="AA11" s="91">
        <v>8</v>
      </c>
      <c r="AB11" s="91">
        <v>8</v>
      </c>
      <c r="AC11" s="91">
        <v>8</v>
      </c>
      <c r="AD11" s="91">
        <v>8</v>
      </c>
      <c r="AE11" s="91">
        <v>8</v>
      </c>
      <c r="AF11" s="91"/>
      <c r="AG11" s="91">
        <v>8</v>
      </c>
      <c r="AH11" s="91">
        <v>8</v>
      </c>
      <c r="AI11" s="91">
        <v>8</v>
      </c>
      <c r="AJ11" s="91">
        <v>8</v>
      </c>
      <c r="AK11" s="239">
        <f>((SUM(F11:AJ11))/8)-(SUMIF($F$6:$AJ$6,"C.Nhật",F11:AJ11)/8)</f>
        <v>27</v>
      </c>
      <c r="AL11" s="239">
        <f>SUM(F12:AJ12)/8*1.5</f>
        <v>0</v>
      </c>
      <c r="AM11" s="241">
        <f>SUMIF($F$6:$AJ$6,"C.Nhật",$F11:$AJ12)/8*2</f>
        <v>0</v>
      </c>
      <c r="AN11" s="218">
        <f>SUM(AK11:AM12)</f>
        <v>27</v>
      </c>
      <c r="AO11" s="244">
        <v>0</v>
      </c>
      <c r="AP11" s="218"/>
      <c r="AQ11" s="218"/>
      <c r="AR11" s="218"/>
      <c r="AS11" s="220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78" customFormat="1" ht="18" customHeight="1">
      <c r="A12" s="234"/>
      <c r="B12" s="234"/>
      <c r="C12" s="236"/>
      <c r="D12" s="238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40"/>
      <c r="AL12" s="240"/>
      <c r="AM12" s="242"/>
      <c r="AN12" s="219"/>
      <c r="AO12" s="245"/>
      <c r="AP12" s="219"/>
      <c r="AQ12" s="219"/>
      <c r="AR12" s="219"/>
      <c r="AS12" s="221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78" customFormat="1" ht="18" customHeight="1">
      <c r="A13" s="233">
        <v>2</v>
      </c>
      <c r="B13" s="233" t="s">
        <v>36</v>
      </c>
      <c r="C13" s="235" t="str">
        <f>VLOOKUP(B13,DS,2,0)</f>
        <v>Nguyễn Thị Thu Hà</v>
      </c>
      <c r="D13" s="237" t="str">
        <f>VLOOKUP(B13,DS,3,0)</f>
        <v>Kế Toán</v>
      </c>
      <c r="E13" s="90" t="s">
        <v>148</v>
      </c>
      <c r="F13" s="91">
        <v>8</v>
      </c>
      <c r="G13" s="91">
        <v>8</v>
      </c>
      <c r="H13" s="91">
        <v>8</v>
      </c>
      <c r="I13" s="91">
        <v>8</v>
      </c>
      <c r="J13" s="91">
        <v>8</v>
      </c>
      <c r="K13" s="91"/>
      <c r="L13" s="91">
        <v>8</v>
      </c>
      <c r="M13" s="91">
        <v>8</v>
      </c>
      <c r="N13" s="91">
        <v>8</v>
      </c>
      <c r="O13" s="91">
        <v>8</v>
      </c>
      <c r="P13" s="91">
        <v>8</v>
      </c>
      <c r="Q13" s="91">
        <v>8</v>
      </c>
      <c r="R13" s="91"/>
      <c r="S13" s="91">
        <v>8</v>
      </c>
      <c r="T13" s="91">
        <v>8</v>
      </c>
      <c r="U13" s="91">
        <v>8</v>
      </c>
      <c r="V13" s="91">
        <v>8</v>
      </c>
      <c r="W13" s="91">
        <v>8</v>
      </c>
      <c r="X13" s="91">
        <v>8</v>
      </c>
      <c r="Y13" s="91"/>
      <c r="Z13" s="91">
        <v>8</v>
      </c>
      <c r="AA13" s="91">
        <v>8</v>
      </c>
      <c r="AB13" s="91">
        <v>8</v>
      </c>
      <c r="AC13" s="91">
        <v>8</v>
      </c>
      <c r="AD13" s="91">
        <v>8</v>
      </c>
      <c r="AE13" s="91">
        <v>8</v>
      </c>
      <c r="AF13" s="91"/>
      <c r="AG13" s="91">
        <v>8</v>
      </c>
      <c r="AH13" s="91">
        <v>8</v>
      </c>
      <c r="AI13" s="91">
        <v>8</v>
      </c>
      <c r="AJ13" s="91">
        <v>8</v>
      </c>
      <c r="AK13" s="239">
        <f t="shared" ref="AK13" si="2">((SUM(F13:AJ13))/8)-(SUMIF($F$6:$AJ$6,"C.Nhật",F13:AJ13)/8)</f>
        <v>27</v>
      </c>
      <c r="AL13" s="239">
        <f t="shared" ref="AL13" si="3">SUM(F14:AJ14)/8*1.5</f>
        <v>0</v>
      </c>
      <c r="AM13" s="241">
        <f t="shared" ref="AM13" si="4">SUMIF($F$6:$AJ$6,"C.Nhật",$F13:$AJ14)/8*2</f>
        <v>0</v>
      </c>
      <c r="AN13" s="218">
        <f t="shared" ref="AN13" si="5">SUM(AK13:AM14)</f>
        <v>27</v>
      </c>
      <c r="AO13" s="244">
        <v>0</v>
      </c>
      <c r="AP13" s="218"/>
      <c r="AQ13" s="218"/>
      <c r="AR13" s="218"/>
      <c r="AS13" s="220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</row>
    <row r="14" spans="1:89" s="78" customFormat="1" ht="18" customHeight="1">
      <c r="A14" s="234"/>
      <c r="B14" s="234"/>
      <c r="C14" s="236"/>
      <c r="D14" s="238"/>
      <c r="E14" s="92" t="s">
        <v>144</v>
      </c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240"/>
      <c r="AL14" s="240"/>
      <c r="AM14" s="242"/>
      <c r="AN14" s="219"/>
      <c r="AO14" s="245"/>
      <c r="AP14" s="219"/>
      <c r="AQ14" s="219"/>
      <c r="AR14" s="219"/>
      <c r="AS14" s="221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89" s="89" customFormat="1" ht="21" customHeight="1">
      <c r="A15" s="84" t="s">
        <v>149</v>
      </c>
      <c r="B15" s="85" t="s">
        <v>150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7"/>
    </row>
    <row r="16" spans="1:89" s="78" customFormat="1" ht="18" customHeight="1">
      <c r="A16" s="233">
        <v>1</v>
      </c>
      <c r="B16" s="233" t="s">
        <v>39</v>
      </c>
      <c r="C16" s="235" t="str">
        <f>VLOOKUP(B16,DS,2,0)</f>
        <v>Nguyễn Thị Thanh Thúy</v>
      </c>
      <c r="D16" s="237" t="str">
        <f>VLOOKUP(B16,DS,3,0)</f>
        <v>Công nhân</v>
      </c>
      <c r="E16" s="90" t="s">
        <v>148</v>
      </c>
      <c r="F16" s="91">
        <v>8</v>
      </c>
      <c r="G16" s="91">
        <v>8</v>
      </c>
      <c r="H16" s="91">
        <v>8</v>
      </c>
      <c r="I16" s="91">
        <v>8</v>
      </c>
      <c r="J16" s="91">
        <v>8</v>
      </c>
      <c r="K16" s="91"/>
      <c r="L16" s="91">
        <v>8</v>
      </c>
      <c r="M16" s="91">
        <v>8</v>
      </c>
      <c r="N16" s="91">
        <v>8</v>
      </c>
      <c r="O16" s="91">
        <v>8</v>
      </c>
      <c r="P16" s="91">
        <v>8</v>
      </c>
      <c r="Q16" s="91">
        <v>8</v>
      </c>
      <c r="R16" s="91"/>
      <c r="S16" s="91">
        <v>8</v>
      </c>
      <c r="T16" s="91">
        <v>8</v>
      </c>
      <c r="U16" s="91">
        <v>8</v>
      </c>
      <c r="V16" s="91">
        <v>8</v>
      </c>
      <c r="W16" s="91">
        <v>8</v>
      </c>
      <c r="X16" s="91">
        <v>8</v>
      </c>
      <c r="Y16" s="91"/>
      <c r="Z16" s="91">
        <v>8</v>
      </c>
      <c r="AA16" s="91">
        <v>8</v>
      </c>
      <c r="AB16" s="91">
        <v>8</v>
      </c>
      <c r="AC16" s="91">
        <v>8</v>
      </c>
      <c r="AD16" s="91">
        <v>8</v>
      </c>
      <c r="AE16" s="91">
        <v>8</v>
      </c>
      <c r="AF16" s="91"/>
      <c r="AG16" s="91">
        <v>8</v>
      </c>
      <c r="AH16" s="91">
        <v>8</v>
      </c>
      <c r="AI16" s="91">
        <v>8</v>
      </c>
      <c r="AJ16" s="91">
        <v>8</v>
      </c>
      <c r="AK16" s="239">
        <f t="shared" ref="AK16" si="6">((SUM(F16:AJ16))/8)-(SUMIF($F$6:$AJ$6,"C.Nhật",F16:AJ16)/8)</f>
        <v>27</v>
      </c>
      <c r="AL16" s="239">
        <f t="shared" ref="AL16" si="7">SUM(F17:AJ17)/8*1.5</f>
        <v>0</v>
      </c>
      <c r="AM16" s="241">
        <f>SUMIF($F$6:$AJ$6,"C.Nhật",$F16:$AJ17)/8*2</f>
        <v>0</v>
      </c>
      <c r="AN16" s="218">
        <f>SUM(AK16:AM17)</f>
        <v>27</v>
      </c>
      <c r="AO16" s="244">
        <v>0</v>
      </c>
      <c r="AP16" s="218"/>
      <c r="AQ16" s="218"/>
      <c r="AR16" s="218"/>
      <c r="AS16" s="220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88" s="78" customFormat="1" ht="18" customHeight="1">
      <c r="A17" s="234"/>
      <c r="B17" s="234"/>
      <c r="C17" s="236"/>
      <c r="D17" s="238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40"/>
      <c r="AL17" s="240"/>
      <c r="AM17" s="242"/>
      <c r="AN17" s="219"/>
      <c r="AO17" s="245"/>
      <c r="AP17" s="219"/>
      <c r="AQ17" s="219"/>
      <c r="AR17" s="219"/>
      <c r="AS17" s="221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88" s="78" customFormat="1" ht="18" customHeight="1">
      <c r="A18" s="233">
        <f>A16+1</f>
        <v>2</v>
      </c>
      <c r="B18" s="233" t="s">
        <v>42</v>
      </c>
      <c r="C18" s="235" t="str">
        <f>VLOOKUP(B18,DS,2,0)</f>
        <v>Huỳnh Đoàn Viết Thanh</v>
      </c>
      <c r="D18" s="237" t="str">
        <f>VLOOKUP(B18,DS,3,0)</f>
        <v>Công nhân</v>
      </c>
      <c r="E18" s="90" t="s">
        <v>148</v>
      </c>
      <c r="F18" s="91">
        <v>8</v>
      </c>
      <c r="G18" s="91">
        <v>8</v>
      </c>
      <c r="H18" s="91">
        <v>8</v>
      </c>
      <c r="I18" s="91">
        <v>8</v>
      </c>
      <c r="J18" s="91">
        <v>8</v>
      </c>
      <c r="K18" s="91"/>
      <c r="L18" s="91">
        <v>8</v>
      </c>
      <c r="M18" s="91">
        <v>8</v>
      </c>
      <c r="N18" s="91">
        <v>8</v>
      </c>
      <c r="O18" s="91">
        <v>8</v>
      </c>
      <c r="P18" s="91">
        <v>8</v>
      </c>
      <c r="Q18" s="91">
        <v>8</v>
      </c>
      <c r="R18" s="91"/>
      <c r="S18" s="91">
        <v>8</v>
      </c>
      <c r="T18" s="91">
        <v>8</v>
      </c>
      <c r="U18" s="91">
        <v>8</v>
      </c>
      <c r="V18" s="91">
        <v>8</v>
      </c>
      <c r="W18" s="91">
        <v>8</v>
      </c>
      <c r="X18" s="91">
        <v>8</v>
      </c>
      <c r="Y18" s="91"/>
      <c r="Z18" s="91">
        <v>8</v>
      </c>
      <c r="AA18" s="91">
        <v>8</v>
      </c>
      <c r="AB18" s="91">
        <v>8</v>
      </c>
      <c r="AC18" s="91">
        <v>8</v>
      </c>
      <c r="AD18" s="91">
        <v>8</v>
      </c>
      <c r="AE18" s="91">
        <v>8</v>
      </c>
      <c r="AF18" s="91"/>
      <c r="AG18" s="91">
        <v>8</v>
      </c>
      <c r="AH18" s="91">
        <v>8</v>
      </c>
      <c r="AI18" s="91">
        <v>8</v>
      </c>
      <c r="AJ18" s="91">
        <v>8</v>
      </c>
      <c r="AK18" s="239">
        <f t="shared" ref="AK18" si="8">((SUM(F18:AJ18))/8)-(SUMIF($F$6:$AJ$6,"C.Nhật",F18:AJ18)/8)</f>
        <v>27</v>
      </c>
      <c r="AL18" s="239">
        <f t="shared" ref="AL18" si="9">SUM(F19:AJ19)/8*1.5</f>
        <v>0</v>
      </c>
      <c r="AM18" s="241">
        <f>SUMIF($F$6:$AJ$6,"C.Nhật",$F18:$AJ19)/8*2</f>
        <v>0</v>
      </c>
      <c r="AN18" s="218">
        <f t="shared" ref="AN18" si="10">SUM(AK18:AM19)</f>
        <v>27</v>
      </c>
      <c r="AO18" s="244">
        <v>0</v>
      </c>
      <c r="AP18" s="218"/>
      <c r="AQ18" s="218"/>
      <c r="AR18" s="218"/>
      <c r="AS18" s="220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88" s="78" customFormat="1" ht="18" customHeight="1">
      <c r="A19" s="234"/>
      <c r="B19" s="234"/>
      <c r="C19" s="236"/>
      <c r="D19" s="238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40"/>
      <c r="AL19" s="240"/>
      <c r="AM19" s="242"/>
      <c r="AN19" s="219"/>
      <c r="AO19" s="245"/>
      <c r="AP19" s="219"/>
      <c r="AQ19" s="219"/>
      <c r="AR19" s="219"/>
      <c r="AS19" s="221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88" s="78" customFormat="1" ht="18" customHeight="1">
      <c r="A20" s="233">
        <f t="shared" ref="A20" si="11">A18+1</f>
        <v>3</v>
      </c>
      <c r="B20" s="233" t="s">
        <v>44</v>
      </c>
      <c r="C20" s="235" t="str">
        <f>VLOOKUP(B20,DS,2,0)</f>
        <v>Trần Ngọc Thoại</v>
      </c>
      <c r="D20" s="237" t="str">
        <f>VLOOKUP(B20,DS,3,0)</f>
        <v>Công nhân</v>
      </c>
      <c r="E20" s="90" t="s">
        <v>148</v>
      </c>
      <c r="F20" s="91">
        <v>8</v>
      </c>
      <c r="G20" s="91">
        <v>8</v>
      </c>
      <c r="H20" s="91">
        <v>8</v>
      </c>
      <c r="I20" s="91">
        <v>8</v>
      </c>
      <c r="J20" s="91">
        <v>8</v>
      </c>
      <c r="K20" s="91"/>
      <c r="L20" s="91">
        <v>8</v>
      </c>
      <c r="M20" s="91">
        <v>8</v>
      </c>
      <c r="N20" s="91">
        <v>8</v>
      </c>
      <c r="O20" s="91">
        <v>8</v>
      </c>
      <c r="P20" s="91">
        <v>8</v>
      </c>
      <c r="Q20" s="91">
        <v>8</v>
      </c>
      <c r="R20" s="91"/>
      <c r="S20" s="91">
        <v>8</v>
      </c>
      <c r="T20" s="91">
        <v>8</v>
      </c>
      <c r="U20" s="91">
        <v>8</v>
      </c>
      <c r="V20" s="91">
        <v>8</v>
      </c>
      <c r="W20" s="91">
        <v>8</v>
      </c>
      <c r="X20" s="91">
        <v>8</v>
      </c>
      <c r="Y20" s="91"/>
      <c r="Z20" s="91">
        <v>8</v>
      </c>
      <c r="AA20" s="91">
        <v>8</v>
      </c>
      <c r="AB20" s="91">
        <v>8</v>
      </c>
      <c r="AC20" s="91">
        <v>8</v>
      </c>
      <c r="AD20" s="91">
        <v>8</v>
      </c>
      <c r="AE20" s="91">
        <v>8</v>
      </c>
      <c r="AF20" s="91"/>
      <c r="AG20" s="91">
        <v>8</v>
      </c>
      <c r="AH20" s="91">
        <v>8</v>
      </c>
      <c r="AI20" s="91">
        <v>8</v>
      </c>
      <c r="AJ20" s="91">
        <v>8</v>
      </c>
      <c r="AK20" s="239">
        <f t="shared" ref="AK20" si="12">((SUM(F20:AJ20))/8)-(SUMIF($F$6:$AJ$6,"C.Nhật",F20:AJ20)/8)</f>
        <v>27</v>
      </c>
      <c r="AL20" s="239">
        <f t="shared" ref="AL20" si="13">SUM(F21:AJ21)/8*1.5</f>
        <v>0</v>
      </c>
      <c r="AM20" s="241">
        <f>SUMIF($F$6:$AJ$6,"C.Nhật",$F20:$AJ21)/8*2</f>
        <v>0</v>
      </c>
      <c r="AN20" s="218">
        <f t="shared" ref="AN20" si="14">SUM(AK20:AM21)</f>
        <v>27</v>
      </c>
      <c r="AO20" s="244">
        <v>0</v>
      </c>
      <c r="AP20" s="218"/>
      <c r="AQ20" s="218"/>
      <c r="AR20" s="218"/>
      <c r="AS20" s="220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</row>
    <row r="21" spans="1:88" s="78" customFormat="1" ht="18" customHeight="1">
      <c r="A21" s="234"/>
      <c r="B21" s="234"/>
      <c r="C21" s="236"/>
      <c r="D21" s="238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46"/>
      <c r="AL21" s="246"/>
      <c r="AM21" s="242"/>
      <c r="AN21" s="219"/>
      <c r="AO21" s="245"/>
      <c r="AP21" s="219"/>
      <c r="AQ21" s="219"/>
      <c r="AR21" s="219"/>
      <c r="AS21" s="221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</row>
    <row r="22" spans="1:88" s="78" customFormat="1" ht="18" customHeight="1">
      <c r="A22" s="233">
        <f t="shared" ref="A22" si="15">A20+1</f>
        <v>4</v>
      </c>
      <c r="B22" s="233" t="s">
        <v>46</v>
      </c>
      <c r="C22" s="235" t="str">
        <f>VLOOKUP(B22,DS,2,0)</f>
        <v>Nguyễn Đức Huy</v>
      </c>
      <c r="D22" s="237" t="str">
        <f>VLOOKUP(B22,DS,3,0)</f>
        <v>Công nhân</v>
      </c>
      <c r="E22" s="90" t="s">
        <v>148</v>
      </c>
      <c r="F22" s="91">
        <v>8</v>
      </c>
      <c r="G22" s="91">
        <v>8</v>
      </c>
      <c r="H22" s="91">
        <v>8</v>
      </c>
      <c r="I22" s="91">
        <v>8</v>
      </c>
      <c r="J22" s="91">
        <v>8</v>
      </c>
      <c r="K22" s="91"/>
      <c r="L22" s="91">
        <v>8</v>
      </c>
      <c r="M22" s="91">
        <v>8</v>
      </c>
      <c r="N22" s="91">
        <v>8</v>
      </c>
      <c r="O22" s="91">
        <v>8</v>
      </c>
      <c r="P22" s="91">
        <v>8</v>
      </c>
      <c r="Q22" s="91">
        <v>8</v>
      </c>
      <c r="R22" s="91"/>
      <c r="S22" s="91">
        <v>8</v>
      </c>
      <c r="T22" s="91">
        <v>8</v>
      </c>
      <c r="U22" s="91">
        <v>8</v>
      </c>
      <c r="V22" s="91">
        <v>8</v>
      </c>
      <c r="W22" s="91">
        <v>8</v>
      </c>
      <c r="X22" s="91">
        <v>8</v>
      </c>
      <c r="Y22" s="91"/>
      <c r="Z22" s="91">
        <v>8</v>
      </c>
      <c r="AA22" s="91">
        <v>8</v>
      </c>
      <c r="AB22" s="91">
        <v>8</v>
      </c>
      <c r="AC22" s="91">
        <v>8</v>
      </c>
      <c r="AD22" s="91">
        <v>8</v>
      </c>
      <c r="AE22" s="91">
        <v>8</v>
      </c>
      <c r="AF22" s="91"/>
      <c r="AG22" s="91">
        <v>8</v>
      </c>
      <c r="AH22" s="91">
        <v>8</v>
      </c>
      <c r="AI22" s="91">
        <v>8</v>
      </c>
      <c r="AJ22" s="91">
        <v>8</v>
      </c>
      <c r="AK22" s="239">
        <f t="shared" ref="AK22" si="16">((SUM(F22:AJ22))/8)-(SUMIF($F$6:$AJ$6,"C.Nhật",F22:AJ22)/8)</f>
        <v>27</v>
      </c>
      <c r="AL22" s="239">
        <f t="shared" ref="AL22" si="17">SUM(F23:AJ23)/8*1.5</f>
        <v>0</v>
      </c>
      <c r="AM22" s="241">
        <f>SUMIF($F$6:$AJ$6,"C.Nhật",$F22:$AJ23)/8*2</f>
        <v>0</v>
      </c>
      <c r="AN22" s="218">
        <f t="shared" ref="AN22" si="18">SUM(AK22:AM23)</f>
        <v>27</v>
      </c>
      <c r="AO22" s="244">
        <v>0</v>
      </c>
      <c r="AP22" s="218"/>
      <c r="AQ22" s="218"/>
      <c r="AR22" s="218"/>
      <c r="AS22" s="220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</row>
    <row r="23" spans="1:88" s="78" customFormat="1" ht="18" customHeight="1">
      <c r="A23" s="234"/>
      <c r="B23" s="234"/>
      <c r="C23" s="236"/>
      <c r="D23" s="238"/>
      <c r="E23" s="92" t="s">
        <v>144</v>
      </c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246"/>
      <c r="AL23" s="246"/>
      <c r="AM23" s="242"/>
      <c r="AN23" s="219"/>
      <c r="AO23" s="245"/>
      <c r="AP23" s="219"/>
      <c r="AQ23" s="219"/>
      <c r="AR23" s="219"/>
      <c r="AS23" s="221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</row>
    <row r="24" spans="1:88" s="104" customFormat="1" ht="12.75">
      <c r="A24" s="94"/>
      <c r="B24" s="95"/>
      <c r="C24" s="96"/>
      <c r="D24" s="97"/>
      <c r="E24" s="96"/>
      <c r="F24" s="98"/>
      <c r="G24" s="98"/>
      <c r="H24" s="99"/>
      <c r="I24" s="99"/>
      <c r="J24" s="100"/>
      <c r="K24" s="98"/>
      <c r="L24" s="99"/>
      <c r="M24" s="98"/>
      <c r="N24" s="98"/>
      <c r="O24" s="98"/>
      <c r="P24" s="98"/>
      <c r="Q24" s="99"/>
      <c r="R24" s="98"/>
      <c r="S24" s="98"/>
      <c r="T24" s="100"/>
      <c r="U24" s="98"/>
      <c r="V24" s="98"/>
      <c r="W24" s="98"/>
      <c r="X24" s="95"/>
      <c r="Y24" s="98"/>
      <c r="Z24" s="98"/>
      <c r="AA24" s="98"/>
      <c r="AB24" s="98"/>
      <c r="AC24" s="98"/>
      <c r="AD24" s="99"/>
      <c r="AE24" s="98"/>
      <c r="AF24" s="98"/>
      <c r="AG24" s="98"/>
      <c r="AH24" s="98"/>
      <c r="AI24" s="98"/>
      <c r="AJ24" s="98"/>
      <c r="AK24" s="96"/>
      <c r="AL24" s="96"/>
      <c r="AM24" s="101"/>
      <c r="AN24" s="102"/>
      <c r="AO24" s="102"/>
      <c r="AP24" s="102"/>
      <c r="AQ24" s="102"/>
      <c r="AR24" s="102"/>
      <c r="AS24" s="96"/>
    </row>
    <row r="25" spans="1:88" s="104" customFormat="1" ht="12.75">
      <c r="A25" s="94"/>
      <c r="B25" s="95"/>
      <c r="C25" s="94" t="s">
        <v>53</v>
      </c>
      <c r="D25" s="97"/>
      <c r="E25" s="96"/>
      <c r="F25" s="98"/>
      <c r="G25" s="98"/>
      <c r="H25" s="99"/>
      <c r="I25" s="99"/>
      <c r="J25" s="100"/>
      <c r="K25" s="98"/>
      <c r="L25" s="99"/>
      <c r="M25" s="98"/>
      <c r="N25" s="98"/>
      <c r="O25" s="98"/>
      <c r="P25" s="98"/>
      <c r="Q25" s="99"/>
      <c r="R25" s="98"/>
      <c r="S25" s="98"/>
      <c r="T25" s="100"/>
      <c r="U25" s="98"/>
      <c r="V25" s="98"/>
      <c r="W25" s="98"/>
      <c r="X25" s="95"/>
      <c r="Y25" s="98"/>
      <c r="Z25" s="98"/>
      <c r="AA25" s="98"/>
      <c r="AB25" s="98"/>
      <c r="AC25" s="98"/>
      <c r="AD25" s="99"/>
      <c r="AE25" s="98"/>
      <c r="AF25" s="98"/>
      <c r="AG25" s="98"/>
      <c r="AH25" s="98"/>
      <c r="AI25" s="98"/>
      <c r="AJ25" s="98"/>
      <c r="AK25" s="96"/>
      <c r="AL25" s="96"/>
      <c r="AM25" s="101"/>
      <c r="AN25" s="102"/>
      <c r="AO25" s="102"/>
      <c r="AP25" s="102"/>
      <c r="AQ25" s="102"/>
      <c r="AR25" s="102"/>
      <c r="AS25" s="96"/>
    </row>
    <row r="26" spans="1:88" s="104" customFormat="1" ht="12.7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</row>
    <row r="27" spans="1:88" s="108" customFormat="1" ht="15" customHeight="1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</row>
    <row r="28" spans="1:88" s="108" customFormat="1" ht="11.25">
      <c r="A28" s="105"/>
      <c r="B28" s="105"/>
      <c r="C28" s="96"/>
      <c r="D28" s="97"/>
      <c r="E28" s="96"/>
      <c r="F28" s="98"/>
      <c r="G28" s="98"/>
      <c r="H28" s="106"/>
      <c r="I28" s="106"/>
      <c r="J28" s="106"/>
      <c r="K28" s="98"/>
      <c r="L28" s="106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106"/>
      <c r="AE28" s="98"/>
      <c r="AF28" s="98"/>
      <c r="AG28" s="98"/>
      <c r="AH28" s="98"/>
      <c r="AI28" s="98"/>
      <c r="AJ28" s="98"/>
      <c r="AK28" s="96"/>
      <c r="AL28" s="96"/>
      <c r="AM28" s="101"/>
      <c r="AN28" s="107"/>
      <c r="AO28" s="107"/>
      <c r="AP28" s="107"/>
      <c r="AQ28" s="107"/>
      <c r="AR28" s="107"/>
      <c r="AS28" s="96"/>
    </row>
    <row r="29" spans="1:88" s="108" customFormat="1" ht="11.25">
      <c r="A29" s="105"/>
      <c r="B29" s="105"/>
      <c r="C29" s="96"/>
      <c r="D29" s="97"/>
      <c r="E29" s="96"/>
      <c r="F29" s="98"/>
      <c r="G29" s="98"/>
      <c r="H29" s="106"/>
      <c r="I29" s="106"/>
      <c r="J29" s="106"/>
      <c r="K29" s="98"/>
      <c r="L29" s="106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106"/>
      <c r="AE29" s="98"/>
      <c r="AF29" s="98"/>
      <c r="AG29" s="98"/>
      <c r="AH29" s="98"/>
      <c r="AI29" s="98"/>
      <c r="AJ29" s="98"/>
      <c r="AK29" s="96"/>
      <c r="AL29" s="96"/>
      <c r="AM29" s="101"/>
      <c r="AN29" s="107"/>
      <c r="AO29" s="107"/>
      <c r="AP29" s="107"/>
      <c r="AQ29" s="107"/>
      <c r="AR29" s="107"/>
      <c r="AS29" s="96"/>
    </row>
    <row r="30" spans="1:88" s="108" customFormat="1" ht="11.25">
      <c r="A30" s="109"/>
      <c r="B30" s="109"/>
      <c r="C30" s="94"/>
      <c r="D30" s="110"/>
      <c r="E30" s="111"/>
      <c r="F30" s="100"/>
      <c r="G30" s="112"/>
      <c r="H30" s="99"/>
      <c r="I30" s="99"/>
      <c r="J30" s="99"/>
      <c r="K30" s="112"/>
      <c r="L30" s="99"/>
      <c r="M30" s="112"/>
      <c r="N30" s="112"/>
      <c r="O30" s="112"/>
      <c r="P30" s="112"/>
      <c r="Q30" s="99"/>
      <c r="R30" s="100"/>
      <c r="S30" s="112"/>
      <c r="T30" s="112"/>
      <c r="U30" s="99"/>
      <c r="V30" s="112"/>
      <c r="W30" s="112"/>
      <c r="X30" s="99"/>
      <c r="Y30" s="112"/>
      <c r="Z30" s="112"/>
      <c r="AA30" s="112"/>
      <c r="AB30" s="112"/>
      <c r="AC30" s="112"/>
      <c r="AD30" s="99"/>
      <c r="AE30" s="112"/>
      <c r="AF30" s="112"/>
      <c r="AG30" s="112"/>
      <c r="AH30" s="112"/>
      <c r="AI30" s="112"/>
      <c r="AJ30" s="112"/>
      <c r="AK30" s="111"/>
      <c r="AM30" s="113"/>
      <c r="AN30" s="109"/>
      <c r="AO30" s="109"/>
      <c r="AP30" s="109"/>
      <c r="AQ30" s="109"/>
      <c r="AR30" s="109"/>
      <c r="AS30" s="94"/>
    </row>
    <row r="31" spans="1:88" s="108" customFormat="1" ht="12.75">
      <c r="A31" s="2"/>
      <c r="B31" s="2" t="s">
        <v>142</v>
      </c>
      <c r="C31" s="2"/>
      <c r="D31" s="114"/>
      <c r="E31" s="2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6"/>
      <c r="AI31" s="116"/>
      <c r="AJ31" s="116"/>
      <c r="AK31" s="2"/>
      <c r="AL31" s="2"/>
      <c r="AM31" s="117"/>
      <c r="AN31" s="2"/>
      <c r="AO31" s="2"/>
      <c r="AP31" s="2"/>
      <c r="AQ31" s="2"/>
      <c r="AR31" s="2"/>
      <c r="AS31" s="2"/>
    </row>
    <row r="32" spans="1:88" s="108" customFormat="1" ht="12.75">
      <c r="A32" s="2"/>
      <c r="B32" s="2"/>
      <c r="C32" s="2" t="s">
        <v>151</v>
      </c>
      <c r="D32" s="114"/>
      <c r="E32" s="2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6"/>
      <c r="AI32" s="116"/>
      <c r="AJ32" s="116"/>
      <c r="AK32" s="2"/>
      <c r="AL32" s="2"/>
      <c r="AM32" s="117"/>
      <c r="AN32" s="2"/>
      <c r="AO32" s="2"/>
      <c r="AP32" s="2"/>
      <c r="AQ32" s="2"/>
      <c r="AR32" s="2"/>
      <c r="AS32" s="2"/>
    </row>
    <row r="33" spans="1:89" ht="15" customHeight="1">
      <c r="C33" s="2" t="s">
        <v>152</v>
      </c>
    </row>
    <row r="34" spans="1:89" ht="15" customHeight="1">
      <c r="C34" s="2" t="s">
        <v>153</v>
      </c>
    </row>
    <row r="35" spans="1:89" s="114" customFormat="1" ht="15" customHeight="1">
      <c r="A35" s="2"/>
      <c r="B35" s="2"/>
      <c r="C35" s="2" t="s">
        <v>154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</row>
    <row r="36" spans="1:89" s="114" customFormat="1" ht="15" customHeight="1">
      <c r="A36" s="2"/>
      <c r="B36" s="2"/>
      <c r="C36" s="2" t="s">
        <v>155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</row>
    <row r="37" spans="1:89" s="114" customFormat="1" ht="15" customHeight="1">
      <c r="A37" s="2"/>
      <c r="B37" s="2"/>
      <c r="C37" s="2" t="s">
        <v>156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</row>
    <row r="38" spans="1:89" s="114" customFormat="1" ht="15" customHeight="1">
      <c r="A38" s="2"/>
      <c r="B38" s="2"/>
      <c r="C38" s="2" t="s">
        <v>157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</row>
    <row r="39" spans="1:89" s="114" customFormat="1" ht="15" customHeight="1">
      <c r="A39" s="2"/>
      <c r="B39" s="2"/>
      <c r="C39" s="2" t="s">
        <v>158</v>
      </c>
      <c r="E39" s="2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6"/>
      <c r="AI39" s="116"/>
      <c r="AJ39" s="116"/>
      <c r="AK39" s="2"/>
      <c r="AL39" s="2"/>
      <c r="AM39" s="117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</row>
    <row r="40" spans="1:89" s="114" customFormat="1" ht="15" customHeight="1">
      <c r="A40" s="2"/>
      <c r="B40" s="2"/>
      <c r="C40" s="2" t="s">
        <v>159</v>
      </c>
      <c r="E40" s="2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6"/>
      <c r="AI40" s="116"/>
      <c r="AJ40" s="116"/>
      <c r="AK40" s="2"/>
      <c r="AL40" s="2"/>
      <c r="AM40" s="117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6:J29 Q24:Q25" name="Range1_1_1_1"/>
    <protectedRange password="CC78" sqref="J30" name="Range1_3_1_1"/>
    <protectedRange password="CC78" sqref="A16:A23" name="Range1_1_2"/>
    <protectedRange password="CC78" sqref="C16:E23 A16:A23" name="Range1_6_2"/>
    <protectedRange password="CC78" sqref="B16:B23" name="Range1_4_2"/>
  </protectedRanges>
  <mergeCells count="104">
    <mergeCell ref="AS22:AS23"/>
    <mergeCell ref="AM22:AM23"/>
    <mergeCell ref="AN22:AN23"/>
    <mergeCell ref="AO22:AO23"/>
    <mergeCell ref="AP22:AP23"/>
    <mergeCell ref="AQ22:AQ23"/>
    <mergeCell ref="AR22:AR23"/>
    <mergeCell ref="AP20:AP21"/>
    <mergeCell ref="AQ20:AQ21"/>
    <mergeCell ref="AR20:AR21"/>
    <mergeCell ref="AS20:AS21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18:A19"/>
    <mergeCell ref="B18:B19"/>
    <mergeCell ref="C18:C19"/>
    <mergeCell ref="D18:D19"/>
    <mergeCell ref="AK18:AK19"/>
    <mergeCell ref="AL18:AL19"/>
    <mergeCell ref="A22:A23"/>
    <mergeCell ref="B22:B23"/>
    <mergeCell ref="C22:C23"/>
    <mergeCell ref="D22:D23"/>
    <mergeCell ref="AK22:AK23"/>
    <mergeCell ref="AL22:AL23"/>
    <mergeCell ref="AN11:AN12"/>
    <mergeCell ref="AP13:AP14"/>
    <mergeCell ref="AQ13:AQ14"/>
    <mergeCell ref="AO11:AO12"/>
    <mergeCell ref="AP11:AP12"/>
    <mergeCell ref="AQ11:AQ12"/>
    <mergeCell ref="AR13:AR14"/>
    <mergeCell ref="AS13:AS14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P16:AP17"/>
    <mergeCell ref="AQ16:AQ17"/>
    <mergeCell ref="AR16:AR17"/>
    <mergeCell ref="AS16:AS17"/>
    <mergeCell ref="A9:A10"/>
    <mergeCell ref="B9:B10"/>
    <mergeCell ref="C9:C10"/>
    <mergeCell ref="D9:D10"/>
    <mergeCell ref="AK9:AK10"/>
    <mergeCell ref="AL9:AL10"/>
    <mergeCell ref="AS9:AS10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M9:AM10"/>
    <mergeCell ref="AN9:AN10"/>
    <mergeCell ref="AO9:AO10"/>
    <mergeCell ref="AP9:AP10"/>
    <mergeCell ref="AQ9:AQ10"/>
    <mergeCell ref="AR9:AR10"/>
    <mergeCell ref="A11:A12"/>
    <mergeCell ref="AR11:AR12"/>
    <mergeCell ref="AS11:AS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B11:B12"/>
    <mergeCell ref="C11:C12"/>
    <mergeCell ref="D11:D12"/>
    <mergeCell ref="AK11:AK12"/>
    <mergeCell ref="AL11:AL12"/>
    <mergeCell ref="AM11:AM12"/>
  </mergeCells>
  <conditionalFormatting sqref="F5:AJ6 F13:AJ14 F9:AJ10">
    <cfRule type="expression" dxfId="71" priority="14" stopIfTrue="1">
      <formula>IF(WEEKDAY(F$5)=1,TRUE,FALSE)</formula>
    </cfRule>
  </conditionalFormatting>
  <conditionalFormatting sqref="F13:AJ14 F9:AJ10">
    <cfRule type="expression" dxfId="70" priority="13" stopIfTrue="1">
      <formula>IF(WEEKDAY(F$5)=1,TRUE,FALSE)</formula>
    </cfRule>
  </conditionalFormatting>
  <conditionalFormatting sqref="F16:AJ23">
    <cfRule type="expression" dxfId="69" priority="4" stopIfTrue="1">
      <formula>IF(WEEKDAY(F$5)=1,TRUE,FALSE)</formula>
    </cfRule>
  </conditionalFormatting>
  <conditionalFormatting sqref="F16:AJ23">
    <cfRule type="expression" dxfId="68" priority="3" stopIfTrue="1">
      <formula>IF(WEEKDAY(F$5)=1,TRUE,FALSE)</formula>
    </cfRule>
  </conditionalFormatting>
  <conditionalFormatting sqref="F11:AJ12">
    <cfRule type="expression" dxfId="67" priority="2" stopIfTrue="1">
      <formula>IF(WEEKDAY(F$5)=1,TRUE,FALSE)</formula>
    </cfRule>
  </conditionalFormatting>
  <conditionalFormatting sqref="F11:AJ12">
    <cfRule type="expression" dxfId="6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2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sqref="A1:T27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47" t="str">
        <f>"BẢNG THANH TOÁN LƯƠNG THÁNG"&amp;" "&amp;TEXT($E$4,"mm")&amp;" / "&amp;TEXT($E$4,"yyyy")</f>
        <v>BẢNG THANH TOÁN LƯƠNG THÁNG 01 / 2013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132</v>
      </c>
      <c r="S1" s="250"/>
      <c r="T1" s="251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-1'!$AK$9:$AK$23)</f>
        <v>27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-1'!$E$4</f>
        <v>41275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2" t="s">
        <v>3</v>
      </c>
      <c r="B5" s="252" t="s">
        <v>161</v>
      </c>
      <c r="C5" s="204" t="s">
        <v>5</v>
      </c>
      <c r="D5" s="204" t="s">
        <v>6</v>
      </c>
      <c r="E5" s="209" t="s">
        <v>7</v>
      </c>
      <c r="F5" s="255" t="s">
        <v>162</v>
      </c>
      <c r="G5" s="256"/>
      <c r="H5" s="256"/>
      <c r="I5" s="256"/>
      <c r="J5" s="256"/>
      <c r="K5" s="257"/>
      <c r="L5" s="254" t="s">
        <v>14</v>
      </c>
      <c r="M5" s="254" t="s">
        <v>163</v>
      </c>
      <c r="N5" s="204" t="s">
        <v>164</v>
      </c>
      <c r="O5" s="204"/>
      <c r="P5" s="204"/>
      <c r="Q5" s="254" t="s">
        <v>165</v>
      </c>
      <c r="R5" s="254" t="s">
        <v>166</v>
      </c>
      <c r="S5" s="254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53"/>
      <c r="B6" s="253"/>
      <c r="C6" s="204"/>
      <c r="D6" s="204"/>
      <c r="E6" s="209"/>
      <c r="F6" s="255" t="s">
        <v>169</v>
      </c>
      <c r="G6" s="257"/>
      <c r="H6" s="255" t="s">
        <v>170</v>
      </c>
      <c r="I6" s="256"/>
      <c r="J6" s="261" t="s">
        <v>171</v>
      </c>
      <c r="K6" s="254" t="s">
        <v>172</v>
      </c>
      <c r="L6" s="258"/>
      <c r="M6" s="258"/>
      <c r="N6" s="263" t="s">
        <v>173</v>
      </c>
      <c r="O6" s="254" t="s">
        <v>174</v>
      </c>
      <c r="P6" s="254" t="s">
        <v>175</v>
      </c>
      <c r="Q6" s="258"/>
      <c r="R6" s="258"/>
      <c r="S6" s="258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53"/>
      <c r="B7" s="253"/>
      <c r="C7" s="254"/>
      <c r="D7" s="254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62"/>
      <c r="K7" s="258"/>
      <c r="L7" s="259"/>
      <c r="M7" s="259"/>
      <c r="N7" s="264"/>
      <c r="O7" s="258"/>
      <c r="P7" s="258"/>
      <c r="Q7" s="258"/>
      <c r="R7" s="258"/>
      <c r="S7" s="258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31</v>
      </c>
      <c r="C10" s="146" t="str">
        <f t="shared" ref="C10" si="0">VLOOKUP(B10,DS,2,0)</f>
        <v>Huỳnh Hoàng Đạo</v>
      </c>
      <c r="D10" s="147" t="str">
        <f t="shared" ref="D10" si="1">VLOOKUP(B10,DS,3,0)</f>
        <v>Quản Đốc</v>
      </c>
      <c r="E10" s="148">
        <f>VLOOKUP(B10,DS,4,0)</f>
        <v>2877500</v>
      </c>
      <c r="F10" s="149">
        <f>VLOOKUP(B10,'CC -1'!$B$8:$AS$23,36,0)</f>
        <v>3.4375</v>
      </c>
      <c r="G10" s="150">
        <f t="shared" ref="G10" si="2">ROUND(E10/$U$2*F10,0)</f>
        <v>366348</v>
      </c>
      <c r="H10" s="149">
        <f>(VLOOKUP(B10,'CC -1'!$B$8:$AS$23,37,0)+VLOOKUP(B10,'CC -1'!$B$8:$AS$23,38,0))</f>
        <v>0</v>
      </c>
      <c r="I10" s="150">
        <f t="shared" ref="I10" si="3">ROUND(E10/$U$2*H10,0)</f>
        <v>0</v>
      </c>
      <c r="J10" s="151">
        <f t="shared" ref="J10" si="4">F10+H10</f>
        <v>3.4375</v>
      </c>
      <c r="K10" s="152">
        <f>G10+I10</f>
        <v>366348</v>
      </c>
      <c r="L10" s="148">
        <v>34349</v>
      </c>
      <c r="M10" s="153">
        <f t="shared" ref="M10" si="5">K10+L10</f>
        <v>400697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" si="6">M10-SUM(N10:P10)</f>
        <v>400697</v>
      </c>
      <c r="R10" s="152">
        <f>VLOOKUP(B10,DS,23,0)</f>
        <v>0</v>
      </c>
      <c r="S10" s="154">
        <f t="shared" ref="S10" si="7">Q10-R10</f>
        <v>400697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34</v>
      </c>
      <c r="C11" s="146" t="str">
        <f t="shared" ref="C11:C12" si="8">VLOOKUP(B11,DS,2,0)</f>
        <v>Võ Ngọc Thùy Lan</v>
      </c>
      <c r="D11" s="147" t="str">
        <f t="shared" ref="D11:D12" si="9">VLOOKUP(B11,DS,3,0)</f>
        <v>Giám Đốc</v>
      </c>
      <c r="E11" s="148">
        <f>VLOOKUP(B11,DS,4,0)</f>
        <v>1565000</v>
      </c>
      <c r="F11" s="149">
        <f>VLOOKUP(B11,'CC -1'!$B$8:$AS$23,36,0)</f>
        <v>27</v>
      </c>
      <c r="G11" s="150">
        <f t="shared" ref="G11:G12" si="10">ROUND(E11/$U$2*F11,0)</f>
        <v>1565000</v>
      </c>
      <c r="H11" s="149">
        <f>(VLOOKUP(B11,'CC -1'!$B$8:$AS$23,37,0)+VLOOKUP(B11,'CC -1'!$B$8:$AS$23,38,0))</f>
        <v>0</v>
      </c>
      <c r="I11" s="150">
        <f t="shared" ref="I11:I12" si="11">ROUND(E11/$U$2*H11,0)</f>
        <v>0</v>
      </c>
      <c r="J11" s="151">
        <f t="shared" ref="J11:J12" si="12">F11+H11</f>
        <v>27</v>
      </c>
      <c r="K11" s="152">
        <f t="shared" ref="K11:K12" si="13">G11+I11</f>
        <v>1565000</v>
      </c>
      <c r="L11" s="148">
        <f>VLOOKUP(B11,DS,6,0)</f>
        <v>260000</v>
      </c>
      <c r="M11" s="153">
        <f t="shared" ref="M11:M12" si="14">K11+L11</f>
        <v>1825000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ref="Q11:Q12" si="15">M11-SUM(N11:P11)</f>
        <v>1825000</v>
      </c>
      <c r="R11" s="152">
        <f>VLOOKUP(B11,DS,23,0)</f>
        <v>0</v>
      </c>
      <c r="S11" s="154">
        <f t="shared" ref="S11:S12" si="16">Q11-R11</f>
        <v>1825000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45">
        <v>3</v>
      </c>
      <c r="B12" s="29" t="s">
        <v>36</v>
      </c>
      <c r="C12" s="146" t="str">
        <f t="shared" si="8"/>
        <v>Nguyễn Thị Thu Hà</v>
      </c>
      <c r="D12" s="147" t="str">
        <f t="shared" si="9"/>
        <v>Kế Toán</v>
      </c>
      <c r="E12" s="148">
        <f>VLOOKUP(B12,DS,4,0)</f>
        <v>1240000</v>
      </c>
      <c r="F12" s="149">
        <f>VLOOKUP(B12,'CC -1'!$B$8:$AS$23,36,0)</f>
        <v>27</v>
      </c>
      <c r="G12" s="150">
        <f t="shared" si="10"/>
        <v>1240000</v>
      </c>
      <c r="H12" s="149">
        <f>(VLOOKUP(B12,'CC -1'!$B$8:$AS$23,37,0)+VLOOKUP(B12,'CC -1'!$B$8:$AS$23,38,0))</f>
        <v>0</v>
      </c>
      <c r="I12" s="150">
        <f t="shared" si="11"/>
        <v>0</v>
      </c>
      <c r="J12" s="151">
        <f t="shared" si="12"/>
        <v>27</v>
      </c>
      <c r="K12" s="152">
        <f t="shared" si="13"/>
        <v>1240000</v>
      </c>
      <c r="L12" s="148">
        <f>VLOOKUP(B12,DS,6,0)</f>
        <v>260000</v>
      </c>
      <c r="M12" s="153">
        <f t="shared" si="14"/>
        <v>1500000</v>
      </c>
      <c r="N12" s="153">
        <f>IF(VLOOKUP(B12,DS,9,0)="x",E12*$N$4,0)</f>
        <v>0</v>
      </c>
      <c r="O12" s="153">
        <f>IF(VLOOKUP(B12,DS,9,0)="x",E12*$O$4,0)</f>
        <v>0</v>
      </c>
      <c r="P12" s="153">
        <f>IF(VLOOKUP(B12,DS,9,0)="x",E12*$P$4,0)</f>
        <v>0</v>
      </c>
      <c r="Q12" s="152">
        <f t="shared" si="15"/>
        <v>1500000</v>
      </c>
      <c r="R12" s="152">
        <f>VLOOKUP(B12,DS,23,0)</f>
        <v>0</v>
      </c>
      <c r="S12" s="154">
        <f t="shared" si="16"/>
        <v>1500000</v>
      </c>
      <c r="T12" s="152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55" customFormat="1" ht="24" customHeight="1">
      <c r="A13" s="156"/>
      <c r="B13" s="157"/>
      <c r="C13" s="158"/>
      <c r="D13" s="159"/>
      <c r="E13" s="160"/>
      <c r="F13" s="161"/>
      <c r="G13" s="162"/>
      <c r="H13" s="161"/>
      <c r="I13" s="162"/>
      <c r="J13" s="163"/>
      <c r="K13" s="164"/>
      <c r="L13" s="160"/>
      <c r="M13" s="165"/>
      <c r="N13" s="165"/>
      <c r="O13" s="165"/>
      <c r="P13" s="165"/>
      <c r="Q13" s="164"/>
      <c r="R13" s="164"/>
      <c r="S13" s="166"/>
      <c r="T13" s="164"/>
      <c r="U13" s="200"/>
      <c r="V13" s="132"/>
      <c r="W13" s="122"/>
      <c r="X13" s="122"/>
      <c r="Y13" s="122"/>
      <c r="Z13" s="96"/>
      <c r="AA13" s="96"/>
      <c r="AB13" s="96"/>
      <c r="AC13" s="96"/>
      <c r="AD13" s="96"/>
    </row>
    <row r="14" spans="1:30" s="170" customFormat="1" ht="21" customHeight="1">
      <c r="A14" s="260" t="s">
        <v>48</v>
      </c>
      <c r="B14" s="260"/>
      <c r="C14" s="260"/>
      <c r="D14" s="260"/>
      <c r="E14" s="167">
        <f>SUM(E9:E12)</f>
        <v>5682500</v>
      </c>
      <c r="F14" s="167"/>
      <c r="G14" s="167">
        <f>SUM(G9:G12)</f>
        <v>3171348</v>
      </c>
      <c r="H14" s="167"/>
      <c r="I14" s="167">
        <f>SUM(I9:I12)</f>
        <v>0</v>
      </c>
      <c r="J14" s="167"/>
      <c r="K14" s="167">
        <f t="shared" ref="K14:S14" si="17">SUM(K9:K12)</f>
        <v>3171348</v>
      </c>
      <c r="L14" s="167">
        <f t="shared" si="17"/>
        <v>554349</v>
      </c>
      <c r="M14" s="167">
        <f t="shared" si="17"/>
        <v>3725697</v>
      </c>
      <c r="N14" s="167">
        <f t="shared" si="17"/>
        <v>0</v>
      </c>
      <c r="O14" s="167">
        <f t="shared" si="17"/>
        <v>0</v>
      </c>
      <c r="P14" s="167">
        <f t="shared" si="17"/>
        <v>0</v>
      </c>
      <c r="Q14" s="167">
        <f t="shared" si="17"/>
        <v>3725697</v>
      </c>
      <c r="R14" s="167">
        <f t="shared" si="17"/>
        <v>0</v>
      </c>
      <c r="S14" s="167">
        <f t="shared" si="17"/>
        <v>3725697</v>
      </c>
      <c r="T14" s="168"/>
      <c r="U14" s="103"/>
      <c r="V14" s="169"/>
      <c r="W14" s="169"/>
      <c r="X14" s="169"/>
      <c r="Y14" s="169"/>
    </row>
    <row r="15" spans="1:30" s="141" customFormat="1" ht="24" customHeight="1">
      <c r="A15" s="142" t="s">
        <v>149</v>
      </c>
      <c r="B15" s="143" t="s">
        <v>179</v>
      </c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03"/>
      <c r="V15" s="138"/>
      <c r="W15" s="139"/>
      <c r="X15" s="139"/>
      <c r="Y15" s="139"/>
      <c r="Z15" s="140"/>
      <c r="AA15" s="140"/>
      <c r="AB15" s="140"/>
      <c r="AC15" s="140"/>
      <c r="AD15" s="140"/>
    </row>
    <row r="16" spans="1:30" s="155" customFormat="1" ht="24" customHeight="1">
      <c r="A16" s="145">
        <v>1</v>
      </c>
      <c r="B16" s="29" t="s">
        <v>39</v>
      </c>
      <c r="C16" s="146" t="str">
        <f t="shared" ref="C16" si="18">VLOOKUP(B16,DS,2,0)</f>
        <v>Nguyễn Thị Thanh Thúy</v>
      </c>
      <c r="D16" s="147" t="str">
        <f t="shared" ref="D16" si="19">VLOOKUP(B16,DS,3,0)</f>
        <v>Công nhân</v>
      </c>
      <c r="E16" s="148">
        <f t="shared" ref="E16" si="20">VLOOKUP(B16,DS,4,0)</f>
        <v>1365000</v>
      </c>
      <c r="F16" s="149">
        <f>VLOOKUP(B16,'CC -1'!$B$8:$AS$23,36,0)</f>
        <v>27</v>
      </c>
      <c r="G16" s="150">
        <f t="shared" ref="G16:G19" si="21">ROUND(E16/$U$2*F16,0)</f>
        <v>1365000</v>
      </c>
      <c r="H16" s="149">
        <f>(VLOOKUP(B16,'CC -1'!$B$8:$AS$23,37,0)+VLOOKUP(B16,'CC -1'!$B$8:$AS$23,38,0))</f>
        <v>0</v>
      </c>
      <c r="I16" s="150">
        <f t="shared" ref="I16:I19" si="22">ROUND(E16/$U$2*H16,0)</f>
        <v>0</v>
      </c>
      <c r="J16" s="171">
        <f t="shared" ref="J16:K19" si="23">F16+H16</f>
        <v>27</v>
      </c>
      <c r="K16" s="152">
        <f t="shared" si="23"/>
        <v>1365000</v>
      </c>
      <c r="L16" s="148">
        <f>VLOOKUP(B16,DS,6,0)</f>
        <v>260000</v>
      </c>
      <c r="M16" s="153">
        <f t="shared" ref="M16:M19" si="24">K16+L16</f>
        <v>1625000</v>
      </c>
      <c r="N16" s="153">
        <f>IF(VLOOKUP(B16,DS,9,0)="x",'L - 1'!E16*$N$4,0)</f>
        <v>0</v>
      </c>
      <c r="O16" s="153">
        <f t="shared" ref="O16" si="25">IF(VLOOKUP(B16,DS,9,0)="x",E16*0.015,0)</f>
        <v>0</v>
      </c>
      <c r="P16" s="153">
        <f t="shared" ref="P16" si="26">IF(VLOOKUP(B16,DS,9,0)="x",E16*0.01,0)</f>
        <v>0</v>
      </c>
      <c r="Q16" s="152">
        <f>M16-SUM(N16:P16)</f>
        <v>1625000</v>
      </c>
      <c r="R16" s="152">
        <f t="shared" ref="R16" si="27">VLOOKUP(B16,DS,23,0)</f>
        <v>0</v>
      </c>
      <c r="S16" s="154">
        <f>Q16-R16</f>
        <v>1625000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2</v>
      </c>
      <c r="B17" s="29" t="s">
        <v>42</v>
      </c>
      <c r="C17" s="146" t="str">
        <f t="shared" ref="C17" si="28">VLOOKUP(B17,DS,2,0)</f>
        <v>Huỳnh Đoàn Viết Thanh</v>
      </c>
      <c r="D17" s="147" t="str">
        <f t="shared" ref="D17" si="29">VLOOKUP(B17,DS,3,0)</f>
        <v>Công nhân</v>
      </c>
      <c r="E17" s="148">
        <f t="shared" ref="E17" si="30">VLOOKUP(B17,DS,4,0)</f>
        <v>1275000</v>
      </c>
      <c r="F17" s="149">
        <f>VLOOKUP(B17,'CC -1'!$B$8:$AS$23,36,0)</f>
        <v>27</v>
      </c>
      <c r="G17" s="150">
        <f t="shared" si="21"/>
        <v>1275000</v>
      </c>
      <c r="H17" s="149">
        <f>(VLOOKUP(B17,'CC -1'!$B$8:$AS$23,37,0)+VLOOKUP(B17,'CC -1'!$B$8:$AS$23,38,0))</f>
        <v>0</v>
      </c>
      <c r="I17" s="150">
        <f t="shared" si="22"/>
        <v>0</v>
      </c>
      <c r="J17" s="171">
        <f t="shared" si="23"/>
        <v>27</v>
      </c>
      <c r="K17" s="152">
        <f t="shared" si="23"/>
        <v>1275000</v>
      </c>
      <c r="L17" s="148">
        <f>VLOOKUP(B17,DS,6,0)</f>
        <v>260000</v>
      </c>
      <c r="M17" s="153">
        <f t="shared" si="24"/>
        <v>1535000</v>
      </c>
      <c r="N17" s="153">
        <f>IF(VLOOKUP(B17,DS,9,0)="x",'L - 1'!E17*$N$4,0)</f>
        <v>0</v>
      </c>
      <c r="O17" s="153">
        <f t="shared" ref="O17" si="31">IF(VLOOKUP(B17,DS,9,0)="x",E17*0.015,0)</f>
        <v>0</v>
      </c>
      <c r="P17" s="153">
        <f t="shared" ref="P17" si="32">IF(VLOOKUP(B17,DS,9,0)="x",E17*0.01,0)</f>
        <v>0</v>
      </c>
      <c r="Q17" s="152">
        <f t="shared" ref="Q17:Q19" si="33">M17-SUM(N17:P17)</f>
        <v>1535000</v>
      </c>
      <c r="R17" s="152">
        <f t="shared" ref="R17" si="34">VLOOKUP(B17,DS,23,0)</f>
        <v>0</v>
      </c>
      <c r="S17" s="154">
        <f t="shared" ref="S17:S19" si="35">Q17-R17</f>
        <v>1535000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3</v>
      </c>
      <c r="B18" s="29" t="s">
        <v>44</v>
      </c>
      <c r="C18" s="146" t="str">
        <f t="shared" ref="C18:C19" si="36">VLOOKUP(B18,DS,2,0)</f>
        <v>Trần Ngọc Thoại</v>
      </c>
      <c r="D18" s="147" t="str">
        <f t="shared" ref="D18:D19" si="37">VLOOKUP(B18,DS,3,0)</f>
        <v>Công nhân</v>
      </c>
      <c r="E18" s="148">
        <f t="shared" ref="E18:E19" si="38">VLOOKUP(B18,DS,4,0)</f>
        <v>990000</v>
      </c>
      <c r="F18" s="149">
        <f>VLOOKUP(B18,'CC -1'!$B$8:$AS$23,36,0)</f>
        <v>27</v>
      </c>
      <c r="G18" s="150">
        <f t="shared" si="21"/>
        <v>990000</v>
      </c>
      <c r="H18" s="149">
        <f>(VLOOKUP(B18,'CC -1'!$B$8:$AS$23,37,0)+VLOOKUP(B18,'CC -1'!$B$8:$AS$23,38,0))</f>
        <v>0</v>
      </c>
      <c r="I18" s="150">
        <f t="shared" si="22"/>
        <v>0</v>
      </c>
      <c r="J18" s="171">
        <f t="shared" si="23"/>
        <v>27</v>
      </c>
      <c r="K18" s="152">
        <f t="shared" si="23"/>
        <v>990000</v>
      </c>
      <c r="L18" s="148">
        <f>VLOOKUP(B18,DS,6,0)</f>
        <v>260000</v>
      </c>
      <c r="M18" s="153">
        <f t="shared" si="24"/>
        <v>1250000</v>
      </c>
      <c r="N18" s="153">
        <f>IF(VLOOKUP(B18,DS,9,0)="x",'L - 1'!E18*$N$4,0)</f>
        <v>0</v>
      </c>
      <c r="O18" s="153">
        <f t="shared" ref="O18:O19" si="39">IF(VLOOKUP(B18,DS,9,0)="x",E18*0.015,0)</f>
        <v>0</v>
      </c>
      <c r="P18" s="153">
        <f t="shared" ref="P18:P19" si="40">IF(VLOOKUP(B18,DS,9,0)="x",E18*0.01,0)</f>
        <v>0</v>
      </c>
      <c r="Q18" s="152">
        <f t="shared" si="33"/>
        <v>1250000</v>
      </c>
      <c r="R18" s="152">
        <f t="shared" ref="R18:R19" si="41">VLOOKUP(B18,DS,23,0)</f>
        <v>0</v>
      </c>
      <c r="S18" s="154">
        <f t="shared" si="35"/>
        <v>1250000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4" customHeight="1">
      <c r="A19" s="145">
        <v>4</v>
      </c>
      <c r="B19" s="29" t="s">
        <v>46</v>
      </c>
      <c r="C19" s="146" t="str">
        <f t="shared" si="36"/>
        <v>Nguyễn Đức Huy</v>
      </c>
      <c r="D19" s="147" t="str">
        <f t="shared" si="37"/>
        <v>Công nhân</v>
      </c>
      <c r="E19" s="148">
        <f t="shared" si="38"/>
        <v>1015000</v>
      </c>
      <c r="F19" s="149">
        <f>VLOOKUP(B19,'CC -1'!$B$8:$AS$23,36,0)</f>
        <v>27</v>
      </c>
      <c r="G19" s="150">
        <f t="shared" si="21"/>
        <v>1015000</v>
      </c>
      <c r="H19" s="149">
        <f>(VLOOKUP(B19,'CC -1'!$B$8:$AS$23,37,0)+VLOOKUP(B19,'CC -1'!$B$8:$AS$23,38,0))</f>
        <v>0</v>
      </c>
      <c r="I19" s="150">
        <f t="shared" si="22"/>
        <v>0</v>
      </c>
      <c r="J19" s="171">
        <f t="shared" si="23"/>
        <v>27</v>
      </c>
      <c r="K19" s="152">
        <f t="shared" si="23"/>
        <v>1015000</v>
      </c>
      <c r="L19" s="148">
        <f>VLOOKUP(B19,DS,6,0)</f>
        <v>260000</v>
      </c>
      <c r="M19" s="153">
        <f t="shared" si="24"/>
        <v>1275000</v>
      </c>
      <c r="N19" s="153">
        <f>IF(VLOOKUP(B19,DS,9,0)="x",'L - 1'!E19*$N$4,0)</f>
        <v>0</v>
      </c>
      <c r="O19" s="153">
        <f t="shared" si="39"/>
        <v>0</v>
      </c>
      <c r="P19" s="153">
        <f t="shared" si="40"/>
        <v>0</v>
      </c>
      <c r="Q19" s="152">
        <f t="shared" si="33"/>
        <v>1275000</v>
      </c>
      <c r="R19" s="152">
        <f t="shared" si="41"/>
        <v>0</v>
      </c>
      <c r="S19" s="154">
        <f t="shared" si="35"/>
        <v>1275000</v>
      </c>
      <c r="T19" s="152"/>
      <c r="U19" s="103"/>
      <c r="V19" s="132"/>
      <c r="W19" s="122"/>
      <c r="X19" s="122"/>
      <c r="Y19" s="122"/>
      <c r="Z19" s="96"/>
      <c r="AA19" s="96"/>
      <c r="AB19" s="96"/>
      <c r="AC19" s="96"/>
      <c r="AD19" s="96"/>
    </row>
    <row r="20" spans="1:30" s="155" customFormat="1" ht="22.5" customHeight="1">
      <c r="A20" s="172"/>
      <c r="B20" s="173"/>
      <c r="C20" s="174"/>
      <c r="D20" s="175"/>
      <c r="E20" s="176"/>
      <c r="F20" s="176"/>
      <c r="G20" s="176"/>
      <c r="H20" s="176"/>
      <c r="I20" s="176"/>
      <c r="J20" s="177"/>
      <c r="K20" s="176"/>
      <c r="L20" s="176"/>
      <c r="M20" s="178"/>
      <c r="N20" s="176"/>
      <c r="O20" s="176"/>
      <c r="P20" s="176"/>
      <c r="Q20" s="176"/>
      <c r="R20" s="176"/>
      <c r="S20" s="176"/>
      <c r="T20" s="152"/>
      <c r="U20" s="103"/>
      <c r="V20" s="179"/>
      <c r="W20" s="179"/>
      <c r="X20" s="179"/>
      <c r="Y20" s="179"/>
    </row>
    <row r="21" spans="1:30" s="170" customFormat="1" ht="21" customHeight="1">
      <c r="A21" s="260" t="s">
        <v>48</v>
      </c>
      <c r="B21" s="260"/>
      <c r="C21" s="260"/>
      <c r="D21" s="260"/>
      <c r="E21" s="167">
        <f>SUM(E15:E20)</f>
        <v>4645000</v>
      </c>
      <c r="F21" s="167"/>
      <c r="G21" s="167">
        <f>SUM(G15:G20)</f>
        <v>4645000</v>
      </c>
      <c r="H21" s="167"/>
      <c r="I21" s="167">
        <f>SUM(I15:I20)</f>
        <v>0</v>
      </c>
      <c r="J21" s="167"/>
      <c r="K21" s="167">
        <f t="shared" ref="K21:S21" si="42">SUM(K15:K20)</f>
        <v>4645000</v>
      </c>
      <c r="L21" s="167">
        <f t="shared" si="42"/>
        <v>1040000</v>
      </c>
      <c r="M21" s="167">
        <f t="shared" si="42"/>
        <v>5685000</v>
      </c>
      <c r="N21" s="167">
        <f t="shared" si="42"/>
        <v>0</v>
      </c>
      <c r="O21" s="167">
        <f t="shared" si="42"/>
        <v>0</v>
      </c>
      <c r="P21" s="167">
        <f t="shared" si="42"/>
        <v>0</v>
      </c>
      <c r="Q21" s="167">
        <f t="shared" si="42"/>
        <v>5685000</v>
      </c>
      <c r="R21" s="167">
        <f t="shared" si="42"/>
        <v>0</v>
      </c>
      <c r="S21" s="167">
        <f t="shared" si="42"/>
        <v>5685000</v>
      </c>
      <c r="T21" s="168"/>
      <c r="U21" s="103"/>
      <c r="V21" s="169"/>
      <c r="W21" s="169"/>
      <c r="X21" s="169"/>
      <c r="Y21" s="169"/>
    </row>
    <row r="22" spans="1:30" ht="11.25" customHeight="1">
      <c r="A22" s="180"/>
      <c r="B22" s="180"/>
      <c r="C22" s="181"/>
      <c r="D22" s="182"/>
      <c r="E22" s="183"/>
      <c r="F22" s="181"/>
      <c r="G22" s="181"/>
      <c r="H22" s="181"/>
      <c r="I22" s="181"/>
      <c r="K22" s="181"/>
      <c r="L22" s="181"/>
      <c r="M22" s="185"/>
      <c r="N22" s="181"/>
      <c r="O22" s="181"/>
      <c r="P22" s="181"/>
      <c r="Q22" s="181"/>
      <c r="R22" s="181"/>
      <c r="S22" s="181"/>
      <c r="T22" s="181"/>
      <c r="U22" s="103"/>
    </row>
    <row r="23" spans="1:30" s="155" customFormat="1" ht="11.25" customHeight="1">
      <c r="A23" s="38"/>
      <c r="B23" s="38"/>
      <c r="C23" s="38"/>
      <c r="D23" s="188"/>
      <c r="E23" s="189"/>
      <c r="F23" s="38"/>
      <c r="G23" s="38"/>
      <c r="H23" s="38"/>
      <c r="I23" s="38"/>
      <c r="J23" s="190"/>
      <c r="K23" s="189"/>
      <c r="L23" s="38"/>
      <c r="M23" s="38"/>
      <c r="N23" s="38"/>
      <c r="O23" s="38"/>
      <c r="P23" s="38"/>
      <c r="Q23" s="38"/>
      <c r="R23" s="38"/>
      <c r="S23" s="39" t="str">
        <f>"Ngày "&amp;IF(OR(MONTH($E$4)=4,MONTH($E$4)=6,MONTH($E$4)=9,MONTH($E$4)=11),"30",IF(MONTH($E$4)=2,"28","31"))&amp;"  tháng  "&amp;MONTH($E$4)&amp;"  năm   "&amp;YEAR($E$4)</f>
        <v>Ngày 31  tháng  1  năm   2013</v>
      </c>
      <c r="T23" s="38"/>
      <c r="U23" s="191"/>
      <c r="V23" s="179"/>
      <c r="W23" s="179"/>
      <c r="X23" s="179"/>
      <c r="Y23" s="179"/>
    </row>
    <row r="24" spans="1:30" s="155" customFormat="1" ht="12.75">
      <c r="A24" s="48"/>
      <c r="B24" s="48"/>
      <c r="C24" s="48" t="s">
        <v>180</v>
      </c>
      <c r="D24" s="192"/>
      <c r="E24" s="50"/>
      <c r="F24" s="191"/>
      <c r="G24" s="50"/>
      <c r="H24" s="50"/>
      <c r="I24" s="50"/>
      <c r="J24" s="193"/>
      <c r="K24" s="179"/>
      <c r="L24" s="48"/>
      <c r="M24" s="194"/>
      <c r="N24" s="40"/>
      <c r="O24" s="40"/>
      <c r="P24" s="40"/>
      <c r="Q24" s="40"/>
      <c r="S24" s="191" t="s">
        <v>54</v>
      </c>
      <c r="T24" s="191"/>
      <c r="U24" s="191"/>
      <c r="V24" s="179"/>
      <c r="W24" s="179"/>
      <c r="X24" s="179"/>
      <c r="Y24" s="179"/>
    </row>
    <row r="25" spans="1:30" ht="12">
      <c r="A25" s="180"/>
      <c r="B25" s="180"/>
      <c r="C25" s="195"/>
      <c r="E25" s="196"/>
      <c r="F25" s="105"/>
      <c r="G25" s="196"/>
      <c r="H25" s="196"/>
      <c r="I25" s="196"/>
      <c r="K25" s="186"/>
      <c r="L25" s="195"/>
      <c r="N25" s="197"/>
      <c r="O25" s="197"/>
      <c r="P25" s="197"/>
      <c r="Q25" s="197"/>
      <c r="S25" s="197"/>
      <c r="T25" s="105"/>
      <c r="U25" s="103"/>
    </row>
    <row r="26" spans="1:30" ht="12">
      <c r="C26" s="195"/>
      <c r="L26" s="195"/>
      <c r="T26" s="195"/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  <row r="32" spans="1:30" ht="12">
      <c r="U32" s="103"/>
    </row>
  </sheetData>
  <protectedRanges>
    <protectedRange password="CC78" sqref="V20:IJ21 C5:D7 B24:C24 A20:A25 B20:B23 B25 V15 Q5:T7 E5:I6 N5:P6 L5 L24 J6:K7 L7 A27:T60 U33:U60 N20:S20 V27:IJ60 J20:L20 AE15:IJ15 V14:IJ14 D14:T14 D21:T21 A61:IJ65328 AE5:IJ13 V5:V13 Q10:S13 A10:B14" name="Range1"/>
    <protectedRange password="CC78" sqref="F7:H7" name="Range1_4"/>
    <protectedRange password="CC78" sqref="V24:IJ25 S24:T25 N24:Q25 E24:I25" name="Range1_1_1"/>
    <protectedRange password="CC78" sqref="U1 V1:IJ4 B4:T4 R2:S3 B1:Q3 U20:U32 W15:AD15 W5:AD13 U4:U15" name="Range1_2"/>
    <protectedRange password="CC78" sqref="A1" name="Range1_2_1_1"/>
    <protectedRange password="CC78" sqref="I7" name="Range1_4_1"/>
    <protectedRange password="CC78" sqref="U2:U3" name="Range1_2_2_1"/>
    <protectedRange password="CC78" sqref="AE16:IJ19 V16:V19 Q16:S19 A16:B19" name="Range1_5"/>
    <protectedRange password="CC78" sqref="W16:AD19 U16:U19" name="Range1_2_3"/>
    <protectedRange password="CC78" sqref="K16:K19 K10:K13" name="Range1_6"/>
    <protectedRange password="CC78" sqref="A2:A3" name="Range1_2_1_3"/>
  </protectedRanges>
  <autoFilter ref="A7:AD10"/>
  <mergeCells count="24">
    <mergeCell ref="A14:D14"/>
    <mergeCell ref="A21:D21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E13" sqref="A13:XFD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hidden="1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02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22" t="s">
        <v>132</v>
      </c>
      <c r="AN1" s="223"/>
      <c r="AO1" s="223"/>
      <c r="AP1" s="223"/>
      <c r="AQ1" s="223"/>
      <c r="AR1" s="223"/>
      <c r="AS1" s="224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41306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25" t="s">
        <v>133</v>
      </c>
      <c r="B5" s="225" t="s">
        <v>4</v>
      </c>
      <c r="C5" s="225" t="s">
        <v>5</v>
      </c>
      <c r="D5" s="227" t="s">
        <v>134</v>
      </c>
      <c r="E5" s="225" t="s">
        <v>135</v>
      </c>
      <c r="F5" s="77">
        <f>+E4</f>
        <v>41306</v>
      </c>
      <c r="G5" s="77">
        <f t="shared" ref="G5:AJ5" si="0">F5+1</f>
        <v>41307</v>
      </c>
      <c r="H5" s="77">
        <f t="shared" si="0"/>
        <v>41308</v>
      </c>
      <c r="I5" s="77">
        <f t="shared" si="0"/>
        <v>41309</v>
      </c>
      <c r="J5" s="77">
        <f t="shared" si="0"/>
        <v>41310</v>
      </c>
      <c r="K5" s="77">
        <f t="shared" si="0"/>
        <v>41311</v>
      </c>
      <c r="L5" s="77">
        <f t="shared" si="0"/>
        <v>41312</v>
      </c>
      <c r="M5" s="77">
        <f t="shared" si="0"/>
        <v>41313</v>
      </c>
      <c r="N5" s="77">
        <f t="shared" si="0"/>
        <v>41314</v>
      </c>
      <c r="O5" s="77">
        <f t="shared" si="0"/>
        <v>41315</v>
      </c>
      <c r="P5" s="77">
        <f t="shared" si="0"/>
        <v>41316</v>
      </c>
      <c r="Q5" s="77">
        <f t="shared" si="0"/>
        <v>41317</v>
      </c>
      <c r="R5" s="77">
        <f t="shared" si="0"/>
        <v>41318</v>
      </c>
      <c r="S5" s="77">
        <f t="shared" si="0"/>
        <v>41319</v>
      </c>
      <c r="T5" s="77">
        <f t="shared" si="0"/>
        <v>41320</v>
      </c>
      <c r="U5" s="77">
        <f t="shared" si="0"/>
        <v>41321</v>
      </c>
      <c r="V5" s="77">
        <f t="shared" si="0"/>
        <v>41322</v>
      </c>
      <c r="W5" s="77">
        <f t="shared" si="0"/>
        <v>41323</v>
      </c>
      <c r="X5" s="77">
        <f t="shared" si="0"/>
        <v>41324</v>
      </c>
      <c r="Y5" s="77">
        <f t="shared" si="0"/>
        <v>41325</v>
      </c>
      <c r="Z5" s="77">
        <f t="shared" si="0"/>
        <v>41326</v>
      </c>
      <c r="AA5" s="77">
        <f t="shared" si="0"/>
        <v>41327</v>
      </c>
      <c r="AB5" s="77">
        <f t="shared" si="0"/>
        <v>41328</v>
      </c>
      <c r="AC5" s="77">
        <f t="shared" si="0"/>
        <v>41329</v>
      </c>
      <c r="AD5" s="77">
        <f t="shared" si="0"/>
        <v>41330</v>
      </c>
      <c r="AE5" s="77">
        <f t="shared" si="0"/>
        <v>41331</v>
      </c>
      <c r="AF5" s="77">
        <f t="shared" si="0"/>
        <v>41332</v>
      </c>
      <c r="AG5" s="77">
        <f t="shared" si="0"/>
        <v>41333</v>
      </c>
      <c r="AH5" s="77">
        <f>AG5+1</f>
        <v>41334</v>
      </c>
      <c r="AI5" s="77">
        <f t="shared" si="0"/>
        <v>41335</v>
      </c>
      <c r="AJ5" s="77">
        <f t="shared" si="0"/>
        <v>41336</v>
      </c>
      <c r="AK5" s="228" t="s">
        <v>136</v>
      </c>
      <c r="AL5" s="229"/>
      <c r="AM5" s="230"/>
      <c r="AN5" s="231" t="s">
        <v>137</v>
      </c>
      <c r="AO5" s="231" t="s">
        <v>138</v>
      </c>
      <c r="AP5" s="231" t="s">
        <v>139</v>
      </c>
      <c r="AQ5" s="231" t="s">
        <v>140</v>
      </c>
      <c r="AR5" s="231" t="s">
        <v>141</v>
      </c>
      <c r="AS5" s="227" t="s">
        <v>142</v>
      </c>
      <c r="AT5" s="24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26"/>
      <c r="B6" s="226"/>
      <c r="C6" s="226"/>
      <c r="D6" s="226"/>
      <c r="E6" s="226"/>
      <c r="F6" s="79" t="str">
        <f>CHOOSE(WEEKDAY(F5),"C.Nhật","T.Hai","T.Ba","T.Tư","T.Năm","T.Sáu","T.Bảy")</f>
        <v>T.Sáu</v>
      </c>
      <c r="G6" s="79" t="str">
        <f t="shared" ref="G6:AJ6" si="1">CHOOSE(WEEKDAY(G5),"C.Nhật","T.Hai","T.Ba","T.Tư","T.Năm","T.Sáu","T.Bảy")</f>
        <v>T.Bảy</v>
      </c>
      <c r="H6" s="79" t="str">
        <f t="shared" si="1"/>
        <v>C.Nhật</v>
      </c>
      <c r="I6" s="79" t="str">
        <f t="shared" si="1"/>
        <v>T.Hai</v>
      </c>
      <c r="J6" s="79" t="str">
        <f t="shared" si="1"/>
        <v>T.Ba</v>
      </c>
      <c r="K6" s="79" t="str">
        <f t="shared" si="1"/>
        <v>T.Tư</v>
      </c>
      <c r="L6" s="79" t="str">
        <f t="shared" si="1"/>
        <v>T.Năm</v>
      </c>
      <c r="M6" s="79" t="str">
        <f t="shared" si="1"/>
        <v>T.Sáu</v>
      </c>
      <c r="N6" s="79" t="str">
        <f t="shared" si="1"/>
        <v>T.Bảy</v>
      </c>
      <c r="O6" s="79" t="str">
        <f t="shared" si="1"/>
        <v>C.Nhật</v>
      </c>
      <c r="P6" s="79" t="str">
        <f t="shared" si="1"/>
        <v>T.Hai</v>
      </c>
      <c r="Q6" s="79" t="str">
        <f t="shared" si="1"/>
        <v>T.Ba</v>
      </c>
      <c r="R6" s="79" t="str">
        <f t="shared" si="1"/>
        <v>T.Tư</v>
      </c>
      <c r="S6" s="79" t="str">
        <f t="shared" si="1"/>
        <v>T.Năm</v>
      </c>
      <c r="T6" s="79" t="str">
        <f t="shared" si="1"/>
        <v>T.Sáu</v>
      </c>
      <c r="U6" s="79" t="str">
        <f t="shared" si="1"/>
        <v>T.Bảy</v>
      </c>
      <c r="V6" s="79" t="str">
        <f t="shared" si="1"/>
        <v>C.Nhật</v>
      </c>
      <c r="W6" s="79" t="str">
        <f t="shared" si="1"/>
        <v>T.Hai</v>
      </c>
      <c r="X6" s="79" t="str">
        <f t="shared" si="1"/>
        <v>T.Ba</v>
      </c>
      <c r="Y6" s="79" t="str">
        <f t="shared" si="1"/>
        <v>T.Tư</v>
      </c>
      <c r="Z6" s="79" t="str">
        <f t="shared" si="1"/>
        <v>T.Năm</v>
      </c>
      <c r="AA6" s="79" t="str">
        <f t="shared" si="1"/>
        <v>T.Sáu</v>
      </c>
      <c r="AB6" s="79" t="str">
        <f t="shared" si="1"/>
        <v>T.Bảy</v>
      </c>
      <c r="AC6" s="79" t="str">
        <f t="shared" si="1"/>
        <v>C.Nhật</v>
      </c>
      <c r="AD6" s="79" t="str">
        <f t="shared" si="1"/>
        <v>T.Hai</v>
      </c>
      <c r="AE6" s="79" t="str">
        <f t="shared" si="1"/>
        <v>T.Ba</v>
      </c>
      <c r="AF6" s="79" t="str">
        <f t="shared" si="1"/>
        <v>T.Tư</v>
      </c>
      <c r="AG6" s="79" t="str">
        <f t="shared" si="1"/>
        <v>T.Năm</v>
      </c>
      <c r="AH6" s="79" t="str">
        <f t="shared" si="1"/>
        <v>T.Sáu</v>
      </c>
      <c r="AI6" s="79" t="str">
        <f t="shared" si="1"/>
        <v>T.Bảy</v>
      </c>
      <c r="AJ6" s="79" t="str">
        <f t="shared" si="1"/>
        <v>C.Nhật</v>
      </c>
      <c r="AK6" s="80" t="s">
        <v>143</v>
      </c>
      <c r="AL6" s="80" t="s">
        <v>144</v>
      </c>
      <c r="AM6" s="81" t="s">
        <v>145</v>
      </c>
      <c r="AN6" s="232"/>
      <c r="AO6" s="232"/>
      <c r="AP6" s="232"/>
      <c r="AQ6" s="232"/>
      <c r="AR6" s="232"/>
      <c r="AS6" s="226"/>
      <c r="AT6" s="24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33">
        <v>1</v>
      </c>
      <c r="B9" s="233" t="s">
        <v>34</v>
      </c>
      <c r="C9" s="235" t="str">
        <f>VLOOKUP(B9,DS,2,0)</f>
        <v>Võ Ngọc Thùy Lan</v>
      </c>
      <c r="D9" s="237" t="str">
        <f>VLOOKUP(B9,DS,3,0)</f>
        <v>Giám Đốc</v>
      </c>
      <c r="E9" s="90" t="s">
        <v>148</v>
      </c>
      <c r="F9" s="91">
        <v>8</v>
      </c>
      <c r="G9" s="91">
        <v>8</v>
      </c>
      <c r="H9" s="91"/>
      <c r="I9" s="91">
        <v>8</v>
      </c>
      <c r="J9" s="91">
        <v>8</v>
      </c>
      <c r="K9" s="91">
        <v>8</v>
      </c>
      <c r="L9" s="91">
        <v>8</v>
      </c>
      <c r="M9" s="91">
        <v>8</v>
      </c>
      <c r="N9" s="91">
        <v>8</v>
      </c>
      <c r="O9" s="91"/>
      <c r="P9" s="91">
        <v>8</v>
      </c>
      <c r="Q9" s="91">
        <v>8</v>
      </c>
      <c r="R9" s="91">
        <v>8</v>
      </c>
      <c r="S9" s="91">
        <v>8</v>
      </c>
      <c r="T9" s="91">
        <v>8</v>
      </c>
      <c r="U9" s="91">
        <v>8</v>
      </c>
      <c r="V9" s="91"/>
      <c r="W9" s="91">
        <v>8</v>
      </c>
      <c r="X9" s="91">
        <v>8</v>
      </c>
      <c r="Y9" s="91">
        <v>8</v>
      </c>
      <c r="Z9" s="91">
        <v>8</v>
      </c>
      <c r="AA9" s="91">
        <v>8</v>
      </c>
      <c r="AB9" s="91">
        <v>8</v>
      </c>
      <c r="AC9" s="91"/>
      <c r="AD9" s="91">
        <v>8</v>
      </c>
      <c r="AE9" s="91">
        <v>8</v>
      </c>
      <c r="AF9" s="91">
        <v>8</v>
      </c>
      <c r="AG9" s="91">
        <v>8</v>
      </c>
      <c r="AH9" s="91"/>
      <c r="AI9" s="91"/>
      <c r="AJ9" s="91"/>
      <c r="AK9" s="239">
        <f>((SUM(F9:AJ9))/8)-(SUMIF($F$6:$AJ$6,"C.Nhật",F9:AJ9)/8)</f>
        <v>24</v>
      </c>
      <c r="AL9" s="239">
        <f>SUM(F10:AJ10)/8*1.5</f>
        <v>0</v>
      </c>
      <c r="AM9" s="241">
        <f>SUMIF($F$6:$AJ$6,"C.Nhật",$F9:$AJ10)/8*2</f>
        <v>0</v>
      </c>
      <c r="AN9" s="218">
        <f>SUM(AK9:AM10)</f>
        <v>24</v>
      </c>
      <c r="AO9" s="244">
        <v>0</v>
      </c>
      <c r="AP9" s="218"/>
      <c r="AQ9" s="218"/>
      <c r="AR9" s="218"/>
      <c r="AS9" s="220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34"/>
      <c r="B10" s="234"/>
      <c r="C10" s="236"/>
      <c r="D10" s="238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40"/>
      <c r="AL10" s="240"/>
      <c r="AM10" s="242"/>
      <c r="AN10" s="219"/>
      <c r="AO10" s="245"/>
      <c r="AP10" s="219"/>
      <c r="AQ10" s="219"/>
      <c r="AR10" s="219"/>
      <c r="AS10" s="221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33">
        <v>2</v>
      </c>
      <c r="B11" s="233" t="s">
        <v>36</v>
      </c>
      <c r="C11" s="235" t="str">
        <f>VLOOKUP(B11,DS,2,0)</f>
        <v>Nguyễn Thị Thu Hà</v>
      </c>
      <c r="D11" s="237" t="str">
        <f>VLOOKUP(B11,DS,3,0)</f>
        <v>Kế Toán</v>
      </c>
      <c r="E11" s="90" t="s">
        <v>148</v>
      </c>
      <c r="F11" s="91">
        <v>8</v>
      </c>
      <c r="G11" s="91">
        <v>8</v>
      </c>
      <c r="H11" s="91"/>
      <c r="I11" s="91">
        <v>8</v>
      </c>
      <c r="J11" s="91">
        <v>8</v>
      </c>
      <c r="K11" s="91">
        <v>8</v>
      </c>
      <c r="L11" s="91">
        <v>8</v>
      </c>
      <c r="M11" s="91">
        <v>8</v>
      </c>
      <c r="N11" s="91">
        <v>8</v>
      </c>
      <c r="O11" s="91"/>
      <c r="P11" s="91">
        <v>8</v>
      </c>
      <c r="Q11" s="91">
        <v>8</v>
      </c>
      <c r="R11" s="91">
        <v>8</v>
      </c>
      <c r="S11" s="91">
        <v>8</v>
      </c>
      <c r="T11" s="91">
        <v>8</v>
      </c>
      <c r="U11" s="91">
        <v>8</v>
      </c>
      <c r="V11" s="91"/>
      <c r="W11" s="91">
        <v>8</v>
      </c>
      <c r="X11" s="91">
        <v>8</v>
      </c>
      <c r="Y11" s="91">
        <v>8</v>
      </c>
      <c r="Z11" s="91">
        <v>8</v>
      </c>
      <c r="AA11" s="91">
        <v>8</v>
      </c>
      <c r="AB11" s="91">
        <v>8</v>
      </c>
      <c r="AC11" s="91"/>
      <c r="AD11" s="91">
        <v>8</v>
      </c>
      <c r="AE11" s="91">
        <v>8</v>
      </c>
      <c r="AF11" s="91">
        <v>8</v>
      </c>
      <c r="AG11" s="91">
        <v>8</v>
      </c>
      <c r="AH11" s="91"/>
      <c r="AI11" s="91"/>
      <c r="AJ11" s="91"/>
      <c r="AK11" s="239">
        <f t="shared" ref="AK11" si="2">((SUM(F11:AJ11))/8)-(SUMIF($F$6:$AJ$6,"C.Nhật",F11:AJ11)/8)</f>
        <v>24</v>
      </c>
      <c r="AL11" s="239">
        <f t="shared" ref="AL11" si="3">SUM(F12:AJ12)/8*1.5</f>
        <v>0</v>
      </c>
      <c r="AM11" s="241">
        <f t="shared" ref="AM11" si="4">SUMIF($F$6:$AJ$6,"C.Nhật",$F11:$AJ12)/8*2</f>
        <v>0</v>
      </c>
      <c r="AN11" s="218">
        <f t="shared" ref="AN11" si="5">SUM(AK11:AM12)</f>
        <v>24</v>
      </c>
      <c r="AO11" s="244">
        <v>0</v>
      </c>
      <c r="AP11" s="218"/>
      <c r="AQ11" s="218"/>
      <c r="AR11" s="218"/>
      <c r="AS11" s="220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34"/>
      <c r="B12" s="234"/>
      <c r="C12" s="236"/>
      <c r="D12" s="238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40"/>
      <c r="AL12" s="240"/>
      <c r="AM12" s="242"/>
      <c r="AN12" s="219"/>
      <c r="AO12" s="245"/>
      <c r="AP12" s="219"/>
      <c r="AQ12" s="219"/>
      <c r="AR12" s="219"/>
      <c r="AS12" s="221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33">
        <v>1</v>
      </c>
      <c r="B14" s="233" t="s">
        <v>39</v>
      </c>
      <c r="C14" s="235" t="str">
        <f>VLOOKUP(B14,DS,2,0)</f>
        <v>Nguyễn Thị Thanh Thúy</v>
      </c>
      <c r="D14" s="237" t="str">
        <f>VLOOKUP(B14,DS,3,0)</f>
        <v>Công nhân</v>
      </c>
      <c r="E14" s="90" t="s">
        <v>148</v>
      </c>
      <c r="F14" s="91">
        <v>8</v>
      </c>
      <c r="G14" s="91">
        <v>8</v>
      </c>
      <c r="H14" s="91"/>
      <c r="I14" s="91">
        <v>8</v>
      </c>
      <c r="J14" s="91">
        <v>8</v>
      </c>
      <c r="K14" s="91">
        <v>8</v>
      </c>
      <c r="L14" s="91">
        <v>8</v>
      </c>
      <c r="M14" s="91">
        <v>8</v>
      </c>
      <c r="N14" s="91">
        <v>8</v>
      </c>
      <c r="O14" s="91"/>
      <c r="P14" s="91">
        <v>8</v>
      </c>
      <c r="Q14" s="91">
        <v>8</v>
      </c>
      <c r="R14" s="91">
        <v>8</v>
      </c>
      <c r="S14" s="91">
        <v>8</v>
      </c>
      <c r="T14" s="91">
        <v>8</v>
      </c>
      <c r="U14" s="91">
        <v>8</v>
      </c>
      <c r="V14" s="91"/>
      <c r="W14" s="91">
        <v>8</v>
      </c>
      <c r="X14" s="91">
        <v>8</v>
      </c>
      <c r="Y14" s="91">
        <v>8</v>
      </c>
      <c r="Z14" s="91">
        <v>8</v>
      </c>
      <c r="AA14" s="91">
        <v>8</v>
      </c>
      <c r="AB14" s="91">
        <v>8</v>
      </c>
      <c r="AC14" s="91"/>
      <c r="AD14" s="91">
        <v>8</v>
      </c>
      <c r="AE14" s="91">
        <v>8</v>
      </c>
      <c r="AF14" s="91">
        <v>8</v>
      </c>
      <c r="AG14" s="91">
        <v>8</v>
      </c>
      <c r="AH14" s="91"/>
      <c r="AI14" s="91"/>
      <c r="AJ14" s="91"/>
      <c r="AK14" s="239">
        <f t="shared" ref="AK14" si="6">((SUM(F14:AJ14))/8)-(SUMIF($F$6:$AJ$6,"C.Nhật",F14:AJ14)/8)</f>
        <v>24</v>
      </c>
      <c r="AL14" s="239">
        <f t="shared" ref="AL14" si="7">SUM(F15:AJ15)/8*1.5</f>
        <v>0</v>
      </c>
      <c r="AM14" s="241">
        <f>SUMIF($F$6:$AJ$6,"C.Nhật",$F14:$AJ15)/8*2</f>
        <v>0</v>
      </c>
      <c r="AN14" s="218">
        <f>SUM(AK14:AM15)</f>
        <v>24</v>
      </c>
      <c r="AO14" s="244">
        <v>0</v>
      </c>
      <c r="AP14" s="218"/>
      <c r="AQ14" s="218"/>
      <c r="AR14" s="218"/>
      <c r="AS14" s="220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34"/>
      <c r="B15" s="234"/>
      <c r="C15" s="236"/>
      <c r="D15" s="238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40"/>
      <c r="AL15" s="240"/>
      <c r="AM15" s="242"/>
      <c r="AN15" s="219"/>
      <c r="AO15" s="245"/>
      <c r="AP15" s="219"/>
      <c r="AQ15" s="219"/>
      <c r="AR15" s="219"/>
      <c r="AS15" s="221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33">
        <f>A14+1</f>
        <v>2</v>
      </c>
      <c r="B16" s="233" t="s">
        <v>42</v>
      </c>
      <c r="C16" s="235" t="str">
        <f>VLOOKUP(B16,DS,2,0)</f>
        <v>Huỳnh Đoàn Viết Thanh</v>
      </c>
      <c r="D16" s="237" t="str">
        <f>VLOOKUP(B16,DS,3,0)</f>
        <v>Công nhân</v>
      </c>
      <c r="E16" s="90" t="s">
        <v>148</v>
      </c>
      <c r="F16" s="91">
        <v>8</v>
      </c>
      <c r="G16" s="91">
        <v>8</v>
      </c>
      <c r="H16" s="91"/>
      <c r="I16" s="91">
        <v>8</v>
      </c>
      <c r="J16" s="91">
        <v>8</v>
      </c>
      <c r="K16" s="91">
        <v>8</v>
      </c>
      <c r="L16" s="91">
        <v>8</v>
      </c>
      <c r="M16" s="91">
        <v>8</v>
      </c>
      <c r="N16" s="91">
        <v>8</v>
      </c>
      <c r="O16" s="91"/>
      <c r="P16" s="91">
        <v>8</v>
      </c>
      <c r="Q16" s="91">
        <v>8</v>
      </c>
      <c r="R16" s="91">
        <v>8</v>
      </c>
      <c r="S16" s="91">
        <v>8</v>
      </c>
      <c r="T16" s="91">
        <v>8</v>
      </c>
      <c r="U16" s="91">
        <v>8</v>
      </c>
      <c r="V16" s="91"/>
      <c r="W16" s="91">
        <v>8</v>
      </c>
      <c r="X16" s="91">
        <v>8</v>
      </c>
      <c r="Y16" s="91">
        <v>8</v>
      </c>
      <c r="Z16" s="91">
        <v>8</v>
      </c>
      <c r="AA16" s="91">
        <v>8</v>
      </c>
      <c r="AB16" s="91">
        <v>8</v>
      </c>
      <c r="AC16" s="91"/>
      <c r="AD16" s="91">
        <v>8</v>
      </c>
      <c r="AE16" s="91">
        <v>8</v>
      </c>
      <c r="AF16" s="91">
        <v>8</v>
      </c>
      <c r="AG16" s="91">
        <v>8</v>
      </c>
      <c r="AH16" s="91"/>
      <c r="AI16" s="91"/>
      <c r="AJ16" s="91"/>
      <c r="AK16" s="239">
        <f t="shared" ref="AK16" si="8">((SUM(F16:AJ16))/8)-(SUMIF($F$6:$AJ$6,"C.Nhật",F16:AJ16)/8)</f>
        <v>24</v>
      </c>
      <c r="AL16" s="239">
        <f t="shared" ref="AL16" si="9">SUM(F17:AJ17)/8*1.5</f>
        <v>0</v>
      </c>
      <c r="AM16" s="241">
        <f>SUMIF($F$6:$AJ$6,"C.Nhật",$F16:$AJ17)/8*2</f>
        <v>0</v>
      </c>
      <c r="AN16" s="218">
        <f t="shared" ref="AN16" si="10">SUM(AK16:AM17)</f>
        <v>24</v>
      </c>
      <c r="AO16" s="244">
        <v>0</v>
      </c>
      <c r="AP16" s="218"/>
      <c r="AQ16" s="218"/>
      <c r="AR16" s="218"/>
      <c r="AS16" s="220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78" customFormat="1" ht="18" customHeight="1">
      <c r="A17" s="234"/>
      <c r="B17" s="234"/>
      <c r="C17" s="236"/>
      <c r="D17" s="238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40"/>
      <c r="AL17" s="240"/>
      <c r="AM17" s="242"/>
      <c r="AN17" s="219"/>
      <c r="AO17" s="245"/>
      <c r="AP17" s="219"/>
      <c r="AQ17" s="219"/>
      <c r="AR17" s="219"/>
      <c r="AS17" s="221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8" customFormat="1" ht="18" customHeight="1">
      <c r="A18" s="233">
        <f t="shared" ref="A18" si="11">A16+1</f>
        <v>3</v>
      </c>
      <c r="B18" s="233" t="s">
        <v>44</v>
      </c>
      <c r="C18" s="235" t="str">
        <f>VLOOKUP(B18,DS,2,0)</f>
        <v>Trần Ngọc Thoại</v>
      </c>
      <c r="D18" s="237" t="str">
        <f>VLOOKUP(B18,DS,3,0)</f>
        <v>Công nhân</v>
      </c>
      <c r="E18" s="90" t="s">
        <v>148</v>
      </c>
      <c r="F18" s="91">
        <v>8</v>
      </c>
      <c r="G18" s="91">
        <v>8</v>
      </c>
      <c r="H18" s="91"/>
      <c r="I18" s="91">
        <v>8</v>
      </c>
      <c r="J18" s="91">
        <v>8</v>
      </c>
      <c r="K18" s="91">
        <v>8</v>
      </c>
      <c r="L18" s="91">
        <v>8</v>
      </c>
      <c r="M18" s="91">
        <v>8</v>
      </c>
      <c r="N18" s="91">
        <v>8</v>
      </c>
      <c r="O18" s="91"/>
      <c r="P18" s="91">
        <v>8</v>
      </c>
      <c r="Q18" s="91">
        <v>8</v>
      </c>
      <c r="R18" s="91">
        <v>8</v>
      </c>
      <c r="S18" s="91">
        <v>8</v>
      </c>
      <c r="T18" s="91">
        <v>8</v>
      </c>
      <c r="U18" s="91">
        <v>8</v>
      </c>
      <c r="V18" s="91"/>
      <c r="W18" s="91">
        <v>8</v>
      </c>
      <c r="X18" s="91">
        <v>8</v>
      </c>
      <c r="Y18" s="91">
        <v>8</v>
      </c>
      <c r="Z18" s="91">
        <v>8</v>
      </c>
      <c r="AA18" s="91">
        <v>8</v>
      </c>
      <c r="AB18" s="91">
        <v>8</v>
      </c>
      <c r="AC18" s="91"/>
      <c r="AD18" s="91">
        <v>8</v>
      </c>
      <c r="AE18" s="91">
        <v>8</v>
      </c>
      <c r="AF18" s="91">
        <v>8</v>
      </c>
      <c r="AG18" s="91">
        <v>8</v>
      </c>
      <c r="AH18" s="91"/>
      <c r="AI18" s="91"/>
      <c r="AJ18" s="91"/>
      <c r="AK18" s="239">
        <f t="shared" ref="AK18" si="12">((SUM(F18:AJ18))/8)-(SUMIF($F$6:$AJ$6,"C.Nhật",F18:AJ18)/8)</f>
        <v>24</v>
      </c>
      <c r="AL18" s="239">
        <f t="shared" ref="AL18" si="13">SUM(F19:AJ19)/8*1.5</f>
        <v>0</v>
      </c>
      <c r="AM18" s="241">
        <f>SUMIF($F$6:$AJ$6,"C.Nhật",$F18:$AJ19)/8*2</f>
        <v>0</v>
      </c>
      <c r="AN18" s="218">
        <f t="shared" ref="AN18" si="14">SUM(AK18:AM19)</f>
        <v>24</v>
      </c>
      <c r="AO18" s="244">
        <v>0</v>
      </c>
      <c r="AP18" s="218"/>
      <c r="AQ18" s="218"/>
      <c r="AR18" s="218"/>
      <c r="AS18" s="220"/>
      <c r="AT18" s="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78" customFormat="1" ht="18" customHeight="1">
      <c r="A19" s="234"/>
      <c r="B19" s="234"/>
      <c r="C19" s="236"/>
      <c r="D19" s="238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40"/>
      <c r="AL19" s="240"/>
      <c r="AM19" s="242"/>
      <c r="AN19" s="219"/>
      <c r="AO19" s="245"/>
      <c r="AP19" s="219"/>
      <c r="AQ19" s="219"/>
      <c r="AR19" s="219"/>
      <c r="AS19" s="221"/>
      <c r="AT19" s="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8" customFormat="1" ht="18" customHeight="1">
      <c r="A20" s="233">
        <f t="shared" ref="A20" si="15">A18+1</f>
        <v>4</v>
      </c>
      <c r="B20" s="233" t="s">
        <v>46</v>
      </c>
      <c r="C20" s="235" t="str">
        <f>VLOOKUP(B20,DS,2,0)</f>
        <v>Nguyễn Đức Huy</v>
      </c>
      <c r="D20" s="237" t="str">
        <f>VLOOKUP(B20,DS,3,0)</f>
        <v>Công nhân</v>
      </c>
      <c r="E20" s="90" t="s">
        <v>148</v>
      </c>
      <c r="F20" s="91">
        <v>8</v>
      </c>
      <c r="G20" s="91">
        <v>8</v>
      </c>
      <c r="H20" s="91"/>
      <c r="I20" s="91">
        <v>8</v>
      </c>
      <c r="J20" s="91">
        <v>8</v>
      </c>
      <c r="K20" s="91">
        <v>8</v>
      </c>
      <c r="L20" s="91">
        <v>8</v>
      </c>
      <c r="M20" s="91">
        <v>8</v>
      </c>
      <c r="N20" s="91">
        <v>8</v>
      </c>
      <c r="O20" s="91"/>
      <c r="P20" s="91">
        <v>8</v>
      </c>
      <c r="Q20" s="91">
        <v>8</v>
      </c>
      <c r="R20" s="91">
        <v>8</v>
      </c>
      <c r="S20" s="91">
        <v>8</v>
      </c>
      <c r="T20" s="91">
        <v>8</v>
      </c>
      <c r="U20" s="91">
        <v>8</v>
      </c>
      <c r="V20" s="91"/>
      <c r="W20" s="91">
        <v>8</v>
      </c>
      <c r="X20" s="91">
        <v>8</v>
      </c>
      <c r="Y20" s="91">
        <v>8</v>
      </c>
      <c r="Z20" s="91">
        <v>8</v>
      </c>
      <c r="AA20" s="91">
        <v>8</v>
      </c>
      <c r="AB20" s="91">
        <v>8</v>
      </c>
      <c r="AC20" s="91"/>
      <c r="AD20" s="91">
        <v>8</v>
      </c>
      <c r="AE20" s="91">
        <v>8</v>
      </c>
      <c r="AF20" s="91">
        <v>8</v>
      </c>
      <c r="AG20" s="91">
        <v>8</v>
      </c>
      <c r="AH20" s="91"/>
      <c r="AI20" s="91"/>
      <c r="AJ20" s="91"/>
      <c r="AK20" s="239">
        <f t="shared" ref="AK20" si="16">((SUM(F20:AJ20))/8)-(SUMIF($F$6:$AJ$6,"C.Nhật",F20:AJ20)/8)</f>
        <v>24</v>
      </c>
      <c r="AL20" s="239">
        <f t="shared" ref="AL20" si="17">SUM(F21:AJ21)/8*1.5</f>
        <v>0</v>
      </c>
      <c r="AM20" s="241">
        <f>SUMIF($F$6:$AJ$6,"C.Nhật",$F20:$AJ21)/8*2</f>
        <v>0</v>
      </c>
      <c r="AN20" s="218">
        <f t="shared" ref="AN20" si="18">SUM(AK20:AM21)</f>
        <v>24</v>
      </c>
      <c r="AO20" s="244">
        <v>0</v>
      </c>
      <c r="AP20" s="218"/>
      <c r="AQ20" s="218"/>
      <c r="AR20" s="218"/>
      <c r="AS20" s="220"/>
      <c r="AT20" s="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78" customFormat="1" ht="18" customHeight="1">
      <c r="A21" s="234"/>
      <c r="B21" s="234"/>
      <c r="C21" s="236"/>
      <c r="D21" s="238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40"/>
      <c r="AL21" s="240"/>
      <c r="AM21" s="242"/>
      <c r="AN21" s="219"/>
      <c r="AO21" s="245"/>
      <c r="AP21" s="219"/>
      <c r="AQ21" s="219"/>
      <c r="AR21" s="219"/>
      <c r="AS21" s="221"/>
      <c r="AT21" s="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  <c r="AT22" s="103"/>
    </row>
    <row r="23" spans="1:90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  <c r="AT23" s="103"/>
    </row>
    <row r="24" spans="1:90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  <c r="AT24" s="103"/>
    </row>
    <row r="25" spans="1:90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  <c r="AT25" s="96"/>
    </row>
    <row r="26" spans="1:90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  <c r="AT26" s="96"/>
    </row>
    <row r="27" spans="1:90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  <c r="AT27" s="96"/>
    </row>
    <row r="28" spans="1:90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  <c r="AT28" s="96"/>
    </row>
    <row r="29" spans="1:90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96"/>
    </row>
    <row r="30" spans="1:90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94"/>
    </row>
    <row r="31" spans="1:90" ht="15" customHeight="1">
      <c r="C31" s="2" t="s">
        <v>152</v>
      </c>
    </row>
    <row r="32" spans="1:90" ht="15" customHeight="1">
      <c r="C32" s="2" t="s">
        <v>153</v>
      </c>
    </row>
    <row r="33" spans="1:91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2">
    <mergeCell ref="AP18:AP19"/>
    <mergeCell ref="AQ18:AQ19"/>
    <mergeCell ref="AR18:AR19"/>
    <mergeCell ref="AS18:AS19"/>
    <mergeCell ref="AS20:AS21"/>
    <mergeCell ref="AR20:AR21"/>
    <mergeCell ref="AM20:AM21"/>
    <mergeCell ref="AN20:AN21"/>
    <mergeCell ref="AO20:AO21"/>
    <mergeCell ref="AP20:AP21"/>
    <mergeCell ref="AQ20:AQ21"/>
    <mergeCell ref="AL20:AL21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20:A21"/>
    <mergeCell ref="B20:B21"/>
    <mergeCell ref="C20:C21"/>
    <mergeCell ref="D20:D21"/>
    <mergeCell ref="AK20:AK21"/>
    <mergeCell ref="AS14:AS15"/>
    <mergeCell ref="A16:A17"/>
    <mergeCell ref="B16:B17"/>
    <mergeCell ref="C16:C17"/>
    <mergeCell ref="D16:D17"/>
    <mergeCell ref="AK16:AK17"/>
    <mergeCell ref="AL16:AL17"/>
    <mergeCell ref="AR16:AR17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">
    <cfRule type="expression" dxfId="65" priority="6" stopIfTrue="1">
      <formula>IF(WEEKDAY(F$5)=1,TRUE,FALSE)</formula>
    </cfRule>
  </conditionalFormatting>
  <conditionalFormatting sqref="F9:AJ12">
    <cfRule type="expression" dxfId="64" priority="5" stopIfTrue="1">
      <formula>IF(WEEKDAY(F$5)=1,TRUE,FALSE)</formula>
    </cfRule>
  </conditionalFormatting>
  <conditionalFormatting sqref="AH14:AJ21">
    <cfRule type="expression" dxfId="63" priority="4" stopIfTrue="1">
      <formula>IF(WEEKDAY(AH$5)=1,TRUE,FALSE)</formula>
    </cfRule>
  </conditionalFormatting>
  <conditionalFormatting sqref="AH14:AJ21">
    <cfRule type="expression" dxfId="62" priority="3" stopIfTrue="1">
      <formula>IF(WEEKDAY(AH$5)=1,TRUE,FALSE)</formula>
    </cfRule>
  </conditionalFormatting>
  <conditionalFormatting sqref="F14:AG21">
    <cfRule type="expression" dxfId="61" priority="2" stopIfTrue="1">
      <formula>IF(WEEKDAY(F$5)=1,TRUE,FALSE)</formula>
    </cfRule>
  </conditionalFormatting>
  <conditionalFormatting sqref="F14:AG21">
    <cfRule type="expression" dxfId="6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12" activePane="bottomRight" state="frozen"/>
      <selection activeCell="E19" sqref="E19"/>
      <selection pane="topRight" activeCell="E19" sqref="E19"/>
      <selection pane="bottomLeft" activeCell="E19" sqref="E19"/>
      <selection pane="bottomRight" sqref="A1:T26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47" t="str">
        <f>"BẢNG THANH TOÁN LƯƠNG THÁNG"&amp;" "&amp;TEXT($E$4,"mm")&amp;" / "&amp;TEXT($E$4,"yyyy")</f>
        <v>BẢNG THANH TOÁN LƯƠNG THÁNG 02 / 2013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132</v>
      </c>
      <c r="S1" s="250"/>
      <c r="T1" s="251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-2'!$AK$9:$AK$21)</f>
        <v>24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-2'!$E$4</f>
        <v>41306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2" t="s">
        <v>3</v>
      </c>
      <c r="B5" s="252" t="s">
        <v>161</v>
      </c>
      <c r="C5" s="204" t="s">
        <v>5</v>
      </c>
      <c r="D5" s="204" t="s">
        <v>6</v>
      </c>
      <c r="E5" s="209" t="s">
        <v>7</v>
      </c>
      <c r="F5" s="255" t="s">
        <v>162</v>
      </c>
      <c r="G5" s="256"/>
      <c r="H5" s="256"/>
      <c r="I5" s="256"/>
      <c r="J5" s="256"/>
      <c r="K5" s="257"/>
      <c r="L5" s="254" t="s">
        <v>14</v>
      </c>
      <c r="M5" s="254" t="s">
        <v>163</v>
      </c>
      <c r="N5" s="204" t="s">
        <v>164</v>
      </c>
      <c r="O5" s="204"/>
      <c r="P5" s="204"/>
      <c r="Q5" s="254" t="s">
        <v>165</v>
      </c>
      <c r="R5" s="254" t="s">
        <v>166</v>
      </c>
      <c r="S5" s="254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53"/>
      <c r="B6" s="253"/>
      <c r="C6" s="204"/>
      <c r="D6" s="204"/>
      <c r="E6" s="209"/>
      <c r="F6" s="255" t="s">
        <v>169</v>
      </c>
      <c r="G6" s="257"/>
      <c r="H6" s="255" t="s">
        <v>170</v>
      </c>
      <c r="I6" s="256"/>
      <c r="J6" s="261" t="s">
        <v>171</v>
      </c>
      <c r="K6" s="254" t="s">
        <v>172</v>
      </c>
      <c r="L6" s="258"/>
      <c r="M6" s="258"/>
      <c r="N6" s="263" t="s">
        <v>173</v>
      </c>
      <c r="O6" s="254" t="s">
        <v>174</v>
      </c>
      <c r="P6" s="254" t="s">
        <v>175</v>
      </c>
      <c r="Q6" s="258"/>
      <c r="R6" s="258"/>
      <c r="S6" s="258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53"/>
      <c r="B7" s="253"/>
      <c r="C7" s="254"/>
      <c r="D7" s="254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62"/>
      <c r="K7" s="258"/>
      <c r="L7" s="259"/>
      <c r="M7" s="259"/>
      <c r="N7" s="264"/>
      <c r="O7" s="258"/>
      <c r="P7" s="258"/>
      <c r="Q7" s="258"/>
      <c r="R7" s="258"/>
      <c r="S7" s="258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-2'!$B$8:$AS$21,36,0)</f>
        <v>24</v>
      </c>
      <c r="G10" s="150">
        <f t="shared" ref="G10:G11" si="2">ROUND(E10/$U$2*F10,0)</f>
        <v>1565000</v>
      </c>
      <c r="H10" s="149">
        <f>(VLOOKUP(B10,'CC -2'!$B$8:$AS$21,37,0)+VLOOKUP(B10,'CC -2'!$B$8:$AS$21,38,0))</f>
        <v>0</v>
      </c>
      <c r="I10" s="150">
        <f t="shared" ref="I10:I11" si="3">ROUND(E10/$U$2*H10,0)</f>
        <v>0</v>
      </c>
      <c r="J10" s="151">
        <f t="shared" ref="J10:K11" si="4">F10+H10</f>
        <v>24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-2'!$B$8:$AS$21,36,0)</f>
        <v>24</v>
      </c>
      <c r="G11" s="150">
        <f t="shared" si="2"/>
        <v>1240000</v>
      </c>
      <c r="H11" s="149">
        <f>(VLOOKUP(B11,'CC -2'!$B$8:$AS$21,37,0)+VLOOKUP(B11,'CC -2'!$B$8:$AS$21,38,0))</f>
        <v>0</v>
      </c>
      <c r="I11" s="150">
        <f t="shared" si="3"/>
        <v>0</v>
      </c>
      <c r="J11" s="151">
        <f t="shared" si="4"/>
        <v>24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60" t="s">
        <v>48</v>
      </c>
      <c r="B13" s="260"/>
      <c r="C13" s="260"/>
      <c r="D13" s="260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10">VLOOKUP(B15,DS,2,0)</f>
        <v>Nguyễn Thị Thanh Thúy</v>
      </c>
      <c r="D15" s="147" t="str">
        <f t="shared" ref="D15:D18" si="11">VLOOKUP(B15,DS,3,0)</f>
        <v>Công nhân</v>
      </c>
      <c r="E15" s="148">
        <f t="shared" ref="E15:E18" si="12">VLOOKUP(B15,DS,4,0)</f>
        <v>1365000</v>
      </c>
      <c r="F15" s="149">
        <f>VLOOKUP(B15,'CC -2'!$B$8:$AS$21,36,0)</f>
        <v>24</v>
      </c>
      <c r="G15" s="150">
        <f t="shared" ref="G15:G18" si="13">ROUND(E15/$U$2*F15,0)</f>
        <v>1365000</v>
      </c>
      <c r="H15" s="149">
        <f>(VLOOKUP(B15,'CC -2'!$B$8:$AS$21,37,0)+VLOOKUP(B15,'CC -2'!$B$8:$AS$21,38,0))</f>
        <v>0</v>
      </c>
      <c r="I15" s="150">
        <f t="shared" ref="I15:I18" si="14">ROUND(E15/$U$2*H15,0)</f>
        <v>0</v>
      </c>
      <c r="J15" s="171">
        <f t="shared" ref="J15:K18" si="15">F15+H15</f>
        <v>24</v>
      </c>
      <c r="K15" s="152">
        <f t="shared" si="15"/>
        <v>1365000</v>
      </c>
      <c r="L15" s="148">
        <f>VLOOKUP(B15,DS,6,0)</f>
        <v>260000</v>
      </c>
      <c r="M15" s="153">
        <f t="shared" ref="M15:M18" si="16">K15+L15</f>
        <v>1625000</v>
      </c>
      <c r="N15" s="153">
        <f>IF(VLOOKUP(B15,DS,9,0)="x",'L - 2'!E15*$N$4,0)</f>
        <v>0</v>
      </c>
      <c r="O15" s="153">
        <f t="shared" ref="O15:O18" si="17">IF(VLOOKUP(B15,DS,9,0)="x",E15*0.015,0)</f>
        <v>0</v>
      </c>
      <c r="P15" s="153">
        <f t="shared" ref="P15:P18" si="18">IF(VLOOKUP(B15,DS,9,0)="x",E15*0.01,0)</f>
        <v>0</v>
      </c>
      <c r="Q15" s="152">
        <f>M15-SUM(N15:P15)</f>
        <v>1625000</v>
      </c>
      <c r="R15" s="152">
        <f t="shared" ref="R15:R18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-2'!$B$8:$AS$21,36,0)</f>
        <v>24</v>
      </c>
      <c r="G16" s="150">
        <f t="shared" si="13"/>
        <v>1275000</v>
      </c>
      <c r="H16" s="149">
        <f>(VLOOKUP(B16,'CC -2'!$B$8:$AS$21,37,0)+VLOOKUP(B16,'CC -2'!$B$8:$AS$21,38,0))</f>
        <v>0</v>
      </c>
      <c r="I16" s="150">
        <f t="shared" si="14"/>
        <v>0</v>
      </c>
      <c r="J16" s="171">
        <f t="shared" si="15"/>
        <v>24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- 2'!E16*$N$4,0)</f>
        <v>0</v>
      </c>
      <c r="O16" s="153">
        <f t="shared" si="17"/>
        <v>0</v>
      </c>
      <c r="P16" s="153">
        <f t="shared" si="18"/>
        <v>0</v>
      </c>
      <c r="Q16" s="152">
        <f t="shared" ref="Q16:Q18" si="20">M16-SUM(N16:P16)</f>
        <v>1535000</v>
      </c>
      <c r="R16" s="152">
        <f t="shared" si="19"/>
        <v>0</v>
      </c>
      <c r="S16" s="154">
        <f t="shared" ref="S16:S18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10"/>
        <v>Trần Ngọc Thoại</v>
      </c>
      <c r="D17" s="147" t="str">
        <f t="shared" si="11"/>
        <v>Công nhân</v>
      </c>
      <c r="E17" s="148">
        <f t="shared" si="12"/>
        <v>990000</v>
      </c>
      <c r="F17" s="149">
        <f>VLOOKUP(B17,'CC -2'!$B$8:$AS$21,36,0)</f>
        <v>24</v>
      </c>
      <c r="G17" s="150">
        <f t="shared" si="13"/>
        <v>990000</v>
      </c>
      <c r="H17" s="149">
        <f>(VLOOKUP(B17,'CC -2'!$B$8:$AS$21,37,0)+VLOOKUP(B17,'CC -2'!$B$8:$AS$21,38,0))</f>
        <v>0</v>
      </c>
      <c r="I17" s="150">
        <f t="shared" si="14"/>
        <v>0</v>
      </c>
      <c r="J17" s="171">
        <f t="shared" si="15"/>
        <v>24</v>
      </c>
      <c r="K17" s="152">
        <f t="shared" si="15"/>
        <v>990000</v>
      </c>
      <c r="L17" s="148">
        <f>VLOOKUP(B17,DS,6,0)</f>
        <v>260000</v>
      </c>
      <c r="M17" s="153">
        <f t="shared" si="16"/>
        <v>1250000</v>
      </c>
      <c r="N17" s="153">
        <f>IF(VLOOKUP(B17,DS,9,0)="x",'L - 2'!E17*$N$4,0)</f>
        <v>0</v>
      </c>
      <c r="O17" s="153">
        <f t="shared" si="17"/>
        <v>0</v>
      </c>
      <c r="P17" s="153">
        <f t="shared" si="18"/>
        <v>0</v>
      </c>
      <c r="Q17" s="152">
        <f t="shared" si="20"/>
        <v>1250000</v>
      </c>
      <c r="R17" s="152">
        <f t="shared" si="19"/>
        <v>0</v>
      </c>
      <c r="S17" s="154">
        <f t="shared" si="21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10"/>
        <v>Nguyễn Đức Huy</v>
      </c>
      <c r="D18" s="147" t="str">
        <f t="shared" si="11"/>
        <v>Công nhân</v>
      </c>
      <c r="E18" s="148">
        <f t="shared" si="12"/>
        <v>1015000</v>
      </c>
      <c r="F18" s="149">
        <f>VLOOKUP(B18,'CC -2'!$B$8:$AS$21,36,0)</f>
        <v>24</v>
      </c>
      <c r="G18" s="150">
        <f t="shared" si="13"/>
        <v>1015000</v>
      </c>
      <c r="H18" s="149">
        <f>(VLOOKUP(B18,'CC -2'!$B$8:$AS$21,37,0)+VLOOKUP(B18,'CC -2'!$B$8:$AS$21,38,0))</f>
        <v>0</v>
      </c>
      <c r="I18" s="150">
        <f t="shared" si="14"/>
        <v>0</v>
      </c>
      <c r="J18" s="171">
        <f t="shared" si="15"/>
        <v>24</v>
      </c>
      <c r="K18" s="152">
        <f t="shared" si="15"/>
        <v>1015000</v>
      </c>
      <c r="L18" s="148">
        <f>VLOOKUP(B18,DS,6,0)</f>
        <v>260000</v>
      </c>
      <c r="M18" s="153">
        <f t="shared" si="16"/>
        <v>1275000</v>
      </c>
      <c r="N18" s="153">
        <f>IF(VLOOKUP(B18,DS,9,0)="x",'L - 2'!E18*$N$4,0)</f>
        <v>0</v>
      </c>
      <c r="O18" s="153">
        <f t="shared" si="17"/>
        <v>0</v>
      </c>
      <c r="P18" s="153">
        <f t="shared" si="18"/>
        <v>0</v>
      </c>
      <c r="Q18" s="152">
        <f t="shared" si="20"/>
        <v>1275000</v>
      </c>
      <c r="R18" s="152">
        <f t="shared" si="19"/>
        <v>0</v>
      </c>
      <c r="S18" s="154">
        <f t="shared" si="21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60" t="s">
        <v>48</v>
      </c>
      <c r="B20" s="260"/>
      <c r="C20" s="260"/>
      <c r="D20" s="260"/>
      <c r="E20" s="167">
        <f>SUM(E14:E19)</f>
        <v>4645000</v>
      </c>
      <c r="F20" s="167"/>
      <c r="G20" s="167">
        <f t="shared" ref="G20:S20" si="22">SUM(G14:G19)</f>
        <v>4645000</v>
      </c>
      <c r="H20" s="167"/>
      <c r="I20" s="167">
        <f t="shared" si="22"/>
        <v>0</v>
      </c>
      <c r="J20" s="167"/>
      <c r="K20" s="167">
        <f t="shared" si="22"/>
        <v>4645000</v>
      </c>
      <c r="L20" s="167">
        <f t="shared" si="22"/>
        <v>1040000</v>
      </c>
      <c r="M20" s="167">
        <f t="shared" si="22"/>
        <v>5685000</v>
      </c>
      <c r="N20" s="167">
        <f t="shared" si="22"/>
        <v>0</v>
      </c>
      <c r="O20" s="167">
        <f t="shared" si="22"/>
        <v>0</v>
      </c>
      <c r="P20" s="167">
        <f t="shared" si="22"/>
        <v>0</v>
      </c>
      <c r="Q20" s="167">
        <f t="shared" si="22"/>
        <v>5685000</v>
      </c>
      <c r="R20" s="167">
        <f t="shared" si="22"/>
        <v>0</v>
      </c>
      <c r="S20" s="167">
        <f t="shared" si="22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28  tháng  2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E5:I6 N5:P6 L5 L23 J6:K7 L7 A26:T59 U32:U59 N19:S19 V26:IJ59 J19:L19 AE14:IJ14 V13:IJ13 D13:T13 D20:T20 A60:IJ65327 Q12:S12 V12 AE12:IJ12 A12:B13 A10:B11 AE5:IJ11 V5:V11 Q10:S11" name="Range1"/>
    <protectedRange password="CC78" sqref="F7:H7" name="Range1_4"/>
    <protectedRange password="CC78" sqref="V23:IJ24 S23:T24 N23:Q24 E23:I24" name="Range1_1_1"/>
    <protectedRange password="CC78" sqref="U1 V1:IJ4 B4:T4 R2:S3 B1:Q3 U19:U31 W14:AD14 U12:U14 W12:AD12 W5:AD11 U4:U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A13:D13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8" sqref="F18:AJ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03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22" t="s">
        <v>132</v>
      </c>
      <c r="AN1" s="223"/>
      <c r="AO1" s="223"/>
      <c r="AP1" s="223"/>
      <c r="AQ1" s="223"/>
      <c r="AR1" s="223"/>
      <c r="AS1" s="224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41334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25" t="s">
        <v>133</v>
      </c>
      <c r="B5" s="225" t="s">
        <v>4</v>
      </c>
      <c r="C5" s="225" t="s">
        <v>5</v>
      </c>
      <c r="D5" s="227" t="s">
        <v>134</v>
      </c>
      <c r="E5" s="225" t="s">
        <v>135</v>
      </c>
      <c r="F5" s="77">
        <f>+E4</f>
        <v>41334</v>
      </c>
      <c r="G5" s="77">
        <f t="shared" ref="G5:AJ5" si="0">F5+1</f>
        <v>41335</v>
      </c>
      <c r="H5" s="77">
        <f t="shared" si="0"/>
        <v>41336</v>
      </c>
      <c r="I5" s="77">
        <f t="shared" si="0"/>
        <v>41337</v>
      </c>
      <c r="J5" s="77">
        <f t="shared" si="0"/>
        <v>41338</v>
      </c>
      <c r="K5" s="77">
        <f t="shared" si="0"/>
        <v>41339</v>
      </c>
      <c r="L5" s="77">
        <f t="shared" si="0"/>
        <v>41340</v>
      </c>
      <c r="M5" s="77">
        <f t="shared" si="0"/>
        <v>41341</v>
      </c>
      <c r="N5" s="77">
        <f t="shared" si="0"/>
        <v>41342</v>
      </c>
      <c r="O5" s="77">
        <f t="shared" si="0"/>
        <v>41343</v>
      </c>
      <c r="P5" s="77">
        <f t="shared" si="0"/>
        <v>41344</v>
      </c>
      <c r="Q5" s="77">
        <f t="shared" si="0"/>
        <v>41345</v>
      </c>
      <c r="R5" s="77">
        <f t="shared" si="0"/>
        <v>41346</v>
      </c>
      <c r="S5" s="77">
        <f t="shared" si="0"/>
        <v>41347</v>
      </c>
      <c r="T5" s="77">
        <f t="shared" si="0"/>
        <v>41348</v>
      </c>
      <c r="U5" s="77">
        <f t="shared" si="0"/>
        <v>41349</v>
      </c>
      <c r="V5" s="77">
        <f t="shared" si="0"/>
        <v>41350</v>
      </c>
      <c r="W5" s="77">
        <f t="shared" si="0"/>
        <v>41351</v>
      </c>
      <c r="X5" s="77">
        <f t="shared" si="0"/>
        <v>41352</v>
      </c>
      <c r="Y5" s="77">
        <f t="shared" si="0"/>
        <v>41353</v>
      </c>
      <c r="Z5" s="77">
        <f t="shared" si="0"/>
        <v>41354</v>
      </c>
      <c r="AA5" s="77">
        <f t="shared" si="0"/>
        <v>41355</v>
      </c>
      <c r="AB5" s="77">
        <f t="shared" si="0"/>
        <v>41356</v>
      </c>
      <c r="AC5" s="77">
        <f t="shared" si="0"/>
        <v>41357</v>
      </c>
      <c r="AD5" s="77">
        <f t="shared" si="0"/>
        <v>41358</v>
      </c>
      <c r="AE5" s="77">
        <f t="shared" si="0"/>
        <v>41359</v>
      </c>
      <c r="AF5" s="77">
        <f t="shared" si="0"/>
        <v>41360</v>
      </c>
      <c r="AG5" s="77">
        <f t="shared" si="0"/>
        <v>41361</v>
      </c>
      <c r="AH5" s="77">
        <f>AG5+1</f>
        <v>41362</v>
      </c>
      <c r="AI5" s="77">
        <f t="shared" si="0"/>
        <v>41363</v>
      </c>
      <c r="AJ5" s="77">
        <f t="shared" si="0"/>
        <v>41364</v>
      </c>
      <c r="AK5" s="228" t="s">
        <v>136</v>
      </c>
      <c r="AL5" s="229"/>
      <c r="AM5" s="230"/>
      <c r="AN5" s="231" t="s">
        <v>137</v>
      </c>
      <c r="AO5" s="231" t="s">
        <v>138</v>
      </c>
      <c r="AP5" s="231" t="s">
        <v>139</v>
      </c>
      <c r="AQ5" s="231" t="s">
        <v>140</v>
      </c>
      <c r="AR5" s="231" t="s">
        <v>141</v>
      </c>
      <c r="AS5" s="227" t="s">
        <v>142</v>
      </c>
      <c r="AT5" s="24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26"/>
      <c r="B6" s="226"/>
      <c r="C6" s="226"/>
      <c r="D6" s="226"/>
      <c r="E6" s="226"/>
      <c r="F6" s="79" t="str">
        <f>CHOOSE(WEEKDAY(F5),"C.Nhật","T.Hai","T.Ba","T.Tư","T.Năm","T.Sáu","T.Bảy")</f>
        <v>T.Sáu</v>
      </c>
      <c r="G6" s="79" t="str">
        <f t="shared" ref="G6:AJ6" si="1">CHOOSE(WEEKDAY(G5),"C.Nhật","T.Hai","T.Ba","T.Tư","T.Năm","T.Sáu","T.Bảy")</f>
        <v>T.Bảy</v>
      </c>
      <c r="H6" s="79" t="str">
        <f t="shared" si="1"/>
        <v>C.Nhật</v>
      </c>
      <c r="I6" s="79" t="str">
        <f t="shared" si="1"/>
        <v>T.Hai</v>
      </c>
      <c r="J6" s="79" t="str">
        <f t="shared" si="1"/>
        <v>T.Ba</v>
      </c>
      <c r="K6" s="79" t="str">
        <f t="shared" si="1"/>
        <v>T.Tư</v>
      </c>
      <c r="L6" s="79" t="str">
        <f t="shared" si="1"/>
        <v>T.Năm</v>
      </c>
      <c r="M6" s="79" t="str">
        <f t="shared" si="1"/>
        <v>T.Sáu</v>
      </c>
      <c r="N6" s="79" t="str">
        <f t="shared" si="1"/>
        <v>T.Bảy</v>
      </c>
      <c r="O6" s="79" t="str">
        <f t="shared" si="1"/>
        <v>C.Nhật</v>
      </c>
      <c r="P6" s="79" t="str">
        <f t="shared" si="1"/>
        <v>T.Hai</v>
      </c>
      <c r="Q6" s="79" t="str">
        <f t="shared" si="1"/>
        <v>T.Ba</v>
      </c>
      <c r="R6" s="79" t="str">
        <f t="shared" si="1"/>
        <v>T.Tư</v>
      </c>
      <c r="S6" s="79" t="str">
        <f t="shared" si="1"/>
        <v>T.Năm</v>
      </c>
      <c r="T6" s="79" t="str">
        <f t="shared" si="1"/>
        <v>T.Sáu</v>
      </c>
      <c r="U6" s="79" t="str">
        <f t="shared" si="1"/>
        <v>T.Bảy</v>
      </c>
      <c r="V6" s="79" t="str">
        <f t="shared" si="1"/>
        <v>C.Nhật</v>
      </c>
      <c r="W6" s="79" t="str">
        <f t="shared" si="1"/>
        <v>T.Hai</v>
      </c>
      <c r="X6" s="79" t="str">
        <f t="shared" si="1"/>
        <v>T.Ba</v>
      </c>
      <c r="Y6" s="79" t="str">
        <f t="shared" si="1"/>
        <v>T.Tư</v>
      </c>
      <c r="Z6" s="79" t="str">
        <f t="shared" si="1"/>
        <v>T.Năm</v>
      </c>
      <c r="AA6" s="79" t="str">
        <f t="shared" si="1"/>
        <v>T.Sáu</v>
      </c>
      <c r="AB6" s="79" t="str">
        <f t="shared" si="1"/>
        <v>T.Bảy</v>
      </c>
      <c r="AC6" s="79" t="str">
        <f t="shared" si="1"/>
        <v>C.Nhật</v>
      </c>
      <c r="AD6" s="79" t="str">
        <f t="shared" si="1"/>
        <v>T.Hai</v>
      </c>
      <c r="AE6" s="79" t="str">
        <f t="shared" si="1"/>
        <v>T.Ba</v>
      </c>
      <c r="AF6" s="79" t="str">
        <f t="shared" si="1"/>
        <v>T.Tư</v>
      </c>
      <c r="AG6" s="79" t="str">
        <f t="shared" si="1"/>
        <v>T.Năm</v>
      </c>
      <c r="AH6" s="79" t="str">
        <f t="shared" si="1"/>
        <v>T.Sáu</v>
      </c>
      <c r="AI6" s="79" t="str">
        <f t="shared" si="1"/>
        <v>T.Bảy</v>
      </c>
      <c r="AJ6" s="79" t="str">
        <f t="shared" si="1"/>
        <v>C.Nhật</v>
      </c>
      <c r="AK6" s="80" t="s">
        <v>143</v>
      </c>
      <c r="AL6" s="80" t="s">
        <v>144</v>
      </c>
      <c r="AM6" s="81" t="s">
        <v>145</v>
      </c>
      <c r="AN6" s="232"/>
      <c r="AO6" s="232"/>
      <c r="AP6" s="232"/>
      <c r="AQ6" s="232"/>
      <c r="AR6" s="232"/>
      <c r="AS6" s="226"/>
      <c r="AT6" s="24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33">
        <v>1</v>
      </c>
      <c r="B9" s="233" t="s">
        <v>34</v>
      </c>
      <c r="C9" s="235" t="str">
        <f>VLOOKUP(B9,DS,2,0)</f>
        <v>Võ Ngọc Thùy Lan</v>
      </c>
      <c r="D9" s="237" t="str">
        <f>VLOOKUP(B9,DS,3,0)</f>
        <v>Giám Đốc</v>
      </c>
      <c r="E9" s="90" t="s">
        <v>148</v>
      </c>
      <c r="F9" s="91">
        <v>8</v>
      </c>
      <c r="G9" s="91">
        <v>8</v>
      </c>
      <c r="H9" s="91"/>
      <c r="I9" s="91">
        <v>8</v>
      </c>
      <c r="J9" s="91">
        <v>8</v>
      </c>
      <c r="K9" s="91">
        <v>8</v>
      </c>
      <c r="L9" s="91">
        <v>8</v>
      </c>
      <c r="M9" s="91">
        <v>8</v>
      </c>
      <c r="N9" s="91">
        <v>8</v>
      </c>
      <c r="O9" s="91"/>
      <c r="P9" s="91">
        <v>8</v>
      </c>
      <c r="Q9" s="91">
        <v>8</v>
      </c>
      <c r="R9" s="91">
        <v>8</v>
      </c>
      <c r="S9" s="91">
        <v>8</v>
      </c>
      <c r="T9" s="91">
        <v>8</v>
      </c>
      <c r="U9" s="91">
        <v>8</v>
      </c>
      <c r="V9" s="91"/>
      <c r="W9" s="91">
        <v>8</v>
      </c>
      <c r="X9" s="91">
        <v>8</v>
      </c>
      <c r="Y9" s="91">
        <v>8</v>
      </c>
      <c r="Z9" s="91">
        <v>8</v>
      </c>
      <c r="AA9" s="91">
        <v>8</v>
      </c>
      <c r="AB9" s="91">
        <v>8</v>
      </c>
      <c r="AC9" s="91"/>
      <c r="AD9" s="91">
        <v>8</v>
      </c>
      <c r="AE9" s="91">
        <v>8</v>
      </c>
      <c r="AF9" s="91">
        <v>8</v>
      </c>
      <c r="AG9" s="91">
        <v>8</v>
      </c>
      <c r="AH9" s="91">
        <v>8</v>
      </c>
      <c r="AI9" s="91">
        <v>8</v>
      </c>
      <c r="AJ9" s="91"/>
      <c r="AK9" s="239">
        <f>((SUM(F9:AJ9))/8)-(SUMIF($F$6:$AJ$6,"C.Nhật",F9:AJ9)/8)</f>
        <v>26</v>
      </c>
      <c r="AL9" s="239">
        <f>SUM(F10:AJ10)/8*1.5</f>
        <v>0</v>
      </c>
      <c r="AM9" s="241">
        <f>SUMIF($F$6:$AJ$6,"C.Nhật",$F9:$AJ10)/8*2</f>
        <v>0</v>
      </c>
      <c r="AN9" s="218">
        <f>SUM(AK9:AM10)</f>
        <v>26</v>
      </c>
      <c r="AO9" s="244">
        <v>0</v>
      </c>
      <c r="AP9" s="218"/>
      <c r="AQ9" s="218"/>
      <c r="AR9" s="218"/>
      <c r="AS9" s="220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34"/>
      <c r="B10" s="234"/>
      <c r="C10" s="236"/>
      <c r="D10" s="238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40"/>
      <c r="AL10" s="240"/>
      <c r="AM10" s="242"/>
      <c r="AN10" s="219"/>
      <c r="AO10" s="245"/>
      <c r="AP10" s="219"/>
      <c r="AQ10" s="219"/>
      <c r="AR10" s="219"/>
      <c r="AS10" s="221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33">
        <v>2</v>
      </c>
      <c r="B11" s="233" t="s">
        <v>36</v>
      </c>
      <c r="C11" s="235" t="str">
        <f>VLOOKUP(B11,DS,2,0)</f>
        <v>Nguyễn Thị Thu Hà</v>
      </c>
      <c r="D11" s="237" t="str">
        <f>VLOOKUP(B11,DS,3,0)</f>
        <v>Kế Toán</v>
      </c>
      <c r="E11" s="90" t="s">
        <v>148</v>
      </c>
      <c r="F11" s="91">
        <v>8</v>
      </c>
      <c r="G11" s="91">
        <v>8</v>
      </c>
      <c r="H11" s="91"/>
      <c r="I11" s="91">
        <v>8</v>
      </c>
      <c r="J11" s="91">
        <v>8</v>
      </c>
      <c r="K11" s="91">
        <v>8</v>
      </c>
      <c r="L11" s="91">
        <v>8</v>
      </c>
      <c r="M11" s="91">
        <v>8</v>
      </c>
      <c r="N11" s="91">
        <v>8</v>
      </c>
      <c r="O11" s="91"/>
      <c r="P11" s="91">
        <v>8</v>
      </c>
      <c r="Q11" s="91">
        <v>8</v>
      </c>
      <c r="R11" s="91">
        <v>8</v>
      </c>
      <c r="S11" s="91">
        <v>8</v>
      </c>
      <c r="T11" s="91">
        <v>8</v>
      </c>
      <c r="U11" s="91">
        <v>8</v>
      </c>
      <c r="V11" s="91"/>
      <c r="W11" s="91">
        <v>8</v>
      </c>
      <c r="X11" s="91">
        <v>8</v>
      </c>
      <c r="Y11" s="91">
        <v>8</v>
      </c>
      <c r="Z11" s="91">
        <v>8</v>
      </c>
      <c r="AA11" s="91">
        <v>8</v>
      </c>
      <c r="AB11" s="91">
        <v>8</v>
      </c>
      <c r="AC11" s="91"/>
      <c r="AD11" s="91">
        <v>8</v>
      </c>
      <c r="AE11" s="91">
        <v>8</v>
      </c>
      <c r="AF11" s="91">
        <v>8</v>
      </c>
      <c r="AG11" s="91">
        <v>8</v>
      </c>
      <c r="AH11" s="91">
        <v>8</v>
      </c>
      <c r="AI11" s="91">
        <v>8</v>
      </c>
      <c r="AJ11" s="91"/>
      <c r="AK11" s="239">
        <f t="shared" ref="AK11" si="2">((SUM(F11:AJ11))/8)-(SUMIF($F$6:$AJ$6,"C.Nhật",F11:AJ11)/8)</f>
        <v>26</v>
      </c>
      <c r="AL11" s="239">
        <f t="shared" ref="AL11" si="3">SUM(F12:AJ12)/8*1.5</f>
        <v>0</v>
      </c>
      <c r="AM11" s="241">
        <f t="shared" ref="AM11" si="4">SUMIF($F$6:$AJ$6,"C.Nhật",$F11:$AJ12)/8*2</f>
        <v>0</v>
      </c>
      <c r="AN11" s="218">
        <f t="shared" ref="AN11" si="5">SUM(AK11:AM12)</f>
        <v>26</v>
      </c>
      <c r="AO11" s="244">
        <v>0</v>
      </c>
      <c r="AP11" s="218"/>
      <c r="AQ11" s="218"/>
      <c r="AR11" s="218"/>
      <c r="AS11" s="220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34"/>
      <c r="B12" s="234"/>
      <c r="C12" s="236"/>
      <c r="D12" s="238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40"/>
      <c r="AL12" s="240"/>
      <c r="AM12" s="242"/>
      <c r="AN12" s="219"/>
      <c r="AO12" s="245"/>
      <c r="AP12" s="219"/>
      <c r="AQ12" s="219"/>
      <c r="AR12" s="219"/>
      <c r="AS12" s="221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33">
        <v>1</v>
      </c>
      <c r="B14" s="233" t="s">
        <v>39</v>
      </c>
      <c r="C14" s="235" t="str">
        <f>VLOOKUP(B14,DS,2,0)</f>
        <v>Nguyễn Thị Thanh Thúy</v>
      </c>
      <c r="D14" s="237" t="str">
        <f>VLOOKUP(B14,DS,3,0)</f>
        <v>Công nhân</v>
      </c>
      <c r="E14" s="90" t="s">
        <v>148</v>
      </c>
      <c r="F14" s="91">
        <v>8</v>
      </c>
      <c r="G14" s="91">
        <v>8</v>
      </c>
      <c r="H14" s="91"/>
      <c r="I14" s="91">
        <v>8</v>
      </c>
      <c r="J14" s="91">
        <v>8</v>
      </c>
      <c r="K14" s="91">
        <v>8</v>
      </c>
      <c r="L14" s="91">
        <v>8</v>
      </c>
      <c r="M14" s="91">
        <v>8</v>
      </c>
      <c r="N14" s="91">
        <v>8</v>
      </c>
      <c r="O14" s="91"/>
      <c r="P14" s="91">
        <v>8</v>
      </c>
      <c r="Q14" s="91">
        <v>8</v>
      </c>
      <c r="R14" s="91">
        <v>8</v>
      </c>
      <c r="S14" s="91">
        <v>8</v>
      </c>
      <c r="T14" s="91">
        <v>8</v>
      </c>
      <c r="U14" s="91">
        <v>8</v>
      </c>
      <c r="V14" s="91"/>
      <c r="W14" s="91">
        <v>8</v>
      </c>
      <c r="X14" s="91">
        <v>8</v>
      </c>
      <c r="Y14" s="91">
        <v>8</v>
      </c>
      <c r="Z14" s="91">
        <v>8</v>
      </c>
      <c r="AA14" s="91">
        <v>8</v>
      </c>
      <c r="AB14" s="91">
        <v>8</v>
      </c>
      <c r="AC14" s="91"/>
      <c r="AD14" s="91">
        <v>8</v>
      </c>
      <c r="AE14" s="91">
        <v>8</v>
      </c>
      <c r="AF14" s="91">
        <v>8</v>
      </c>
      <c r="AG14" s="91">
        <v>8</v>
      </c>
      <c r="AH14" s="91">
        <v>8</v>
      </c>
      <c r="AI14" s="91">
        <v>8</v>
      </c>
      <c r="AJ14" s="91"/>
      <c r="AK14" s="239">
        <f t="shared" ref="AK14" si="6">((SUM(F14:AJ14))/8)-(SUMIF($F$6:$AJ$6,"C.Nhật",F14:AJ14)/8)</f>
        <v>26</v>
      </c>
      <c r="AL14" s="239">
        <f t="shared" ref="AL14" si="7">SUM(F15:AJ15)/8*1.5</f>
        <v>0</v>
      </c>
      <c r="AM14" s="241">
        <f>SUMIF($F$6:$AJ$6,"C.Nhật",$F14:$AJ15)/8*2</f>
        <v>0</v>
      </c>
      <c r="AN14" s="218">
        <f>SUM(AK14:AM15)</f>
        <v>26</v>
      </c>
      <c r="AO14" s="244">
        <v>0</v>
      </c>
      <c r="AP14" s="218"/>
      <c r="AQ14" s="218"/>
      <c r="AR14" s="218"/>
      <c r="AS14" s="220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34"/>
      <c r="B15" s="234"/>
      <c r="C15" s="236"/>
      <c r="D15" s="238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40"/>
      <c r="AL15" s="240"/>
      <c r="AM15" s="242"/>
      <c r="AN15" s="219"/>
      <c r="AO15" s="245"/>
      <c r="AP15" s="219"/>
      <c r="AQ15" s="219"/>
      <c r="AR15" s="219"/>
      <c r="AS15" s="221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33">
        <f>A14+1</f>
        <v>2</v>
      </c>
      <c r="B16" s="233" t="s">
        <v>42</v>
      </c>
      <c r="C16" s="235" t="str">
        <f>VLOOKUP(B16,DS,2,0)</f>
        <v>Huỳnh Đoàn Viết Thanh</v>
      </c>
      <c r="D16" s="237" t="str">
        <f>VLOOKUP(B16,DS,3,0)</f>
        <v>Công nhân</v>
      </c>
      <c r="E16" s="90" t="s">
        <v>148</v>
      </c>
      <c r="F16" s="91">
        <v>8</v>
      </c>
      <c r="G16" s="91">
        <v>8</v>
      </c>
      <c r="H16" s="91"/>
      <c r="I16" s="91">
        <v>8</v>
      </c>
      <c r="J16" s="91">
        <v>8</v>
      </c>
      <c r="K16" s="91">
        <v>8</v>
      </c>
      <c r="L16" s="91">
        <v>8</v>
      </c>
      <c r="M16" s="91">
        <v>8</v>
      </c>
      <c r="N16" s="91">
        <v>8</v>
      </c>
      <c r="O16" s="91"/>
      <c r="P16" s="91">
        <v>8</v>
      </c>
      <c r="Q16" s="91">
        <v>8</v>
      </c>
      <c r="R16" s="91">
        <v>8</v>
      </c>
      <c r="S16" s="91">
        <v>8</v>
      </c>
      <c r="T16" s="91">
        <v>8</v>
      </c>
      <c r="U16" s="91">
        <v>8</v>
      </c>
      <c r="V16" s="91"/>
      <c r="W16" s="91">
        <v>8</v>
      </c>
      <c r="X16" s="91">
        <v>8</v>
      </c>
      <c r="Y16" s="91">
        <v>8</v>
      </c>
      <c r="Z16" s="91">
        <v>8</v>
      </c>
      <c r="AA16" s="91">
        <v>8</v>
      </c>
      <c r="AB16" s="91">
        <v>8</v>
      </c>
      <c r="AC16" s="91"/>
      <c r="AD16" s="91">
        <v>8</v>
      </c>
      <c r="AE16" s="91">
        <v>8</v>
      </c>
      <c r="AF16" s="91">
        <v>8</v>
      </c>
      <c r="AG16" s="91">
        <v>8</v>
      </c>
      <c r="AH16" s="91">
        <v>8</v>
      </c>
      <c r="AI16" s="91">
        <v>8</v>
      </c>
      <c r="AJ16" s="91"/>
      <c r="AK16" s="239">
        <f t="shared" ref="AK16" si="8">((SUM(F16:AJ16))/8)-(SUMIF($F$6:$AJ$6,"C.Nhật",F16:AJ16)/8)</f>
        <v>26</v>
      </c>
      <c r="AL16" s="239">
        <f t="shared" ref="AL16" si="9">SUM(F17:AJ17)/8*1.5</f>
        <v>0</v>
      </c>
      <c r="AM16" s="241">
        <f>SUMIF($F$6:$AJ$6,"C.Nhật",$F16:$AJ17)/8*2</f>
        <v>0</v>
      </c>
      <c r="AN16" s="218">
        <f t="shared" ref="AN16" si="10">SUM(AK16:AM17)</f>
        <v>26</v>
      </c>
      <c r="AO16" s="244">
        <v>0</v>
      </c>
      <c r="AP16" s="218"/>
      <c r="AQ16" s="218"/>
      <c r="AR16" s="218"/>
      <c r="AS16" s="220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78" customFormat="1" ht="18" customHeight="1">
      <c r="A17" s="234"/>
      <c r="B17" s="234"/>
      <c r="C17" s="236"/>
      <c r="D17" s="238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40"/>
      <c r="AL17" s="240"/>
      <c r="AM17" s="242"/>
      <c r="AN17" s="219"/>
      <c r="AO17" s="245"/>
      <c r="AP17" s="219"/>
      <c r="AQ17" s="219"/>
      <c r="AR17" s="219"/>
      <c r="AS17" s="221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8" customFormat="1" ht="18" customHeight="1">
      <c r="A18" s="233">
        <f t="shared" ref="A18" si="11">A16+1</f>
        <v>3</v>
      </c>
      <c r="B18" s="233" t="s">
        <v>44</v>
      </c>
      <c r="C18" s="235" t="str">
        <f>VLOOKUP(B18,DS,2,0)</f>
        <v>Trần Ngọc Thoại</v>
      </c>
      <c r="D18" s="237" t="str">
        <f>VLOOKUP(B18,DS,3,0)</f>
        <v>Công nhân</v>
      </c>
      <c r="E18" s="90" t="s">
        <v>148</v>
      </c>
      <c r="F18" s="91">
        <v>8</v>
      </c>
      <c r="G18" s="91">
        <v>8</v>
      </c>
      <c r="H18" s="91"/>
      <c r="I18" s="91">
        <v>8</v>
      </c>
      <c r="J18" s="91">
        <v>8</v>
      </c>
      <c r="K18" s="91">
        <v>8</v>
      </c>
      <c r="L18" s="91">
        <v>8</v>
      </c>
      <c r="M18" s="91">
        <v>8</v>
      </c>
      <c r="N18" s="91">
        <v>8</v>
      </c>
      <c r="O18" s="91"/>
      <c r="P18" s="91">
        <v>8</v>
      </c>
      <c r="Q18" s="91">
        <v>8</v>
      </c>
      <c r="R18" s="91">
        <v>8</v>
      </c>
      <c r="S18" s="91">
        <v>8</v>
      </c>
      <c r="T18" s="91">
        <v>8</v>
      </c>
      <c r="U18" s="91">
        <v>8</v>
      </c>
      <c r="V18" s="91"/>
      <c r="W18" s="91">
        <v>8</v>
      </c>
      <c r="X18" s="91">
        <v>8</v>
      </c>
      <c r="Y18" s="91">
        <v>8</v>
      </c>
      <c r="Z18" s="91">
        <v>8</v>
      </c>
      <c r="AA18" s="91">
        <v>8</v>
      </c>
      <c r="AB18" s="91">
        <v>8</v>
      </c>
      <c r="AC18" s="91"/>
      <c r="AD18" s="91">
        <v>8</v>
      </c>
      <c r="AE18" s="91">
        <v>8</v>
      </c>
      <c r="AF18" s="91">
        <v>8</v>
      </c>
      <c r="AG18" s="91">
        <v>8</v>
      </c>
      <c r="AH18" s="91">
        <v>8</v>
      </c>
      <c r="AI18" s="91">
        <v>8</v>
      </c>
      <c r="AJ18" s="91"/>
      <c r="AK18" s="239">
        <f t="shared" ref="AK18" si="12">((SUM(F18:AJ18))/8)-(SUMIF($F$6:$AJ$6,"C.Nhật",F18:AJ18)/8)</f>
        <v>26</v>
      </c>
      <c r="AL18" s="239">
        <f t="shared" ref="AL18" si="13">SUM(F19:AJ19)/8*1.5</f>
        <v>0</v>
      </c>
      <c r="AM18" s="241">
        <f>SUMIF($F$6:$AJ$6,"C.Nhật",$F18:$AJ19)/8*2</f>
        <v>0</v>
      </c>
      <c r="AN18" s="218">
        <f t="shared" ref="AN18" si="14">SUM(AK18:AM19)</f>
        <v>26</v>
      </c>
      <c r="AO18" s="244">
        <v>0</v>
      </c>
      <c r="AP18" s="218"/>
      <c r="AQ18" s="218"/>
      <c r="AR18" s="218"/>
      <c r="AS18" s="220"/>
      <c r="AT18" s="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78" customFormat="1" ht="18" customHeight="1">
      <c r="A19" s="234"/>
      <c r="B19" s="234"/>
      <c r="C19" s="236"/>
      <c r="D19" s="238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40"/>
      <c r="AL19" s="240"/>
      <c r="AM19" s="242"/>
      <c r="AN19" s="219"/>
      <c r="AO19" s="245"/>
      <c r="AP19" s="219"/>
      <c r="AQ19" s="219"/>
      <c r="AR19" s="219"/>
      <c r="AS19" s="221"/>
      <c r="AT19" s="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8" customFormat="1" ht="18" customHeight="1">
      <c r="A20" s="233">
        <f t="shared" ref="A20" si="15">A18+1</f>
        <v>4</v>
      </c>
      <c r="B20" s="233" t="s">
        <v>46</v>
      </c>
      <c r="C20" s="235" t="str">
        <f>VLOOKUP(B20,DS,2,0)</f>
        <v>Nguyễn Đức Huy</v>
      </c>
      <c r="D20" s="237" t="str">
        <f>VLOOKUP(B20,DS,3,0)</f>
        <v>Công nhân</v>
      </c>
      <c r="E20" s="90" t="s">
        <v>148</v>
      </c>
      <c r="F20" s="91">
        <v>8</v>
      </c>
      <c r="G20" s="91">
        <v>8</v>
      </c>
      <c r="H20" s="91"/>
      <c r="I20" s="91">
        <v>8</v>
      </c>
      <c r="J20" s="91">
        <v>8</v>
      </c>
      <c r="K20" s="91">
        <v>8</v>
      </c>
      <c r="L20" s="91">
        <v>8</v>
      </c>
      <c r="M20" s="91">
        <v>8</v>
      </c>
      <c r="N20" s="91">
        <v>8</v>
      </c>
      <c r="O20" s="91"/>
      <c r="P20" s="91">
        <v>8</v>
      </c>
      <c r="Q20" s="91">
        <v>8</v>
      </c>
      <c r="R20" s="91">
        <v>8</v>
      </c>
      <c r="S20" s="91">
        <v>8</v>
      </c>
      <c r="T20" s="91">
        <v>8</v>
      </c>
      <c r="U20" s="91">
        <v>8</v>
      </c>
      <c r="V20" s="91"/>
      <c r="W20" s="91">
        <v>8</v>
      </c>
      <c r="X20" s="91">
        <v>8</v>
      </c>
      <c r="Y20" s="91">
        <v>8</v>
      </c>
      <c r="Z20" s="91">
        <v>8</v>
      </c>
      <c r="AA20" s="91">
        <v>8</v>
      </c>
      <c r="AB20" s="91">
        <v>8</v>
      </c>
      <c r="AC20" s="91"/>
      <c r="AD20" s="91">
        <v>8</v>
      </c>
      <c r="AE20" s="91">
        <v>8</v>
      </c>
      <c r="AF20" s="91">
        <v>8</v>
      </c>
      <c r="AG20" s="91">
        <v>8</v>
      </c>
      <c r="AH20" s="91">
        <v>8</v>
      </c>
      <c r="AI20" s="91">
        <v>8</v>
      </c>
      <c r="AJ20" s="91"/>
      <c r="AK20" s="239">
        <f t="shared" ref="AK20" si="16">((SUM(F20:AJ20))/8)-(SUMIF($F$6:$AJ$6,"C.Nhật",F20:AJ20)/8)</f>
        <v>26</v>
      </c>
      <c r="AL20" s="239">
        <f t="shared" ref="AL20" si="17">SUM(F21:AJ21)/8*1.5</f>
        <v>0</v>
      </c>
      <c r="AM20" s="241">
        <f>SUMIF($F$6:$AJ$6,"C.Nhật",$F20:$AJ21)/8*2</f>
        <v>0</v>
      </c>
      <c r="AN20" s="218">
        <f t="shared" ref="AN20" si="18">SUM(AK20:AM21)</f>
        <v>26</v>
      </c>
      <c r="AO20" s="244">
        <v>0</v>
      </c>
      <c r="AP20" s="218"/>
      <c r="AQ20" s="218"/>
      <c r="AR20" s="218"/>
      <c r="AS20" s="220"/>
      <c r="AT20" s="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78" customFormat="1" ht="18" customHeight="1">
      <c r="A21" s="234"/>
      <c r="B21" s="234"/>
      <c r="C21" s="236"/>
      <c r="D21" s="238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40"/>
      <c r="AL21" s="240"/>
      <c r="AM21" s="242"/>
      <c r="AN21" s="219"/>
      <c r="AO21" s="245"/>
      <c r="AP21" s="219"/>
      <c r="AQ21" s="219"/>
      <c r="AR21" s="219"/>
      <c r="AS21" s="221"/>
      <c r="AT21" s="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  <c r="AT22" s="103"/>
    </row>
    <row r="23" spans="1:90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  <c r="AT23" s="103"/>
    </row>
    <row r="24" spans="1:90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  <c r="AT24" s="103"/>
    </row>
    <row r="25" spans="1:90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  <c r="AT25" s="96"/>
    </row>
    <row r="26" spans="1:90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  <c r="AT26" s="96"/>
    </row>
    <row r="27" spans="1:90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  <c r="AT27" s="96"/>
    </row>
    <row r="28" spans="1:90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  <c r="AT28" s="96"/>
    </row>
    <row r="29" spans="1:90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96"/>
    </row>
    <row r="30" spans="1:90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94"/>
    </row>
    <row r="31" spans="1:90" ht="15" customHeight="1">
      <c r="C31" s="2" t="s">
        <v>152</v>
      </c>
    </row>
    <row r="32" spans="1:90" ht="15" customHeight="1">
      <c r="C32" s="2" t="s">
        <v>153</v>
      </c>
    </row>
    <row r="33" spans="1:91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2">
    <mergeCell ref="AL20:AL21"/>
    <mergeCell ref="AM20:AM21"/>
    <mergeCell ref="AN20:AN21"/>
    <mergeCell ref="AO20:AO21"/>
    <mergeCell ref="AM18:AM19"/>
    <mergeCell ref="AN18:AN19"/>
    <mergeCell ref="AO18:AO19"/>
    <mergeCell ref="A20:A21"/>
    <mergeCell ref="B20:B21"/>
    <mergeCell ref="C20:C21"/>
    <mergeCell ref="D20:D21"/>
    <mergeCell ref="AK20:AK21"/>
    <mergeCell ref="AP20:AP21"/>
    <mergeCell ref="AQ20:AQ21"/>
    <mergeCell ref="AR20:AR21"/>
    <mergeCell ref="AS20:AS21"/>
    <mergeCell ref="AS18:AS19"/>
    <mergeCell ref="AP18:AP19"/>
    <mergeCell ref="AQ18:AQ19"/>
    <mergeCell ref="AR18:AR19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M14:AM15"/>
    <mergeCell ref="AN14:AN15"/>
    <mergeCell ref="AO14:AO15"/>
    <mergeCell ref="A16:A17"/>
    <mergeCell ref="B16:B17"/>
    <mergeCell ref="C16:C17"/>
    <mergeCell ref="D16:D17"/>
    <mergeCell ref="AK16:AK17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P14:AP15"/>
    <mergeCell ref="AQ14:AQ15"/>
    <mergeCell ref="AR14:AR15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">
    <cfRule type="expression" dxfId="59" priority="8" stopIfTrue="1">
      <formula>IF(WEEKDAY(F$5)=1,TRUE,FALSE)</formula>
    </cfRule>
  </conditionalFormatting>
  <conditionalFormatting sqref="F9:AJ12">
    <cfRule type="expression" dxfId="58" priority="7" stopIfTrue="1">
      <formula>IF(WEEKDAY(F$5)=1,TRUE,FALSE)</formula>
    </cfRule>
  </conditionalFormatting>
  <conditionalFormatting sqref="F14:AJ17">
    <cfRule type="expression" dxfId="57" priority="4" stopIfTrue="1">
      <formula>IF(WEEKDAY(F$5)=1,TRUE,FALSE)</formula>
    </cfRule>
  </conditionalFormatting>
  <conditionalFormatting sqref="F14:AJ17">
    <cfRule type="expression" dxfId="56" priority="3" stopIfTrue="1">
      <formula>IF(WEEKDAY(F$5)=1,TRUE,FALSE)</formula>
    </cfRule>
  </conditionalFormatting>
  <conditionalFormatting sqref="F18:AJ21">
    <cfRule type="expression" dxfId="55" priority="2" stopIfTrue="1">
      <formula>IF(WEEKDAY(F$5)=1,TRUE,FALSE)</formula>
    </cfRule>
  </conditionalFormatting>
  <conditionalFormatting sqref="F18:AJ21">
    <cfRule type="expression" dxfId="5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13" activePane="bottomRight" state="frozen"/>
      <selection activeCell="E19" sqref="E19"/>
      <selection pane="topRight" activeCell="E19" sqref="E19"/>
      <selection pane="bottomLeft" activeCell="E19" sqref="E19"/>
      <selection pane="bottomRight" sqref="A1:T29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47" t="str">
        <f>"BẢNG THANH TOÁN LƯƠNG THÁNG"&amp;" "&amp;TEXT($E$4,"mm")&amp;" / "&amp;TEXT($E$4,"yyyy")</f>
        <v>BẢNG THANH TOÁN LƯƠNG THÁNG 03 / 2013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132</v>
      </c>
      <c r="S1" s="250"/>
      <c r="T1" s="251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-3'!$AK$9:$AK$21)</f>
        <v>26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-3'!$E$4</f>
        <v>41334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2" t="s">
        <v>3</v>
      </c>
      <c r="B5" s="252" t="s">
        <v>161</v>
      </c>
      <c r="C5" s="204" t="s">
        <v>5</v>
      </c>
      <c r="D5" s="204" t="s">
        <v>6</v>
      </c>
      <c r="E5" s="209" t="s">
        <v>7</v>
      </c>
      <c r="F5" s="255" t="s">
        <v>162</v>
      </c>
      <c r="G5" s="256"/>
      <c r="H5" s="256"/>
      <c r="I5" s="256"/>
      <c r="J5" s="256"/>
      <c r="K5" s="257"/>
      <c r="L5" s="254" t="s">
        <v>14</v>
      </c>
      <c r="M5" s="254" t="s">
        <v>163</v>
      </c>
      <c r="N5" s="204" t="s">
        <v>164</v>
      </c>
      <c r="O5" s="204"/>
      <c r="P5" s="204"/>
      <c r="Q5" s="254" t="s">
        <v>165</v>
      </c>
      <c r="R5" s="254" t="s">
        <v>166</v>
      </c>
      <c r="S5" s="254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53"/>
      <c r="B6" s="253"/>
      <c r="C6" s="204"/>
      <c r="D6" s="204"/>
      <c r="E6" s="209"/>
      <c r="F6" s="255" t="s">
        <v>169</v>
      </c>
      <c r="G6" s="257"/>
      <c r="H6" s="255" t="s">
        <v>170</v>
      </c>
      <c r="I6" s="256"/>
      <c r="J6" s="261" t="s">
        <v>171</v>
      </c>
      <c r="K6" s="254" t="s">
        <v>172</v>
      </c>
      <c r="L6" s="258"/>
      <c r="M6" s="258"/>
      <c r="N6" s="263" t="s">
        <v>173</v>
      </c>
      <c r="O6" s="254" t="s">
        <v>174</v>
      </c>
      <c r="P6" s="254" t="s">
        <v>175</v>
      </c>
      <c r="Q6" s="258"/>
      <c r="R6" s="258"/>
      <c r="S6" s="258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53"/>
      <c r="B7" s="253"/>
      <c r="C7" s="254"/>
      <c r="D7" s="254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62"/>
      <c r="K7" s="258"/>
      <c r="L7" s="259"/>
      <c r="M7" s="259"/>
      <c r="N7" s="264"/>
      <c r="O7" s="258"/>
      <c r="P7" s="258"/>
      <c r="Q7" s="258"/>
      <c r="R7" s="258"/>
      <c r="S7" s="258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-3'!$B$8:$AS$21,36,0)</f>
        <v>26</v>
      </c>
      <c r="G10" s="150">
        <f t="shared" ref="G10:G11" si="2">ROUND(E10/$U$2*F10,0)</f>
        <v>1565000</v>
      </c>
      <c r="H10" s="149">
        <f>(VLOOKUP(B10,'CC -3'!$B$8:$AS$21,37,0)+VLOOKUP(B10,'CC -3'!$B$8:$AS$21,38,0))</f>
        <v>0</v>
      </c>
      <c r="I10" s="150">
        <f t="shared" ref="I10:I11" si="3">ROUND(E10/$U$2*H10,0)</f>
        <v>0</v>
      </c>
      <c r="J10" s="151">
        <f t="shared" ref="J10:K11" si="4">F10+H10</f>
        <v>26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-3'!$B$8:$AS$21,36,0)</f>
        <v>26</v>
      </c>
      <c r="G11" s="150">
        <f t="shared" si="2"/>
        <v>1240000</v>
      </c>
      <c r="H11" s="149">
        <f>(VLOOKUP(B11,'CC -3'!$B$8:$AS$21,37,0)+VLOOKUP(B11,'CC -3'!$B$8:$AS$21,38,0))</f>
        <v>0</v>
      </c>
      <c r="I11" s="150">
        <f t="shared" si="3"/>
        <v>0</v>
      </c>
      <c r="J11" s="151">
        <f t="shared" si="4"/>
        <v>26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60" t="s">
        <v>48</v>
      </c>
      <c r="B13" s="260"/>
      <c r="C13" s="260"/>
      <c r="D13" s="260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10">VLOOKUP(B15,DS,2,0)</f>
        <v>Nguyễn Thị Thanh Thúy</v>
      </c>
      <c r="D15" s="147" t="str">
        <f t="shared" ref="D15:D18" si="11">VLOOKUP(B15,DS,3,0)</f>
        <v>Công nhân</v>
      </c>
      <c r="E15" s="148">
        <f t="shared" ref="E15:E18" si="12">VLOOKUP(B15,DS,4,0)</f>
        <v>1365000</v>
      </c>
      <c r="F15" s="149">
        <f>VLOOKUP(B15,'CC -3'!$B$8:$AS$21,36,0)</f>
        <v>26</v>
      </c>
      <c r="G15" s="150">
        <f t="shared" ref="G15:G18" si="13">ROUND(E15/$U$2*F15,0)</f>
        <v>1365000</v>
      </c>
      <c r="H15" s="149">
        <f>(VLOOKUP(B15,'CC -3'!$B$8:$AS$21,37,0)+VLOOKUP(B15,'CC -3'!$B$8:$AS$21,38,0))</f>
        <v>0</v>
      </c>
      <c r="I15" s="150">
        <f t="shared" ref="I15:I18" si="14">ROUND(E15/$U$2*H15,0)</f>
        <v>0</v>
      </c>
      <c r="J15" s="171">
        <f t="shared" ref="J15:K18" si="15">F15+H15</f>
        <v>26</v>
      </c>
      <c r="K15" s="152">
        <f t="shared" si="15"/>
        <v>1365000</v>
      </c>
      <c r="L15" s="148">
        <f>VLOOKUP(B15,DS,6,0)</f>
        <v>260000</v>
      </c>
      <c r="M15" s="153">
        <f t="shared" ref="M15:M18" si="16">K15+L15</f>
        <v>1625000</v>
      </c>
      <c r="N15" s="153">
        <f>IF(VLOOKUP(B15,DS,9,0)="x",'L - 3'!E15*$N$4,0)</f>
        <v>0</v>
      </c>
      <c r="O15" s="153">
        <f t="shared" ref="O15:O18" si="17">IF(VLOOKUP(B15,DS,9,0)="x",E15*0.015,0)</f>
        <v>0</v>
      </c>
      <c r="P15" s="153">
        <f t="shared" ref="P15:P18" si="18">IF(VLOOKUP(B15,DS,9,0)="x",E15*0.01,0)</f>
        <v>0</v>
      </c>
      <c r="Q15" s="152">
        <f>M15-SUM(N15:P15)</f>
        <v>1625000</v>
      </c>
      <c r="R15" s="152">
        <f t="shared" ref="R15:R18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-3'!$B$8:$AS$21,36,0)</f>
        <v>26</v>
      </c>
      <c r="G16" s="150">
        <f t="shared" si="13"/>
        <v>1275000</v>
      </c>
      <c r="H16" s="149">
        <f>(VLOOKUP(B16,'CC -3'!$B$8:$AS$21,37,0)+VLOOKUP(B16,'CC -3'!$B$8:$AS$21,38,0))</f>
        <v>0</v>
      </c>
      <c r="I16" s="150">
        <f t="shared" si="14"/>
        <v>0</v>
      </c>
      <c r="J16" s="171">
        <f t="shared" si="15"/>
        <v>26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- 3'!E16*$N$4,0)</f>
        <v>0</v>
      </c>
      <c r="O16" s="153">
        <f t="shared" si="17"/>
        <v>0</v>
      </c>
      <c r="P16" s="153">
        <f t="shared" si="18"/>
        <v>0</v>
      </c>
      <c r="Q16" s="152">
        <f t="shared" ref="Q16:Q18" si="20">M16-SUM(N16:P16)</f>
        <v>1535000</v>
      </c>
      <c r="R16" s="152">
        <f t="shared" si="19"/>
        <v>0</v>
      </c>
      <c r="S16" s="154">
        <f t="shared" ref="S16:S18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10"/>
        <v>Trần Ngọc Thoại</v>
      </c>
      <c r="D17" s="147" t="str">
        <f t="shared" si="11"/>
        <v>Công nhân</v>
      </c>
      <c r="E17" s="148">
        <f t="shared" si="12"/>
        <v>990000</v>
      </c>
      <c r="F17" s="149">
        <f>VLOOKUP(B17,'CC -3'!$B$8:$AS$21,36,0)</f>
        <v>26</v>
      </c>
      <c r="G17" s="150">
        <f t="shared" si="13"/>
        <v>990000</v>
      </c>
      <c r="H17" s="149">
        <f>(VLOOKUP(B17,'CC -3'!$B$8:$AS$21,37,0)+VLOOKUP(B17,'CC -3'!$B$8:$AS$21,38,0))</f>
        <v>0</v>
      </c>
      <c r="I17" s="150">
        <f t="shared" si="14"/>
        <v>0</v>
      </c>
      <c r="J17" s="171">
        <f t="shared" si="15"/>
        <v>26</v>
      </c>
      <c r="K17" s="152">
        <f t="shared" si="15"/>
        <v>990000</v>
      </c>
      <c r="L17" s="148">
        <f>VLOOKUP(B17,DS,6,0)</f>
        <v>260000</v>
      </c>
      <c r="M17" s="153">
        <f t="shared" si="16"/>
        <v>1250000</v>
      </c>
      <c r="N17" s="153">
        <f>IF(VLOOKUP(B17,DS,9,0)="x",'L - 3'!E17*$N$4,0)</f>
        <v>0</v>
      </c>
      <c r="O17" s="153">
        <f t="shared" si="17"/>
        <v>0</v>
      </c>
      <c r="P17" s="153">
        <f t="shared" si="18"/>
        <v>0</v>
      </c>
      <c r="Q17" s="152">
        <f t="shared" si="20"/>
        <v>1250000</v>
      </c>
      <c r="R17" s="152">
        <f t="shared" si="19"/>
        <v>0</v>
      </c>
      <c r="S17" s="154">
        <f t="shared" si="21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10"/>
        <v>Nguyễn Đức Huy</v>
      </c>
      <c r="D18" s="147" t="str">
        <f t="shared" si="11"/>
        <v>Công nhân</v>
      </c>
      <c r="E18" s="148">
        <f t="shared" si="12"/>
        <v>1015000</v>
      </c>
      <c r="F18" s="149">
        <f>VLOOKUP(B18,'CC -3'!$B$8:$AS$21,36,0)</f>
        <v>26</v>
      </c>
      <c r="G18" s="150">
        <f t="shared" si="13"/>
        <v>1015000</v>
      </c>
      <c r="H18" s="149">
        <f>(VLOOKUP(B18,'CC -3'!$B$8:$AS$21,37,0)+VLOOKUP(B18,'CC -3'!$B$8:$AS$21,38,0))</f>
        <v>0</v>
      </c>
      <c r="I18" s="150">
        <f t="shared" si="14"/>
        <v>0</v>
      </c>
      <c r="J18" s="171">
        <f t="shared" si="15"/>
        <v>26</v>
      </c>
      <c r="K18" s="152">
        <f t="shared" si="15"/>
        <v>1015000</v>
      </c>
      <c r="L18" s="148">
        <f>VLOOKUP(B18,DS,6,0)</f>
        <v>260000</v>
      </c>
      <c r="M18" s="153">
        <f t="shared" si="16"/>
        <v>1275000</v>
      </c>
      <c r="N18" s="153">
        <f>IF(VLOOKUP(B18,DS,9,0)="x",'L - 3'!E18*$N$4,0)</f>
        <v>0</v>
      </c>
      <c r="O18" s="153">
        <f t="shared" si="17"/>
        <v>0</v>
      </c>
      <c r="P18" s="153">
        <f t="shared" si="18"/>
        <v>0</v>
      </c>
      <c r="Q18" s="152">
        <f t="shared" si="20"/>
        <v>1275000</v>
      </c>
      <c r="R18" s="152">
        <f t="shared" si="19"/>
        <v>0</v>
      </c>
      <c r="S18" s="154">
        <f t="shared" si="21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60" t="s">
        <v>48</v>
      </c>
      <c r="B20" s="260"/>
      <c r="C20" s="260"/>
      <c r="D20" s="260"/>
      <c r="E20" s="167">
        <f>SUM(E14:E19)</f>
        <v>4645000</v>
      </c>
      <c r="F20" s="167"/>
      <c r="G20" s="167">
        <f t="shared" ref="G20:S20" si="22">SUM(G14:G19)</f>
        <v>4645000</v>
      </c>
      <c r="H20" s="167"/>
      <c r="I20" s="167">
        <f t="shared" si="22"/>
        <v>0</v>
      </c>
      <c r="J20" s="167"/>
      <c r="K20" s="167">
        <f t="shared" si="22"/>
        <v>4645000</v>
      </c>
      <c r="L20" s="167">
        <f t="shared" si="22"/>
        <v>1040000</v>
      </c>
      <c r="M20" s="167">
        <f t="shared" si="22"/>
        <v>5685000</v>
      </c>
      <c r="N20" s="167">
        <f t="shared" si="22"/>
        <v>0</v>
      </c>
      <c r="O20" s="167">
        <f t="shared" si="22"/>
        <v>0</v>
      </c>
      <c r="P20" s="167">
        <f t="shared" si="22"/>
        <v>0</v>
      </c>
      <c r="Q20" s="167">
        <f t="shared" si="22"/>
        <v>5685000</v>
      </c>
      <c r="R20" s="167">
        <f t="shared" si="22"/>
        <v>0</v>
      </c>
      <c r="S20" s="167">
        <f t="shared" si="22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31  tháng  3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AE12:IJ12 E5:I6 N5:P6 L5 L23 J6:K7 L7 A26:T59 U32:U59 N19:S19 V26:IJ59 V12 J19:L19 AE14:IJ14 V13:IJ13 D13:T13 D20:T20 Q12:S12 A60:IJ65327 A12:B13 A10:B11 Q10:S11 V5:V11 AE5:IJ11" name="Range1"/>
    <protectedRange password="CC78" sqref="F7:H7" name="Range1_4"/>
    <protectedRange password="CC78" sqref="V23:IJ24 S23:T24 N23:Q24 E23:I24" name="Range1_1_1"/>
    <protectedRange password="CC78" sqref="U1 V1:IJ4 B4:T4 W12:AD12 R2:S3 B1:Q3 U19:U31 W14:AD14 U12:U14 U4:U11 W5:AD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A13:D13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8" sqref="F18:AI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5" width="3.42578125" style="116" customWidth="1"/>
    <col min="36" max="36" width="3.42578125" style="116" hidden="1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04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22" t="s">
        <v>132</v>
      </c>
      <c r="AN1" s="223"/>
      <c r="AO1" s="223"/>
      <c r="AP1" s="223"/>
      <c r="AQ1" s="223"/>
      <c r="AR1" s="223"/>
      <c r="AS1" s="224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41365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25" t="s">
        <v>133</v>
      </c>
      <c r="B5" s="225" t="s">
        <v>4</v>
      </c>
      <c r="C5" s="225" t="s">
        <v>5</v>
      </c>
      <c r="D5" s="227" t="s">
        <v>134</v>
      </c>
      <c r="E5" s="225" t="s">
        <v>135</v>
      </c>
      <c r="F5" s="77">
        <f>+E4</f>
        <v>41365</v>
      </c>
      <c r="G5" s="77">
        <f t="shared" ref="G5:AJ5" si="0">F5+1</f>
        <v>41366</v>
      </c>
      <c r="H5" s="77">
        <f t="shared" si="0"/>
        <v>41367</v>
      </c>
      <c r="I5" s="77">
        <f t="shared" si="0"/>
        <v>41368</v>
      </c>
      <c r="J5" s="77">
        <f t="shared" si="0"/>
        <v>41369</v>
      </c>
      <c r="K5" s="77">
        <f t="shared" si="0"/>
        <v>41370</v>
      </c>
      <c r="L5" s="77">
        <f t="shared" si="0"/>
        <v>41371</v>
      </c>
      <c r="M5" s="77">
        <f t="shared" si="0"/>
        <v>41372</v>
      </c>
      <c r="N5" s="77">
        <f t="shared" si="0"/>
        <v>41373</v>
      </c>
      <c r="O5" s="77">
        <f t="shared" si="0"/>
        <v>41374</v>
      </c>
      <c r="P5" s="77">
        <f t="shared" si="0"/>
        <v>41375</v>
      </c>
      <c r="Q5" s="77">
        <f t="shared" si="0"/>
        <v>41376</v>
      </c>
      <c r="R5" s="77">
        <f t="shared" si="0"/>
        <v>41377</v>
      </c>
      <c r="S5" s="77">
        <f t="shared" si="0"/>
        <v>41378</v>
      </c>
      <c r="T5" s="77">
        <f t="shared" si="0"/>
        <v>41379</v>
      </c>
      <c r="U5" s="77">
        <f t="shared" si="0"/>
        <v>41380</v>
      </c>
      <c r="V5" s="77">
        <f t="shared" si="0"/>
        <v>41381</v>
      </c>
      <c r="W5" s="77">
        <f t="shared" si="0"/>
        <v>41382</v>
      </c>
      <c r="X5" s="77">
        <f t="shared" si="0"/>
        <v>41383</v>
      </c>
      <c r="Y5" s="77">
        <f t="shared" si="0"/>
        <v>41384</v>
      </c>
      <c r="Z5" s="77">
        <f t="shared" si="0"/>
        <v>41385</v>
      </c>
      <c r="AA5" s="77">
        <f t="shared" si="0"/>
        <v>41386</v>
      </c>
      <c r="AB5" s="77">
        <f t="shared" si="0"/>
        <v>41387</v>
      </c>
      <c r="AC5" s="77">
        <f t="shared" si="0"/>
        <v>41388</v>
      </c>
      <c r="AD5" s="77">
        <f t="shared" si="0"/>
        <v>41389</v>
      </c>
      <c r="AE5" s="77">
        <f t="shared" si="0"/>
        <v>41390</v>
      </c>
      <c r="AF5" s="77">
        <f t="shared" si="0"/>
        <v>41391</v>
      </c>
      <c r="AG5" s="77">
        <f t="shared" si="0"/>
        <v>41392</v>
      </c>
      <c r="AH5" s="77">
        <f>AG5+1</f>
        <v>41393</v>
      </c>
      <c r="AI5" s="77">
        <f t="shared" si="0"/>
        <v>41394</v>
      </c>
      <c r="AJ5" s="77">
        <f t="shared" si="0"/>
        <v>41395</v>
      </c>
      <c r="AK5" s="228" t="s">
        <v>136</v>
      </c>
      <c r="AL5" s="229"/>
      <c r="AM5" s="230"/>
      <c r="AN5" s="231" t="s">
        <v>137</v>
      </c>
      <c r="AO5" s="231" t="s">
        <v>138</v>
      </c>
      <c r="AP5" s="231" t="s">
        <v>139</v>
      </c>
      <c r="AQ5" s="231" t="s">
        <v>140</v>
      </c>
      <c r="AR5" s="231" t="s">
        <v>141</v>
      </c>
      <c r="AS5" s="227" t="s">
        <v>142</v>
      </c>
      <c r="AT5" s="24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26"/>
      <c r="B6" s="226"/>
      <c r="C6" s="226"/>
      <c r="D6" s="226"/>
      <c r="E6" s="226"/>
      <c r="F6" s="79" t="str">
        <f>CHOOSE(WEEKDAY(F5),"C.Nhật","T.Hai","T.Ba","T.Tư","T.Năm","T.Sáu","T.Bảy")</f>
        <v>T.Hai</v>
      </c>
      <c r="G6" s="79" t="str">
        <f t="shared" ref="G6:AJ6" si="1">CHOOSE(WEEKDAY(G5),"C.Nhật","T.Hai","T.Ba","T.Tư","T.Năm","T.Sáu","T.Bảy")</f>
        <v>T.Ba</v>
      </c>
      <c r="H6" s="79" t="str">
        <f t="shared" si="1"/>
        <v>T.Tư</v>
      </c>
      <c r="I6" s="79" t="str">
        <f t="shared" si="1"/>
        <v>T.Năm</v>
      </c>
      <c r="J6" s="79" t="str">
        <f t="shared" si="1"/>
        <v>T.Sáu</v>
      </c>
      <c r="K6" s="79" t="str">
        <f t="shared" si="1"/>
        <v>T.Bảy</v>
      </c>
      <c r="L6" s="79" t="str">
        <f t="shared" si="1"/>
        <v>C.Nhật</v>
      </c>
      <c r="M6" s="79" t="str">
        <f t="shared" si="1"/>
        <v>T.Hai</v>
      </c>
      <c r="N6" s="79" t="str">
        <f t="shared" si="1"/>
        <v>T.Ba</v>
      </c>
      <c r="O6" s="79" t="str">
        <f t="shared" si="1"/>
        <v>T.Tư</v>
      </c>
      <c r="P6" s="79" t="str">
        <f t="shared" si="1"/>
        <v>T.Năm</v>
      </c>
      <c r="Q6" s="79" t="str">
        <f t="shared" si="1"/>
        <v>T.Sáu</v>
      </c>
      <c r="R6" s="79" t="str">
        <f t="shared" si="1"/>
        <v>T.Bảy</v>
      </c>
      <c r="S6" s="79" t="str">
        <f t="shared" si="1"/>
        <v>C.Nhật</v>
      </c>
      <c r="T6" s="79" t="str">
        <f t="shared" si="1"/>
        <v>T.Hai</v>
      </c>
      <c r="U6" s="79" t="str">
        <f t="shared" si="1"/>
        <v>T.Ba</v>
      </c>
      <c r="V6" s="79" t="str">
        <f t="shared" si="1"/>
        <v>T.Tư</v>
      </c>
      <c r="W6" s="79" t="str">
        <f t="shared" si="1"/>
        <v>T.Năm</v>
      </c>
      <c r="X6" s="79" t="str">
        <f t="shared" si="1"/>
        <v>T.Sáu</v>
      </c>
      <c r="Y6" s="79" t="str">
        <f t="shared" si="1"/>
        <v>T.Bảy</v>
      </c>
      <c r="Z6" s="79" t="str">
        <f t="shared" si="1"/>
        <v>C.Nhật</v>
      </c>
      <c r="AA6" s="79" t="str">
        <f t="shared" si="1"/>
        <v>T.Hai</v>
      </c>
      <c r="AB6" s="79" t="str">
        <f t="shared" si="1"/>
        <v>T.Ba</v>
      </c>
      <c r="AC6" s="79" t="str">
        <f t="shared" si="1"/>
        <v>T.Tư</v>
      </c>
      <c r="AD6" s="79" t="str">
        <f t="shared" si="1"/>
        <v>T.Năm</v>
      </c>
      <c r="AE6" s="79" t="str">
        <f t="shared" si="1"/>
        <v>T.Sáu</v>
      </c>
      <c r="AF6" s="79" t="str">
        <f t="shared" si="1"/>
        <v>T.Bảy</v>
      </c>
      <c r="AG6" s="79" t="str">
        <f t="shared" si="1"/>
        <v>C.Nhật</v>
      </c>
      <c r="AH6" s="79" t="str">
        <f t="shared" si="1"/>
        <v>T.Hai</v>
      </c>
      <c r="AI6" s="79" t="str">
        <f t="shared" si="1"/>
        <v>T.Ba</v>
      </c>
      <c r="AJ6" s="79" t="str">
        <f t="shared" si="1"/>
        <v>T.Tư</v>
      </c>
      <c r="AK6" s="80" t="s">
        <v>143</v>
      </c>
      <c r="AL6" s="80" t="s">
        <v>144</v>
      </c>
      <c r="AM6" s="81" t="s">
        <v>145</v>
      </c>
      <c r="AN6" s="232"/>
      <c r="AO6" s="232"/>
      <c r="AP6" s="232"/>
      <c r="AQ6" s="232"/>
      <c r="AR6" s="232"/>
      <c r="AS6" s="226"/>
      <c r="AT6" s="24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33">
        <v>1</v>
      </c>
      <c r="B9" s="233" t="s">
        <v>34</v>
      </c>
      <c r="C9" s="235" t="str">
        <f>VLOOKUP(B9,DS,2,0)</f>
        <v>Võ Ngọc Thùy Lan</v>
      </c>
      <c r="D9" s="237" t="str">
        <f>VLOOKUP(B9,DS,3,0)</f>
        <v>Giám Đốc</v>
      </c>
      <c r="E9" s="90" t="s">
        <v>148</v>
      </c>
      <c r="F9" s="91">
        <v>8</v>
      </c>
      <c r="G9" s="91">
        <v>8</v>
      </c>
      <c r="H9" s="91">
        <v>8</v>
      </c>
      <c r="I9" s="91">
        <v>8</v>
      </c>
      <c r="J9" s="91">
        <v>8</v>
      </c>
      <c r="K9" s="91">
        <v>8</v>
      </c>
      <c r="L9" s="91"/>
      <c r="M9" s="91">
        <v>8</v>
      </c>
      <c r="N9" s="91">
        <v>8</v>
      </c>
      <c r="O9" s="91">
        <v>8</v>
      </c>
      <c r="P9" s="91">
        <v>8</v>
      </c>
      <c r="Q9" s="91">
        <v>8</v>
      </c>
      <c r="R9" s="91">
        <v>8</v>
      </c>
      <c r="S9" s="91"/>
      <c r="T9" s="91">
        <v>8</v>
      </c>
      <c r="U9" s="91">
        <v>8</v>
      </c>
      <c r="V9" s="91">
        <v>8</v>
      </c>
      <c r="W9" s="91">
        <v>8</v>
      </c>
      <c r="X9" s="91">
        <v>8</v>
      </c>
      <c r="Y9" s="91">
        <v>8</v>
      </c>
      <c r="Z9" s="91"/>
      <c r="AA9" s="91">
        <v>8</v>
      </c>
      <c r="AB9" s="91">
        <v>8</v>
      </c>
      <c r="AC9" s="91">
        <v>8</v>
      </c>
      <c r="AD9" s="91">
        <v>8</v>
      </c>
      <c r="AE9" s="91">
        <v>8</v>
      </c>
      <c r="AF9" s="91">
        <v>8</v>
      </c>
      <c r="AG9" s="91"/>
      <c r="AH9" s="91">
        <v>8</v>
      </c>
      <c r="AI9" s="91">
        <v>8</v>
      </c>
      <c r="AJ9" s="91"/>
      <c r="AK9" s="239">
        <f>((SUM(F9:AJ9))/8)-(SUMIF($F$6:$AJ$6,"C.Nhật",F9:AJ9)/8)</f>
        <v>26</v>
      </c>
      <c r="AL9" s="239">
        <f>SUM(F10:AJ10)/8*1.5</f>
        <v>0</v>
      </c>
      <c r="AM9" s="241">
        <f>SUMIF($F$6:$AJ$6,"C.Nhật",$F9:$AJ10)/8*2</f>
        <v>0</v>
      </c>
      <c r="AN9" s="218">
        <f>SUM(AK9:AM10)</f>
        <v>26</v>
      </c>
      <c r="AO9" s="244">
        <v>0</v>
      </c>
      <c r="AP9" s="218"/>
      <c r="AQ9" s="218"/>
      <c r="AR9" s="218"/>
      <c r="AS9" s="220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34"/>
      <c r="B10" s="234"/>
      <c r="C10" s="236"/>
      <c r="D10" s="238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40"/>
      <c r="AL10" s="240"/>
      <c r="AM10" s="242"/>
      <c r="AN10" s="219"/>
      <c r="AO10" s="245"/>
      <c r="AP10" s="219"/>
      <c r="AQ10" s="219"/>
      <c r="AR10" s="219"/>
      <c r="AS10" s="221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33">
        <v>2</v>
      </c>
      <c r="B11" s="233" t="s">
        <v>36</v>
      </c>
      <c r="C11" s="235" t="str">
        <f>VLOOKUP(B11,DS,2,0)</f>
        <v>Nguyễn Thị Thu Hà</v>
      </c>
      <c r="D11" s="237" t="str">
        <f>VLOOKUP(B11,DS,3,0)</f>
        <v>Kế Toán</v>
      </c>
      <c r="E11" s="90" t="s">
        <v>148</v>
      </c>
      <c r="F11" s="91">
        <v>8</v>
      </c>
      <c r="G11" s="91">
        <v>8</v>
      </c>
      <c r="H11" s="91">
        <v>8</v>
      </c>
      <c r="I11" s="91">
        <v>8</v>
      </c>
      <c r="J11" s="91">
        <v>8</v>
      </c>
      <c r="K11" s="91">
        <v>8</v>
      </c>
      <c r="L11" s="91"/>
      <c r="M11" s="91">
        <v>8</v>
      </c>
      <c r="N11" s="91">
        <v>8</v>
      </c>
      <c r="O11" s="91">
        <v>8</v>
      </c>
      <c r="P11" s="91">
        <v>8</v>
      </c>
      <c r="Q11" s="91">
        <v>8</v>
      </c>
      <c r="R11" s="91">
        <v>8</v>
      </c>
      <c r="S11" s="91"/>
      <c r="T11" s="91">
        <v>8</v>
      </c>
      <c r="U11" s="91">
        <v>8</v>
      </c>
      <c r="V11" s="91">
        <v>8</v>
      </c>
      <c r="W11" s="91">
        <v>8</v>
      </c>
      <c r="X11" s="91">
        <v>8</v>
      </c>
      <c r="Y11" s="91">
        <v>8</v>
      </c>
      <c r="Z11" s="91"/>
      <c r="AA11" s="91">
        <v>8</v>
      </c>
      <c r="AB11" s="91">
        <v>8</v>
      </c>
      <c r="AC11" s="91">
        <v>8</v>
      </c>
      <c r="AD11" s="91">
        <v>8</v>
      </c>
      <c r="AE11" s="91">
        <v>8</v>
      </c>
      <c r="AF11" s="91">
        <v>8</v>
      </c>
      <c r="AG11" s="91"/>
      <c r="AH11" s="91">
        <v>8</v>
      </c>
      <c r="AI11" s="91">
        <v>8</v>
      </c>
      <c r="AJ11" s="91"/>
      <c r="AK11" s="239">
        <f t="shared" ref="AK11" si="2">((SUM(F11:AJ11))/8)-(SUMIF($F$6:$AJ$6,"C.Nhật",F11:AJ11)/8)</f>
        <v>26</v>
      </c>
      <c r="AL11" s="239">
        <f t="shared" ref="AL11" si="3">SUM(F12:AJ12)/8*1.5</f>
        <v>0</v>
      </c>
      <c r="AM11" s="241">
        <f t="shared" ref="AM11" si="4">SUMIF($F$6:$AJ$6,"C.Nhật",$F11:$AJ12)/8*2</f>
        <v>0</v>
      </c>
      <c r="AN11" s="218">
        <f t="shared" ref="AN11" si="5">SUM(AK11:AM12)</f>
        <v>26</v>
      </c>
      <c r="AO11" s="244">
        <v>0</v>
      </c>
      <c r="AP11" s="218"/>
      <c r="AQ11" s="218"/>
      <c r="AR11" s="218"/>
      <c r="AS11" s="220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34"/>
      <c r="B12" s="234"/>
      <c r="C12" s="236"/>
      <c r="D12" s="238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40"/>
      <c r="AL12" s="240"/>
      <c r="AM12" s="242"/>
      <c r="AN12" s="219"/>
      <c r="AO12" s="245"/>
      <c r="AP12" s="219"/>
      <c r="AQ12" s="219"/>
      <c r="AR12" s="219"/>
      <c r="AS12" s="221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33">
        <v>1</v>
      </c>
      <c r="B14" s="233" t="s">
        <v>39</v>
      </c>
      <c r="C14" s="235" t="str">
        <f>VLOOKUP(B14,DS,2,0)</f>
        <v>Nguyễn Thị Thanh Thúy</v>
      </c>
      <c r="D14" s="237" t="str">
        <f>VLOOKUP(B14,DS,3,0)</f>
        <v>Công nhân</v>
      </c>
      <c r="E14" s="90" t="s">
        <v>148</v>
      </c>
      <c r="F14" s="91">
        <v>8</v>
      </c>
      <c r="G14" s="91">
        <v>8</v>
      </c>
      <c r="H14" s="91">
        <v>8</v>
      </c>
      <c r="I14" s="91">
        <v>8</v>
      </c>
      <c r="J14" s="91">
        <v>8</v>
      </c>
      <c r="K14" s="91">
        <v>8</v>
      </c>
      <c r="L14" s="91"/>
      <c r="M14" s="91">
        <v>8</v>
      </c>
      <c r="N14" s="91">
        <v>8</v>
      </c>
      <c r="O14" s="91">
        <v>8</v>
      </c>
      <c r="P14" s="91">
        <v>8</v>
      </c>
      <c r="Q14" s="91">
        <v>8</v>
      </c>
      <c r="R14" s="91">
        <v>8</v>
      </c>
      <c r="S14" s="91"/>
      <c r="T14" s="91">
        <v>8</v>
      </c>
      <c r="U14" s="91">
        <v>8</v>
      </c>
      <c r="V14" s="91">
        <v>8</v>
      </c>
      <c r="W14" s="91">
        <v>8</v>
      </c>
      <c r="X14" s="91">
        <v>8</v>
      </c>
      <c r="Y14" s="91">
        <v>8</v>
      </c>
      <c r="Z14" s="91"/>
      <c r="AA14" s="91">
        <v>8</v>
      </c>
      <c r="AB14" s="91">
        <v>8</v>
      </c>
      <c r="AC14" s="91">
        <v>8</v>
      </c>
      <c r="AD14" s="91">
        <v>8</v>
      </c>
      <c r="AE14" s="91">
        <v>8</v>
      </c>
      <c r="AF14" s="91">
        <v>8</v>
      </c>
      <c r="AG14" s="91"/>
      <c r="AH14" s="91">
        <v>8</v>
      </c>
      <c r="AI14" s="91">
        <v>8</v>
      </c>
      <c r="AJ14" s="91"/>
      <c r="AK14" s="239">
        <f t="shared" ref="AK14" si="6">((SUM(F14:AJ14))/8)-(SUMIF($F$6:$AJ$6,"C.Nhật",F14:AJ14)/8)</f>
        <v>26</v>
      </c>
      <c r="AL14" s="239">
        <f t="shared" ref="AL14" si="7">SUM(F15:AJ15)/8*1.5</f>
        <v>0</v>
      </c>
      <c r="AM14" s="241">
        <f>SUMIF($F$6:$AJ$6,"C.Nhật",$F14:$AJ15)/8*2</f>
        <v>0</v>
      </c>
      <c r="AN14" s="218">
        <f>SUM(AK14:AM15)</f>
        <v>26</v>
      </c>
      <c r="AO14" s="244">
        <v>0</v>
      </c>
      <c r="AP14" s="218"/>
      <c r="AQ14" s="218"/>
      <c r="AR14" s="218"/>
      <c r="AS14" s="220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34"/>
      <c r="B15" s="234"/>
      <c r="C15" s="236"/>
      <c r="D15" s="238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40"/>
      <c r="AL15" s="240"/>
      <c r="AM15" s="242"/>
      <c r="AN15" s="219"/>
      <c r="AO15" s="245"/>
      <c r="AP15" s="219"/>
      <c r="AQ15" s="219"/>
      <c r="AR15" s="219"/>
      <c r="AS15" s="221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33">
        <f>A14+1</f>
        <v>2</v>
      </c>
      <c r="B16" s="233" t="s">
        <v>42</v>
      </c>
      <c r="C16" s="235" t="str">
        <f>VLOOKUP(B16,DS,2,0)</f>
        <v>Huỳnh Đoàn Viết Thanh</v>
      </c>
      <c r="D16" s="237" t="str">
        <f>VLOOKUP(B16,DS,3,0)</f>
        <v>Công nhân</v>
      </c>
      <c r="E16" s="90" t="s">
        <v>148</v>
      </c>
      <c r="F16" s="91">
        <v>8</v>
      </c>
      <c r="G16" s="91">
        <v>8</v>
      </c>
      <c r="H16" s="91">
        <v>8</v>
      </c>
      <c r="I16" s="91">
        <v>8</v>
      </c>
      <c r="J16" s="91">
        <v>8</v>
      </c>
      <c r="K16" s="91">
        <v>8</v>
      </c>
      <c r="L16" s="91"/>
      <c r="M16" s="91">
        <v>8</v>
      </c>
      <c r="N16" s="91">
        <v>8</v>
      </c>
      <c r="O16" s="91">
        <v>8</v>
      </c>
      <c r="P16" s="91">
        <v>8</v>
      </c>
      <c r="Q16" s="91">
        <v>8</v>
      </c>
      <c r="R16" s="91">
        <v>8</v>
      </c>
      <c r="S16" s="91"/>
      <c r="T16" s="91">
        <v>8</v>
      </c>
      <c r="U16" s="91">
        <v>8</v>
      </c>
      <c r="V16" s="91">
        <v>8</v>
      </c>
      <c r="W16" s="91">
        <v>8</v>
      </c>
      <c r="X16" s="91">
        <v>8</v>
      </c>
      <c r="Y16" s="91">
        <v>8</v>
      </c>
      <c r="Z16" s="91"/>
      <c r="AA16" s="91">
        <v>8</v>
      </c>
      <c r="AB16" s="91">
        <v>8</v>
      </c>
      <c r="AC16" s="91">
        <v>8</v>
      </c>
      <c r="AD16" s="91">
        <v>8</v>
      </c>
      <c r="AE16" s="91">
        <v>8</v>
      </c>
      <c r="AF16" s="91">
        <v>8</v>
      </c>
      <c r="AG16" s="91"/>
      <c r="AH16" s="91">
        <v>8</v>
      </c>
      <c r="AI16" s="91">
        <v>8</v>
      </c>
      <c r="AJ16" s="91"/>
      <c r="AK16" s="239">
        <f t="shared" ref="AK16" si="8">((SUM(F16:AJ16))/8)-(SUMIF($F$6:$AJ$6,"C.Nhật",F16:AJ16)/8)</f>
        <v>26</v>
      </c>
      <c r="AL16" s="239">
        <f t="shared" ref="AL16" si="9">SUM(F17:AJ17)/8*1.5</f>
        <v>0</v>
      </c>
      <c r="AM16" s="241">
        <f>SUMIF($F$6:$AJ$6,"C.Nhật",$F16:$AJ17)/8*2</f>
        <v>0</v>
      </c>
      <c r="AN16" s="218">
        <f t="shared" ref="AN16" si="10">SUM(AK16:AM17)</f>
        <v>26</v>
      </c>
      <c r="AO16" s="244">
        <v>0</v>
      </c>
      <c r="AP16" s="218"/>
      <c r="AQ16" s="218"/>
      <c r="AR16" s="218"/>
      <c r="AS16" s="220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78" customFormat="1" ht="18" customHeight="1">
      <c r="A17" s="234"/>
      <c r="B17" s="234"/>
      <c r="C17" s="236"/>
      <c r="D17" s="238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40"/>
      <c r="AL17" s="240"/>
      <c r="AM17" s="242"/>
      <c r="AN17" s="219"/>
      <c r="AO17" s="245"/>
      <c r="AP17" s="219"/>
      <c r="AQ17" s="219"/>
      <c r="AR17" s="219"/>
      <c r="AS17" s="221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8" customFormat="1" ht="18" customHeight="1">
      <c r="A18" s="233">
        <f t="shared" ref="A18" si="11">A16+1</f>
        <v>3</v>
      </c>
      <c r="B18" s="233" t="s">
        <v>44</v>
      </c>
      <c r="C18" s="235" t="str">
        <f>VLOOKUP(B18,DS,2,0)</f>
        <v>Trần Ngọc Thoại</v>
      </c>
      <c r="D18" s="237" t="str">
        <f>VLOOKUP(B18,DS,3,0)</f>
        <v>Công nhân</v>
      </c>
      <c r="E18" s="90" t="s">
        <v>148</v>
      </c>
      <c r="F18" s="91">
        <v>8</v>
      </c>
      <c r="G18" s="91">
        <v>8</v>
      </c>
      <c r="H18" s="91">
        <v>8</v>
      </c>
      <c r="I18" s="91">
        <v>8</v>
      </c>
      <c r="J18" s="91">
        <v>8</v>
      </c>
      <c r="K18" s="91">
        <v>8</v>
      </c>
      <c r="L18" s="91"/>
      <c r="M18" s="91">
        <v>8</v>
      </c>
      <c r="N18" s="91">
        <v>8</v>
      </c>
      <c r="O18" s="91">
        <v>8</v>
      </c>
      <c r="P18" s="91">
        <v>8</v>
      </c>
      <c r="Q18" s="91">
        <v>8</v>
      </c>
      <c r="R18" s="91">
        <v>8</v>
      </c>
      <c r="S18" s="91"/>
      <c r="T18" s="91">
        <v>8</v>
      </c>
      <c r="U18" s="91">
        <v>8</v>
      </c>
      <c r="V18" s="91">
        <v>8</v>
      </c>
      <c r="W18" s="91">
        <v>8</v>
      </c>
      <c r="X18" s="91">
        <v>8</v>
      </c>
      <c r="Y18" s="91">
        <v>8</v>
      </c>
      <c r="Z18" s="91"/>
      <c r="AA18" s="91">
        <v>8</v>
      </c>
      <c r="AB18" s="91">
        <v>8</v>
      </c>
      <c r="AC18" s="91">
        <v>8</v>
      </c>
      <c r="AD18" s="91">
        <v>8</v>
      </c>
      <c r="AE18" s="91">
        <v>8</v>
      </c>
      <c r="AF18" s="91">
        <v>8</v>
      </c>
      <c r="AG18" s="91"/>
      <c r="AH18" s="91">
        <v>8</v>
      </c>
      <c r="AI18" s="91">
        <v>8</v>
      </c>
      <c r="AJ18" s="91"/>
      <c r="AK18" s="239">
        <f t="shared" ref="AK18" si="12">((SUM(F18:AJ18))/8)-(SUMIF($F$6:$AJ$6,"C.Nhật",F18:AJ18)/8)</f>
        <v>26</v>
      </c>
      <c r="AL18" s="239">
        <f t="shared" ref="AL18" si="13">SUM(F19:AJ19)/8*1.5</f>
        <v>0</v>
      </c>
      <c r="AM18" s="241">
        <f>SUMIF($F$6:$AJ$6,"C.Nhật",$F18:$AJ19)/8*2</f>
        <v>0</v>
      </c>
      <c r="AN18" s="218">
        <f t="shared" ref="AN18" si="14">SUM(AK18:AM19)</f>
        <v>26</v>
      </c>
      <c r="AO18" s="244">
        <v>0</v>
      </c>
      <c r="AP18" s="218"/>
      <c r="AQ18" s="218"/>
      <c r="AR18" s="218"/>
      <c r="AS18" s="220"/>
      <c r="AT18" s="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78" customFormat="1" ht="18" customHeight="1">
      <c r="A19" s="234"/>
      <c r="B19" s="234"/>
      <c r="C19" s="236"/>
      <c r="D19" s="238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40"/>
      <c r="AL19" s="240"/>
      <c r="AM19" s="242"/>
      <c r="AN19" s="219"/>
      <c r="AO19" s="245"/>
      <c r="AP19" s="219"/>
      <c r="AQ19" s="219"/>
      <c r="AR19" s="219"/>
      <c r="AS19" s="221"/>
      <c r="AT19" s="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8" customFormat="1" ht="18" customHeight="1">
      <c r="A20" s="233">
        <f t="shared" ref="A20" si="15">A18+1</f>
        <v>4</v>
      </c>
      <c r="B20" s="233" t="s">
        <v>46</v>
      </c>
      <c r="C20" s="235" t="str">
        <f>VLOOKUP(B20,DS,2,0)</f>
        <v>Nguyễn Đức Huy</v>
      </c>
      <c r="D20" s="237" t="str">
        <f>VLOOKUP(B20,DS,3,0)</f>
        <v>Công nhân</v>
      </c>
      <c r="E20" s="90" t="s">
        <v>148</v>
      </c>
      <c r="F20" s="91">
        <v>8</v>
      </c>
      <c r="G20" s="91">
        <v>8</v>
      </c>
      <c r="H20" s="91">
        <v>8</v>
      </c>
      <c r="I20" s="91">
        <v>8</v>
      </c>
      <c r="J20" s="91">
        <v>8</v>
      </c>
      <c r="K20" s="91">
        <v>8</v>
      </c>
      <c r="L20" s="91"/>
      <c r="M20" s="91">
        <v>8</v>
      </c>
      <c r="N20" s="91">
        <v>8</v>
      </c>
      <c r="O20" s="91">
        <v>8</v>
      </c>
      <c r="P20" s="91">
        <v>8</v>
      </c>
      <c r="Q20" s="91">
        <v>8</v>
      </c>
      <c r="R20" s="91">
        <v>8</v>
      </c>
      <c r="S20" s="91"/>
      <c r="T20" s="91">
        <v>8</v>
      </c>
      <c r="U20" s="91">
        <v>8</v>
      </c>
      <c r="V20" s="91">
        <v>8</v>
      </c>
      <c r="W20" s="91">
        <v>8</v>
      </c>
      <c r="X20" s="91">
        <v>8</v>
      </c>
      <c r="Y20" s="91">
        <v>8</v>
      </c>
      <c r="Z20" s="91"/>
      <c r="AA20" s="91">
        <v>8</v>
      </c>
      <c r="AB20" s="91">
        <v>8</v>
      </c>
      <c r="AC20" s="91">
        <v>8</v>
      </c>
      <c r="AD20" s="91">
        <v>8</v>
      </c>
      <c r="AE20" s="91">
        <v>8</v>
      </c>
      <c r="AF20" s="91">
        <v>8</v>
      </c>
      <c r="AG20" s="91"/>
      <c r="AH20" s="91">
        <v>8</v>
      </c>
      <c r="AI20" s="91">
        <v>8</v>
      </c>
      <c r="AJ20" s="91"/>
      <c r="AK20" s="239">
        <f t="shared" ref="AK20" si="16">((SUM(F20:AJ20))/8)-(SUMIF($F$6:$AJ$6,"C.Nhật",F20:AJ20)/8)</f>
        <v>26</v>
      </c>
      <c r="AL20" s="239">
        <f t="shared" ref="AL20" si="17">SUM(F21:AJ21)/8*1.5</f>
        <v>0</v>
      </c>
      <c r="AM20" s="241">
        <f>SUMIF($F$6:$AJ$6,"C.Nhật",$F20:$AJ21)/8*2</f>
        <v>0</v>
      </c>
      <c r="AN20" s="218">
        <f t="shared" ref="AN20" si="18">SUM(AK20:AM21)</f>
        <v>26</v>
      </c>
      <c r="AO20" s="244">
        <v>0</v>
      </c>
      <c r="AP20" s="218"/>
      <c r="AQ20" s="218"/>
      <c r="AR20" s="218"/>
      <c r="AS20" s="220"/>
      <c r="AT20" s="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78" customFormat="1" ht="18" customHeight="1">
      <c r="A21" s="234"/>
      <c r="B21" s="234"/>
      <c r="C21" s="236"/>
      <c r="D21" s="238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40"/>
      <c r="AL21" s="240"/>
      <c r="AM21" s="242"/>
      <c r="AN21" s="219"/>
      <c r="AO21" s="245"/>
      <c r="AP21" s="219"/>
      <c r="AQ21" s="219"/>
      <c r="AR21" s="219"/>
      <c r="AS21" s="221"/>
      <c r="AT21" s="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  <c r="AT22" s="103"/>
    </row>
    <row r="23" spans="1:90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  <c r="AT23" s="103"/>
    </row>
    <row r="24" spans="1:90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  <c r="AT24" s="103"/>
    </row>
    <row r="25" spans="1:90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  <c r="AT25" s="96"/>
    </row>
    <row r="26" spans="1:90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  <c r="AT26" s="96"/>
    </row>
    <row r="27" spans="1:90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  <c r="AT27" s="96"/>
    </row>
    <row r="28" spans="1:90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  <c r="AT28" s="96"/>
    </row>
    <row r="29" spans="1:90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96"/>
    </row>
    <row r="30" spans="1:90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94"/>
    </row>
    <row r="31" spans="1:90" ht="15" customHeight="1">
      <c r="C31" s="2" t="s">
        <v>152</v>
      </c>
    </row>
    <row r="32" spans="1:90" ht="15" customHeight="1">
      <c r="C32" s="2" t="s">
        <v>153</v>
      </c>
    </row>
    <row r="33" spans="1:91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2">
    <mergeCell ref="AL20:AL21"/>
    <mergeCell ref="AM20:AM21"/>
    <mergeCell ref="AN20:AN21"/>
    <mergeCell ref="AO20:AO21"/>
    <mergeCell ref="AM18:AM19"/>
    <mergeCell ref="AN18:AN19"/>
    <mergeCell ref="AO18:AO19"/>
    <mergeCell ref="A20:A21"/>
    <mergeCell ref="B20:B21"/>
    <mergeCell ref="C20:C21"/>
    <mergeCell ref="D20:D21"/>
    <mergeCell ref="AK20:AK21"/>
    <mergeCell ref="AP20:AP21"/>
    <mergeCell ref="AQ20:AQ21"/>
    <mergeCell ref="AR20:AR21"/>
    <mergeCell ref="AS20:AS21"/>
    <mergeCell ref="AS18:AS19"/>
    <mergeCell ref="AP18:AP19"/>
    <mergeCell ref="AQ18:AQ19"/>
    <mergeCell ref="AR18:AR19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M14:AM15"/>
    <mergeCell ref="AN14:AN15"/>
    <mergeCell ref="AO14:AO15"/>
    <mergeCell ref="A16:A17"/>
    <mergeCell ref="B16:B17"/>
    <mergeCell ref="C16:C17"/>
    <mergeCell ref="D16:D17"/>
    <mergeCell ref="AK16:AK17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P14:AP15"/>
    <mergeCell ref="AQ14:AQ15"/>
    <mergeCell ref="AR14:AR15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">
    <cfRule type="expression" dxfId="53" priority="8" stopIfTrue="1">
      <formula>IF(WEEKDAY(F$5)=1,TRUE,FALSE)</formula>
    </cfRule>
  </conditionalFormatting>
  <conditionalFormatting sqref="F9:AJ12">
    <cfRule type="expression" dxfId="52" priority="7" stopIfTrue="1">
      <formula>IF(WEEKDAY(F$5)=1,TRUE,FALSE)</formula>
    </cfRule>
  </conditionalFormatting>
  <conditionalFormatting sqref="AJ14:AJ21">
    <cfRule type="expression" dxfId="51" priority="6" stopIfTrue="1">
      <formula>IF(WEEKDAY(AJ$5)=1,TRUE,FALSE)</formula>
    </cfRule>
  </conditionalFormatting>
  <conditionalFormatting sqref="AJ14:AJ21">
    <cfRule type="expression" dxfId="50" priority="5" stopIfTrue="1">
      <formula>IF(WEEKDAY(AJ$5)=1,TRUE,FALSE)</formula>
    </cfRule>
  </conditionalFormatting>
  <conditionalFormatting sqref="F14:AI17">
    <cfRule type="expression" dxfId="49" priority="4" stopIfTrue="1">
      <formula>IF(WEEKDAY(F$5)=1,TRUE,FALSE)</formula>
    </cfRule>
  </conditionalFormatting>
  <conditionalFormatting sqref="F14:AI17">
    <cfRule type="expression" dxfId="48" priority="3" stopIfTrue="1">
      <formula>IF(WEEKDAY(F$5)=1,TRUE,FALSE)</formula>
    </cfRule>
  </conditionalFormatting>
  <conditionalFormatting sqref="F18:AI21">
    <cfRule type="expression" dxfId="47" priority="2" stopIfTrue="1">
      <formula>IF(WEEKDAY(F$5)=1,TRUE,FALSE)</formula>
    </cfRule>
  </conditionalFormatting>
  <conditionalFormatting sqref="F18:AI21">
    <cfRule type="expression" dxfId="4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13" activePane="bottomRight" state="frozen"/>
      <selection activeCell="E19" sqref="E19"/>
      <selection pane="topRight" activeCell="E19" sqref="E19"/>
      <selection pane="bottomLeft" activeCell="E19" sqref="E19"/>
      <selection pane="bottomRight" sqref="A1:T29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47" t="str">
        <f>"BẢNG THANH TOÁN LƯƠNG THÁNG"&amp;" "&amp;TEXT($E$4,"mm")&amp;" / "&amp;TEXT($E$4,"yyyy")</f>
        <v>BẢNG THANH TOÁN LƯƠNG THÁNG 04 / 2013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132</v>
      </c>
      <c r="S1" s="250"/>
      <c r="T1" s="251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-4'!$AK$9:$AK$21)</f>
        <v>26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-4'!$E$4</f>
        <v>41365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2" t="s">
        <v>3</v>
      </c>
      <c r="B5" s="252" t="s">
        <v>161</v>
      </c>
      <c r="C5" s="204" t="s">
        <v>5</v>
      </c>
      <c r="D5" s="204" t="s">
        <v>6</v>
      </c>
      <c r="E5" s="209" t="s">
        <v>7</v>
      </c>
      <c r="F5" s="255" t="s">
        <v>162</v>
      </c>
      <c r="G5" s="256"/>
      <c r="H5" s="256"/>
      <c r="I5" s="256"/>
      <c r="J5" s="256"/>
      <c r="K5" s="257"/>
      <c r="L5" s="254" t="s">
        <v>14</v>
      </c>
      <c r="M5" s="254" t="s">
        <v>163</v>
      </c>
      <c r="N5" s="204" t="s">
        <v>164</v>
      </c>
      <c r="O5" s="204"/>
      <c r="P5" s="204"/>
      <c r="Q5" s="254" t="s">
        <v>165</v>
      </c>
      <c r="R5" s="254" t="s">
        <v>166</v>
      </c>
      <c r="S5" s="254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53"/>
      <c r="B6" s="253"/>
      <c r="C6" s="204"/>
      <c r="D6" s="204"/>
      <c r="E6" s="209"/>
      <c r="F6" s="255" t="s">
        <v>169</v>
      </c>
      <c r="G6" s="257"/>
      <c r="H6" s="255" t="s">
        <v>170</v>
      </c>
      <c r="I6" s="256"/>
      <c r="J6" s="261" t="s">
        <v>171</v>
      </c>
      <c r="K6" s="254" t="s">
        <v>172</v>
      </c>
      <c r="L6" s="258"/>
      <c r="M6" s="258"/>
      <c r="N6" s="263" t="s">
        <v>173</v>
      </c>
      <c r="O6" s="254" t="s">
        <v>174</v>
      </c>
      <c r="P6" s="254" t="s">
        <v>175</v>
      </c>
      <c r="Q6" s="258"/>
      <c r="R6" s="258"/>
      <c r="S6" s="258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53"/>
      <c r="B7" s="253"/>
      <c r="C7" s="254"/>
      <c r="D7" s="254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62"/>
      <c r="K7" s="258"/>
      <c r="L7" s="259"/>
      <c r="M7" s="259"/>
      <c r="N7" s="264"/>
      <c r="O7" s="258"/>
      <c r="P7" s="258"/>
      <c r="Q7" s="258"/>
      <c r="R7" s="258"/>
      <c r="S7" s="258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-4'!$B$8:$AS$21,36,0)</f>
        <v>26</v>
      </c>
      <c r="G10" s="150">
        <f t="shared" ref="G10:G11" si="2">ROUND(E10/$U$2*F10,0)</f>
        <v>1565000</v>
      </c>
      <c r="H10" s="149">
        <f>(VLOOKUP(B10,'CC -4'!$B$8:$AS$21,37,0)+VLOOKUP(B10,'CC -4'!$B$8:$AS$21,38,0))</f>
        <v>0</v>
      </c>
      <c r="I10" s="150">
        <f t="shared" ref="I10:I11" si="3">ROUND(E10/$U$2*H10,0)</f>
        <v>0</v>
      </c>
      <c r="J10" s="151">
        <f t="shared" ref="J10:K11" si="4">F10+H10</f>
        <v>26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-4'!$B$8:$AS$21,36,0)</f>
        <v>26</v>
      </c>
      <c r="G11" s="150">
        <f t="shared" si="2"/>
        <v>1240000</v>
      </c>
      <c r="H11" s="149">
        <f>(VLOOKUP(B11,'CC -4'!$B$8:$AS$21,37,0)+VLOOKUP(B11,'CC -4'!$B$8:$AS$21,38,0))</f>
        <v>0</v>
      </c>
      <c r="I11" s="150">
        <f t="shared" si="3"/>
        <v>0</v>
      </c>
      <c r="J11" s="151">
        <f t="shared" si="4"/>
        <v>26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60" t="s">
        <v>48</v>
      </c>
      <c r="B13" s="260"/>
      <c r="C13" s="260"/>
      <c r="D13" s="260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10">VLOOKUP(B15,DS,2,0)</f>
        <v>Nguyễn Thị Thanh Thúy</v>
      </c>
      <c r="D15" s="147" t="str">
        <f t="shared" ref="D15:D18" si="11">VLOOKUP(B15,DS,3,0)</f>
        <v>Công nhân</v>
      </c>
      <c r="E15" s="148">
        <f t="shared" ref="E15:E18" si="12">VLOOKUP(B15,DS,4,0)</f>
        <v>1365000</v>
      </c>
      <c r="F15" s="149">
        <f>VLOOKUP(B15,'CC -4'!$B$8:$AS$21,36,0)</f>
        <v>26</v>
      </c>
      <c r="G15" s="150">
        <f t="shared" ref="G15:G18" si="13">ROUND(E15/$U$2*F15,0)</f>
        <v>1365000</v>
      </c>
      <c r="H15" s="149">
        <f>(VLOOKUP(B15,'CC -4'!$B$8:$AS$21,37,0)+VLOOKUP(B15,'CC -4'!$B$8:$AS$21,38,0))</f>
        <v>0</v>
      </c>
      <c r="I15" s="150">
        <f t="shared" ref="I15:I18" si="14">ROUND(E15/$U$2*H15,0)</f>
        <v>0</v>
      </c>
      <c r="J15" s="171">
        <f t="shared" ref="J15:K18" si="15">F15+H15</f>
        <v>26</v>
      </c>
      <c r="K15" s="152">
        <f t="shared" si="15"/>
        <v>1365000</v>
      </c>
      <c r="L15" s="148">
        <f>VLOOKUP(B15,DS,6,0)</f>
        <v>260000</v>
      </c>
      <c r="M15" s="153">
        <f t="shared" ref="M15:M18" si="16">K15+L15</f>
        <v>1625000</v>
      </c>
      <c r="N15" s="153">
        <f>IF(VLOOKUP(B15,DS,9,0)="x",'L - 4'!E15*$N$4,0)</f>
        <v>0</v>
      </c>
      <c r="O15" s="153">
        <f t="shared" ref="O15:O18" si="17">IF(VLOOKUP(B15,DS,9,0)="x",E15*0.015,0)</f>
        <v>0</v>
      </c>
      <c r="P15" s="153">
        <f t="shared" ref="P15:P18" si="18">IF(VLOOKUP(B15,DS,9,0)="x",E15*0.01,0)</f>
        <v>0</v>
      </c>
      <c r="Q15" s="152">
        <f>M15-SUM(N15:P15)</f>
        <v>1625000</v>
      </c>
      <c r="R15" s="152">
        <f t="shared" ref="R15:R18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-4'!$B$8:$AS$21,36,0)</f>
        <v>26</v>
      </c>
      <c r="G16" s="150">
        <f t="shared" si="13"/>
        <v>1275000</v>
      </c>
      <c r="H16" s="149">
        <f>(VLOOKUP(B16,'CC -4'!$B$8:$AS$21,37,0)+VLOOKUP(B16,'CC -4'!$B$8:$AS$21,38,0))</f>
        <v>0</v>
      </c>
      <c r="I16" s="150">
        <f t="shared" si="14"/>
        <v>0</v>
      </c>
      <c r="J16" s="171">
        <f t="shared" si="15"/>
        <v>26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- 4'!E16*$N$4,0)</f>
        <v>0</v>
      </c>
      <c r="O16" s="153">
        <f t="shared" si="17"/>
        <v>0</v>
      </c>
      <c r="P16" s="153">
        <f t="shared" si="18"/>
        <v>0</v>
      </c>
      <c r="Q16" s="152">
        <f t="shared" ref="Q16:Q18" si="20">M16-SUM(N16:P16)</f>
        <v>1535000</v>
      </c>
      <c r="R16" s="152">
        <f t="shared" si="19"/>
        <v>0</v>
      </c>
      <c r="S16" s="154">
        <f t="shared" ref="S16:S18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10"/>
        <v>Trần Ngọc Thoại</v>
      </c>
      <c r="D17" s="147" t="str">
        <f t="shared" si="11"/>
        <v>Công nhân</v>
      </c>
      <c r="E17" s="148">
        <f t="shared" si="12"/>
        <v>990000</v>
      </c>
      <c r="F17" s="149">
        <f>VLOOKUP(B17,'CC -4'!$B$8:$AS$21,36,0)</f>
        <v>26</v>
      </c>
      <c r="G17" s="150">
        <f t="shared" si="13"/>
        <v>990000</v>
      </c>
      <c r="H17" s="149">
        <f>(VLOOKUP(B17,'CC -4'!$B$8:$AS$21,37,0)+VLOOKUP(B17,'CC -4'!$B$8:$AS$21,38,0))</f>
        <v>0</v>
      </c>
      <c r="I17" s="150">
        <f t="shared" si="14"/>
        <v>0</v>
      </c>
      <c r="J17" s="171">
        <f t="shared" si="15"/>
        <v>26</v>
      </c>
      <c r="K17" s="152">
        <f t="shared" si="15"/>
        <v>990000</v>
      </c>
      <c r="L17" s="148">
        <f>VLOOKUP(B17,DS,6,0)</f>
        <v>260000</v>
      </c>
      <c r="M17" s="153">
        <f t="shared" si="16"/>
        <v>1250000</v>
      </c>
      <c r="N17" s="153">
        <f>IF(VLOOKUP(B17,DS,9,0)="x",'L - 4'!E17*$N$4,0)</f>
        <v>0</v>
      </c>
      <c r="O17" s="153">
        <f t="shared" si="17"/>
        <v>0</v>
      </c>
      <c r="P17" s="153">
        <f t="shared" si="18"/>
        <v>0</v>
      </c>
      <c r="Q17" s="152">
        <f t="shared" si="20"/>
        <v>1250000</v>
      </c>
      <c r="R17" s="152">
        <f t="shared" si="19"/>
        <v>0</v>
      </c>
      <c r="S17" s="154">
        <f t="shared" si="21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10"/>
        <v>Nguyễn Đức Huy</v>
      </c>
      <c r="D18" s="147" t="str">
        <f t="shared" si="11"/>
        <v>Công nhân</v>
      </c>
      <c r="E18" s="148">
        <f t="shared" si="12"/>
        <v>1015000</v>
      </c>
      <c r="F18" s="149">
        <f>VLOOKUP(B18,'CC -4'!$B$8:$AS$21,36,0)</f>
        <v>26</v>
      </c>
      <c r="G18" s="150">
        <f t="shared" si="13"/>
        <v>1015000</v>
      </c>
      <c r="H18" s="149">
        <f>(VLOOKUP(B18,'CC -4'!$B$8:$AS$21,37,0)+VLOOKUP(B18,'CC -4'!$B$8:$AS$21,38,0))</f>
        <v>0</v>
      </c>
      <c r="I18" s="150">
        <f t="shared" si="14"/>
        <v>0</v>
      </c>
      <c r="J18" s="171">
        <f t="shared" si="15"/>
        <v>26</v>
      </c>
      <c r="K18" s="152">
        <f t="shared" si="15"/>
        <v>1015000</v>
      </c>
      <c r="L18" s="148">
        <f>VLOOKUP(B18,DS,6,0)</f>
        <v>260000</v>
      </c>
      <c r="M18" s="153">
        <f t="shared" si="16"/>
        <v>1275000</v>
      </c>
      <c r="N18" s="153">
        <f>IF(VLOOKUP(B18,DS,9,0)="x",'L - 4'!E18*$N$4,0)</f>
        <v>0</v>
      </c>
      <c r="O18" s="153">
        <f t="shared" si="17"/>
        <v>0</v>
      </c>
      <c r="P18" s="153">
        <f t="shared" si="18"/>
        <v>0</v>
      </c>
      <c r="Q18" s="152">
        <f t="shared" si="20"/>
        <v>1275000</v>
      </c>
      <c r="R18" s="152">
        <f t="shared" si="19"/>
        <v>0</v>
      </c>
      <c r="S18" s="154">
        <f t="shared" si="21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60" t="s">
        <v>48</v>
      </c>
      <c r="B20" s="260"/>
      <c r="C20" s="260"/>
      <c r="D20" s="260"/>
      <c r="E20" s="167">
        <f>SUM(E14:E19)</f>
        <v>4645000</v>
      </c>
      <c r="F20" s="167"/>
      <c r="G20" s="167">
        <f t="shared" ref="G20:S20" si="22">SUM(G14:G19)</f>
        <v>4645000</v>
      </c>
      <c r="H20" s="167"/>
      <c r="I20" s="167">
        <f t="shared" si="22"/>
        <v>0</v>
      </c>
      <c r="J20" s="167"/>
      <c r="K20" s="167">
        <f t="shared" si="22"/>
        <v>4645000</v>
      </c>
      <c r="L20" s="167">
        <f t="shared" si="22"/>
        <v>1040000</v>
      </c>
      <c r="M20" s="167">
        <f t="shared" si="22"/>
        <v>5685000</v>
      </c>
      <c r="N20" s="167">
        <f t="shared" si="22"/>
        <v>0</v>
      </c>
      <c r="O20" s="167">
        <f t="shared" si="22"/>
        <v>0</v>
      </c>
      <c r="P20" s="167">
        <f t="shared" si="22"/>
        <v>0</v>
      </c>
      <c r="Q20" s="167">
        <f t="shared" si="22"/>
        <v>5685000</v>
      </c>
      <c r="R20" s="167">
        <f t="shared" si="22"/>
        <v>0</v>
      </c>
      <c r="S20" s="167">
        <f t="shared" si="22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30  tháng  4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AE12:IJ12 E5:I6 N5:P6 L5 L23 J6:K7 L7 A26:T59 U32:U59 N19:S19 V26:IJ59 V12 J19:L19 AE14:IJ14 V13:IJ13 D13:T13 D20:T20 Q12:S12 A60:IJ65327 A12:B13 A10:B11 Q10:S11 V5:V11 AE5:IJ11" name="Range1"/>
    <protectedRange password="CC78" sqref="F7:H7" name="Range1_4"/>
    <protectedRange password="CC78" sqref="V23:IJ24 S23:T24 N23:Q24 E23:I24" name="Range1_1_1"/>
    <protectedRange password="CC78" sqref="U1 V1:IJ4 B4:T4 W12:AD12 R2:S3 B1:Q3 U19:U31 W14:AD14 U12:U14 U4:U11 W5:AD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A13:D13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8" sqref="F18:AJ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05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22" t="s">
        <v>132</v>
      </c>
      <c r="AN1" s="223"/>
      <c r="AO1" s="223"/>
      <c r="AP1" s="223"/>
      <c r="AQ1" s="223"/>
      <c r="AR1" s="223"/>
      <c r="AS1" s="224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41395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25" t="s">
        <v>133</v>
      </c>
      <c r="B5" s="225" t="s">
        <v>4</v>
      </c>
      <c r="C5" s="225" t="s">
        <v>5</v>
      </c>
      <c r="D5" s="227" t="s">
        <v>134</v>
      </c>
      <c r="E5" s="225" t="s">
        <v>135</v>
      </c>
      <c r="F5" s="77">
        <f>+E4</f>
        <v>41395</v>
      </c>
      <c r="G5" s="77">
        <f t="shared" ref="G5:AJ5" si="0">F5+1</f>
        <v>41396</v>
      </c>
      <c r="H5" s="77">
        <f t="shared" si="0"/>
        <v>41397</v>
      </c>
      <c r="I5" s="77">
        <f t="shared" si="0"/>
        <v>41398</v>
      </c>
      <c r="J5" s="77">
        <f t="shared" si="0"/>
        <v>41399</v>
      </c>
      <c r="K5" s="77">
        <f t="shared" si="0"/>
        <v>41400</v>
      </c>
      <c r="L5" s="77">
        <f t="shared" si="0"/>
        <v>41401</v>
      </c>
      <c r="M5" s="77">
        <f t="shared" si="0"/>
        <v>41402</v>
      </c>
      <c r="N5" s="77">
        <f t="shared" si="0"/>
        <v>41403</v>
      </c>
      <c r="O5" s="77">
        <f t="shared" si="0"/>
        <v>41404</v>
      </c>
      <c r="P5" s="77">
        <f t="shared" si="0"/>
        <v>41405</v>
      </c>
      <c r="Q5" s="77">
        <f t="shared" si="0"/>
        <v>41406</v>
      </c>
      <c r="R5" s="77">
        <f t="shared" si="0"/>
        <v>41407</v>
      </c>
      <c r="S5" s="77">
        <f t="shared" si="0"/>
        <v>41408</v>
      </c>
      <c r="T5" s="77">
        <f t="shared" si="0"/>
        <v>41409</v>
      </c>
      <c r="U5" s="77">
        <f t="shared" si="0"/>
        <v>41410</v>
      </c>
      <c r="V5" s="77">
        <f t="shared" si="0"/>
        <v>41411</v>
      </c>
      <c r="W5" s="77">
        <f t="shared" si="0"/>
        <v>41412</v>
      </c>
      <c r="X5" s="77">
        <f t="shared" si="0"/>
        <v>41413</v>
      </c>
      <c r="Y5" s="77">
        <f t="shared" si="0"/>
        <v>41414</v>
      </c>
      <c r="Z5" s="77">
        <f t="shared" si="0"/>
        <v>41415</v>
      </c>
      <c r="AA5" s="77">
        <f t="shared" si="0"/>
        <v>41416</v>
      </c>
      <c r="AB5" s="77">
        <f t="shared" si="0"/>
        <v>41417</v>
      </c>
      <c r="AC5" s="77">
        <f t="shared" si="0"/>
        <v>41418</v>
      </c>
      <c r="AD5" s="77">
        <f t="shared" si="0"/>
        <v>41419</v>
      </c>
      <c r="AE5" s="77">
        <f t="shared" si="0"/>
        <v>41420</v>
      </c>
      <c r="AF5" s="77">
        <f t="shared" si="0"/>
        <v>41421</v>
      </c>
      <c r="AG5" s="77">
        <f t="shared" si="0"/>
        <v>41422</v>
      </c>
      <c r="AH5" s="77">
        <f>AG5+1</f>
        <v>41423</v>
      </c>
      <c r="AI5" s="77">
        <f t="shared" si="0"/>
        <v>41424</v>
      </c>
      <c r="AJ5" s="77">
        <f t="shared" si="0"/>
        <v>41425</v>
      </c>
      <c r="AK5" s="228" t="s">
        <v>136</v>
      </c>
      <c r="AL5" s="229"/>
      <c r="AM5" s="230"/>
      <c r="AN5" s="231" t="s">
        <v>137</v>
      </c>
      <c r="AO5" s="231" t="s">
        <v>138</v>
      </c>
      <c r="AP5" s="231" t="s">
        <v>139</v>
      </c>
      <c r="AQ5" s="231" t="s">
        <v>140</v>
      </c>
      <c r="AR5" s="231" t="s">
        <v>141</v>
      </c>
      <c r="AS5" s="227" t="s">
        <v>142</v>
      </c>
      <c r="AT5" s="24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26"/>
      <c r="B6" s="226"/>
      <c r="C6" s="226"/>
      <c r="D6" s="226"/>
      <c r="E6" s="226"/>
      <c r="F6" s="79" t="str">
        <f>CHOOSE(WEEKDAY(F5),"C.Nhật","T.Hai","T.Ba","T.Tư","T.Năm","T.Sáu","T.Bảy")</f>
        <v>T.Tư</v>
      </c>
      <c r="G6" s="79" t="str">
        <f t="shared" ref="G6:AJ6" si="1">CHOOSE(WEEKDAY(G5),"C.Nhật","T.Hai","T.Ba","T.Tư","T.Năm","T.Sáu","T.Bảy")</f>
        <v>T.Năm</v>
      </c>
      <c r="H6" s="79" t="str">
        <f t="shared" si="1"/>
        <v>T.Sáu</v>
      </c>
      <c r="I6" s="79" t="str">
        <f t="shared" si="1"/>
        <v>T.Bảy</v>
      </c>
      <c r="J6" s="79" t="str">
        <f t="shared" si="1"/>
        <v>C.Nhật</v>
      </c>
      <c r="K6" s="79" t="str">
        <f t="shared" si="1"/>
        <v>T.Hai</v>
      </c>
      <c r="L6" s="79" t="str">
        <f t="shared" si="1"/>
        <v>T.Ba</v>
      </c>
      <c r="M6" s="79" t="str">
        <f t="shared" si="1"/>
        <v>T.Tư</v>
      </c>
      <c r="N6" s="79" t="str">
        <f t="shared" si="1"/>
        <v>T.Năm</v>
      </c>
      <c r="O6" s="79" t="str">
        <f t="shared" si="1"/>
        <v>T.Sáu</v>
      </c>
      <c r="P6" s="79" t="str">
        <f t="shared" si="1"/>
        <v>T.Bảy</v>
      </c>
      <c r="Q6" s="79" t="str">
        <f t="shared" si="1"/>
        <v>C.Nhật</v>
      </c>
      <c r="R6" s="79" t="str">
        <f t="shared" si="1"/>
        <v>T.Hai</v>
      </c>
      <c r="S6" s="79" t="str">
        <f t="shared" si="1"/>
        <v>T.Ba</v>
      </c>
      <c r="T6" s="79" t="str">
        <f t="shared" si="1"/>
        <v>T.Tư</v>
      </c>
      <c r="U6" s="79" t="str">
        <f t="shared" si="1"/>
        <v>T.Năm</v>
      </c>
      <c r="V6" s="79" t="str">
        <f t="shared" si="1"/>
        <v>T.Sáu</v>
      </c>
      <c r="W6" s="79" t="str">
        <f t="shared" si="1"/>
        <v>T.Bảy</v>
      </c>
      <c r="X6" s="79" t="str">
        <f t="shared" si="1"/>
        <v>C.Nhật</v>
      </c>
      <c r="Y6" s="79" t="str">
        <f t="shared" si="1"/>
        <v>T.Hai</v>
      </c>
      <c r="Z6" s="79" t="str">
        <f t="shared" si="1"/>
        <v>T.Ba</v>
      </c>
      <c r="AA6" s="79" t="str">
        <f t="shared" si="1"/>
        <v>T.Tư</v>
      </c>
      <c r="AB6" s="79" t="str">
        <f t="shared" si="1"/>
        <v>T.Năm</v>
      </c>
      <c r="AC6" s="79" t="str">
        <f t="shared" si="1"/>
        <v>T.Sáu</v>
      </c>
      <c r="AD6" s="79" t="str">
        <f t="shared" si="1"/>
        <v>T.Bảy</v>
      </c>
      <c r="AE6" s="79" t="str">
        <f t="shared" si="1"/>
        <v>C.Nhật</v>
      </c>
      <c r="AF6" s="79" t="str">
        <f t="shared" si="1"/>
        <v>T.Hai</v>
      </c>
      <c r="AG6" s="79" t="str">
        <f t="shared" si="1"/>
        <v>T.Ba</v>
      </c>
      <c r="AH6" s="79" t="str">
        <f t="shared" si="1"/>
        <v>T.Tư</v>
      </c>
      <c r="AI6" s="79" t="str">
        <f t="shared" si="1"/>
        <v>T.Năm</v>
      </c>
      <c r="AJ6" s="79" t="str">
        <f t="shared" si="1"/>
        <v>T.Sáu</v>
      </c>
      <c r="AK6" s="80" t="s">
        <v>143</v>
      </c>
      <c r="AL6" s="80" t="s">
        <v>144</v>
      </c>
      <c r="AM6" s="81" t="s">
        <v>145</v>
      </c>
      <c r="AN6" s="232"/>
      <c r="AO6" s="232"/>
      <c r="AP6" s="232"/>
      <c r="AQ6" s="232"/>
      <c r="AR6" s="232"/>
      <c r="AS6" s="226"/>
      <c r="AT6" s="24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33">
        <v>1</v>
      </c>
      <c r="B9" s="233" t="s">
        <v>34</v>
      </c>
      <c r="C9" s="235" t="str">
        <f>VLOOKUP(B9,DS,2,0)</f>
        <v>Võ Ngọc Thùy Lan</v>
      </c>
      <c r="D9" s="237" t="str">
        <f>VLOOKUP(B9,DS,3,0)</f>
        <v>Giám Đốc</v>
      </c>
      <c r="E9" s="90" t="s">
        <v>148</v>
      </c>
      <c r="F9" s="91">
        <v>8</v>
      </c>
      <c r="G9" s="91">
        <v>8</v>
      </c>
      <c r="H9" s="91">
        <v>8</v>
      </c>
      <c r="I9" s="91">
        <v>8</v>
      </c>
      <c r="J9" s="91"/>
      <c r="K9" s="91">
        <v>8</v>
      </c>
      <c r="L9" s="91">
        <v>8</v>
      </c>
      <c r="M9" s="91">
        <v>8</v>
      </c>
      <c r="N9" s="91">
        <v>8</v>
      </c>
      <c r="O9" s="91">
        <v>8</v>
      </c>
      <c r="P9" s="91">
        <v>8</v>
      </c>
      <c r="Q9" s="91"/>
      <c r="R9" s="91">
        <v>8</v>
      </c>
      <c r="S9" s="91">
        <v>8</v>
      </c>
      <c r="T9" s="91">
        <v>8</v>
      </c>
      <c r="U9" s="91">
        <v>8</v>
      </c>
      <c r="V9" s="91">
        <v>8</v>
      </c>
      <c r="W9" s="91">
        <v>8</v>
      </c>
      <c r="X9" s="91"/>
      <c r="Y9" s="91">
        <v>8</v>
      </c>
      <c r="Z9" s="91">
        <v>8</v>
      </c>
      <c r="AA9" s="91">
        <v>8</v>
      </c>
      <c r="AB9" s="91">
        <v>8</v>
      </c>
      <c r="AC9" s="91">
        <v>8</v>
      </c>
      <c r="AD9" s="91">
        <v>8</v>
      </c>
      <c r="AE9" s="91"/>
      <c r="AF9" s="91">
        <v>8</v>
      </c>
      <c r="AG9" s="91">
        <v>8</v>
      </c>
      <c r="AH9" s="91">
        <v>8</v>
      </c>
      <c r="AI9" s="91">
        <v>8</v>
      </c>
      <c r="AJ9" s="91">
        <v>8</v>
      </c>
      <c r="AK9" s="239">
        <f>((SUM(F9:AJ9))/8)-(SUMIF($F$6:$AJ$6,"C.Nhật",F9:AJ9)/8)</f>
        <v>27</v>
      </c>
      <c r="AL9" s="239">
        <f>SUM(F10:AJ10)/8*1.5</f>
        <v>0</v>
      </c>
      <c r="AM9" s="241">
        <f>SUMIF($F$6:$AJ$6,"C.Nhật",$F9:$AJ10)/8*2</f>
        <v>0</v>
      </c>
      <c r="AN9" s="218">
        <f>SUM(AK9:AM10)</f>
        <v>27</v>
      </c>
      <c r="AO9" s="244">
        <v>0</v>
      </c>
      <c r="AP9" s="218"/>
      <c r="AQ9" s="218"/>
      <c r="AR9" s="218"/>
      <c r="AS9" s="220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34"/>
      <c r="B10" s="234"/>
      <c r="C10" s="236"/>
      <c r="D10" s="238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40"/>
      <c r="AL10" s="240"/>
      <c r="AM10" s="242"/>
      <c r="AN10" s="219"/>
      <c r="AO10" s="245"/>
      <c r="AP10" s="219"/>
      <c r="AQ10" s="219"/>
      <c r="AR10" s="219"/>
      <c r="AS10" s="221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33">
        <v>2</v>
      </c>
      <c r="B11" s="233" t="s">
        <v>36</v>
      </c>
      <c r="C11" s="235" t="str">
        <f>VLOOKUP(B11,DS,2,0)</f>
        <v>Nguyễn Thị Thu Hà</v>
      </c>
      <c r="D11" s="237" t="str">
        <f>VLOOKUP(B11,DS,3,0)</f>
        <v>Kế Toán</v>
      </c>
      <c r="E11" s="90" t="s">
        <v>148</v>
      </c>
      <c r="F11" s="91">
        <v>8</v>
      </c>
      <c r="G11" s="91">
        <v>8</v>
      </c>
      <c r="H11" s="91">
        <v>8</v>
      </c>
      <c r="I11" s="91">
        <v>8</v>
      </c>
      <c r="J11" s="91"/>
      <c r="K11" s="91">
        <v>8</v>
      </c>
      <c r="L11" s="91">
        <v>8</v>
      </c>
      <c r="M11" s="91">
        <v>8</v>
      </c>
      <c r="N11" s="91">
        <v>8</v>
      </c>
      <c r="O11" s="91">
        <v>8</v>
      </c>
      <c r="P11" s="91">
        <v>8</v>
      </c>
      <c r="Q11" s="91"/>
      <c r="R11" s="91">
        <v>8</v>
      </c>
      <c r="S11" s="91">
        <v>8</v>
      </c>
      <c r="T11" s="91">
        <v>8</v>
      </c>
      <c r="U11" s="91">
        <v>8</v>
      </c>
      <c r="V11" s="91">
        <v>8</v>
      </c>
      <c r="W11" s="91">
        <v>8</v>
      </c>
      <c r="X11" s="91"/>
      <c r="Y11" s="91">
        <v>8</v>
      </c>
      <c r="Z11" s="91">
        <v>8</v>
      </c>
      <c r="AA11" s="91">
        <v>8</v>
      </c>
      <c r="AB11" s="91">
        <v>8</v>
      </c>
      <c r="AC11" s="91">
        <v>8</v>
      </c>
      <c r="AD11" s="91">
        <v>8</v>
      </c>
      <c r="AE11" s="91"/>
      <c r="AF11" s="91">
        <v>8</v>
      </c>
      <c r="AG11" s="91">
        <v>8</v>
      </c>
      <c r="AH11" s="91">
        <v>8</v>
      </c>
      <c r="AI11" s="91">
        <v>8</v>
      </c>
      <c r="AJ11" s="91">
        <v>8</v>
      </c>
      <c r="AK11" s="239">
        <f t="shared" ref="AK11" si="2">((SUM(F11:AJ11))/8)-(SUMIF($F$6:$AJ$6,"C.Nhật",F11:AJ11)/8)</f>
        <v>27</v>
      </c>
      <c r="AL11" s="239">
        <f t="shared" ref="AL11" si="3">SUM(F12:AJ12)/8*1.5</f>
        <v>0</v>
      </c>
      <c r="AM11" s="241">
        <f t="shared" ref="AM11" si="4">SUMIF($F$6:$AJ$6,"C.Nhật",$F11:$AJ12)/8*2</f>
        <v>0</v>
      </c>
      <c r="AN11" s="218">
        <f t="shared" ref="AN11" si="5">SUM(AK11:AM12)</f>
        <v>27</v>
      </c>
      <c r="AO11" s="244">
        <v>0</v>
      </c>
      <c r="AP11" s="218"/>
      <c r="AQ11" s="218"/>
      <c r="AR11" s="218"/>
      <c r="AS11" s="220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34"/>
      <c r="B12" s="234"/>
      <c r="C12" s="236"/>
      <c r="D12" s="238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40"/>
      <c r="AL12" s="240"/>
      <c r="AM12" s="242"/>
      <c r="AN12" s="219"/>
      <c r="AO12" s="245"/>
      <c r="AP12" s="219"/>
      <c r="AQ12" s="219"/>
      <c r="AR12" s="219"/>
      <c r="AS12" s="221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33">
        <v>1</v>
      </c>
      <c r="B14" s="233" t="s">
        <v>39</v>
      </c>
      <c r="C14" s="235" t="str">
        <f>VLOOKUP(B14,DS,2,0)</f>
        <v>Nguyễn Thị Thanh Thúy</v>
      </c>
      <c r="D14" s="237" t="str">
        <f>VLOOKUP(B14,DS,3,0)</f>
        <v>Công nhân</v>
      </c>
      <c r="E14" s="90" t="s">
        <v>148</v>
      </c>
      <c r="F14" s="91">
        <v>8</v>
      </c>
      <c r="G14" s="91">
        <v>8</v>
      </c>
      <c r="H14" s="91">
        <v>8</v>
      </c>
      <c r="I14" s="91">
        <v>8</v>
      </c>
      <c r="J14" s="91"/>
      <c r="K14" s="91">
        <v>8</v>
      </c>
      <c r="L14" s="91">
        <v>8</v>
      </c>
      <c r="M14" s="91">
        <v>8</v>
      </c>
      <c r="N14" s="91">
        <v>8</v>
      </c>
      <c r="O14" s="91">
        <v>8</v>
      </c>
      <c r="P14" s="91">
        <v>8</v>
      </c>
      <c r="Q14" s="91"/>
      <c r="R14" s="91">
        <v>8</v>
      </c>
      <c r="S14" s="91">
        <v>8</v>
      </c>
      <c r="T14" s="91">
        <v>8</v>
      </c>
      <c r="U14" s="91">
        <v>8</v>
      </c>
      <c r="V14" s="91">
        <v>8</v>
      </c>
      <c r="W14" s="91">
        <v>8</v>
      </c>
      <c r="X14" s="91"/>
      <c r="Y14" s="91">
        <v>8</v>
      </c>
      <c r="Z14" s="91">
        <v>8</v>
      </c>
      <c r="AA14" s="91">
        <v>8</v>
      </c>
      <c r="AB14" s="91">
        <v>8</v>
      </c>
      <c r="AC14" s="91">
        <v>8</v>
      </c>
      <c r="AD14" s="91">
        <v>8</v>
      </c>
      <c r="AE14" s="91"/>
      <c r="AF14" s="91">
        <v>8</v>
      </c>
      <c r="AG14" s="91">
        <v>8</v>
      </c>
      <c r="AH14" s="91">
        <v>8</v>
      </c>
      <c r="AI14" s="91">
        <v>8</v>
      </c>
      <c r="AJ14" s="91">
        <v>8</v>
      </c>
      <c r="AK14" s="239">
        <f t="shared" ref="AK14" si="6">((SUM(F14:AJ14))/8)-(SUMIF($F$6:$AJ$6,"C.Nhật",F14:AJ14)/8)</f>
        <v>27</v>
      </c>
      <c r="AL14" s="239">
        <f t="shared" ref="AL14" si="7">SUM(F15:AJ15)/8*1.5</f>
        <v>0</v>
      </c>
      <c r="AM14" s="241">
        <f>SUMIF($F$6:$AJ$6,"C.Nhật",$F14:$AJ15)/8*2</f>
        <v>0</v>
      </c>
      <c r="AN14" s="218">
        <f>SUM(AK14:AM15)</f>
        <v>27</v>
      </c>
      <c r="AO14" s="244">
        <v>0</v>
      </c>
      <c r="AP14" s="218"/>
      <c r="AQ14" s="218"/>
      <c r="AR14" s="218"/>
      <c r="AS14" s="220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34"/>
      <c r="B15" s="234"/>
      <c r="C15" s="236"/>
      <c r="D15" s="238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40"/>
      <c r="AL15" s="240"/>
      <c r="AM15" s="242"/>
      <c r="AN15" s="219"/>
      <c r="AO15" s="245"/>
      <c r="AP15" s="219"/>
      <c r="AQ15" s="219"/>
      <c r="AR15" s="219"/>
      <c r="AS15" s="221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33">
        <f>A14+1</f>
        <v>2</v>
      </c>
      <c r="B16" s="233" t="s">
        <v>42</v>
      </c>
      <c r="C16" s="235" t="str">
        <f>VLOOKUP(B16,DS,2,0)</f>
        <v>Huỳnh Đoàn Viết Thanh</v>
      </c>
      <c r="D16" s="237" t="str">
        <f>VLOOKUP(B16,DS,3,0)</f>
        <v>Công nhân</v>
      </c>
      <c r="E16" s="90" t="s">
        <v>148</v>
      </c>
      <c r="F16" s="91">
        <v>8</v>
      </c>
      <c r="G16" s="91">
        <v>8</v>
      </c>
      <c r="H16" s="91">
        <v>8</v>
      </c>
      <c r="I16" s="91">
        <v>8</v>
      </c>
      <c r="J16" s="91"/>
      <c r="K16" s="91">
        <v>8</v>
      </c>
      <c r="L16" s="91">
        <v>8</v>
      </c>
      <c r="M16" s="91">
        <v>8</v>
      </c>
      <c r="N16" s="91">
        <v>8</v>
      </c>
      <c r="O16" s="91">
        <v>8</v>
      </c>
      <c r="P16" s="91">
        <v>8</v>
      </c>
      <c r="Q16" s="91"/>
      <c r="R16" s="91">
        <v>8</v>
      </c>
      <c r="S16" s="91">
        <v>8</v>
      </c>
      <c r="T16" s="91">
        <v>8</v>
      </c>
      <c r="U16" s="91">
        <v>8</v>
      </c>
      <c r="V16" s="91">
        <v>8</v>
      </c>
      <c r="W16" s="91">
        <v>8</v>
      </c>
      <c r="X16" s="91"/>
      <c r="Y16" s="91">
        <v>8</v>
      </c>
      <c r="Z16" s="91">
        <v>8</v>
      </c>
      <c r="AA16" s="91">
        <v>8</v>
      </c>
      <c r="AB16" s="91">
        <v>8</v>
      </c>
      <c r="AC16" s="91">
        <v>8</v>
      </c>
      <c r="AD16" s="91">
        <v>8</v>
      </c>
      <c r="AE16" s="91"/>
      <c r="AF16" s="91">
        <v>8</v>
      </c>
      <c r="AG16" s="91">
        <v>8</v>
      </c>
      <c r="AH16" s="91">
        <v>8</v>
      </c>
      <c r="AI16" s="91">
        <v>8</v>
      </c>
      <c r="AJ16" s="91">
        <v>8</v>
      </c>
      <c r="AK16" s="239">
        <f t="shared" ref="AK16" si="8">((SUM(F16:AJ16))/8)-(SUMIF($F$6:$AJ$6,"C.Nhật",F16:AJ16)/8)</f>
        <v>27</v>
      </c>
      <c r="AL16" s="239">
        <f t="shared" ref="AL16" si="9">SUM(F17:AJ17)/8*1.5</f>
        <v>0</v>
      </c>
      <c r="AM16" s="241">
        <f>SUMIF($F$6:$AJ$6,"C.Nhật",$F16:$AJ17)/8*2</f>
        <v>0</v>
      </c>
      <c r="AN16" s="218">
        <f t="shared" ref="AN16" si="10">SUM(AK16:AM17)</f>
        <v>27</v>
      </c>
      <c r="AO16" s="244">
        <v>0</v>
      </c>
      <c r="AP16" s="218"/>
      <c r="AQ16" s="218"/>
      <c r="AR16" s="218"/>
      <c r="AS16" s="220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78" customFormat="1" ht="18" customHeight="1">
      <c r="A17" s="234"/>
      <c r="B17" s="234"/>
      <c r="C17" s="236"/>
      <c r="D17" s="238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40"/>
      <c r="AL17" s="240"/>
      <c r="AM17" s="242"/>
      <c r="AN17" s="219"/>
      <c r="AO17" s="245"/>
      <c r="AP17" s="219"/>
      <c r="AQ17" s="219"/>
      <c r="AR17" s="219"/>
      <c r="AS17" s="221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8" customFormat="1" ht="18" customHeight="1">
      <c r="A18" s="233">
        <f t="shared" ref="A18" si="11">A16+1</f>
        <v>3</v>
      </c>
      <c r="B18" s="233" t="s">
        <v>44</v>
      </c>
      <c r="C18" s="235" t="str">
        <f>VLOOKUP(B18,DS,2,0)</f>
        <v>Trần Ngọc Thoại</v>
      </c>
      <c r="D18" s="237" t="str">
        <f>VLOOKUP(B18,DS,3,0)</f>
        <v>Công nhân</v>
      </c>
      <c r="E18" s="90" t="s">
        <v>148</v>
      </c>
      <c r="F18" s="91">
        <v>8</v>
      </c>
      <c r="G18" s="91">
        <v>8</v>
      </c>
      <c r="H18" s="91">
        <v>8</v>
      </c>
      <c r="I18" s="91">
        <v>8</v>
      </c>
      <c r="J18" s="91"/>
      <c r="K18" s="91">
        <v>8</v>
      </c>
      <c r="L18" s="91">
        <v>8</v>
      </c>
      <c r="M18" s="91">
        <v>8</v>
      </c>
      <c r="N18" s="91">
        <v>8</v>
      </c>
      <c r="O18" s="91">
        <v>8</v>
      </c>
      <c r="P18" s="91">
        <v>8</v>
      </c>
      <c r="Q18" s="91"/>
      <c r="R18" s="91">
        <v>8</v>
      </c>
      <c r="S18" s="91">
        <v>8</v>
      </c>
      <c r="T18" s="91">
        <v>8</v>
      </c>
      <c r="U18" s="91">
        <v>8</v>
      </c>
      <c r="V18" s="91">
        <v>8</v>
      </c>
      <c r="W18" s="91">
        <v>8</v>
      </c>
      <c r="X18" s="91"/>
      <c r="Y18" s="91">
        <v>8</v>
      </c>
      <c r="Z18" s="91">
        <v>8</v>
      </c>
      <c r="AA18" s="91">
        <v>8</v>
      </c>
      <c r="AB18" s="91">
        <v>8</v>
      </c>
      <c r="AC18" s="91">
        <v>8</v>
      </c>
      <c r="AD18" s="91">
        <v>8</v>
      </c>
      <c r="AE18" s="91"/>
      <c r="AF18" s="91">
        <v>8</v>
      </c>
      <c r="AG18" s="91">
        <v>8</v>
      </c>
      <c r="AH18" s="91">
        <v>8</v>
      </c>
      <c r="AI18" s="91">
        <v>8</v>
      </c>
      <c r="AJ18" s="91">
        <v>8</v>
      </c>
      <c r="AK18" s="239">
        <f t="shared" ref="AK18" si="12">((SUM(F18:AJ18))/8)-(SUMIF($F$6:$AJ$6,"C.Nhật",F18:AJ18)/8)</f>
        <v>27</v>
      </c>
      <c r="AL18" s="239">
        <f t="shared" ref="AL18" si="13">SUM(F19:AJ19)/8*1.5</f>
        <v>0</v>
      </c>
      <c r="AM18" s="241">
        <f>SUMIF($F$6:$AJ$6,"C.Nhật",$F18:$AJ19)/8*2</f>
        <v>0</v>
      </c>
      <c r="AN18" s="218">
        <f t="shared" ref="AN18" si="14">SUM(AK18:AM19)</f>
        <v>27</v>
      </c>
      <c r="AO18" s="244">
        <v>0</v>
      </c>
      <c r="AP18" s="218"/>
      <c r="AQ18" s="218"/>
      <c r="AR18" s="218"/>
      <c r="AS18" s="220"/>
      <c r="AT18" s="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78" customFormat="1" ht="18" customHeight="1">
      <c r="A19" s="234"/>
      <c r="B19" s="234"/>
      <c r="C19" s="236"/>
      <c r="D19" s="238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40"/>
      <c r="AL19" s="240"/>
      <c r="AM19" s="242"/>
      <c r="AN19" s="219"/>
      <c r="AO19" s="245"/>
      <c r="AP19" s="219"/>
      <c r="AQ19" s="219"/>
      <c r="AR19" s="219"/>
      <c r="AS19" s="221"/>
      <c r="AT19" s="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8" customFormat="1" ht="18" customHeight="1">
      <c r="A20" s="233">
        <f t="shared" ref="A20" si="15">A18+1</f>
        <v>4</v>
      </c>
      <c r="B20" s="233" t="s">
        <v>46</v>
      </c>
      <c r="C20" s="235" t="str">
        <f>VLOOKUP(B20,DS,2,0)</f>
        <v>Nguyễn Đức Huy</v>
      </c>
      <c r="D20" s="237" t="str">
        <f>VLOOKUP(B20,DS,3,0)</f>
        <v>Công nhân</v>
      </c>
      <c r="E20" s="90" t="s">
        <v>148</v>
      </c>
      <c r="F20" s="91">
        <v>8</v>
      </c>
      <c r="G20" s="91">
        <v>8</v>
      </c>
      <c r="H20" s="91">
        <v>8</v>
      </c>
      <c r="I20" s="91">
        <v>8</v>
      </c>
      <c r="J20" s="91"/>
      <c r="K20" s="91">
        <v>8</v>
      </c>
      <c r="L20" s="91">
        <v>8</v>
      </c>
      <c r="M20" s="91">
        <v>8</v>
      </c>
      <c r="N20" s="91">
        <v>8</v>
      </c>
      <c r="O20" s="91">
        <v>8</v>
      </c>
      <c r="P20" s="91">
        <v>8</v>
      </c>
      <c r="Q20" s="91"/>
      <c r="R20" s="91">
        <v>8</v>
      </c>
      <c r="S20" s="91">
        <v>8</v>
      </c>
      <c r="T20" s="91">
        <v>8</v>
      </c>
      <c r="U20" s="91">
        <v>8</v>
      </c>
      <c r="V20" s="91">
        <v>8</v>
      </c>
      <c r="W20" s="91">
        <v>8</v>
      </c>
      <c r="X20" s="91"/>
      <c r="Y20" s="91">
        <v>8</v>
      </c>
      <c r="Z20" s="91">
        <v>8</v>
      </c>
      <c r="AA20" s="91">
        <v>8</v>
      </c>
      <c r="AB20" s="91">
        <v>8</v>
      </c>
      <c r="AC20" s="91">
        <v>8</v>
      </c>
      <c r="AD20" s="91">
        <v>8</v>
      </c>
      <c r="AE20" s="91"/>
      <c r="AF20" s="91">
        <v>8</v>
      </c>
      <c r="AG20" s="91">
        <v>8</v>
      </c>
      <c r="AH20" s="91">
        <v>8</v>
      </c>
      <c r="AI20" s="91">
        <v>8</v>
      </c>
      <c r="AJ20" s="91">
        <v>8</v>
      </c>
      <c r="AK20" s="239">
        <f t="shared" ref="AK20" si="16">((SUM(F20:AJ20))/8)-(SUMIF($F$6:$AJ$6,"C.Nhật",F20:AJ20)/8)</f>
        <v>27</v>
      </c>
      <c r="AL20" s="239">
        <f t="shared" ref="AL20" si="17">SUM(F21:AJ21)/8*1.5</f>
        <v>0</v>
      </c>
      <c r="AM20" s="241">
        <f>SUMIF($F$6:$AJ$6,"C.Nhật",$F20:$AJ21)/8*2</f>
        <v>0</v>
      </c>
      <c r="AN20" s="218">
        <f t="shared" ref="AN20" si="18">SUM(AK20:AM21)</f>
        <v>27</v>
      </c>
      <c r="AO20" s="244">
        <v>0</v>
      </c>
      <c r="AP20" s="218"/>
      <c r="AQ20" s="218"/>
      <c r="AR20" s="218"/>
      <c r="AS20" s="220"/>
      <c r="AT20" s="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78" customFormat="1" ht="18" customHeight="1">
      <c r="A21" s="234"/>
      <c r="B21" s="234"/>
      <c r="C21" s="236"/>
      <c r="D21" s="238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40"/>
      <c r="AL21" s="240"/>
      <c r="AM21" s="242"/>
      <c r="AN21" s="219"/>
      <c r="AO21" s="245"/>
      <c r="AP21" s="219"/>
      <c r="AQ21" s="219"/>
      <c r="AR21" s="219"/>
      <c r="AS21" s="221"/>
      <c r="AT21" s="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  <c r="AT22" s="103"/>
    </row>
    <row r="23" spans="1:90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  <c r="AT23" s="103"/>
    </row>
    <row r="24" spans="1:90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  <c r="AT24" s="103"/>
    </row>
    <row r="25" spans="1:90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  <c r="AT25" s="96"/>
    </row>
    <row r="26" spans="1:90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  <c r="AT26" s="96"/>
    </row>
    <row r="27" spans="1:90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  <c r="AT27" s="96"/>
    </row>
    <row r="28" spans="1:90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  <c r="AT28" s="96"/>
    </row>
    <row r="29" spans="1:90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96"/>
    </row>
    <row r="30" spans="1:90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94"/>
    </row>
    <row r="31" spans="1:90" ht="15" customHeight="1">
      <c r="C31" s="2" t="s">
        <v>152</v>
      </c>
    </row>
    <row r="32" spans="1:90" ht="15" customHeight="1">
      <c r="C32" s="2" t="s">
        <v>153</v>
      </c>
    </row>
    <row r="33" spans="1:91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2">
    <mergeCell ref="AL20:AL21"/>
    <mergeCell ref="AM20:AM21"/>
    <mergeCell ref="AN20:AN21"/>
    <mergeCell ref="AO20:AO21"/>
    <mergeCell ref="AM18:AM19"/>
    <mergeCell ref="AN18:AN19"/>
    <mergeCell ref="AO18:AO19"/>
    <mergeCell ref="A20:A21"/>
    <mergeCell ref="B20:B21"/>
    <mergeCell ref="C20:C21"/>
    <mergeCell ref="D20:D21"/>
    <mergeCell ref="AK20:AK21"/>
    <mergeCell ref="AP20:AP21"/>
    <mergeCell ref="AQ20:AQ21"/>
    <mergeCell ref="AR20:AR21"/>
    <mergeCell ref="AS20:AS21"/>
    <mergeCell ref="AS18:AS19"/>
    <mergeCell ref="AP18:AP19"/>
    <mergeCell ref="AQ18:AQ19"/>
    <mergeCell ref="AR18:AR19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M14:AM15"/>
    <mergeCell ref="AN14:AN15"/>
    <mergeCell ref="AO14:AO15"/>
    <mergeCell ref="A16:A17"/>
    <mergeCell ref="B16:B17"/>
    <mergeCell ref="C16:C17"/>
    <mergeCell ref="D16:D17"/>
    <mergeCell ref="AK16:AK17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P14:AP15"/>
    <mergeCell ref="AQ14:AQ15"/>
    <mergeCell ref="AR14:AR15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">
    <cfRule type="expression" dxfId="45" priority="8" stopIfTrue="1">
      <formula>IF(WEEKDAY(F$5)=1,TRUE,FALSE)</formula>
    </cfRule>
  </conditionalFormatting>
  <conditionalFormatting sqref="F9:AJ12">
    <cfRule type="expression" dxfId="44" priority="7" stopIfTrue="1">
      <formula>IF(WEEKDAY(F$5)=1,TRUE,FALSE)</formula>
    </cfRule>
  </conditionalFormatting>
  <conditionalFormatting sqref="F14:AJ17">
    <cfRule type="expression" dxfId="43" priority="4" stopIfTrue="1">
      <formula>IF(WEEKDAY(F$5)=1,TRUE,FALSE)</formula>
    </cfRule>
  </conditionalFormatting>
  <conditionalFormatting sqref="F14:AJ17">
    <cfRule type="expression" dxfId="42" priority="3" stopIfTrue="1">
      <formula>IF(WEEKDAY(F$5)=1,TRUE,FALSE)</formula>
    </cfRule>
  </conditionalFormatting>
  <conditionalFormatting sqref="F18:AJ21">
    <cfRule type="expression" dxfId="41" priority="2" stopIfTrue="1">
      <formula>IF(WEEKDAY(F$5)=1,TRUE,FALSE)</formula>
    </cfRule>
  </conditionalFormatting>
  <conditionalFormatting sqref="F18:AJ21">
    <cfRule type="expression" dxfId="4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13" activePane="bottomRight" state="frozen"/>
      <selection activeCell="E19" sqref="E19"/>
      <selection pane="topRight" activeCell="E19" sqref="E19"/>
      <selection pane="bottomLeft" activeCell="E19" sqref="E19"/>
      <selection pane="bottomRight" sqref="A1:T28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47" t="str">
        <f>"BẢNG THANH TOÁN LƯƠNG THÁNG"&amp;" "&amp;TEXT($E$4,"mm")&amp;" / "&amp;TEXT($E$4,"yyyy")</f>
        <v>BẢNG THANH TOÁN LƯƠNG THÁNG 05 / 2013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132</v>
      </c>
      <c r="S1" s="250"/>
      <c r="T1" s="251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-5'!$AK$9:$AK$21)</f>
        <v>27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-5'!$E$4</f>
        <v>41395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2" t="s">
        <v>3</v>
      </c>
      <c r="B5" s="252" t="s">
        <v>161</v>
      </c>
      <c r="C5" s="204" t="s">
        <v>5</v>
      </c>
      <c r="D5" s="204" t="s">
        <v>6</v>
      </c>
      <c r="E5" s="209" t="s">
        <v>7</v>
      </c>
      <c r="F5" s="255" t="s">
        <v>162</v>
      </c>
      <c r="G5" s="256"/>
      <c r="H5" s="256"/>
      <c r="I5" s="256"/>
      <c r="J5" s="256"/>
      <c r="K5" s="257"/>
      <c r="L5" s="254" t="s">
        <v>14</v>
      </c>
      <c r="M5" s="254" t="s">
        <v>163</v>
      </c>
      <c r="N5" s="204" t="s">
        <v>164</v>
      </c>
      <c r="O5" s="204"/>
      <c r="P5" s="204"/>
      <c r="Q5" s="254" t="s">
        <v>165</v>
      </c>
      <c r="R5" s="254" t="s">
        <v>166</v>
      </c>
      <c r="S5" s="254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53"/>
      <c r="B6" s="253"/>
      <c r="C6" s="204"/>
      <c r="D6" s="204"/>
      <c r="E6" s="209"/>
      <c r="F6" s="255" t="s">
        <v>169</v>
      </c>
      <c r="G6" s="257"/>
      <c r="H6" s="255" t="s">
        <v>170</v>
      </c>
      <c r="I6" s="256"/>
      <c r="J6" s="261" t="s">
        <v>171</v>
      </c>
      <c r="K6" s="254" t="s">
        <v>172</v>
      </c>
      <c r="L6" s="258"/>
      <c r="M6" s="258"/>
      <c r="N6" s="263" t="s">
        <v>173</v>
      </c>
      <c r="O6" s="254" t="s">
        <v>174</v>
      </c>
      <c r="P6" s="254" t="s">
        <v>175</v>
      </c>
      <c r="Q6" s="258"/>
      <c r="R6" s="258"/>
      <c r="S6" s="258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53"/>
      <c r="B7" s="253"/>
      <c r="C7" s="254"/>
      <c r="D7" s="254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62"/>
      <c r="K7" s="258"/>
      <c r="L7" s="259"/>
      <c r="M7" s="259"/>
      <c r="N7" s="264"/>
      <c r="O7" s="258"/>
      <c r="P7" s="258"/>
      <c r="Q7" s="258"/>
      <c r="R7" s="258"/>
      <c r="S7" s="258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-5'!$B$8:$AS$21,36,0)</f>
        <v>27</v>
      </c>
      <c r="G10" s="150">
        <f t="shared" ref="G10:G11" si="2">ROUND(E10/$U$2*F10,0)</f>
        <v>1565000</v>
      </c>
      <c r="H10" s="149">
        <f>(VLOOKUP(B10,'CC -5'!$B$8:$AS$21,37,0)+VLOOKUP(B10,'CC -5'!$B$8:$AS$21,38,0))</f>
        <v>0</v>
      </c>
      <c r="I10" s="150">
        <f t="shared" ref="I10:I11" si="3">ROUND(E10/$U$2*H10,0)</f>
        <v>0</v>
      </c>
      <c r="J10" s="151">
        <f t="shared" ref="J10:K11" si="4">F10+H10</f>
        <v>27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-5'!$B$8:$AS$21,36,0)</f>
        <v>27</v>
      </c>
      <c r="G11" s="150">
        <f t="shared" si="2"/>
        <v>1240000</v>
      </c>
      <c r="H11" s="149">
        <f>(VLOOKUP(B11,'CC -5'!$B$8:$AS$21,37,0)+VLOOKUP(B11,'CC -5'!$B$8:$AS$21,38,0))</f>
        <v>0</v>
      </c>
      <c r="I11" s="150">
        <f t="shared" si="3"/>
        <v>0</v>
      </c>
      <c r="J11" s="151">
        <f t="shared" si="4"/>
        <v>27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60" t="s">
        <v>48</v>
      </c>
      <c r="B13" s="260"/>
      <c r="C13" s="260"/>
      <c r="D13" s="260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10">VLOOKUP(B15,DS,2,0)</f>
        <v>Nguyễn Thị Thanh Thúy</v>
      </c>
      <c r="D15" s="147" t="str">
        <f t="shared" ref="D15:D18" si="11">VLOOKUP(B15,DS,3,0)</f>
        <v>Công nhân</v>
      </c>
      <c r="E15" s="148">
        <f t="shared" ref="E15:E18" si="12">VLOOKUP(B15,DS,4,0)</f>
        <v>1365000</v>
      </c>
      <c r="F15" s="149">
        <f>VLOOKUP(B15,'CC -5'!$B$8:$AS$21,36,0)</f>
        <v>27</v>
      </c>
      <c r="G15" s="150">
        <f t="shared" ref="G15:G18" si="13">ROUND(E15/$U$2*F15,0)</f>
        <v>1365000</v>
      </c>
      <c r="H15" s="149">
        <f>(VLOOKUP(B15,'CC -5'!$B$8:$AS$21,37,0)+VLOOKUP(B15,'CC -5'!$B$8:$AS$21,38,0))</f>
        <v>0</v>
      </c>
      <c r="I15" s="150">
        <f t="shared" ref="I15:I18" si="14">ROUND(E15/$U$2*H15,0)</f>
        <v>0</v>
      </c>
      <c r="J15" s="171">
        <f t="shared" ref="J15:K18" si="15">F15+H15</f>
        <v>27</v>
      </c>
      <c r="K15" s="152">
        <f t="shared" si="15"/>
        <v>1365000</v>
      </c>
      <c r="L15" s="148">
        <f>VLOOKUP(B15,DS,6,0)</f>
        <v>260000</v>
      </c>
      <c r="M15" s="153">
        <f t="shared" ref="M15:M18" si="16">K15+L15</f>
        <v>1625000</v>
      </c>
      <c r="N15" s="153">
        <f>IF(VLOOKUP(B15,DS,9,0)="x",'L - 5'!E15*$N$4,0)</f>
        <v>0</v>
      </c>
      <c r="O15" s="153">
        <f t="shared" ref="O15:O18" si="17">IF(VLOOKUP(B15,DS,9,0)="x",E15*0.015,0)</f>
        <v>0</v>
      </c>
      <c r="P15" s="153">
        <f t="shared" ref="P15:P18" si="18">IF(VLOOKUP(B15,DS,9,0)="x",E15*0.01,0)</f>
        <v>0</v>
      </c>
      <c r="Q15" s="152">
        <f>M15-SUM(N15:P15)</f>
        <v>1625000</v>
      </c>
      <c r="R15" s="152">
        <f t="shared" ref="R15:R18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-5'!$B$8:$AS$21,36,0)</f>
        <v>27</v>
      </c>
      <c r="G16" s="150">
        <f t="shared" si="13"/>
        <v>1275000</v>
      </c>
      <c r="H16" s="149">
        <f>(VLOOKUP(B16,'CC -5'!$B$8:$AS$21,37,0)+VLOOKUP(B16,'CC -5'!$B$8:$AS$21,38,0))</f>
        <v>0</v>
      </c>
      <c r="I16" s="150">
        <f t="shared" si="14"/>
        <v>0</v>
      </c>
      <c r="J16" s="171">
        <f t="shared" si="15"/>
        <v>27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- 5'!E16*$N$4,0)</f>
        <v>0</v>
      </c>
      <c r="O16" s="153">
        <f t="shared" si="17"/>
        <v>0</v>
      </c>
      <c r="P16" s="153">
        <f t="shared" si="18"/>
        <v>0</v>
      </c>
      <c r="Q16" s="152">
        <f t="shared" ref="Q16:Q18" si="20">M16-SUM(N16:P16)</f>
        <v>1535000</v>
      </c>
      <c r="R16" s="152">
        <f t="shared" si="19"/>
        <v>0</v>
      </c>
      <c r="S16" s="154">
        <f t="shared" ref="S16:S18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10"/>
        <v>Trần Ngọc Thoại</v>
      </c>
      <c r="D17" s="147" t="str">
        <f t="shared" si="11"/>
        <v>Công nhân</v>
      </c>
      <c r="E17" s="148">
        <f t="shared" si="12"/>
        <v>990000</v>
      </c>
      <c r="F17" s="149">
        <f>VLOOKUP(B17,'CC -5'!$B$8:$AS$21,36,0)</f>
        <v>27</v>
      </c>
      <c r="G17" s="150">
        <f t="shared" si="13"/>
        <v>990000</v>
      </c>
      <c r="H17" s="149">
        <f>(VLOOKUP(B17,'CC -5'!$B$8:$AS$21,37,0)+VLOOKUP(B17,'CC -5'!$B$8:$AS$21,38,0))</f>
        <v>0</v>
      </c>
      <c r="I17" s="150">
        <f t="shared" si="14"/>
        <v>0</v>
      </c>
      <c r="J17" s="171">
        <f t="shared" si="15"/>
        <v>27</v>
      </c>
      <c r="K17" s="152">
        <f t="shared" si="15"/>
        <v>990000</v>
      </c>
      <c r="L17" s="148">
        <f>VLOOKUP(B17,DS,6,0)</f>
        <v>260000</v>
      </c>
      <c r="M17" s="153">
        <f t="shared" si="16"/>
        <v>1250000</v>
      </c>
      <c r="N17" s="153">
        <f>IF(VLOOKUP(B17,DS,9,0)="x",'L - 5'!E17*$N$4,0)</f>
        <v>0</v>
      </c>
      <c r="O17" s="153">
        <f t="shared" si="17"/>
        <v>0</v>
      </c>
      <c r="P17" s="153">
        <f t="shared" si="18"/>
        <v>0</v>
      </c>
      <c r="Q17" s="152">
        <f t="shared" si="20"/>
        <v>1250000</v>
      </c>
      <c r="R17" s="152">
        <f t="shared" si="19"/>
        <v>0</v>
      </c>
      <c r="S17" s="154">
        <f t="shared" si="21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10"/>
        <v>Nguyễn Đức Huy</v>
      </c>
      <c r="D18" s="147" t="str">
        <f t="shared" si="11"/>
        <v>Công nhân</v>
      </c>
      <c r="E18" s="148">
        <f t="shared" si="12"/>
        <v>1015000</v>
      </c>
      <c r="F18" s="149">
        <f>VLOOKUP(B18,'CC -5'!$B$8:$AS$21,36,0)</f>
        <v>27</v>
      </c>
      <c r="G18" s="150">
        <f t="shared" si="13"/>
        <v>1015000</v>
      </c>
      <c r="H18" s="149">
        <f>(VLOOKUP(B18,'CC -5'!$B$8:$AS$21,37,0)+VLOOKUP(B18,'CC -5'!$B$8:$AS$21,38,0))</f>
        <v>0</v>
      </c>
      <c r="I18" s="150">
        <f t="shared" si="14"/>
        <v>0</v>
      </c>
      <c r="J18" s="171">
        <f t="shared" si="15"/>
        <v>27</v>
      </c>
      <c r="K18" s="152">
        <f t="shared" si="15"/>
        <v>1015000</v>
      </c>
      <c r="L18" s="148">
        <f>VLOOKUP(B18,DS,6,0)</f>
        <v>260000</v>
      </c>
      <c r="M18" s="153">
        <f t="shared" si="16"/>
        <v>1275000</v>
      </c>
      <c r="N18" s="153">
        <f>IF(VLOOKUP(B18,DS,9,0)="x",'L - 5'!E18*$N$4,0)</f>
        <v>0</v>
      </c>
      <c r="O18" s="153">
        <f t="shared" si="17"/>
        <v>0</v>
      </c>
      <c r="P18" s="153">
        <f t="shared" si="18"/>
        <v>0</v>
      </c>
      <c r="Q18" s="152">
        <f t="shared" si="20"/>
        <v>1275000</v>
      </c>
      <c r="R18" s="152">
        <f t="shared" si="19"/>
        <v>0</v>
      </c>
      <c r="S18" s="154">
        <f t="shared" si="21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60" t="s">
        <v>48</v>
      </c>
      <c r="B20" s="260"/>
      <c r="C20" s="260"/>
      <c r="D20" s="260"/>
      <c r="E20" s="167">
        <f>SUM(E14:E19)</f>
        <v>4645000</v>
      </c>
      <c r="F20" s="167"/>
      <c r="G20" s="167">
        <f t="shared" ref="G20:S20" si="22">SUM(G14:G19)</f>
        <v>4645000</v>
      </c>
      <c r="H20" s="167"/>
      <c r="I20" s="167">
        <f t="shared" si="22"/>
        <v>0</v>
      </c>
      <c r="J20" s="167"/>
      <c r="K20" s="167">
        <f t="shared" si="22"/>
        <v>4645000</v>
      </c>
      <c r="L20" s="167">
        <f t="shared" si="22"/>
        <v>1040000</v>
      </c>
      <c r="M20" s="167">
        <f t="shared" si="22"/>
        <v>5685000</v>
      </c>
      <c r="N20" s="167">
        <f t="shared" si="22"/>
        <v>0</v>
      </c>
      <c r="O20" s="167">
        <f t="shared" si="22"/>
        <v>0</v>
      </c>
      <c r="P20" s="167">
        <f t="shared" si="22"/>
        <v>0</v>
      </c>
      <c r="Q20" s="167">
        <f t="shared" si="22"/>
        <v>5685000</v>
      </c>
      <c r="R20" s="167">
        <f t="shared" si="22"/>
        <v>0</v>
      </c>
      <c r="S20" s="167">
        <f t="shared" si="22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31  tháng  5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AE12:IJ12 E5:I6 N5:P6 L5 L23 J6:K7 L7 A26:T59 U32:U59 N19:S19 V26:IJ59 V12 J19:L19 AE14:IJ14 V13:IJ13 D13:T13 D20:T20 Q12:S12 A60:IJ65327 A12:B13 A10:B11 Q10:S11 V5:V11 AE5:IJ11" name="Range1"/>
    <protectedRange password="CC78" sqref="F7:H7" name="Range1_4"/>
    <protectedRange password="CC78" sqref="V23:IJ24 S23:T24 N23:Q24 E23:I24" name="Range1_1_1"/>
    <protectedRange password="CC78" sqref="U1 V1:IJ4 B4:T4 W12:AD12 R2:S3 B1:Q3 U19:U31 W14:AD14 U12:U14 U4:U11 W5:AD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A13:D13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8" sqref="F18:AI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5" width="3.42578125" style="116" customWidth="1"/>
    <col min="36" max="36" width="3.42578125" style="116" hidden="1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06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22" t="s">
        <v>132</v>
      </c>
      <c r="AN1" s="223"/>
      <c r="AO1" s="223"/>
      <c r="AP1" s="223"/>
      <c r="AQ1" s="223"/>
      <c r="AR1" s="223"/>
      <c r="AS1" s="224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41426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25" t="s">
        <v>133</v>
      </c>
      <c r="B5" s="225" t="s">
        <v>4</v>
      </c>
      <c r="C5" s="225" t="s">
        <v>5</v>
      </c>
      <c r="D5" s="227" t="s">
        <v>134</v>
      </c>
      <c r="E5" s="225" t="s">
        <v>135</v>
      </c>
      <c r="F5" s="77">
        <f>+E4</f>
        <v>41426</v>
      </c>
      <c r="G5" s="77">
        <f t="shared" ref="G5:AJ5" si="0">F5+1</f>
        <v>41427</v>
      </c>
      <c r="H5" s="77">
        <f t="shared" si="0"/>
        <v>41428</v>
      </c>
      <c r="I5" s="77">
        <f t="shared" si="0"/>
        <v>41429</v>
      </c>
      <c r="J5" s="77">
        <f t="shared" si="0"/>
        <v>41430</v>
      </c>
      <c r="K5" s="77">
        <f t="shared" si="0"/>
        <v>41431</v>
      </c>
      <c r="L5" s="77">
        <f t="shared" si="0"/>
        <v>41432</v>
      </c>
      <c r="M5" s="77">
        <f t="shared" si="0"/>
        <v>41433</v>
      </c>
      <c r="N5" s="77">
        <f t="shared" si="0"/>
        <v>41434</v>
      </c>
      <c r="O5" s="77">
        <f t="shared" si="0"/>
        <v>41435</v>
      </c>
      <c r="P5" s="77">
        <f t="shared" si="0"/>
        <v>41436</v>
      </c>
      <c r="Q5" s="77">
        <f t="shared" si="0"/>
        <v>41437</v>
      </c>
      <c r="R5" s="77">
        <f t="shared" si="0"/>
        <v>41438</v>
      </c>
      <c r="S5" s="77">
        <f t="shared" si="0"/>
        <v>41439</v>
      </c>
      <c r="T5" s="77">
        <f t="shared" si="0"/>
        <v>41440</v>
      </c>
      <c r="U5" s="77">
        <f t="shared" si="0"/>
        <v>41441</v>
      </c>
      <c r="V5" s="77">
        <f t="shared" si="0"/>
        <v>41442</v>
      </c>
      <c r="W5" s="77">
        <f t="shared" si="0"/>
        <v>41443</v>
      </c>
      <c r="X5" s="77">
        <f t="shared" si="0"/>
        <v>41444</v>
      </c>
      <c r="Y5" s="77">
        <f t="shared" si="0"/>
        <v>41445</v>
      </c>
      <c r="Z5" s="77">
        <f t="shared" si="0"/>
        <v>41446</v>
      </c>
      <c r="AA5" s="77">
        <f t="shared" si="0"/>
        <v>41447</v>
      </c>
      <c r="AB5" s="77">
        <f t="shared" si="0"/>
        <v>41448</v>
      </c>
      <c r="AC5" s="77">
        <f t="shared" si="0"/>
        <v>41449</v>
      </c>
      <c r="AD5" s="77">
        <f t="shared" si="0"/>
        <v>41450</v>
      </c>
      <c r="AE5" s="77">
        <f t="shared" si="0"/>
        <v>41451</v>
      </c>
      <c r="AF5" s="77">
        <f t="shared" si="0"/>
        <v>41452</v>
      </c>
      <c r="AG5" s="77">
        <f t="shared" si="0"/>
        <v>41453</v>
      </c>
      <c r="AH5" s="77">
        <f>AG5+1</f>
        <v>41454</v>
      </c>
      <c r="AI5" s="77">
        <f t="shared" si="0"/>
        <v>41455</v>
      </c>
      <c r="AJ5" s="77">
        <f t="shared" si="0"/>
        <v>41456</v>
      </c>
      <c r="AK5" s="228" t="s">
        <v>136</v>
      </c>
      <c r="AL5" s="229"/>
      <c r="AM5" s="230"/>
      <c r="AN5" s="231" t="s">
        <v>137</v>
      </c>
      <c r="AO5" s="231" t="s">
        <v>138</v>
      </c>
      <c r="AP5" s="231" t="s">
        <v>139</v>
      </c>
      <c r="AQ5" s="231" t="s">
        <v>140</v>
      </c>
      <c r="AR5" s="231" t="s">
        <v>141</v>
      </c>
      <c r="AS5" s="227" t="s">
        <v>142</v>
      </c>
      <c r="AT5" s="24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26"/>
      <c r="B6" s="226"/>
      <c r="C6" s="226"/>
      <c r="D6" s="226"/>
      <c r="E6" s="226"/>
      <c r="F6" s="79" t="str">
        <f>CHOOSE(WEEKDAY(F5),"C.Nhật","T.Hai","T.Ba","T.Tư","T.Năm","T.Sáu","T.Bảy")</f>
        <v>T.Bảy</v>
      </c>
      <c r="G6" s="79" t="str">
        <f t="shared" ref="G6:AJ6" si="1">CHOOSE(WEEKDAY(G5),"C.Nhật","T.Hai","T.Ba","T.Tư","T.Năm","T.Sáu","T.Bảy")</f>
        <v>C.Nhật</v>
      </c>
      <c r="H6" s="79" t="str">
        <f t="shared" si="1"/>
        <v>T.Hai</v>
      </c>
      <c r="I6" s="79" t="str">
        <f t="shared" si="1"/>
        <v>T.Ba</v>
      </c>
      <c r="J6" s="79" t="str">
        <f t="shared" si="1"/>
        <v>T.Tư</v>
      </c>
      <c r="K6" s="79" t="str">
        <f t="shared" si="1"/>
        <v>T.Năm</v>
      </c>
      <c r="L6" s="79" t="str">
        <f t="shared" si="1"/>
        <v>T.Sáu</v>
      </c>
      <c r="M6" s="79" t="str">
        <f t="shared" si="1"/>
        <v>T.Bảy</v>
      </c>
      <c r="N6" s="79" t="str">
        <f t="shared" si="1"/>
        <v>C.Nhật</v>
      </c>
      <c r="O6" s="79" t="str">
        <f t="shared" si="1"/>
        <v>T.Hai</v>
      </c>
      <c r="P6" s="79" t="str">
        <f t="shared" si="1"/>
        <v>T.Ba</v>
      </c>
      <c r="Q6" s="79" t="str">
        <f t="shared" si="1"/>
        <v>T.Tư</v>
      </c>
      <c r="R6" s="79" t="str">
        <f t="shared" si="1"/>
        <v>T.Năm</v>
      </c>
      <c r="S6" s="79" t="str">
        <f t="shared" si="1"/>
        <v>T.Sáu</v>
      </c>
      <c r="T6" s="79" t="str">
        <f t="shared" si="1"/>
        <v>T.Bảy</v>
      </c>
      <c r="U6" s="79" t="str">
        <f t="shared" si="1"/>
        <v>C.Nhật</v>
      </c>
      <c r="V6" s="79" t="str">
        <f t="shared" si="1"/>
        <v>T.Hai</v>
      </c>
      <c r="W6" s="79" t="str">
        <f t="shared" si="1"/>
        <v>T.Ba</v>
      </c>
      <c r="X6" s="79" t="str">
        <f t="shared" si="1"/>
        <v>T.Tư</v>
      </c>
      <c r="Y6" s="79" t="str">
        <f t="shared" si="1"/>
        <v>T.Năm</v>
      </c>
      <c r="Z6" s="79" t="str">
        <f t="shared" si="1"/>
        <v>T.Sáu</v>
      </c>
      <c r="AA6" s="79" t="str">
        <f t="shared" si="1"/>
        <v>T.Bảy</v>
      </c>
      <c r="AB6" s="79" t="str">
        <f t="shared" si="1"/>
        <v>C.Nhật</v>
      </c>
      <c r="AC6" s="79" t="str">
        <f t="shared" si="1"/>
        <v>T.Hai</v>
      </c>
      <c r="AD6" s="79" t="str">
        <f t="shared" si="1"/>
        <v>T.Ba</v>
      </c>
      <c r="AE6" s="79" t="str">
        <f t="shared" si="1"/>
        <v>T.Tư</v>
      </c>
      <c r="AF6" s="79" t="str">
        <f t="shared" si="1"/>
        <v>T.Năm</v>
      </c>
      <c r="AG6" s="79" t="str">
        <f t="shared" si="1"/>
        <v>T.Sáu</v>
      </c>
      <c r="AH6" s="79" t="str">
        <f t="shared" si="1"/>
        <v>T.Bảy</v>
      </c>
      <c r="AI6" s="79" t="str">
        <f t="shared" si="1"/>
        <v>C.Nhật</v>
      </c>
      <c r="AJ6" s="79" t="str">
        <f t="shared" si="1"/>
        <v>T.Hai</v>
      </c>
      <c r="AK6" s="80" t="s">
        <v>143</v>
      </c>
      <c r="AL6" s="80" t="s">
        <v>144</v>
      </c>
      <c r="AM6" s="81" t="s">
        <v>145</v>
      </c>
      <c r="AN6" s="232"/>
      <c r="AO6" s="232"/>
      <c r="AP6" s="232"/>
      <c r="AQ6" s="232"/>
      <c r="AR6" s="232"/>
      <c r="AS6" s="226"/>
      <c r="AT6" s="24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33">
        <v>1</v>
      </c>
      <c r="B9" s="233" t="s">
        <v>34</v>
      </c>
      <c r="C9" s="235" t="str">
        <f>VLOOKUP(B9,DS,2,0)</f>
        <v>Võ Ngọc Thùy Lan</v>
      </c>
      <c r="D9" s="237" t="str">
        <f>VLOOKUP(B9,DS,3,0)</f>
        <v>Giám Đốc</v>
      </c>
      <c r="E9" s="90" t="s">
        <v>148</v>
      </c>
      <c r="F9" s="91">
        <v>8</v>
      </c>
      <c r="G9" s="91"/>
      <c r="H9" s="91">
        <v>8</v>
      </c>
      <c r="I9" s="91">
        <v>8</v>
      </c>
      <c r="J9" s="91">
        <v>8</v>
      </c>
      <c r="K9" s="91">
        <v>8</v>
      </c>
      <c r="L9" s="91">
        <v>8</v>
      </c>
      <c r="M9" s="91">
        <v>8</v>
      </c>
      <c r="N9" s="91"/>
      <c r="O9" s="91">
        <v>8</v>
      </c>
      <c r="P9" s="91">
        <v>8</v>
      </c>
      <c r="Q9" s="91">
        <v>8</v>
      </c>
      <c r="R9" s="91">
        <v>8</v>
      </c>
      <c r="S9" s="91">
        <v>8</v>
      </c>
      <c r="T9" s="91">
        <v>8</v>
      </c>
      <c r="U9" s="91"/>
      <c r="V9" s="91">
        <v>8</v>
      </c>
      <c r="W9" s="91">
        <v>8</v>
      </c>
      <c r="X9" s="91">
        <v>8</v>
      </c>
      <c r="Y9" s="91">
        <v>8</v>
      </c>
      <c r="Z9" s="91">
        <v>8</v>
      </c>
      <c r="AA9" s="91">
        <v>8</v>
      </c>
      <c r="AB9" s="91"/>
      <c r="AC9" s="91">
        <v>8</v>
      </c>
      <c r="AD9" s="91">
        <v>8</v>
      </c>
      <c r="AE9" s="91">
        <v>8</v>
      </c>
      <c r="AF9" s="91">
        <v>8</v>
      </c>
      <c r="AG9" s="91">
        <v>8</v>
      </c>
      <c r="AH9" s="91">
        <v>8</v>
      </c>
      <c r="AI9" s="91"/>
      <c r="AJ9" s="91"/>
      <c r="AK9" s="239">
        <f>((SUM(F9:AJ9))/8)-(SUMIF($F$6:$AJ$6,"C.Nhật",F9:AJ9)/8)</f>
        <v>25</v>
      </c>
      <c r="AL9" s="239">
        <f>SUM(F10:AJ10)/8*1.5</f>
        <v>0</v>
      </c>
      <c r="AM9" s="241">
        <f>SUMIF($F$6:$AJ$6,"C.Nhật",$F9:$AJ10)/8*2</f>
        <v>0</v>
      </c>
      <c r="AN9" s="218">
        <f>SUM(AK9:AM10)</f>
        <v>25</v>
      </c>
      <c r="AO9" s="244">
        <v>0</v>
      </c>
      <c r="AP9" s="218"/>
      <c r="AQ9" s="218"/>
      <c r="AR9" s="218"/>
      <c r="AS9" s="220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34"/>
      <c r="B10" s="234"/>
      <c r="C10" s="236"/>
      <c r="D10" s="238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40"/>
      <c r="AL10" s="240"/>
      <c r="AM10" s="242"/>
      <c r="AN10" s="219"/>
      <c r="AO10" s="245"/>
      <c r="AP10" s="219"/>
      <c r="AQ10" s="219"/>
      <c r="AR10" s="219"/>
      <c r="AS10" s="221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33">
        <v>2</v>
      </c>
      <c r="B11" s="233" t="s">
        <v>36</v>
      </c>
      <c r="C11" s="235" t="str">
        <f>VLOOKUP(B11,DS,2,0)</f>
        <v>Nguyễn Thị Thu Hà</v>
      </c>
      <c r="D11" s="237" t="str">
        <f>VLOOKUP(B11,DS,3,0)</f>
        <v>Kế Toán</v>
      </c>
      <c r="E11" s="90" t="s">
        <v>148</v>
      </c>
      <c r="F11" s="91">
        <v>8</v>
      </c>
      <c r="G11" s="91"/>
      <c r="H11" s="91">
        <v>8</v>
      </c>
      <c r="I11" s="91">
        <v>8</v>
      </c>
      <c r="J11" s="91">
        <v>8</v>
      </c>
      <c r="K11" s="91">
        <v>8</v>
      </c>
      <c r="L11" s="91">
        <v>8</v>
      </c>
      <c r="M11" s="91">
        <v>8</v>
      </c>
      <c r="N11" s="91"/>
      <c r="O11" s="91">
        <v>8</v>
      </c>
      <c r="P11" s="91">
        <v>8</v>
      </c>
      <c r="Q11" s="91">
        <v>8</v>
      </c>
      <c r="R11" s="91">
        <v>8</v>
      </c>
      <c r="S11" s="91">
        <v>8</v>
      </c>
      <c r="T11" s="91">
        <v>8</v>
      </c>
      <c r="U11" s="91"/>
      <c r="V11" s="91">
        <v>8</v>
      </c>
      <c r="W11" s="91">
        <v>8</v>
      </c>
      <c r="X11" s="91">
        <v>8</v>
      </c>
      <c r="Y11" s="91">
        <v>8</v>
      </c>
      <c r="Z11" s="91">
        <v>8</v>
      </c>
      <c r="AA11" s="91">
        <v>8</v>
      </c>
      <c r="AB11" s="91"/>
      <c r="AC11" s="91">
        <v>8</v>
      </c>
      <c r="AD11" s="91">
        <v>8</v>
      </c>
      <c r="AE11" s="91">
        <v>8</v>
      </c>
      <c r="AF11" s="91">
        <v>8</v>
      </c>
      <c r="AG11" s="91">
        <v>8</v>
      </c>
      <c r="AH11" s="91">
        <v>8</v>
      </c>
      <c r="AI11" s="91"/>
      <c r="AJ11" s="91"/>
      <c r="AK11" s="239">
        <f t="shared" ref="AK11" si="2">((SUM(F11:AJ11))/8)-(SUMIF($F$6:$AJ$6,"C.Nhật",F11:AJ11)/8)</f>
        <v>25</v>
      </c>
      <c r="AL11" s="239">
        <f t="shared" ref="AL11" si="3">SUM(F12:AJ12)/8*1.5</f>
        <v>0</v>
      </c>
      <c r="AM11" s="241">
        <f t="shared" ref="AM11" si="4">SUMIF($F$6:$AJ$6,"C.Nhật",$F11:$AJ12)/8*2</f>
        <v>0</v>
      </c>
      <c r="AN11" s="218">
        <f t="shared" ref="AN11" si="5">SUM(AK11:AM12)</f>
        <v>25</v>
      </c>
      <c r="AO11" s="244">
        <v>0</v>
      </c>
      <c r="AP11" s="218"/>
      <c r="AQ11" s="218"/>
      <c r="AR11" s="218"/>
      <c r="AS11" s="220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34"/>
      <c r="B12" s="234"/>
      <c r="C12" s="236"/>
      <c r="D12" s="238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40"/>
      <c r="AL12" s="240"/>
      <c r="AM12" s="242"/>
      <c r="AN12" s="219"/>
      <c r="AO12" s="245"/>
      <c r="AP12" s="219"/>
      <c r="AQ12" s="219"/>
      <c r="AR12" s="219"/>
      <c r="AS12" s="221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33">
        <v>1</v>
      </c>
      <c r="B14" s="233" t="s">
        <v>39</v>
      </c>
      <c r="C14" s="235" t="str">
        <f>VLOOKUP(B14,DS,2,0)</f>
        <v>Nguyễn Thị Thanh Thúy</v>
      </c>
      <c r="D14" s="237" t="str">
        <f>VLOOKUP(B14,DS,3,0)</f>
        <v>Công nhân</v>
      </c>
      <c r="E14" s="90" t="s">
        <v>148</v>
      </c>
      <c r="F14" s="91">
        <v>8</v>
      </c>
      <c r="G14" s="91"/>
      <c r="H14" s="91">
        <v>8</v>
      </c>
      <c r="I14" s="91">
        <v>8</v>
      </c>
      <c r="J14" s="91">
        <v>8</v>
      </c>
      <c r="K14" s="91">
        <v>8</v>
      </c>
      <c r="L14" s="91">
        <v>8</v>
      </c>
      <c r="M14" s="91">
        <v>8</v>
      </c>
      <c r="N14" s="91"/>
      <c r="O14" s="91">
        <v>8</v>
      </c>
      <c r="P14" s="91">
        <v>8</v>
      </c>
      <c r="Q14" s="91">
        <v>8</v>
      </c>
      <c r="R14" s="91">
        <v>8</v>
      </c>
      <c r="S14" s="91">
        <v>8</v>
      </c>
      <c r="T14" s="91">
        <v>8</v>
      </c>
      <c r="U14" s="91"/>
      <c r="V14" s="91">
        <v>8</v>
      </c>
      <c r="W14" s="91">
        <v>8</v>
      </c>
      <c r="X14" s="91">
        <v>8</v>
      </c>
      <c r="Y14" s="91">
        <v>8</v>
      </c>
      <c r="Z14" s="91">
        <v>8</v>
      </c>
      <c r="AA14" s="91">
        <v>8</v>
      </c>
      <c r="AB14" s="91"/>
      <c r="AC14" s="91">
        <v>8</v>
      </c>
      <c r="AD14" s="91">
        <v>8</v>
      </c>
      <c r="AE14" s="91">
        <v>8</v>
      </c>
      <c r="AF14" s="91">
        <v>8</v>
      </c>
      <c r="AG14" s="91">
        <v>8</v>
      </c>
      <c r="AH14" s="91">
        <v>8</v>
      </c>
      <c r="AI14" s="91"/>
      <c r="AJ14" s="91"/>
      <c r="AK14" s="239">
        <f t="shared" ref="AK14" si="6">((SUM(F14:AJ14))/8)-(SUMIF($F$6:$AJ$6,"C.Nhật",F14:AJ14)/8)</f>
        <v>25</v>
      </c>
      <c r="AL14" s="239">
        <f t="shared" ref="AL14" si="7">SUM(F15:AJ15)/8*1.5</f>
        <v>0</v>
      </c>
      <c r="AM14" s="241">
        <f>SUMIF($F$6:$AJ$6,"C.Nhật",$F14:$AJ15)/8*2</f>
        <v>0</v>
      </c>
      <c r="AN14" s="218">
        <f>SUM(AK14:AM15)</f>
        <v>25</v>
      </c>
      <c r="AO14" s="244">
        <v>0</v>
      </c>
      <c r="AP14" s="218"/>
      <c r="AQ14" s="218"/>
      <c r="AR14" s="218"/>
      <c r="AS14" s="220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34"/>
      <c r="B15" s="234"/>
      <c r="C15" s="236"/>
      <c r="D15" s="238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40"/>
      <c r="AL15" s="240"/>
      <c r="AM15" s="242"/>
      <c r="AN15" s="219"/>
      <c r="AO15" s="245"/>
      <c r="AP15" s="219"/>
      <c r="AQ15" s="219"/>
      <c r="AR15" s="219"/>
      <c r="AS15" s="221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33">
        <f>A14+1</f>
        <v>2</v>
      </c>
      <c r="B16" s="233" t="s">
        <v>42</v>
      </c>
      <c r="C16" s="235" t="str">
        <f>VLOOKUP(B16,DS,2,0)</f>
        <v>Huỳnh Đoàn Viết Thanh</v>
      </c>
      <c r="D16" s="237" t="str">
        <f>VLOOKUP(B16,DS,3,0)</f>
        <v>Công nhân</v>
      </c>
      <c r="E16" s="90" t="s">
        <v>148</v>
      </c>
      <c r="F16" s="91">
        <v>8</v>
      </c>
      <c r="G16" s="91"/>
      <c r="H16" s="91">
        <v>8</v>
      </c>
      <c r="I16" s="91">
        <v>8</v>
      </c>
      <c r="J16" s="91">
        <v>8</v>
      </c>
      <c r="K16" s="91">
        <v>8</v>
      </c>
      <c r="L16" s="91">
        <v>8</v>
      </c>
      <c r="M16" s="91">
        <v>8</v>
      </c>
      <c r="N16" s="91"/>
      <c r="O16" s="91">
        <v>8</v>
      </c>
      <c r="P16" s="91">
        <v>8</v>
      </c>
      <c r="Q16" s="91">
        <v>8</v>
      </c>
      <c r="R16" s="91">
        <v>8</v>
      </c>
      <c r="S16" s="91">
        <v>8</v>
      </c>
      <c r="T16" s="91">
        <v>8</v>
      </c>
      <c r="U16" s="91"/>
      <c r="V16" s="91">
        <v>8</v>
      </c>
      <c r="W16" s="91">
        <v>8</v>
      </c>
      <c r="X16" s="91">
        <v>8</v>
      </c>
      <c r="Y16" s="91">
        <v>8</v>
      </c>
      <c r="Z16" s="91">
        <v>8</v>
      </c>
      <c r="AA16" s="91">
        <v>8</v>
      </c>
      <c r="AB16" s="91"/>
      <c r="AC16" s="91">
        <v>8</v>
      </c>
      <c r="AD16" s="91">
        <v>8</v>
      </c>
      <c r="AE16" s="91">
        <v>8</v>
      </c>
      <c r="AF16" s="91">
        <v>8</v>
      </c>
      <c r="AG16" s="91">
        <v>8</v>
      </c>
      <c r="AH16" s="91">
        <v>8</v>
      </c>
      <c r="AI16" s="91"/>
      <c r="AJ16" s="91"/>
      <c r="AK16" s="239">
        <f t="shared" ref="AK16" si="8">((SUM(F16:AJ16))/8)-(SUMIF($F$6:$AJ$6,"C.Nhật",F16:AJ16)/8)</f>
        <v>25</v>
      </c>
      <c r="AL16" s="239">
        <f t="shared" ref="AL16" si="9">SUM(F17:AJ17)/8*1.5</f>
        <v>0</v>
      </c>
      <c r="AM16" s="241">
        <f>SUMIF($F$6:$AJ$6,"C.Nhật",$F16:$AJ17)/8*2</f>
        <v>0</v>
      </c>
      <c r="AN16" s="218">
        <f t="shared" ref="AN16" si="10">SUM(AK16:AM17)</f>
        <v>25</v>
      </c>
      <c r="AO16" s="244">
        <v>0</v>
      </c>
      <c r="AP16" s="218"/>
      <c r="AQ16" s="218"/>
      <c r="AR16" s="218"/>
      <c r="AS16" s="220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78" customFormat="1" ht="18" customHeight="1">
      <c r="A17" s="234"/>
      <c r="B17" s="234"/>
      <c r="C17" s="236"/>
      <c r="D17" s="238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40"/>
      <c r="AL17" s="240"/>
      <c r="AM17" s="242"/>
      <c r="AN17" s="219"/>
      <c r="AO17" s="245"/>
      <c r="AP17" s="219"/>
      <c r="AQ17" s="219"/>
      <c r="AR17" s="219"/>
      <c r="AS17" s="221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8" customFormat="1" ht="18" customHeight="1">
      <c r="A18" s="233">
        <f t="shared" ref="A18" si="11">A16+1</f>
        <v>3</v>
      </c>
      <c r="B18" s="233" t="s">
        <v>44</v>
      </c>
      <c r="C18" s="235" t="str">
        <f>VLOOKUP(B18,DS,2,0)</f>
        <v>Trần Ngọc Thoại</v>
      </c>
      <c r="D18" s="237" t="str">
        <f>VLOOKUP(B18,DS,3,0)</f>
        <v>Công nhân</v>
      </c>
      <c r="E18" s="90" t="s">
        <v>148</v>
      </c>
      <c r="F18" s="91">
        <v>8</v>
      </c>
      <c r="G18" s="91"/>
      <c r="H18" s="91">
        <v>8</v>
      </c>
      <c r="I18" s="91">
        <v>8</v>
      </c>
      <c r="J18" s="91">
        <v>8</v>
      </c>
      <c r="K18" s="91">
        <v>8</v>
      </c>
      <c r="L18" s="91">
        <v>8</v>
      </c>
      <c r="M18" s="91">
        <v>8</v>
      </c>
      <c r="N18" s="91"/>
      <c r="O18" s="91">
        <v>8</v>
      </c>
      <c r="P18" s="91">
        <v>8</v>
      </c>
      <c r="Q18" s="91">
        <v>8</v>
      </c>
      <c r="R18" s="91">
        <v>8</v>
      </c>
      <c r="S18" s="91">
        <v>8</v>
      </c>
      <c r="T18" s="91">
        <v>8</v>
      </c>
      <c r="U18" s="91"/>
      <c r="V18" s="91">
        <v>8</v>
      </c>
      <c r="W18" s="91">
        <v>8</v>
      </c>
      <c r="X18" s="91">
        <v>8</v>
      </c>
      <c r="Y18" s="91">
        <v>8</v>
      </c>
      <c r="Z18" s="91">
        <v>8</v>
      </c>
      <c r="AA18" s="91">
        <v>8</v>
      </c>
      <c r="AB18" s="91"/>
      <c r="AC18" s="91">
        <v>8</v>
      </c>
      <c r="AD18" s="91">
        <v>8</v>
      </c>
      <c r="AE18" s="91">
        <v>8</v>
      </c>
      <c r="AF18" s="91">
        <v>8</v>
      </c>
      <c r="AG18" s="91">
        <v>8</v>
      </c>
      <c r="AH18" s="91">
        <v>8</v>
      </c>
      <c r="AI18" s="91"/>
      <c r="AJ18" s="91"/>
      <c r="AK18" s="239">
        <f t="shared" ref="AK18" si="12">((SUM(F18:AJ18))/8)-(SUMIF($F$6:$AJ$6,"C.Nhật",F18:AJ18)/8)</f>
        <v>25</v>
      </c>
      <c r="AL18" s="239">
        <f t="shared" ref="AL18" si="13">SUM(F19:AJ19)/8*1.5</f>
        <v>0</v>
      </c>
      <c r="AM18" s="241">
        <f>SUMIF($F$6:$AJ$6,"C.Nhật",$F18:$AJ19)/8*2</f>
        <v>0</v>
      </c>
      <c r="AN18" s="218">
        <f t="shared" ref="AN18" si="14">SUM(AK18:AM19)</f>
        <v>25</v>
      </c>
      <c r="AO18" s="244">
        <v>0</v>
      </c>
      <c r="AP18" s="218"/>
      <c r="AQ18" s="218"/>
      <c r="AR18" s="218"/>
      <c r="AS18" s="220"/>
      <c r="AT18" s="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78" customFormat="1" ht="18" customHeight="1">
      <c r="A19" s="234"/>
      <c r="B19" s="234"/>
      <c r="C19" s="236"/>
      <c r="D19" s="238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40"/>
      <c r="AL19" s="240"/>
      <c r="AM19" s="242"/>
      <c r="AN19" s="219"/>
      <c r="AO19" s="245"/>
      <c r="AP19" s="219"/>
      <c r="AQ19" s="219"/>
      <c r="AR19" s="219"/>
      <c r="AS19" s="221"/>
      <c r="AT19" s="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8" customFormat="1" ht="18" customHeight="1">
      <c r="A20" s="233">
        <f t="shared" ref="A20" si="15">A18+1</f>
        <v>4</v>
      </c>
      <c r="B20" s="233" t="s">
        <v>46</v>
      </c>
      <c r="C20" s="235" t="str">
        <f>VLOOKUP(B20,DS,2,0)</f>
        <v>Nguyễn Đức Huy</v>
      </c>
      <c r="D20" s="237" t="str">
        <f>VLOOKUP(B20,DS,3,0)</f>
        <v>Công nhân</v>
      </c>
      <c r="E20" s="90" t="s">
        <v>148</v>
      </c>
      <c r="F20" s="91">
        <v>8</v>
      </c>
      <c r="G20" s="91"/>
      <c r="H20" s="91">
        <v>8</v>
      </c>
      <c r="I20" s="91">
        <v>8</v>
      </c>
      <c r="J20" s="91">
        <v>8</v>
      </c>
      <c r="K20" s="91">
        <v>8</v>
      </c>
      <c r="L20" s="91">
        <v>8</v>
      </c>
      <c r="M20" s="91">
        <v>8</v>
      </c>
      <c r="N20" s="91"/>
      <c r="O20" s="91">
        <v>8</v>
      </c>
      <c r="P20" s="91">
        <v>8</v>
      </c>
      <c r="Q20" s="91">
        <v>8</v>
      </c>
      <c r="R20" s="91">
        <v>8</v>
      </c>
      <c r="S20" s="91">
        <v>8</v>
      </c>
      <c r="T20" s="91">
        <v>8</v>
      </c>
      <c r="U20" s="91"/>
      <c r="V20" s="91">
        <v>8</v>
      </c>
      <c r="W20" s="91">
        <v>8</v>
      </c>
      <c r="X20" s="91">
        <v>8</v>
      </c>
      <c r="Y20" s="91">
        <v>8</v>
      </c>
      <c r="Z20" s="91">
        <v>8</v>
      </c>
      <c r="AA20" s="91">
        <v>8</v>
      </c>
      <c r="AB20" s="91"/>
      <c r="AC20" s="91">
        <v>8</v>
      </c>
      <c r="AD20" s="91">
        <v>8</v>
      </c>
      <c r="AE20" s="91">
        <v>8</v>
      </c>
      <c r="AF20" s="91">
        <v>8</v>
      </c>
      <c r="AG20" s="91">
        <v>8</v>
      </c>
      <c r="AH20" s="91">
        <v>8</v>
      </c>
      <c r="AI20" s="91"/>
      <c r="AJ20" s="91"/>
      <c r="AK20" s="239">
        <f t="shared" ref="AK20" si="16">((SUM(F20:AJ20))/8)-(SUMIF($F$6:$AJ$6,"C.Nhật",F20:AJ20)/8)</f>
        <v>25</v>
      </c>
      <c r="AL20" s="239">
        <f t="shared" ref="AL20" si="17">SUM(F21:AJ21)/8*1.5</f>
        <v>0</v>
      </c>
      <c r="AM20" s="241">
        <f>SUMIF($F$6:$AJ$6,"C.Nhật",$F20:$AJ21)/8*2</f>
        <v>0</v>
      </c>
      <c r="AN20" s="218">
        <f t="shared" ref="AN20" si="18">SUM(AK20:AM21)</f>
        <v>25</v>
      </c>
      <c r="AO20" s="244">
        <v>0</v>
      </c>
      <c r="AP20" s="218"/>
      <c r="AQ20" s="218"/>
      <c r="AR20" s="218"/>
      <c r="AS20" s="220"/>
      <c r="AT20" s="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78" customFormat="1" ht="18" customHeight="1">
      <c r="A21" s="234"/>
      <c r="B21" s="234"/>
      <c r="C21" s="236"/>
      <c r="D21" s="238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40"/>
      <c r="AL21" s="240"/>
      <c r="AM21" s="242"/>
      <c r="AN21" s="219"/>
      <c r="AO21" s="245"/>
      <c r="AP21" s="219"/>
      <c r="AQ21" s="219"/>
      <c r="AR21" s="219"/>
      <c r="AS21" s="221"/>
      <c r="AT21" s="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  <c r="AT22" s="103"/>
    </row>
    <row r="23" spans="1:90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  <c r="AT23" s="103"/>
    </row>
    <row r="24" spans="1:90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  <c r="AT24" s="103"/>
    </row>
    <row r="25" spans="1:90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  <c r="AT25" s="96"/>
    </row>
    <row r="26" spans="1:90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  <c r="AT26" s="96"/>
    </row>
    <row r="27" spans="1:90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  <c r="AT27" s="96"/>
    </row>
    <row r="28" spans="1:90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  <c r="AT28" s="96"/>
    </row>
    <row r="29" spans="1:90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96"/>
    </row>
    <row r="30" spans="1:90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94"/>
    </row>
    <row r="31" spans="1:90" ht="15" customHeight="1">
      <c r="C31" s="2" t="s">
        <v>152</v>
      </c>
    </row>
    <row r="32" spans="1:90" ht="15" customHeight="1">
      <c r="C32" s="2" t="s">
        <v>153</v>
      </c>
    </row>
    <row r="33" spans="1:91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2">
    <mergeCell ref="AP18:AP19"/>
    <mergeCell ref="AQ18:AQ19"/>
    <mergeCell ref="AR18:AR19"/>
    <mergeCell ref="AS18:AS19"/>
    <mergeCell ref="AS20:AS21"/>
    <mergeCell ref="AR20:AR21"/>
    <mergeCell ref="AM20:AM21"/>
    <mergeCell ref="AN20:AN21"/>
    <mergeCell ref="AO20:AO21"/>
    <mergeCell ref="AP20:AP21"/>
    <mergeCell ref="AQ20:AQ21"/>
    <mergeCell ref="AL20:AL21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20:A21"/>
    <mergeCell ref="B20:B21"/>
    <mergeCell ref="C20:C21"/>
    <mergeCell ref="D20:D21"/>
    <mergeCell ref="AK20:AK21"/>
    <mergeCell ref="AS14:AS15"/>
    <mergeCell ref="A16:A17"/>
    <mergeCell ref="B16:B17"/>
    <mergeCell ref="C16:C17"/>
    <mergeCell ref="D16:D17"/>
    <mergeCell ref="AK16:AK17"/>
    <mergeCell ref="AL16:AL17"/>
    <mergeCell ref="AR16:AR17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">
    <cfRule type="expression" dxfId="39" priority="14" stopIfTrue="1">
      <formula>IF(WEEKDAY(F$5)=1,TRUE,FALSE)</formula>
    </cfRule>
  </conditionalFormatting>
  <conditionalFormatting sqref="F9:AJ12">
    <cfRule type="expression" dxfId="38" priority="13" stopIfTrue="1">
      <formula>IF(WEEKDAY(F$5)=1,TRUE,FALSE)</formula>
    </cfRule>
  </conditionalFormatting>
  <conditionalFormatting sqref="AJ20:AJ21 AJ14:AJ17">
    <cfRule type="expression" dxfId="37" priority="12" stopIfTrue="1">
      <formula>IF(WEEKDAY(AJ$5)=1,TRUE,FALSE)</formula>
    </cfRule>
  </conditionalFormatting>
  <conditionalFormatting sqref="AJ20:AJ21 AJ14:AJ17">
    <cfRule type="expression" dxfId="36" priority="11" stopIfTrue="1">
      <formula>IF(WEEKDAY(AJ$5)=1,TRUE,FALSE)</formula>
    </cfRule>
  </conditionalFormatting>
  <conditionalFormatting sqref="AJ18:AJ19">
    <cfRule type="expression" dxfId="35" priority="8" stopIfTrue="1">
      <formula>IF(WEEKDAY(AJ$5)=1,TRUE,FALSE)</formula>
    </cfRule>
  </conditionalFormatting>
  <conditionalFormatting sqref="AJ18:AJ19">
    <cfRule type="expression" dxfId="34" priority="7" stopIfTrue="1">
      <formula>IF(WEEKDAY(AJ$5)=1,TRUE,FALSE)</formula>
    </cfRule>
  </conditionalFormatting>
  <conditionalFormatting sqref="F14:AI17">
    <cfRule type="expression" dxfId="33" priority="4" stopIfTrue="1">
      <formula>IF(WEEKDAY(F$5)=1,TRUE,FALSE)</formula>
    </cfRule>
  </conditionalFormatting>
  <conditionalFormatting sqref="F14:AI17">
    <cfRule type="expression" dxfId="32" priority="3" stopIfTrue="1">
      <formula>IF(WEEKDAY(F$5)=1,TRUE,FALSE)</formula>
    </cfRule>
  </conditionalFormatting>
  <conditionalFormatting sqref="F18:AI21">
    <cfRule type="expression" dxfId="31" priority="2" stopIfTrue="1">
      <formula>IF(WEEKDAY(F$5)=1,TRUE,FALSE)</formula>
    </cfRule>
  </conditionalFormatting>
  <conditionalFormatting sqref="F18:AI21">
    <cfRule type="expression" dxfId="3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12" activePane="bottomRight" state="frozen"/>
      <selection activeCell="E19" sqref="E19"/>
      <selection pane="topRight" activeCell="E19" sqref="E19"/>
      <selection pane="bottomLeft" activeCell="E19" sqref="E19"/>
      <selection pane="bottomRight" sqref="A1:T26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47" t="str">
        <f>"BẢNG THANH TOÁN LƯƠNG THÁNG"&amp;" "&amp;TEXT($E$4,"mm")&amp;" / "&amp;TEXT($E$4,"yyyy")</f>
        <v>BẢNG THANH TOÁN LƯƠNG THÁNG 06 / 2013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132</v>
      </c>
      <c r="S1" s="250"/>
      <c r="T1" s="251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-6'!$AK$9:$AK$21)</f>
        <v>25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-6'!$E$4</f>
        <v>41426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2" t="s">
        <v>3</v>
      </c>
      <c r="B5" s="252" t="s">
        <v>161</v>
      </c>
      <c r="C5" s="204" t="s">
        <v>5</v>
      </c>
      <c r="D5" s="204" t="s">
        <v>6</v>
      </c>
      <c r="E5" s="209" t="s">
        <v>7</v>
      </c>
      <c r="F5" s="255" t="s">
        <v>162</v>
      </c>
      <c r="G5" s="256"/>
      <c r="H5" s="256"/>
      <c r="I5" s="256"/>
      <c r="J5" s="256"/>
      <c r="K5" s="257"/>
      <c r="L5" s="254" t="s">
        <v>14</v>
      </c>
      <c r="M5" s="254" t="s">
        <v>163</v>
      </c>
      <c r="N5" s="204" t="s">
        <v>164</v>
      </c>
      <c r="O5" s="204"/>
      <c r="P5" s="204"/>
      <c r="Q5" s="254" t="s">
        <v>165</v>
      </c>
      <c r="R5" s="254" t="s">
        <v>166</v>
      </c>
      <c r="S5" s="254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53"/>
      <c r="B6" s="253"/>
      <c r="C6" s="204"/>
      <c r="D6" s="204"/>
      <c r="E6" s="209"/>
      <c r="F6" s="255" t="s">
        <v>169</v>
      </c>
      <c r="G6" s="257"/>
      <c r="H6" s="255" t="s">
        <v>170</v>
      </c>
      <c r="I6" s="256"/>
      <c r="J6" s="261" t="s">
        <v>171</v>
      </c>
      <c r="K6" s="254" t="s">
        <v>172</v>
      </c>
      <c r="L6" s="258"/>
      <c r="M6" s="258"/>
      <c r="N6" s="263" t="s">
        <v>173</v>
      </c>
      <c r="O6" s="254" t="s">
        <v>174</v>
      </c>
      <c r="P6" s="254" t="s">
        <v>175</v>
      </c>
      <c r="Q6" s="258"/>
      <c r="R6" s="258"/>
      <c r="S6" s="258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53"/>
      <c r="B7" s="253"/>
      <c r="C7" s="254"/>
      <c r="D7" s="254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62"/>
      <c r="K7" s="258"/>
      <c r="L7" s="259"/>
      <c r="M7" s="259"/>
      <c r="N7" s="264"/>
      <c r="O7" s="258"/>
      <c r="P7" s="258"/>
      <c r="Q7" s="258"/>
      <c r="R7" s="258"/>
      <c r="S7" s="258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-6'!$B$8:$AS$21,36,0)</f>
        <v>25</v>
      </c>
      <c r="G10" s="150">
        <f t="shared" ref="G10:G11" si="2">ROUND(E10/$U$2*F10,0)</f>
        <v>1565000</v>
      </c>
      <c r="H10" s="149">
        <f>(VLOOKUP(B10,'CC -6'!$B$8:$AS$21,37,0)+VLOOKUP(B10,'CC -6'!$B$8:$AS$21,38,0))</f>
        <v>0</v>
      </c>
      <c r="I10" s="150">
        <f t="shared" ref="I10:I11" si="3">ROUND(E10/$U$2*H10,0)</f>
        <v>0</v>
      </c>
      <c r="J10" s="151">
        <f t="shared" ref="J10:K11" si="4">F10+H10</f>
        <v>25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-6'!$B$8:$AS$21,36,0)</f>
        <v>25</v>
      </c>
      <c r="G11" s="150">
        <f t="shared" si="2"/>
        <v>1240000</v>
      </c>
      <c r="H11" s="149">
        <f>(VLOOKUP(B11,'CC -6'!$B$8:$AS$21,37,0)+VLOOKUP(B11,'CC -6'!$B$8:$AS$21,38,0))</f>
        <v>0</v>
      </c>
      <c r="I11" s="150">
        <f t="shared" si="3"/>
        <v>0</v>
      </c>
      <c r="J11" s="151">
        <f t="shared" si="4"/>
        <v>25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60" t="s">
        <v>48</v>
      </c>
      <c r="B13" s="260"/>
      <c r="C13" s="260"/>
      <c r="D13" s="260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10">VLOOKUP(B15,DS,2,0)</f>
        <v>Nguyễn Thị Thanh Thúy</v>
      </c>
      <c r="D15" s="147" t="str">
        <f t="shared" ref="D15:D18" si="11">VLOOKUP(B15,DS,3,0)</f>
        <v>Công nhân</v>
      </c>
      <c r="E15" s="148">
        <f t="shared" ref="E15:E18" si="12">VLOOKUP(B15,DS,4,0)</f>
        <v>1365000</v>
      </c>
      <c r="F15" s="149">
        <f>VLOOKUP(B15,'CC -6'!$B$8:$AS$21,36,0)</f>
        <v>25</v>
      </c>
      <c r="G15" s="150">
        <f t="shared" ref="G15:G18" si="13">ROUND(E15/$U$2*F15,0)</f>
        <v>1365000</v>
      </c>
      <c r="H15" s="149">
        <f>(VLOOKUP(B15,'CC -6'!$B$8:$AS$21,37,0)+VLOOKUP(B15,'CC -6'!$B$8:$AS$21,38,0))</f>
        <v>0</v>
      </c>
      <c r="I15" s="150">
        <f t="shared" ref="I15:I18" si="14">ROUND(E15/$U$2*H15,0)</f>
        <v>0</v>
      </c>
      <c r="J15" s="171">
        <f t="shared" ref="J15:K18" si="15">F15+H15</f>
        <v>25</v>
      </c>
      <c r="K15" s="152">
        <f t="shared" si="15"/>
        <v>1365000</v>
      </c>
      <c r="L15" s="148">
        <f>VLOOKUP(B15,DS,6,0)</f>
        <v>260000</v>
      </c>
      <c r="M15" s="153">
        <f t="shared" ref="M15:M18" si="16">K15+L15</f>
        <v>1625000</v>
      </c>
      <c r="N15" s="153">
        <f>IF(VLOOKUP(B15,DS,9,0)="x",'L - 6'!E15*$N$4,0)</f>
        <v>0</v>
      </c>
      <c r="O15" s="153">
        <f t="shared" ref="O15:O18" si="17">IF(VLOOKUP(B15,DS,9,0)="x",E15*0.015,0)</f>
        <v>0</v>
      </c>
      <c r="P15" s="153">
        <f t="shared" ref="P15:P18" si="18">IF(VLOOKUP(B15,DS,9,0)="x",E15*0.01,0)</f>
        <v>0</v>
      </c>
      <c r="Q15" s="152">
        <f>M15-SUM(N15:P15)</f>
        <v>1625000</v>
      </c>
      <c r="R15" s="152">
        <f t="shared" ref="R15:R18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-6'!$B$8:$AS$21,36,0)</f>
        <v>25</v>
      </c>
      <c r="G16" s="150">
        <f t="shared" si="13"/>
        <v>1275000</v>
      </c>
      <c r="H16" s="149">
        <f>(VLOOKUP(B16,'CC -6'!$B$8:$AS$21,37,0)+VLOOKUP(B16,'CC -6'!$B$8:$AS$21,38,0))</f>
        <v>0</v>
      </c>
      <c r="I16" s="150">
        <f t="shared" si="14"/>
        <v>0</v>
      </c>
      <c r="J16" s="171">
        <f t="shared" si="15"/>
        <v>25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- 6'!E16*$N$4,0)</f>
        <v>0</v>
      </c>
      <c r="O16" s="153">
        <f t="shared" si="17"/>
        <v>0</v>
      </c>
      <c r="P16" s="153">
        <f t="shared" si="18"/>
        <v>0</v>
      </c>
      <c r="Q16" s="152">
        <f t="shared" ref="Q16:Q18" si="20">M16-SUM(N16:P16)</f>
        <v>1535000</v>
      </c>
      <c r="R16" s="152">
        <f t="shared" si="19"/>
        <v>0</v>
      </c>
      <c r="S16" s="154">
        <f t="shared" ref="S16:S18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10"/>
        <v>Trần Ngọc Thoại</v>
      </c>
      <c r="D17" s="147" t="str">
        <f t="shared" si="11"/>
        <v>Công nhân</v>
      </c>
      <c r="E17" s="148">
        <f t="shared" si="12"/>
        <v>990000</v>
      </c>
      <c r="F17" s="149">
        <f>VLOOKUP(B17,'CC -6'!$B$8:$AS$21,36,0)</f>
        <v>25</v>
      </c>
      <c r="G17" s="150">
        <f t="shared" si="13"/>
        <v>990000</v>
      </c>
      <c r="H17" s="149">
        <f>(VLOOKUP(B17,'CC -6'!$B$8:$AS$21,37,0)+VLOOKUP(B17,'CC -6'!$B$8:$AS$21,38,0))</f>
        <v>0</v>
      </c>
      <c r="I17" s="150">
        <f t="shared" si="14"/>
        <v>0</v>
      </c>
      <c r="J17" s="171">
        <f t="shared" si="15"/>
        <v>25</v>
      </c>
      <c r="K17" s="152">
        <f t="shared" si="15"/>
        <v>990000</v>
      </c>
      <c r="L17" s="148">
        <f>VLOOKUP(B17,DS,6,0)</f>
        <v>260000</v>
      </c>
      <c r="M17" s="153">
        <f t="shared" si="16"/>
        <v>1250000</v>
      </c>
      <c r="N17" s="153">
        <f>IF(VLOOKUP(B17,DS,9,0)="x",'L - 6'!E17*$N$4,0)</f>
        <v>0</v>
      </c>
      <c r="O17" s="153">
        <f t="shared" si="17"/>
        <v>0</v>
      </c>
      <c r="P17" s="153">
        <f t="shared" si="18"/>
        <v>0</v>
      </c>
      <c r="Q17" s="152">
        <f t="shared" si="20"/>
        <v>1250000</v>
      </c>
      <c r="R17" s="152">
        <f t="shared" si="19"/>
        <v>0</v>
      </c>
      <c r="S17" s="154">
        <f t="shared" si="21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10"/>
        <v>Nguyễn Đức Huy</v>
      </c>
      <c r="D18" s="147" t="str">
        <f t="shared" si="11"/>
        <v>Công nhân</v>
      </c>
      <c r="E18" s="148">
        <f t="shared" si="12"/>
        <v>1015000</v>
      </c>
      <c r="F18" s="149">
        <f>VLOOKUP(B18,'CC -6'!$B$8:$AS$21,36,0)</f>
        <v>25</v>
      </c>
      <c r="G18" s="150">
        <f t="shared" si="13"/>
        <v>1015000</v>
      </c>
      <c r="H18" s="149">
        <f>(VLOOKUP(B18,'CC -6'!$B$8:$AS$21,37,0)+VLOOKUP(B18,'CC -6'!$B$8:$AS$21,38,0))</f>
        <v>0</v>
      </c>
      <c r="I18" s="150">
        <f t="shared" si="14"/>
        <v>0</v>
      </c>
      <c r="J18" s="171">
        <f t="shared" si="15"/>
        <v>25</v>
      </c>
      <c r="K18" s="152">
        <f t="shared" si="15"/>
        <v>1015000</v>
      </c>
      <c r="L18" s="148">
        <f>VLOOKUP(B18,DS,6,0)</f>
        <v>260000</v>
      </c>
      <c r="M18" s="153">
        <f t="shared" si="16"/>
        <v>1275000</v>
      </c>
      <c r="N18" s="153">
        <f>IF(VLOOKUP(B18,DS,9,0)="x",'L - 6'!E18*$N$4,0)</f>
        <v>0</v>
      </c>
      <c r="O18" s="153">
        <f t="shared" si="17"/>
        <v>0</v>
      </c>
      <c r="P18" s="153">
        <f t="shared" si="18"/>
        <v>0</v>
      </c>
      <c r="Q18" s="152">
        <f t="shared" si="20"/>
        <v>1275000</v>
      </c>
      <c r="R18" s="152">
        <f t="shared" si="19"/>
        <v>0</v>
      </c>
      <c r="S18" s="154">
        <f t="shared" si="21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60" t="s">
        <v>48</v>
      </c>
      <c r="B20" s="260"/>
      <c r="C20" s="260"/>
      <c r="D20" s="260"/>
      <c r="E20" s="167">
        <f>SUM(E14:E19)</f>
        <v>4645000</v>
      </c>
      <c r="F20" s="167"/>
      <c r="G20" s="167">
        <f t="shared" ref="G20:S20" si="22">SUM(G14:G19)</f>
        <v>4645000</v>
      </c>
      <c r="H20" s="167"/>
      <c r="I20" s="167">
        <f t="shared" si="22"/>
        <v>0</v>
      </c>
      <c r="J20" s="167"/>
      <c r="K20" s="167">
        <f t="shared" si="22"/>
        <v>4645000</v>
      </c>
      <c r="L20" s="167">
        <f t="shared" si="22"/>
        <v>1040000</v>
      </c>
      <c r="M20" s="167">
        <f t="shared" si="22"/>
        <v>5685000</v>
      </c>
      <c r="N20" s="167">
        <f t="shared" si="22"/>
        <v>0</v>
      </c>
      <c r="O20" s="167">
        <f t="shared" si="22"/>
        <v>0</v>
      </c>
      <c r="P20" s="167">
        <f t="shared" si="22"/>
        <v>0</v>
      </c>
      <c r="Q20" s="167">
        <f t="shared" si="22"/>
        <v>5685000</v>
      </c>
      <c r="R20" s="167">
        <f t="shared" si="22"/>
        <v>0</v>
      </c>
      <c r="S20" s="167">
        <f t="shared" si="22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30  tháng  6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E5:I6 N5:P6 L5 L23 J6:K7 L7 A26:T59 U32:U59 N19:S19 V26:IJ59 J19:L19 AE14:IJ14 V13:IJ13 D13:T13 D20:T20 A60:IJ65327 Q12:S12 V12 AE12:IJ12 A12:B13 A10:B11 AE5:IJ11 V5:V11 Q10:S11" name="Range1"/>
    <protectedRange password="CC78" sqref="F7:H7" name="Range1_4"/>
    <protectedRange password="CC78" sqref="V23:IJ24 S23:T24 N23:Q24 E23:I24" name="Range1_1_1"/>
    <protectedRange password="CC78" sqref="U1 V1:IJ4 B4:T4 R2:S3 B1:Q3 U19:U31 W14:AD14 U12:U14 W12:AD12 W5:AD11 U4:U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A13:D13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K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N16" sqref="N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8.5703125" style="2" customWidth="1"/>
    <col min="47" max="16384" width="3.7109375" style="2"/>
  </cols>
  <sheetData>
    <row r="1" spans="1:89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07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22" t="s">
        <v>132</v>
      </c>
      <c r="AN1" s="223"/>
      <c r="AO1" s="223"/>
      <c r="AP1" s="223"/>
      <c r="AQ1" s="223"/>
      <c r="AR1" s="223"/>
      <c r="AS1" s="224"/>
    </row>
    <row r="2" spans="1:89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</row>
    <row r="3" spans="1:89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</row>
    <row r="4" spans="1:89" ht="14.25" customHeight="1">
      <c r="A4" s="69"/>
      <c r="B4" s="69"/>
      <c r="C4" s="70"/>
      <c r="D4" s="71"/>
      <c r="E4" s="72">
        <v>41456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</row>
    <row r="5" spans="1:89" s="78" customFormat="1" ht="18.75" customHeight="1">
      <c r="A5" s="225" t="s">
        <v>133</v>
      </c>
      <c r="B5" s="225" t="s">
        <v>4</v>
      </c>
      <c r="C5" s="225" t="s">
        <v>5</v>
      </c>
      <c r="D5" s="227" t="s">
        <v>134</v>
      </c>
      <c r="E5" s="225" t="s">
        <v>135</v>
      </c>
      <c r="F5" s="77">
        <f>+E4</f>
        <v>41456</v>
      </c>
      <c r="G5" s="77">
        <f t="shared" ref="G5:AJ5" si="0">F5+1</f>
        <v>41457</v>
      </c>
      <c r="H5" s="77">
        <f t="shared" si="0"/>
        <v>41458</v>
      </c>
      <c r="I5" s="77">
        <f t="shared" si="0"/>
        <v>41459</v>
      </c>
      <c r="J5" s="77">
        <f t="shared" si="0"/>
        <v>41460</v>
      </c>
      <c r="K5" s="77">
        <f t="shared" si="0"/>
        <v>41461</v>
      </c>
      <c r="L5" s="77">
        <f t="shared" si="0"/>
        <v>41462</v>
      </c>
      <c r="M5" s="77">
        <f t="shared" si="0"/>
        <v>41463</v>
      </c>
      <c r="N5" s="77">
        <f t="shared" si="0"/>
        <v>41464</v>
      </c>
      <c r="O5" s="77">
        <f t="shared" si="0"/>
        <v>41465</v>
      </c>
      <c r="P5" s="77">
        <f t="shared" si="0"/>
        <v>41466</v>
      </c>
      <c r="Q5" s="77">
        <f t="shared" si="0"/>
        <v>41467</v>
      </c>
      <c r="R5" s="77">
        <f t="shared" si="0"/>
        <v>41468</v>
      </c>
      <c r="S5" s="77">
        <f t="shared" si="0"/>
        <v>41469</v>
      </c>
      <c r="T5" s="77">
        <f t="shared" si="0"/>
        <v>41470</v>
      </c>
      <c r="U5" s="77">
        <f t="shared" si="0"/>
        <v>41471</v>
      </c>
      <c r="V5" s="77">
        <f t="shared" si="0"/>
        <v>41472</v>
      </c>
      <c r="W5" s="77">
        <f t="shared" si="0"/>
        <v>41473</v>
      </c>
      <c r="X5" s="77">
        <f t="shared" si="0"/>
        <v>41474</v>
      </c>
      <c r="Y5" s="77">
        <f t="shared" si="0"/>
        <v>41475</v>
      </c>
      <c r="Z5" s="77">
        <f t="shared" si="0"/>
        <v>41476</v>
      </c>
      <c r="AA5" s="77">
        <f t="shared" si="0"/>
        <v>41477</v>
      </c>
      <c r="AB5" s="77">
        <f t="shared" si="0"/>
        <v>41478</v>
      </c>
      <c r="AC5" s="77">
        <f t="shared" si="0"/>
        <v>41479</v>
      </c>
      <c r="AD5" s="77">
        <f t="shared" si="0"/>
        <v>41480</v>
      </c>
      <c r="AE5" s="77">
        <f t="shared" si="0"/>
        <v>41481</v>
      </c>
      <c r="AF5" s="77">
        <f t="shared" si="0"/>
        <v>41482</v>
      </c>
      <c r="AG5" s="77">
        <f t="shared" si="0"/>
        <v>41483</v>
      </c>
      <c r="AH5" s="77">
        <f>AG5+1</f>
        <v>41484</v>
      </c>
      <c r="AI5" s="77">
        <f t="shared" si="0"/>
        <v>41485</v>
      </c>
      <c r="AJ5" s="77">
        <f t="shared" si="0"/>
        <v>41486</v>
      </c>
      <c r="AK5" s="228" t="s">
        <v>136</v>
      </c>
      <c r="AL5" s="229"/>
      <c r="AM5" s="230"/>
      <c r="AN5" s="231" t="s">
        <v>137</v>
      </c>
      <c r="AO5" s="231" t="s">
        <v>138</v>
      </c>
      <c r="AP5" s="231" t="s">
        <v>139</v>
      </c>
      <c r="AQ5" s="231" t="s">
        <v>140</v>
      </c>
      <c r="AR5" s="231" t="s">
        <v>141</v>
      </c>
      <c r="AS5" s="227" t="s">
        <v>142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78" customFormat="1" ht="39.75" customHeight="1">
      <c r="A6" s="226"/>
      <c r="B6" s="226"/>
      <c r="C6" s="226"/>
      <c r="D6" s="226"/>
      <c r="E6" s="226"/>
      <c r="F6" s="79" t="str">
        <f>CHOOSE(WEEKDAY(F5),"C.Nhật","T.Hai","T.Ba","T.Tư","T.Năm","T.Sáu","T.Bảy")</f>
        <v>T.Hai</v>
      </c>
      <c r="G6" s="79" t="str">
        <f t="shared" ref="G6:AJ6" si="1">CHOOSE(WEEKDAY(G5),"C.Nhật","T.Hai","T.Ba","T.Tư","T.Năm","T.Sáu","T.Bảy")</f>
        <v>T.Ba</v>
      </c>
      <c r="H6" s="79" t="str">
        <f t="shared" si="1"/>
        <v>T.Tư</v>
      </c>
      <c r="I6" s="79" t="str">
        <f t="shared" si="1"/>
        <v>T.Năm</v>
      </c>
      <c r="J6" s="79" t="str">
        <f t="shared" si="1"/>
        <v>T.Sáu</v>
      </c>
      <c r="K6" s="79" t="str">
        <f t="shared" si="1"/>
        <v>T.Bảy</v>
      </c>
      <c r="L6" s="79" t="str">
        <f t="shared" si="1"/>
        <v>C.Nhật</v>
      </c>
      <c r="M6" s="79" t="str">
        <f t="shared" si="1"/>
        <v>T.Hai</v>
      </c>
      <c r="N6" s="79" t="str">
        <f t="shared" si="1"/>
        <v>T.Ba</v>
      </c>
      <c r="O6" s="79" t="str">
        <f t="shared" si="1"/>
        <v>T.Tư</v>
      </c>
      <c r="P6" s="79" t="str">
        <f t="shared" si="1"/>
        <v>T.Năm</v>
      </c>
      <c r="Q6" s="79" t="str">
        <f t="shared" si="1"/>
        <v>T.Sáu</v>
      </c>
      <c r="R6" s="79" t="str">
        <f t="shared" si="1"/>
        <v>T.Bảy</v>
      </c>
      <c r="S6" s="79" t="str">
        <f t="shared" si="1"/>
        <v>C.Nhật</v>
      </c>
      <c r="T6" s="79" t="str">
        <f t="shared" si="1"/>
        <v>T.Hai</v>
      </c>
      <c r="U6" s="79" t="str">
        <f t="shared" si="1"/>
        <v>T.Ba</v>
      </c>
      <c r="V6" s="79" t="str">
        <f t="shared" si="1"/>
        <v>T.Tư</v>
      </c>
      <c r="W6" s="79" t="str">
        <f t="shared" si="1"/>
        <v>T.Năm</v>
      </c>
      <c r="X6" s="79" t="str">
        <f t="shared" si="1"/>
        <v>T.Sáu</v>
      </c>
      <c r="Y6" s="79" t="str">
        <f t="shared" si="1"/>
        <v>T.Bảy</v>
      </c>
      <c r="Z6" s="79" t="str">
        <f t="shared" si="1"/>
        <v>C.Nhật</v>
      </c>
      <c r="AA6" s="79" t="str">
        <f t="shared" si="1"/>
        <v>T.Hai</v>
      </c>
      <c r="AB6" s="79" t="str">
        <f t="shared" si="1"/>
        <v>T.Ba</v>
      </c>
      <c r="AC6" s="79" t="str">
        <f t="shared" si="1"/>
        <v>T.Tư</v>
      </c>
      <c r="AD6" s="79" t="str">
        <f t="shared" si="1"/>
        <v>T.Năm</v>
      </c>
      <c r="AE6" s="79" t="str">
        <f t="shared" si="1"/>
        <v>T.Sáu</v>
      </c>
      <c r="AF6" s="79" t="str">
        <f t="shared" si="1"/>
        <v>T.Bảy</v>
      </c>
      <c r="AG6" s="79" t="str">
        <f t="shared" si="1"/>
        <v>C.Nhật</v>
      </c>
      <c r="AH6" s="79" t="str">
        <f t="shared" si="1"/>
        <v>T.Hai</v>
      </c>
      <c r="AI6" s="79" t="str">
        <f t="shared" si="1"/>
        <v>T.Ba</v>
      </c>
      <c r="AJ6" s="79" t="str">
        <f t="shared" si="1"/>
        <v>T.Tư</v>
      </c>
      <c r="AK6" s="80" t="s">
        <v>143</v>
      </c>
      <c r="AL6" s="80" t="s">
        <v>144</v>
      </c>
      <c r="AM6" s="81" t="s">
        <v>145</v>
      </c>
      <c r="AN6" s="232"/>
      <c r="AO6" s="232"/>
      <c r="AP6" s="232"/>
      <c r="AQ6" s="232"/>
      <c r="AR6" s="232"/>
      <c r="AS6" s="226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</row>
    <row r="9" spans="1:89" s="78" customFormat="1" ht="18" customHeight="1">
      <c r="A9" s="233">
        <v>1</v>
      </c>
      <c r="B9" s="233" t="s">
        <v>34</v>
      </c>
      <c r="C9" s="235" t="str">
        <f>VLOOKUP(B9,DS,2,0)</f>
        <v>Võ Ngọc Thùy Lan</v>
      </c>
      <c r="D9" s="237" t="str">
        <f>VLOOKUP(B9,DS,3,0)</f>
        <v>Giám Đốc</v>
      </c>
      <c r="E9" s="90" t="s">
        <v>148</v>
      </c>
      <c r="F9" s="91">
        <v>8</v>
      </c>
      <c r="G9" s="91">
        <v>8</v>
      </c>
      <c r="H9" s="91">
        <v>8</v>
      </c>
      <c r="I9" s="91">
        <v>8</v>
      </c>
      <c r="J9" s="91">
        <v>8</v>
      </c>
      <c r="K9" s="91">
        <v>8</v>
      </c>
      <c r="L9" s="91"/>
      <c r="M9" s="91">
        <v>8</v>
      </c>
      <c r="N9" s="91">
        <v>8</v>
      </c>
      <c r="O9" s="91">
        <v>8</v>
      </c>
      <c r="P9" s="91">
        <v>8</v>
      </c>
      <c r="Q9" s="91">
        <v>8</v>
      </c>
      <c r="R9" s="91">
        <v>8</v>
      </c>
      <c r="S9" s="91"/>
      <c r="T9" s="91">
        <v>8</v>
      </c>
      <c r="U9" s="91">
        <v>8</v>
      </c>
      <c r="V9" s="91">
        <v>8</v>
      </c>
      <c r="W9" s="91">
        <v>8</v>
      </c>
      <c r="X9" s="91">
        <v>8</v>
      </c>
      <c r="Y9" s="91">
        <v>8</v>
      </c>
      <c r="Z9" s="91"/>
      <c r="AA9" s="91">
        <v>8</v>
      </c>
      <c r="AB9" s="91">
        <v>8</v>
      </c>
      <c r="AC9" s="91">
        <v>8</v>
      </c>
      <c r="AD9" s="91">
        <v>8</v>
      </c>
      <c r="AE9" s="91">
        <v>8</v>
      </c>
      <c r="AF9" s="91">
        <v>8</v>
      </c>
      <c r="AG9" s="91"/>
      <c r="AH9" s="91">
        <v>8</v>
      </c>
      <c r="AI9" s="91">
        <v>8</v>
      </c>
      <c r="AJ9" s="91">
        <v>8</v>
      </c>
      <c r="AK9" s="239">
        <f>((SUM(F9:AJ9))/8)-(SUMIF($F$6:$AJ$6,"C.Nhật",F9:AJ9)/8)</f>
        <v>27</v>
      </c>
      <c r="AL9" s="239">
        <f>SUM(F10:AJ10)/8*1.5</f>
        <v>0</v>
      </c>
      <c r="AM9" s="241">
        <f>SUMIF($F$6:$AJ$6,"C.Nhật",$F9:$AJ10)/8*2</f>
        <v>0</v>
      </c>
      <c r="AN9" s="218">
        <f>SUM(AK9:AM10)</f>
        <v>27</v>
      </c>
      <c r="AO9" s="244">
        <v>0</v>
      </c>
      <c r="AP9" s="218"/>
      <c r="AQ9" s="218"/>
      <c r="AR9" s="218"/>
      <c r="AS9" s="220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78" customFormat="1" ht="18" customHeight="1">
      <c r="A10" s="234"/>
      <c r="B10" s="234"/>
      <c r="C10" s="236"/>
      <c r="D10" s="238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40"/>
      <c r="AL10" s="240"/>
      <c r="AM10" s="242"/>
      <c r="AN10" s="219"/>
      <c r="AO10" s="245"/>
      <c r="AP10" s="219"/>
      <c r="AQ10" s="219"/>
      <c r="AR10" s="219"/>
      <c r="AS10" s="221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78" customFormat="1" ht="18" customHeight="1">
      <c r="A11" s="233">
        <v>2</v>
      </c>
      <c r="B11" s="233" t="s">
        <v>36</v>
      </c>
      <c r="C11" s="235" t="str">
        <f>VLOOKUP(B11,DS,2,0)</f>
        <v>Nguyễn Thị Thu Hà</v>
      </c>
      <c r="D11" s="237" t="str">
        <f>VLOOKUP(B11,DS,3,0)</f>
        <v>Kế Toán</v>
      </c>
      <c r="E11" s="90" t="s">
        <v>148</v>
      </c>
      <c r="F11" s="91">
        <v>8</v>
      </c>
      <c r="G11" s="91">
        <v>8</v>
      </c>
      <c r="H11" s="91">
        <v>8</v>
      </c>
      <c r="I11" s="91">
        <v>8</v>
      </c>
      <c r="J11" s="91">
        <v>8</v>
      </c>
      <c r="K11" s="91">
        <v>8</v>
      </c>
      <c r="L11" s="91"/>
      <c r="M11" s="91">
        <v>8</v>
      </c>
      <c r="N11" s="91">
        <v>8</v>
      </c>
      <c r="O11" s="91">
        <v>8</v>
      </c>
      <c r="P11" s="91">
        <v>8</v>
      </c>
      <c r="Q11" s="91">
        <v>8</v>
      </c>
      <c r="R11" s="91">
        <v>8</v>
      </c>
      <c r="S11" s="91"/>
      <c r="T11" s="91">
        <v>8</v>
      </c>
      <c r="U11" s="91">
        <v>8</v>
      </c>
      <c r="V11" s="91">
        <v>8</v>
      </c>
      <c r="W11" s="91">
        <v>8</v>
      </c>
      <c r="X11" s="91">
        <v>8</v>
      </c>
      <c r="Y11" s="91">
        <v>8</v>
      </c>
      <c r="Z11" s="91"/>
      <c r="AA11" s="91">
        <v>8</v>
      </c>
      <c r="AB11" s="91">
        <v>8</v>
      </c>
      <c r="AC11" s="91">
        <v>8</v>
      </c>
      <c r="AD11" s="91">
        <v>8</v>
      </c>
      <c r="AE11" s="91">
        <v>8</v>
      </c>
      <c r="AF11" s="91">
        <v>8</v>
      </c>
      <c r="AG11" s="91"/>
      <c r="AH11" s="91">
        <v>8</v>
      </c>
      <c r="AI11" s="91">
        <v>8</v>
      </c>
      <c r="AJ11" s="91">
        <v>8</v>
      </c>
      <c r="AK11" s="239">
        <f t="shared" ref="AK11" si="2">((SUM(F11:AJ11))/8)-(SUMIF($F$6:$AJ$6,"C.Nhật",F11:AJ11)/8)</f>
        <v>27</v>
      </c>
      <c r="AL11" s="239">
        <f t="shared" ref="AL11" si="3">SUM(F12:AJ12)/8*1.5</f>
        <v>0</v>
      </c>
      <c r="AM11" s="241">
        <f t="shared" ref="AM11" si="4">SUMIF($F$6:$AJ$6,"C.Nhật",$F11:$AJ12)/8*2</f>
        <v>0</v>
      </c>
      <c r="AN11" s="218">
        <f t="shared" ref="AN11" si="5">SUM(AK11:AM12)</f>
        <v>27</v>
      </c>
      <c r="AO11" s="244">
        <v>0</v>
      </c>
      <c r="AP11" s="218"/>
      <c r="AQ11" s="218"/>
      <c r="AR11" s="218"/>
      <c r="AS11" s="220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78" customFormat="1" ht="18" customHeight="1">
      <c r="A12" s="234"/>
      <c r="B12" s="234"/>
      <c r="C12" s="236"/>
      <c r="D12" s="238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40"/>
      <c r="AL12" s="240"/>
      <c r="AM12" s="242"/>
      <c r="AN12" s="219"/>
      <c r="AO12" s="245"/>
      <c r="AP12" s="219"/>
      <c r="AQ12" s="219"/>
      <c r="AR12" s="219"/>
      <c r="AS12" s="221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</row>
    <row r="14" spans="1:89" s="78" customFormat="1" ht="18" customHeight="1">
      <c r="A14" s="233">
        <v>1</v>
      </c>
      <c r="B14" s="233" t="s">
        <v>39</v>
      </c>
      <c r="C14" s="235" t="str">
        <f>VLOOKUP(B14,DS,2,0)</f>
        <v>Nguyễn Thị Thanh Thúy</v>
      </c>
      <c r="D14" s="237" t="str">
        <f>VLOOKUP(B14,DS,3,0)</f>
        <v>Công nhân</v>
      </c>
      <c r="E14" s="90" t="s">
        <v>148</v>
      </c>
      <c r="F14" s="91">
        <v>8</v>
      </c>
      <c r="G14" s="91">
        <v>8</v>
      </c>
      <c r="H14" s="91">
        <v>8</v>
      </c>
      <c r="I14" s="91">
        <v>8</v>
      </c>
      <c r="J14" s="91">
        <v>8</v>
      </c>
      <c r="K14" s="91">
        <v>8</v>
      </c>
      <c r="L14" s="91"/>
      <c r="M14" s="91">
        <v>8</v>
      </c>
      <c r="N14" s="91">
        <v>8</v>
      </c>
      <c r="O14" s="91">
        <v>8</v>
      </c>
      <c r="P14" s="91">
        <v>8</v>
      </c>
      <c r="Q14" s="91">
        <v>8</v>
      </c>
      <c r="R14" s="91">
        <v>8</v>
      </c>
      <c r="S14" s="91"/>
      <c r="T14" s="91">
        <v>8</v>
      </c>
      <c r="U14" s="91">
        <v>8</v>
      </c>
      <c r="V14" s="91">
        <v>8</v>
      </c>
      <c r="W14" s="91">
        <v>8</v>
      </c>
      <c r="X14" s="91">
        <v>8</v>
      </c>
      <c r="Y14" s="91">
        <v>8</v>
      </c>
      <c r="Z14" s="91"/>
      <c r="AA14" s="91">
        <v>8</v>
      </c>
      <c r="AB14" s="91">
        <v>8</v>
      </c>
      <c r="AC14" s="91">
        <v>8</v>
      </c>
      <c r="AD14" s="91">
        <v>8</v>
      </c>
      <c r="AE14" s="91">
        <v>8</v>
      </c>
      <c r="AF14" s="91">
        <v>8</v>
      </c>
      <c r="AG14" s="91"/>
      <c r="AH14" s="91">
        <v>8</v>
      </c>
      <c r="AI14" s="91">
        <v>8</v>
      </c>
      <c r="AJ14" s="91">
        <v>8</v>
      </c>
      <c r="AK14" s="239">
        <f t="shared" ref="AK14" si="6">((SUM(F14:AJ14))/8)-(SUMIF($F$6:$AJ$6,"C.Nhật",F14:AJ14)/8)</f>
        <v>27</v>
      </c>
      <c r="AL14" s="239">
        <f t="shared" ref="AL14" si="7">SUM(F15:AJ15)/8*1.5</f>
        <v>0</v>
      </c>
      <c r="AM14" s="241">
        <f>SUMIF($F$6:$AJ$6,"C.Nhật",$F14:$AJ15)/8*2</f>
        <v>0</v>
      </c>
      <c r="AN14" s="218">
        <f>SUM(AK14:AM15)</f>
        <v>27</v>
      </c>
      <c r="AO14" s="244">
        <v>0</v>
      </c>
      <c r="AP14" s="218"/>
      <c r="AQ14" s="218"/>
      <c r="AR14" s="218"/>
      <c r="AS14" s="220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9" s="78" customFormat="1" ht="18" customHeight="1">
      <c r="A15" s="234"/>
      <c r="B15" s="234"/>
      <c r="C15" s="236"/>
      <c r="D15" s="238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40"/>
      <c r="AL15" s="240"/>
      <c r="AM15" s="242"/>
      <c r="AN15" s="219"/>
      <c r="AO15" s="245"/>
      <c r="AP15" s="219"/>
      <c r="AQ15" s="219"/>
      <c r="AR15" s="219"/>
      <c r="AS15" s="221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9" s="78" customFormat="1" ht="18" customHeight="1">
      <c r="A16" s="233">
        <f>A14+1</f>
        <v>2</v>
      </c>
      <c r="B16" s="233" t="s">
        <v>42</v>
      </c>
      <c r="C16" s="235" t="str">
        <f>VLOOKUP(B16,DS,2,0)</f>
        <v>Huỳnh Đoàn Viết Thanh</v>
      </c>
      <c r="D16" s="237" t="str">
        <f>VLOOKUP(B16,DS,3,0)</f>
        <v>Công nhân</v>
      </c>
      <c r="E16" s="90" t="s">
        <v>148</v>
      </c>
      <c r="F16" s="91">
        <v>8</v>
      </c>
      <c r="G16" s="91">
        <v>8</v>
      </c>
      <c r="H16" s="91">
        <v>8</v>
      </c>
      <c r="I16" s="91">
        <v>8</v>
      </c>
      <c r="J16" s="91">
        <v>8</v>
      </c>
      <c r="K16" s="91">
        <v>8</v>
      </c>
      <c r="L16" s="91"/>
      <c r="M16" s="91">
        <v>8</v>
      </c>
      <c r="N16" s="91">
        <v>8</v>
      </c>
      <c r="O16" s="91">
        <v>8</v>
      </c>
      <c r="P16" s="91">
        <v>8</v>
      </c>
      <c r="Q16" s="91">
        <v>8</v>
      </c>
      <c r="R16" s="91">
        <v>8</v>
      </c>
      <c r="S16" s="91"/>
      <c r="T16" s="91">
        <v>8</v>
      </c>
      <c r="U16" s="91">
        <v>8</v>
      </c>
      <c r="V16" s="91">
        <v>8</v>
      </c>
      <c r="W16" s="91">
        <v>8</v>
      </c>
      <c r="X16" s="91">
        <v>8</v>
      </c>
      <c r="Y16" s="91">
        <v>8</v>
      </c>
      <c r="Z16" s="91"/>
      <c r="AA16" s="91">
        <v>8</v>
      </c>
      <c r="AB16" s="91">
        <v>8</v>
      </c>
      <c r="AC16" s="91">
        <v>8</v>
      </c>
      <c r="AD16" s="91">
        <v>8</v>
      </c>
      <c r="AE16" s="91">
        <v>8</v>
      </c>
      <c r="AF16" s="91">
        <v>8</v>
      </c>
      <c r="AG16" s="91"/>
      <c r="AH16" s="91">
        <v>8</v>
      </c>
      <c r="AI16" s="91">
        <v>8</v>
      </c>
      <c r="AJ16" s="91">
        <v>8</v>
      </c>
      <c r="AK16" s="239">
        <f t="shared" ref="AK16" si="8">((SUM(F16:AJ16))/8)-(SUMIF($F$6:$AJ$6,"C.Nhật",F16:AJ16)/8)</f>
        <v>27</v>
      </c>
      <c r="AL16" s="239">
        <f t="shared" ref="AL16" si="9">SUM(F17:AJ17)/8*1.5</f>
        <v>0</v>
      </c>
      <c r="AM16" s="241">
        <f>SUMIF($F$6:$AJ$6,"C.Nhật",$F16:$AJ17)/8*2</f>
        <v>0</v>
      </c>
      <c r="AN16" s="218">
        <f t="shared" ref="AN16" si="10">SUM(AK16:AM17)</f>
        <v>27</v>
      </c>
      <c r="AO16" s="244">
        <v>0</v>
      </c>
      <c r="AP16" s="218"/>
      <c r="AQ16" s="218"/>
      <c r="AR16" s="218"/>
      <c r="AS16" s="220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88" s="78" customFormat="1" ht="18" customHeight="1">
      <c r="A17" s="234"/>
      <c r="B17" s="234"/>
      <c r="C17" s="236"/>
      <c r="D17" s="238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40"/>
      <c r="AL17" s="240"/>
      <c r="AM17" s="242"/>
      <c r="AN17" s="219"/>
      <c r="AO17" s="245"/>
      <c r="AP17" s="219"/>
      <c r="AQ17" s="219"/>
      <c r="AR17" s="219"/>
      <c r="AS17" s="221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88" s="78" customFormat="1" ht="18" customHeight="1">
      <c r="A18" s="233">
        <f t="shared" ref="A18" si="11">A16+1</f>
        <v>3</v>
      </c>
      <c r="B18" s="233" t="s">
        <v>44</v>
      </c>
      <c r="C18" s="235" t="str">
        <f>VLOOKUP(B18,DS,2,0)</f>
        <v>Trần Ngọc Thoại</v>
      </c>
      <c r="D18" s="237" t="str">
        <f>VLOOKUP(B18,DS,3,0)</f>
        <v>Công nhân</v>
      </c>
      <c r="E18" s="90" t="s">
        <v>148</v>
      </c>
      <c r="F18" s="91">
        <v>8</v>
      </c>
      <c r="G18" s="91">
        <v>8</v>
      </c>
      <c r="H18" s="91">
        <v>8</v>
      </c>
      <c r="I18" s="91">
        <v>8</v>
      </c>
      <c r="J18" s="91">
        <v>8</v>
      </c>
      <c r="K18" s="91">
        <v>8</v>
      </c>
      <c r="L18" s="91"/>
      <c r="M18" s="91">
        <v>8</v>
      </c>
      <c r="N18" s="91">
        <v>8</v>
      </c>
      <c r="O18" s="91">
        <v>8</v>
      </c>
      <c r="P18" s="91">
        <v>8</v>
      </c>
      <c r="Q18" s="91">
        <v>8</v>
      </c>
      <c r="R18" s="91">
        <v>8</v>
      </c>
      <c r="S18" s="91"/>
      <c r="T18" s="91">
        <v>8</v>
      </c>
      <c r="U18" s="91">
        <v>8</v>
      </c>
      <c r="V18" s="91">
        <v>8</v>
      </c>
      <c r="W18" s="91">
        <v>8</v>
      </c>
      <c r="X18" s="91">
        <v>8</v>
      </c>
      <c r="Y18" s="91">
        <v>8</v>
      </c>
      <c r="Z18" s="91"/>
      <c r="AA18" s="91">
        <v>8</v>
      </c>
      <c r="AB18" s="91">
        <v>8</v>
      </c>
      <c r="AC18" s="91">
        <v>8</v>
      </c>
      <c r="AD18" s="91">
        <v>8</v>
      </c>
      <c r="AE18" s="91">
        <v>8</v>
      </c>
      <c r="AF18" s="91">
        <v>8</v>
      </c>
      <c r="AG18" s="91"/>
      <c r="AH18" s="91">
        <v>8</v>
      </c>
      <c r="AI18" s="91">
        <v>8</v>
      </c>
      <c r="AJ18" s="91">
        <v>8</v>
      </c>
      <c r="AK18" s="239">
        <f t="shared" ref="AK18" si="12">((SUM(F18:AJ18))/8)-(SUMIF($F$6:$AJ$6,"C.Nhật",F18:AJ18)/8)</f>
        <v>27</v>
      </c>
      <c r="AL18" s="239">
        <f t="shared" ref="AL18" si="13">SUM(F19:AJ19)/8*1.5</f>
        <v>0</v>
      </c>
      <c r="AM18" s="241">
        <f>SUMIF($F$6:$AJ$6,"C.Nhật",$F18:$AJ19)/8*2</f>
        <v>0</v>
      </c>
      <c r="AN18" s="218">
        <f t="shared" ref="AN18" si="14">SUM(AK18:AM19)</f>
        <v>27</v>
      </c>
      <c r="AO18" s="244">
        <v>0</v>
      </c>
      <c r="AP18" s="218"/>
      <c r="AQ18" s="218"/>
      <c r="AR18" s="218"/>
      <c r="AS18" s="220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88" s="78" customFormat="1" ht="18" customHeight="1">
      <c r="A19" s="234"/>
      <c r="B19" s="234"/>
      <c r="C19" s="236"/>
      <c r="D19" s="238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40"/>
      <c r="AL19" s="240"/>
      <c r="AM19" s="242"/>
      <c r="AN19" s="219"/>
      <c r="AO19" s="245"/>
      <c r="AP19" s="219"/>
      <c r="AQ19" s="219"/>
      <c r="AR19" s="219"/>
      <c r="AS19" s="221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88" s="78" customFormat="1" ht="18" customHeight="1">
      <c r="A20" s="233">
        <f t="shared" ref="A20" si="15">A18+1</f>
        <v>4</v>
      </c>
      <c r="B20" s="233" t="s">
        <v>46</v>
      </c>
      <c r="C20" s="235" t="str">
        <f>VLOOKUP(B20,DS,2,0)</f>
        <v>Nguyễn Đức Huy</v>
      </c>
      <c r="D20" s="237" t="str">
        <f>VLOOKUP(B20,DS,3,0)</f>
        <v>Công nhân</v>
      </c>
      <c r="E20" s="90" t="s">
        <v>148</v>
      </c>
      <c r="F20" s="91">
        <v>8</v>
      </c>
      <c r="G20" s="91">
        <v>8</v>
      </c>
      <c r="H20" s="91">
        <v>8</v>
      </c>
      <c r="I20" s="91">
        <v>8</v>
      </c>
      <c r="J20" s="91">
        <v>8</v>
      </c>
      <c r="K20" s="91">
        <v>8</v>
      </c>
      <c r="L20" s="91"/>
      <c r="M20" s="91">
        <v>8</v>
      </c>
      <c r="N20" s="91">
        <v>8</v>
      </c>
      <c r="O20" s="91">
        <v>8</v>
      </c>
      <c r="P20" s="91">
        <v>8</v>
      </c>
      <c r="Q20" s="91">
        <v>8</v>
      </c>
      <c r="R20" s="91">
        <v>8</v>
      </c>
      <c r="S20" s="91"/>
      <c r="T20" s="91">
        <v>8</v>
      </c>
      <c r="U20" s="91">
        <v>8</v>
      </c>
      <c r="V20" s="91">
        <v>8</v>
      </c>
      <c r="W20" s="91">
        <v>8</v>
      </c>
      <c r="X20" s="91">
        <v>8</v>
      </c>
      <c r="Y20" s="91">
        <v>8</v>
      </c>
      <c r="Z20" s="91"/>
      <c r="AA20" s="91">
        <v>8</v>
      </c>
      <c r="AB20" s="91">
        <v>8</v>
      </c>
      <c r="AC20" s="91">
        <v>8</v>
      </c>
      <c r="AD20" s="91">
        <v>8</v>
      </c>
      <c r="AE20" s="91">
        <v>8</v>
      </c>
      <c r="AF20" s="91">
        <v>8</v>
      </c>
      <c r="AG20" s="91"/>
      <c r="AH20" s="91">
        <v>8</v>
      </c>
      <c r="AI20" s="91">
        <v>8</v>
      </c>
      <c r="AJ20" s="91">
        <v>8</v>
      </c>
      <c r="AK20" s="239">
        <f t="shared" ref="AK20" si="16">((SUM(F20:AJ20))/8)-(SUMIF($F$6:$AJ$6,"C.Nhật",F20:AJ20)/8)</f>
        <v>27</v>
      </c>
      <c r="AL20" s="239">
        <f t="shared" ref="AL20" si="17">SUM(F21:AJ21)/8*1.5</f>
        <v>0</v>
      </c>
      <c r="AM20" s="241">
        <f>SUMIF($F$6:$AJ$6,"C.Nhật",$F20:$AJ21)/8*2</f>
        <v>0</v>
      </c>
      <c r="AN20" s="218">
        <f t="shared" ref="AN20" si="18">SUM(AK20:AM21)</f>
        <v>27</v>
      </c>
      <c r="AO20" s="244">
        <v>0</v>
      </c>
      <c r="AP20" s="218"/>
      <c r="AQ20" s="218"/>
      <c r="AR20" s="218"/>
      <c r="AS20" s="220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</row>
    <row r="21" spans="1:88" s="78" customFormat="1" ht="18" customHeight="1">
      <c r="A21" s="234"/>
      <c r="B21" s="234"/>
      <c r="C21" s="236"/>
      <c r="D21" s="238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40"/>
      <c r="AL21" s="240"/>
      <c r="AM21" s="242"/>
      <c r="AN21" s="219"/>
      <c r="AO21" s="245"/>
      <c r="AP21" s="219"/>
      <c r="AQ21" s="219"/>
      <c r="AR21" s="219"/>
      <c r="AS21" s="221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</row>
    <row r="22" spans="1:88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</row>
    <row r="23" spans="1:88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</row>
    <row r="24" spans="1:88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</row>
    <row r="25" spans="1:88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</row>
    <row r="26" spans="1:88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</row>
    <row r="27" spans="1:88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</row>
    <row r="28" spans="1:88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</row>
    <row r="29" spans="1:88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</row>
    <row r="30" spans="1:88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</row>
    <row r="31" spans="1:88" ht="15" customHeight="1">
      <c r="C31" s="2" t="s">
        <v>152</v>
      </c>
    </row>
    <row r="32" spans="1:88" ht="15" customHeight="1">
      <c r="C32" s="2" t="s">
        <v>153</v>
      </c>
    </row>
    <row r="33" spans="1:89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</row>
    <row r="34" spans="1:89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</row>
    <row r="35" spans="1:89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</row>
    <row r="36" spans="1:89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</row>
    <row r="37" spans="1:89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</row>
    <row r="38" spans="1:89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1">
    <mergeCell ref="AP18:AP19"/>
    <mergeCell ref="AQ18:AQ19"/>
    <mergeCell ref="AR18:AR19"/>
    <mergeCell ref="AS18:AS19"/>
    <mergeCell ref="AS20:AS21"/>
    <mergeCell ref="AR20:AR21"/>
    <mergeCell ref="AM20:AM21"/>
    <mergeCell ref="AN20:AN21"/>
    <mergeCell ref="AO20:AO21"/>
    <mergeCell ref="AP20:AP21"/>
    <mergeCell ref="AQ20:AQ21"/>
    <mergeCell ref="AL20:AL21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20:A21"/>
    <mergeCell ref="B20:B21"/>
    <mergeCell ref="C20:C21"/>
    <mergeCell ref="D20:D21"/>
    <mergeCell ref="AK20:AK21"/>
    <mergeCell ref="AS14:AS15"/>
    <mergeCell ref="A16:A17"/>
    <mergeCell ref="B16:B17"/>
    <mergeCell ref="C16:C17"/>
    <mergeCell ref="D16:D17"/>
    <mergeCell ref="AK16:AK17"/>
    <mergeCell ref="AL16:AL17"/>
    <mergeCell ref="AR16:AR17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">
    <cfRule type="expression" dxfId="29" priority="4" stopIfTrue="1">
      <formula>IF(WEEKDAY(F$5)=1,TRUE,FALSE)</formula>
    </cfRule>
  </conditionalFormatting>
  <conditionalFormatting sqref="F9:AJ12">
    <cfRule type="expression" dxfId="28" priority="3" stopIfTrue="1">
      <formula>IF(WEEKDAY(F$5)=1,TRUE,FALSE)</formula>
    </cfRule>
  </conditionalFormatting>
  <conditionalFormatting sqref="F14:AJ21">
    <cfRule type="expression" dxfId="27" priority="2" stopIfTrue="1">
      <formula>IF(WEEKDAY(F$5)=1,TRUE,FALSE)</formula>
    </cfRule>
  </conditionalFormatting>
  <conditionalFormatting sqref="F14:AJ21">
    <cfRule type="expression" dxfId="2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tabSelected="1" zoomScaleNormal="70" workbookViewId="0">
      <pane xSplit="3" ySplit="8" topLeftCell="D13" activePane="bottomRight" state="frozen"/>
      <selection activeCell="E19" sqref="E19"/>
      <selection pane="topRight" activeCell="E19" sqref="E19"/>
      <selection pane="bottomLeft" activeCell="E19" sqref="E19"/>
      <selection pane="bottomRight" sqref="A1:T27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47" t="str">
        <f>"BẢNG THANH TOÁN LƯƠNG THÁNG"&amp;" "&amp;TEXT($E$4,"mm")&amp;" / "&amp;TEXT($E$4,"yyyy")</f>
        <v>BẢNG THANH TOÁN LƯƠNG THÁNG 07 / 2013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132</v>
      </c>
      <c r="S1" s="250"/>
      <c r="T1" s="251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-7'!$AK$9:$AK$21)</f>
        <v>27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-7'!$E$4</f>
        <v>41456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2" t="s">
        <v>3</v>
      </c>
      <c r="B5" s="252" t="s">
        <v>161</v>
      </c>
      <c r="C5" s="204" t="s">
        <v>5</v>
      </c>
      <c r="D5" s="204" t="s">
        <v>6</v>
      </c>
      <c r="E5" s="209" t="s">
        <v>7</v>
      </c>
      <c r="F5" s="255" t="s">
        <v>162</v>
      </c>
      <c r="G5" s="256"/>
      <c r="H5" s="256"/>
      <c r="I5" s="256"/>
      <c r="J5" s="256"/>
      <c r="K5" s="257"/>
      <c r="L5" s="254" t="s">
        <v>14</v>
      </c>
      <c r="M5" s="254" t="s">
        <v>163</v>
      </c>
      <c r="N5" s="204" t="s">
        <v>164</v>
      </c>
      <c r="O5" s="204"/>
      <c r="P5" s="204"/>
      <c r="Q5" s="254" t="s">
        <v>165</v>
      </c>
      <c r="R5" s="254" t="s">
        <v>166</v>
      </c>
      <c r="S5" s="254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53"/>
      <c r="B6" s="253"/>
      <c r="C6" s="204"/>
      <c r="D6" s="204"/>
      <c r="E6" s="209"/>
      <c r="F6" s="255" t="s">
        <v>169</v>
      </c>
      <c r="G6" s="257"/>
      <c r="H6" s="255" t="s">
        <v>170</v>
      </c>
      <c r="I6" s="256"/>
      <c r="J6" s="261" t="s">
        <v>171</v>
      </c>
      <c r="K6" s="254" t="s">
        <v>172</v>
      </c>
      <c r="L6" s="258"/>
      <c r="M6" s="258"/>
      <c r="N6" s="263" t="s">
        <v>173</v>
      </c>
      <c r="O6" s="254" t="s">
        <v>174</v>
      </c>
      <c r="P6" s="254" t="s">
        <v>175</v>
      </c>
      <c r="Q6" s="258"/>
      <c r="R6" s="258"/>
      <c r="S6" s="258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53"/>
      <c r="B7" s="253"/>
      <c r="C7" s="254"/>
      <c r="D7" s="254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62"/>
      <c r="K7" s="258"/>
      <c r="L7" s="259"/>
      <c r="M7" s="259"/>
      <c r="N7" s="264"/>
      <c r="O7" s="258"/>
      <c r="P7" s="258"/>
      <c r="Q7" s="258"/>
      <c r="R7" s="258"/>
      <c r="S7" s="258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-7'!$B$8:$AS$21,36,0)</f>
        <v>27</v>
      </c>
      <c r="G10" s="150">
        <f t="shared" ref="G10:G11" si="2">ROUND(E10/$U$2*F10,0)</f>
        <v>1565000</v>
      </c>
      <c r="H10" s="149">
        <f>(VLOOKUP(B10,'CC -7'!$B$8:$AS$21,37,0)+VLOOKUP(B10,'CC -7'!$B$8:$AS$21,38,0))</f>
        <v>0</v>
      </c>
      <c r="I10" s="150">
        <f t="shared" ref="I10:I11" si="3">ROUND(E10/$U$2*H10,0)</f>
        <v>0</v>
      </c>
      <c r="J10" s="151">
        <f t="shared" ref="J10:K11" si="4">F10+H10</f>
        <v>27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-7'!$B$8:$AS$21,36,0)</f>
        <v>27</v>
      </c>
      <c r="G11" s="150">
        <f t="shared" si="2"/>
        <v>1240000</v>
      </c>
      <c r="H11" s="149">
        <f>(VLOOKUP(B11,'CC -7'!$B$8:$AS$21,37,0)+VLOOKUP(B11,'CC -7'!$B$8:$AS$21,38,0))</f>
        <v>0</v>
      </c>
      <c r="I11" s="150">
        <f t="shared" si="3"/>
        <v>0</v>
      </c>
      <c r="J11" s="151">
        <f t="shared" si="4"/>
        <v>27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60" t="s">
        <v>48</v>
      </c>
      <c r="B13" s="260"/>
      <c r="C13" s="260"/>
      <c r="D13" s="260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10">VLOOKUP(B15,DS,2,0)</f>
        <v>Nguyễn Thị Thanh Thúy</v>
      </c>
      <c r="D15" s="147" t="str">
        <f t="shared" ref="D15:D18" si="11">VLOOKUP(B15,DS,3,0)</f>
        <v>Công nhân</v>
      </c>
      <c r="E15" s="148">
        <f t="shared" ref="E15:E18" si="12">VLOOKUP(B15,DS,4,0)</f>
        <v>1365000</v>
      </c>
      <c r="F15" s="149">
        <f>VLOOKUP(B15,'CC -7'!$B$8:$AS$21,36,0)</f>
        <v>27</v>
      </c>
      <c r="G15" s="150">
        <f t="shared" ref="G15:G18" si="13">ROUND(E15/$U$2*F15,0)</f>
        <v>1365000</v>
      </c>
      <c r="H15" s="149">
        <f>(VLOOKUP(B15,'CC -7'!$B$8:$AS$21,37,0)+VLOOKUP(B15,'CC -7'!$B$8:$AS$21,38,0))</f>
        <v>0</v>
      </c>
      <c r="I15" s="150">
        <f t="shared" ref="I15:I18" si="14">ROUND(E15/$U$2*H15,0)</f>
        <v>0</v>
      </c>
      <c r="J15" s="171">
        <f t="shared" ref="J15:K18" si="15">F15+H15</f>
        <v>27</v>
      </c>
      <c r="K15" s="152">
        <f t="shared" si="15"/>
        <v>1365000</v>
      </c>
      <c r="L15" s="148">
        <f>VLOOKUP(B15,DS,6,0)</f>
        <v>260000</v>
      </c>
      <c r="M15" s="153">
        <f t="shared" ref="M15:M18" si="16">K15+L15</f>
        <v>1625000</v>
      </c>
      <c r="N15" s="153">
        <f>IF(VLOOKUP(B15,DS,9,0)="x",'L - 7'!E15*$N$4,0)</f>
        <v>0</v>
      </c>
      <c r="O15" s="153">
        <f t="shared" ref="O15:O18" si="17">IF(VLOOKUP(B15,DS,9,0)="x",E15*0.015,0)</f>
        <v>0</v>
      </c>
      <c r="P15" s="153">
        <f t="shared" ref="P15:P18" si="18">IF(VLOOKUP(B15,DS,9,0)="x",E15*0.01,0)</f>
        <v>0</v>
      </c>
      <c r="Q15" s="152">
        <f>M15-SUM(N15:P15)</f>
        <v>1625000</v>
      </c>
      <c r="R15" s="152">
        <f t="shared" ref="R15:R18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-7'!$B$8:$AS$21,36,0)</f>
        <v>27</v>
      </c>
      <c r="G16" s="150">
        <f t="shared" si="13"/>
        <v>1275000</v>
      </c>
      <c r="H16" s="149">
        <f>(VLOOKUP(B16,'CC -7'!$B$8:$AS$21,37,0)+VLOOKUP(B16,'CC -7'!$B$8:$AS$21,38,0))</f>
        <v>0</v>
      </c>
      <c r="I16" s="150">
        <f t="shared" si="14"/>
        <v>0</v>
      </c>
      <c r="J16" s="171">
        <f t="shared" si="15"/>
        <v>27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- 7'!E16*$N$4,0)</f>
        <v>0</v>
      </c>
      <c r="O16" s="153">
        <f t="shared" si="17"/>
        <v>0</v>
      </c>
      <c r="P16" s="153">
        <f t="shared" si="18"/>
        <v>0</v>
      </c>
      <c r="Q16" s="152">
        <f t="shared" ref="Q16:Q18" si="20">M16-SUM(N16:P16)</f>
        <v>1535000</v>
      </c>
      <c r="R16" s="152">
        <f t="shared" si="19"/>
        <v>0</v>
      </c>
      <c r="S16" s="154">
        <f t="shared" ref="S16:S18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10"/>
        <v>Trần Ngọc Thoại</v>
      </c>
      <c r="D17" s="147" t="str">
        <f t="shared" si="11"/>
        <v>Công nhân</v>
      </c>
      <c r="E17" s="148">
        <f t="shared" si="12"/>
        <v>990000</v>
      </c>
      <c r="F17" s="149">
        <f>VLOOKUP(B17,'CC -7'!$B$8:$AS$21,36,0)</f>
        <v>27</v>
      </c>
      <c r="G17" s="150">
        <f t="shared" si="13"/>
        <v>990000</v>
      </c>
      <c r="H17" s="149">
        <f>(VLOOKUP(B17,'CC -7'!$B$8:$AS$21,37,0)+VLOOKUP(B17,'CC -7'!$B$8:$AS$21,38,0))</f>
        <v>0</v>
      </c>
      <c r="I17" s="150">
        <f t="shared" si="14"/>
        <v>0</v>
      </c>
      <c r="J17" s="171">
        <f t="shared" si="15"/>
        <v>27</v>
      </c>
      <c r="K17" s="152">
        <f t="shared" si="15"/>
        <v>990000</v>
      </c>
      <c r="L17" s="148">
        <f>VLOOKUP(B17,DS,6,0)</f>
        <v>260000</v>
      </c>
      <c r="M17" s="153">
        <f t="shared" si="16"/>
        <v>1250000</v>
      </c>
      <c r="N17" s="153">
        <f>IF(VLOOKUP(B17,DS,9,0)="x",'L - 7'!E17*$N$4,0)</f>
        <v>0</v>
      </c>
      <c r="O17" s="153">
        <f t="shared" si="17"/>
        <v>0</v>
      </c>
      <c r="P17" s="153">
        <f t="shared" si="18"/>
        <v>0</v>
      </c>
      <c r="Q17" s="152">
        <f t="shared" si="20"/>
        <v>1250000</v>
      </c>
      <c r="R17" s="152">
        <f t="shared" si="19"/>
        <v>0</v>
      </c>
      <c r="S17" s="154">
        <f t="shared" si="21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10"/>
        <v>Nguyễn Đức Huy</v>
      </c>
      <c r="D18" s="147" t="str">
        <f t="shared" si="11"/>
        <v>Công nhân</v>
      </c>
      <c r="E18" s="148">
        <f t="shared" si="12"/>
        <v>1015000</v>
      </c>
      <c r="F18" s="149">
        <f>VLOOKUP(B18,'CC -7'!$B$8:$AS$21,36,0)</f>
        <v>27</v>
      </c>
      <c r="G18" s="150">
        <f t="shared" si="13"/>
        <v>1015000</v>
      </c>
      <c r="H18" s="149">
        <f>(VLOOKUP(B18,'CC -7'!$B$8:$AS$21,37,0)+VLOOKUP(B18,'CC -7'!$B$8:$AS$21,38,0))</f>
        <v>0</v>
      </c>
      <c r="I18" s="150">
        <f t="shared" si="14"/>
        <v>0</v>
      </c>
      <c r="J18" s="171">
        <f t="shared" si="15"/>
        <v>27</v>
      </c>
      <c r="K18" s="152">
        <f t="shared" si="15"/>
        <v>1015000</v>
      </c>
      <c r="L18" s="148">
        <f>VLOOKUP(B18,DS,6,0)</f>
        <v>260000</v>
      </c>
      <c r="M18" s="153">
        <f t="shared" si="16"/>
        <v>1275000</v>
      </c>
      <c r="N18" s="153">
        <f>IF(VLOOKUP(B18,DS,9,0)="x",'L - 7'!E18*$N$4,0)</f>
        <v>0</v>
      </c>
      <c r="O18" s="153">
        <f t="shared" si="17"/>
        <v>0</v>
      </c>
      <c r="P18" s="153">
        <f t="shared" si="18"/>
        <v>0</v>
      </c>
      <c r="Q18" s="152">
        <f t="shared" si="20"/>
        <v>1275000</v>
      </c>
      <c r="R18" s="152">
        <f t="shared" si="19"/>
        <v>0</v>
      </c>
      <c r="S18" s="154">
        <f t="shared" si="21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60" t="s">
        <v>48</v>
      </c>
      <c r="B20" s="260"/>
      <c r="C20" s="260"/>
      <c r="D20" s="260"/>
      <c r="E20" s="167">
        <f>SUM(E14:E19)</f>
        <v>4645000</v>
      </c>
      <c r="F20" s="167"/>
      <c r="G20" s="167">
        <f t="shared" ref="G20:S20" si="22">SUM(G14:G19)</f>
        <v>4645000</v>
      </c>
      <c r="H20" s="167"/>
      <c r="I20" s="167">
        <f t="shared" si="22"/>
        <v>0</v>
      </c>
      <c r="J20" s="167"/>
      <c r="K20" s="167">
        <f t="shared" si="22"/>
        <v>4645000</v>
      </c>
      <c r="L20" s="167">
        <f t="shared" si="22"/>
        <v>1040000</v>
      </c>
      <c r="M20" s="167">
        <f t="shared" si="22"/>
        <v>5685000</v>
      </c>
      <c r="N20" s="167">
        <f t="shared" si="22"/>
        <v>0</v>
      </c>
      <c r="O20" s="167">
        <f t="shared" si="22"/>
        <v>0</v>
      </c>
      <c r="P20" s="167">
        <f t="shared" si="22"/>
        <v>0</v>
      </c>
      <c r="Q20" s="167">
        <f t="shared" si="22"/>
        <v>5685000</v>
      </c>
      <c r="R20" s="167">
        <f t="shared" si="22"/>
        <v>0</v>
      </c>
      <c r="S20" s="167">
        <f t="shared" si="22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31  tháng  7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E5:I6 N5:P6 L5 L23 J6:K7 L7 A26:T59 U32:U59 N19:S19 V26:IJ59 J19:L19 AE14:IJ14 V13:IJ13 D13:T13 D20:T20 A60:IJ65327 Q12:S12 V12 AE12:IJ12 A12:B13 A10:B11 AE5:IJ11 V5:V11 Q10:S11" name="Range1"/>
    <protectedRange password="CC78" sqref="F7:H7" name="Range1_4"/>
    <protectedRange password="CC78" sqref="V23:IJ24 S23:T24 N23:Q24 E23:I24" name="Range1_1_1"/>
    <protectedRange password="CC78" sqref="U1 V1:IJ4 B4:T4 R2:S3 B1:Q3 U19:U31 W14:AD14 U12:U14 W12:AD12 W5:AD11 U4:U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A13:D13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K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Z16" sqref="Z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8.5703125" style="2" customWidth="1"/>
    <col min="47" max="16384" width="3.7109375" style="2"/>
  </cols>
  <sheetData>
    <row r="1" spans="1:89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08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22" t="s">
        <v>132</v>
      </c>
      <c r="AN1" s="223"/>
      <c r="AO1" s="223"/>
      <c r="AP1" s="223"/>
      <c r="AQ1" s="223"/>
      <c r="AR1" s="223"/>
      <c r="AS1" s="224"/>
    </row>
    <row r="2" spans="1:89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</row>
    <row r="3" spans="1:89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</row>
    <row r="4" spans="1:89" ht="14.25" customHeight="1">
      <c r="A4" s="69"/>
      <c r="B4" s="69"/>
      <c r="C4" s="70"/>
      <c r="D4" s="71"/>
      <c r="E4" s="72">
        <v>41487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</row>
    <row r="5" spans="1:89" s="78" customFormat="1" ht="18.75" customHeight="1">
      <c r="A5" s="225" t="s">
        <v>133</v>
      </c>
      <c r="B5" s="225" t="s">
        <v>4</v>
      </c>
      <c r="C5" s="225" t="s">
        <v>5</v>
      </c>
      <c r="D5" s="227" t="s">
        <v>134</v>
      </c>
      <c r="E5" s="225" t="s">
        <v>135</v>
      </c>
      <c r="F5" s="77">
        <f>+E4</f>
        <v>41487</v>
      </c>
      <c r="G5" s="77">
        <f t="shared" ref="G5:AJ5" si="0">F5+1</f>
        <v>41488</v>
      </c>
      <c r="H5" s="77">
        <f t="shared" si="0"/>
        <v>41489</v>
      </c>
      <c r="I5" s="77">
        <f t="shared" si="0"/>
        <v>41490</v>
      </c>
      <c r="J5" s="77">
        <f t="shared" si="0"/>
        <v>41491</v>
      </c>
      <c r="K5" s="77">
        <f t="shared" si="0"/>
        <v>41492</v>
      </c>
      <c r="L5" s="77">
        <f t="shared" si="0"/>
        <v>41493</v>
      </c>
      <c r="M5" s="77">
        <f t="shared" si="0"/>
        <v>41494</v>
      </c>
      <c r="N5" s="77">
        <f t="shared" si="0"/>
        <v>41495</v>
      </c>
      <c r="O5" s="77">
        <f t="shared" si="0"/>
        <v>41496</v>
      </c>
      <c r="P5" s="77">
        <f t="shared" si="0"/>
        <v>41497</v>
      </c>
      <c r="Q5" s="77">
        <f t="shared" si="0"/>
        <v>41498</v>
      </c>
      <c r="R5" s="77">
        <f t="shared" si="0"/>
        <v>41499</v>
      </c>
      <c r="S5" s="77">
        <f t="shared" si="0"/>
        <v>41500</v>
      </c>
      <c r="T5" s="77">
        <f t="shared" si="0"/>
        <v>41501</v>
      </c>
      <c r="U5" s="77">
        <f t="shared" si="0"/>
        <v>41502</v>
      </c>
      <c r="V5" s="77">
        <f t="shared" si="0"/>
        <v>41503</v>
      </c>
      <c r="W5" s="77">
        <f t="shared" si="0"/>
        <v>41504</v>
      </c>
      <c r="X5" s="77">
        <f t="shared" si="0"/>
        <v>41505</v>
      </c>
      <c r="Y5" s="77">
        <f t="shared" si="0"/>
        <v>41506</v>
      </c>
      <c r="Z5" s="77">
        <f t="shared" si="0"/>
        <v>41507</v>
      </c>
      <c r="AA5" s="77">
        <f t="shared" si="0"/>
        <v>41508</v>
      </c>
      <c r="AB5" s="77">
        <f t="shared" si="0"/>
        <v>41509</v>
      </c>
      <c r="AC5" s="77">
        <f t="shared" si="0"/>
        <v>41510</v>
      </c>
      <c r="AD5" s="77">
        <f t="shared" si="0"/>
        <v>41511</v>
      </c>
      <c r="AE5" s="77">
        <f t="shared" si="0"/>
        <v>41512</v>
      </c>
      <c r="AF5" s="77">
        <f t="shared" si="0"/>
        <v>41513</v>
      </c>
      <c r="AG5" s="77">
        <f t="shared" si="0"/>
        <v>41514</v>
      </c>
      <c r="AH5" s="77">
        <f>AG5+1</f>
        <v>41515</v>
      </c>
      <c r="AI5" s="77">
        <f t="shared" si="0"/>
        <v>41516</v>
      </c>
      <c r="AJ5" s="77">
        <f t="shared" si="0"/>
        <v>41517</v>
      </c>
      <c r="AK5" s="228" t="s">
        <v>136</v>
      </c>
      <c r="AL5" s="229"/>
      <c r="AM5" s="230"/>
      <c r="AN5" s="231" t="s">
        <v>137</v>
      </c>
      <c r="AO5" s="231" t="s">
        <v>138</v>
      </c>
      <c r="AP5" s="231" t="s">
        <v>139</v>
      </c>
      <c r="AQ5" s="231" t="s">
        <v>140</v>
      </c>
      <c r="AR5" s="231" t="s">
        <v>141</v>
      </c>
      <c r="AS5" s="227" t="s">
        <v>142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78" customFormat="1" ht="39.75" customHeight="1">
      <c r="A6" s="226"/>
      <c r="B6" s="226"/>
      <c r="C6" s="226"/>
      <c r="D6" s="226"/>
      <c r="E6" s="226"/>
      <c r="F6" s="79" t="str">
        <f>CHOOSE(WEEKDAY(F5),"C.Nhật","T.Hai","T.Ba","T.Tư","T.Năm","T.Sáu","T.Bảy")</f>
        <v>T.Năm</v>
      </c>
      <c r="G6" s="79" t="str">
        <f t="shared" ref="G6:AJ6" si="1">CHOOSE(WEEKDAY(G5),"C.Nhật","T.Hai","T.Ba","T.Tư","T.Năm","T.Sáu","T.Bảy")</f>
        <v>T.Sáu</v>
      </c>
      <c r="H6" s="79" t="str">
        <f t="shared" si="1"/>
        <v>T.Bảy</v>
      </c>
      <c r="I6" s="79" t="str">
        <f t="shared" si="1"/>
        <v>C.Nhật</v>
      </c>
      <c r="J6" s="79" t="str">
        <f t="shared" si="1"/>
        <v>T.Hai</v>
      </c>
      <c r="K6" s="79" t="str">
        <f t="shared" si="1"/>
        <v>T.Ba</v>
      </c>
      <c r="L6" s="79" t="str">
        <f t="shared" si="1"/>
        <v>T.Tư</v>
      </c>
      <c r="M6" s="79" t="str">
        <f t="shared" si="1"/>
        <v>T.Năm</v>
      </c>
      <c r="N6" s="79" t="str">
        <f t="shared" si="1"/>
        <v>T.Sáu</v>
      </c>
      <c r="O6" s="79" t="str">
        <f t="shared" si="1"/>
        <v>T.Bảy</v>
      </c>
      <c r="P6" s="79" t="str">
        <f t="shared" si="1"/>
        <v>C.Nhật</v>
      </c>
      <c r="Q6" s="79" t="str">
        <f t="shared" si="1"/>
        <v>T.Hai</v>
      </c>
      <c r="R6" s="79" t="str">
        <f t="shared" si="1"/>
        <v>T.Ba</v>
      </c>
      <c r="S6" s="79" t="str">
        <f t="shared" si="1"/>
        <v>T.Tư</v>
      </c>
      <c r="T6" s="79" t="str">
        <f t="shared" si="1"/>
        <v>T.Năm</v>
      </c>
      <c r="U6" s="79" t="str">
        <f t="shared" si="1"/>
        <v>T.Sáu</v>
      </c>
      <c r="V6" s="79" t="str">
        <f t="shared" si="1"/>
        <v>T.Bảy</v>
      </c>
      <c r="W6" s="79" t="str">
        <f t="shared" si="1"/>
        <v>C.Nhật</v>
      </c>
      <c r="X6" s="79" t="str">
        <f t="shared" si="1"/>
        <v>T.Hai</v>
      </c>
      <c r="Y6" s="79" t="str">
        <f t="shared" si="1"/>
        <v>T.Ba</v>
      </c>
      <c r="Z6" s="79" t="str">
        <f t="shared" si="1"/>
        <v>T.Tư</v>
      </c>
      <c r="AA6" s="79" t="str">
        <f t="shared" si="1"/>
        <v>T.Năm</v>
      </c>
      <c r="AB6" s="79" t="str">
        <f t="shared" si="1"/>
        <v>T.Sáu</v>
      </c>
      <c r="AC6" s="79" t="str">
        <f t="shared" si="1"/>
        <v>T.Bảy</v>
      </c>
      <c r="AD6" s="79" t="str">
        <f t="shared" si="1"/>
        <v>C.Nhật</v>
      </c>
      <c r="AE6" s="79" t="str">
        <f t="shared" si="1"/>
        <v>T.Hai</v>
      </c>
      <c r="AF6" s="79" t="str">
        <f t="shared" si="1"/>
        <v>T.Ba</v>
      </c>
      <c r="AG6" s="79" t="str">
        <f t="shared" si="1"/>
        <v>T.Tư</v>
      </c>
      <c r="AH6" s="79" t="str">
        <f t="shared" si="1"/>
        <v>T.Năm</v>
      </c>
      <c r="AI6" s="79" t="str">
        <f t="shared" si="1"/>
        <v>T.Sáu</v>
      </c>
      <c r="AJ6" s="79" t="str">
        <f t="shared" si="1"/>
        <v>T.Bảy</v>
      </c>
      <c r="AK6" s="80" t="s">
        <v>143</v>
      </c>
      <c r="AL6" s="80" t="s">
        <v>144</v>
      </c>
      <c r="AM6" s="81" t="s">
        <v>145</v>
      </c>
      <c r="AN6" s="232"/>
      <c r="AO6" s="232"/>
      <c r="AP6" s="232"/>
      <c r="AQ6" s="232"/>
      <c r="AR6" s="232"/>
      <c r="AS6" s="226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</row>
    <row r="9" spans="1:89" s="78" customFormat="1" ht="18" customHeight="1">
      <c r="A9" s="233">
        <v>1</v>
      </c>
      <c r="B9" s="233" t="s">
        <v>34</v>
      </c>
      <c r="C9" s="235" t="str">
        <f>VLOOKUP(B9,DS,2,0)</f>
        <v>Võ Ngọc Thùy Lan</v>
      </c>
      <c r="D9" s="237" t="str">
        <f>VLOOKUP(B9,DS,3,0)</f>
        <v>Giám Đốc</v>
      </c>
      <c r="E9" s="90" t="s">
        <v>148</v>
      </c>
      <c r="F9" s="91">
        <v>8</v>
      </c>
      <c r="G9" s="91">
        <v>8</v>
      </c>
      <c r="H9" s="91">
        <v>8</v>
      </c>
      <c r="I9" s="91"/>
      <c r="J9" s="91">
        <v>8</v>
      </c>
      <c r="K9" s="91">
        <v>8</v>
      </c>
      <c r="L9" s="91">
        <v>8</v>
      </c>
      <c r="M9" s="91">
        <v>8</v>
      </c>
      <c r="N9" s="91">
        <v>8</v>
      </c>
      <c r="O9" s="91">
        <v>8</v>
      </c>
      <c r="P9" s="91"/>
      <c r="Q9" s="91">
        <v>8</v>
      </c>
      <c r="R9" s="91">
        <v>8</v>
      </c>
      <c r="S9" s="91">
        <v>8</v>
      </c>
      <c r="T9" s="91">
        <v>8</v>
      </c>
      <c r="U9" s="91">
        <v>8</v>
      </c>
      <c r="V9" s="91">
        <v>8</v>
      </c>
      <c r="W9" s="91"/>
      <c r="X9" s="91">
        <v>8</v>
      </c>
      <c r="Y9" s="91">
        <v>8</v>
      </c>
      <c r="Z9" s="91">
        <v>8</v>
      </c>
      <c r="AA9" s="91">
        <v>8</v>
      </c>
      <c r="AB9" s="91">
        <v>8</v>
      </c>
      <c r="AC9" s="91">
        <v>8</v>
      </c>
      <c r="AD9" s="91"/>
      <c r="AE9" s="91">
        <v>8</v>
      </c>
      <c r="AF9" s="91">
        <v>8</v>
      </c>
      <c r="AG9" s="91">
        <v>8</v>
      </c>
      <c r="AH9" s="91">
        <v>8</v>
      </c>
      <c r="AI9" s="91">
        <v>8</v>
      </c>
      <c r="AJ9" s="91">
        <v>8</v>
      </c>
      <c r="AK9" s="239">
        <f>((SUM(F9:AJ9))/8)-(SUMIF($F$6:$AJ$6,"C.Nhật",F9:AJ9)/8)</f>
        <v>27</v>
      </c>
      <c r="AL9" s="239">
        <f>SUM(F10:AJ10)/8*1.5</f>
        <v>0</v>
      </c>
      <c r="AM9" s="241">
        <f>SUMIF($F$6:$AJ$6,"C.Nhật",$F9:$AJ10)/8*2</f>
        <v>0</v>
      </c>
      <c r="AN9" s="218">
        <f>SUM(AK9:AM10)</f>
        <v>27</v>
      </c>
      <c r="AO9" s="244">
        <v>0</v>
      </c>
      <c r="AP9" s="218"/>
      <c r="AQ9" s="218"/>
      <c r="AR9" s="218"/>
      <c r="AS9" s="220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78" customFormat="1" ht="18" customHeight="1">
      <c r="A10" s="234"/>
      <c r="B10" s="234"/>
      <c r="C10" s="236"/>
      <c r="D10" s="238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40"/>
      <c r="AL10" s="240"/>
      <c r="AM10" s="242"/>
      <c r="AN10" s="219"/>
      <c r="AO10" s="245"/>
      <c r="AP10" s="219"/>
      <c r="AQ10" s="219"/>
      <c r="AR10" s="219"/>
      <c r="AS10" s="221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78" customFormat="1" ht="18" customHeight="1">
      <c r="A11" s="233">
        <v>2</v>
      </c>
      <c r="B11" s="233" t="s">
        <v>36</v>
      </c>
      <c r="C11" s="235" t="str">
        <f>VLOOKUP(B11,DS,2,0)</f>
        <v>Nguyễn Thị Thu Hà</v>
      </c>
      <c r="D11" s="237" t="str">
        <f>VLOOKUP(B11,DS,3,0)</f>
        <v>Kế Toán</v>
      </c>
      <c r="E11" s="90" t="s">
        <v>148</v>
      </c>
      <c r="F11" s="91">
        <v>8</v>
      </c>
      <c r="G11" s="91">
        <v>8</v>
      </c>
      <c r="H11" s="91">
        <v>8</v>
      </c>
      <c r="I11" s="91"/>
      <c r="J11" s="91">
        <v>8</v>
      </c>
      <c r="K11" s="91">
        <v>8</v>
      </c>
      <c r="L11" s="91">
        <v>8</v>
      </c>
      <c r="M11" s="91">
        <v>8</v>
      </c>
      <c r="N11" s="91">
        <v>8</v>
      </c>
      <c r="O11" s="91">
        <v>8</v>
      </c>
      <c r="P11" s="91"/>
      <c r="Q11" s="91">
        <v>8</v>
      </c>
      <c r="R11" s="91">
        <v>8</v>
      </c>
      <c r="S11" s="91">
        <v>8</v>
      </c>
      <c r="T11" s="91">
        <v>8</v>
      </c>
      <c r="U11" s="91">
        <v>8</v>
      </c>
      <c r="V11" s="91">
        <v>8</v>
      </c>
      <c r="W11" s="91"/>
      <c r="X11" s="91">
        <v>8</v>
      </c>
      <c r="Y11" s="91">
        <v>8</v>
      </c>
      <c r="Z11" s="91">
        <v>8</v>
      </c>
      <c r="AA11" s="91">
        <v>8</v>
      </c>
      <c r="AB11" s="91">
        <v>8</v>
      </c>
      <c r="AC11" s="91">
        <v>8</v>
      </c>
      <c r="AD11" s="91"/>
      <c r="AE11" s="91">
        <v>8</v>
      </c>
      <c r="AF11" s="91">
        <v>8</v>
      </c>
      <c r="AG11" s="91">
        <v>8</v>
      </c>
      <c r="AH11" s="91">
        <v>8</v>
      </c>
      <c r="AI11" s="91">
        <v>8</v>
      </c>
      <c r="AJ11" s="91">
        <v>8</v>
      </c>
      <c r="AK11" s="239">
        <f t="shared" ref="AK11" si="2">((SUM(F11:AJ11))/8)-(SUMIF($F$6:$AJ$6,"C.Nhật",F11:AJ11)/8)</f>
        <v>27</v>
      </c>
      <c r="AL11" s="239">
        <f t="shared" ref="AL11" si="3">SUM(F12:AJ12)/8*1.5</f>
        <v>0</v>
      </c>
      <c r="AM11" s="241">
        <f t="shared" ref="AM11" si="4">SUMIF($F$6:$AJ$6,"C.Nhật",$F11:$AJ12)/8*2</f>
        <v>0</v>
      </c>
      <c r="AN11" s="218">
        <f t="shared" ref="AN11" si="5">SUM(AK11:AM12)</f>
        <v>27</v>
      </c>
      <c r="AO11" s="244">
        <v>0</v>
      </c>
      <c r="AP11" s="218"/>
      <c r="AQ11" s="218"/>
      <c r="AR11" s="218"/>
      <c r="AS11" s="220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78" customFormat="1" ht="18" customHeight="1">
      <c r="A12" s="234"/>
      <c r="B12" s="234"/>
      <c r="C12" s="236"/>
      <c r="D12" s="238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40"/>
      <c r="AL12" s="240"/>
      <c r="AM12" s="242"/>
      <c r="AN12" s="219"/>
      <c r="AO12" s="245"/>
      <c r="AP12" s="219"/>
      <c r="AQ12" s="219"/>
      <c r="AR12" s="219"/>
      <c r="AS12" s="221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</row>
    <row r="14" spans="1:89" s="78" customFormat="1" ht="18" customHeight="1">
      <c r="A14" s="233">
        <v>1</v>
      </c>
      <c r="B14" s="233" t="s">
        <v>39</v>
      </c>
      <c r="C14" s="235" t="str">
        <f>VLOOKUP(B14,DS,2,0)</f>
        <v>Nguyễn Thị Thanh Thúy</v>
      </c>
      <c r="D14" s="237" t="str">
        <f>VLOOKUP(B14,DS,3,0)</f>
        <v>Công nhân</v>
      </c>
      <c r="E14" s="90" t="s">
        <v>148</v>
      </c>
      <c r="F14" s="91">
        <v>8</v>
      </c>
      <c r="G14" s="91">
        <v>8</v>
      </c>
      <c r="H14" s="91">
        <v>8</v>
      </c>
      <c r="I14" s="91"/>
      <c r="J14" s="91">
        <v>8</v>
      </c>
      <c r="K14" s="91">
        <v>8</v>
      </c>
      <c r="L14" s="91">
        <v>8</v>
      </c>
      <c r="M14" s="91">
        <v>8</v>
      </c>
      <c r="N14" s="91">
        <v>8</v>
      </c>
      <c r="O14" s="91">
        <v>8</v>
      </c>
      <c r="P14" s="91"/>
      <c r="Q14" s="91">
        <v>8</v>
      </c>
      <c r="R14" s="91">
        <v>8</v>
      </c>
      <c r="S14" s="91">
        <v>8</v>
      </c>
      <c r="T14" s="91">
        <v>8</v>
      </c>
      <c r="U14" s="91">
        <v>8</v>
      </c>
      <c r="V14" s="91">
        <v>8</v>
      </c>
      <c r="W14" s="91"/>
      <c r="X14" s="91">
        <v>8</v>
      </c>
      <c r="Y14" s="91">
        <v>8</v>
      </c>
      <c r="Z14" s="91">
        <v>8</v>
      </c>
      <c r="AA14" s="91">
        <v>8</v>
      </c>
      <c r="AB14" s="91">
        <v>8</v>
      </c>
      <c r="AC14" s="91">
        <v>8</v>
      </c>
      <c r="AD14" s="91"/>
      <c r="AE14" s="91">
        <v>8</v>
      </c>
      <c r="AF14" s="91">
        <v>8</v>
      </c>
      <c r="AG14" s="91">
        <v>8</v>
      </c>
      <c r="AH14" s="91">
        <v>8</v>
      </c>
      <c r="AI14" s="91">
        <v>8</v>
      </c>
      <c r="AJ14" s="91">
        <v>8</v>
      </c>
      <c r="AK14" s="239">
        <f t="shared" ref="AK14" si="6">((SUM(F14:AJ14))/8)-(SUMIF($F$6:$AJ$6,"C.Nhật",F14:AJ14)/8)</f>
        <v>27</v>
      </c>
      <c r="AL14" s="239">
        <f t="shared" ref="AL14" si="7">SUM(F15:AJ15)/8*1.5</f>
        <v>0</v>
      </c>
      <c r="AM14" s="241">
        <f>SUMIF($F$6:$AJ$6,"C.Nhật",$F14:$AJ15)/8*2</f>
        <v>0</v>
      </c>
      <c r="AN14" s="218">
        <f>SUM(AK14:AM15)</f>
        <v>27</v>
      </c>
      <c r="AO14" s="244">
        <v>0</v>
      </c>
      <c r="AP14" s="218"/>
      <c r="AQ14" s="218"/>
      <c r="AR14" s="218"/>
      <c r="AS14" s="220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9" s="78" customFormat="1" ht="18" customHeight="1">
      <c r="A15" s="234"/>
      <c r="B15" s="234"/>
      <c r="C15" s="236"/>
      <c r="D15" s="238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40"/>
      <c r="AL15" s="240"/>
      <c r="AM15" s="242"/>
      <c r="AN15" s="219"/>
      <c r="AO15" s="245"/>
      <c r="AP15" s="219"/>
      <c r="AQ15" s="219"/>
      <c r="AR15" s="219"/>
      <c r="AS15" s="221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9" s="78" customFormat="1" ht="18" customHeight="1">
      <c r="A16" s="233">
        <f>A14+1</f>
        <v>2</v>
      </c>
      <c r="B16" s="233" t="s">
        <v>42</v>
      </c>
      <c r="C16" s="235" t="str">
        <f>VLOOKUP(B16,DS,2,0)</f>
        <v>Huỳnh Đoàn Viết Thanh</v>
      </c>
      <c r="D16" s="237" t="str">
        <f>VLOOKUP(B16,DS,3,0)</f>
        <v>Công nhân</v>
      </c>
      <c r="E16" s="90" t="s">
        <v>148</v>
      </c>
      <c r="F16" s="91">
        <v>8</v>
      </c>
      <c r="G16" s="91">
        <v>8</v>
      </c>
      <c r="H16" s="91">
        <v>8</v>
      </c>
      <c r="I16" s="91"/>
      <c r="J16" s="91">
        <v>8</v>
      </c>
      <c r="K16" s="91">
        <v>8</v>
      </c>
      <c r="L16" s="91">
        <v>8</v>
      </c>
      <c r="M16" s="91">
        <v>8</v>
      </c>
      <c r="N16" s="91">
        <v>8</v>
      </c>
      <c r="O16" s="91">
        <v>8</v>
      </c>
      <c r="P16" s="91"/>
      <c r="Q16" s="91">
        <v>8</v>
      </c>
      <c r="R16" s="91">
        <v>8</v>
      </c>
      <c r="S16" s="91">
        <v>8</v>
      </c>
      <c r="T16" s="91">
        <v>8</v>
      </c>
      <c r="U16" s="91">
        <v>8</v>
      </c>
      <c r="V16" s="91">
        <v>8</v>
      </c>
      <c r="W16" s="91"/>
      <c r="X16" s="91">
        <v>8</v>
      </c>
      <c r="Y16" s="91">
        <v>8</v>
      </c>
      <c r="Z16" s="91">
        <v>8</v>
      </c>
      <c r="AA16" s="91">
        <v>8</v>
      </c>
      <c r="AB16" s="91">
        <v>8</v>
      </c>
      <c r="AC16" s="91">
        <v>8</v>
      </c>
      <c r="AD16" s="91"/>
      <c r="AE16" s="91">
        <v>8</v>
      </c>
      <c r="AF16" s="91">
        <v>8</v>
      </c>
      <c r="AG16" s="91">
        <v>8</v>
      </c>
      <c r="AH16" s="91">
        <v>8</v>
      </c>
      <c r="AI16" s="91">
        <v>8</v>
      </c>
      <c r="AJ16" s="91">
        <v>8</v>
      </c>
      <c r="AK16" s="239">
        <f t="shared" ref="AK16" si="8">((SUM(F16:AJ16))/8)-(SUMIF($F$6:$AJ$6,"C.Nhật",F16:AJ16)/8)</f>
        <v>27</v>
      </c>
      <c r="AL16" s="239">
        <f t="shared" ref="AL16" si="9">SUM(F17:AJ17)/8*1.5</f>
        <v>0</v>
      </c>
      <c r="AM16" s="241">
        <f>SUMIF($F$6:$AJ$6,"C.Nhật",$F16:$AJ17)/8*2</f>
        <v>0</v>
      </c>
      <c r="AN16" s="218">
        <f t="shared" ref="AN16" si="10">SUM(AK16:AM17)</f>
        <v>27</v>
      </c>
      <c r="AO16" s="244">
        <v>0</v>
      </c>
      <c r="AP16" s="218"/>
      <c r="AQ16" s="218"/>
      <c r="AR16" s="218"/>
      <c r="AS16" s="220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88" s="78" customFormat="1" ht="18" customHeight="1">
      <c r="A17" s="234"/>
      <c r="B17" s="234"/>
      <c r="C17" s="236"/>
      <c r="D17" s="238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40"/>
      <c r="AL17" s="240"/>
      <c r="AM17" s="242"/>
      <c r="AN17" s="219"/>
      <c r="AO17" s="245"/>
      <c r="AP17" s="219"/>
      <c r="AQ17" s="219"/>
      <c r="AR17" s="219"/>
      <c r="AS17" s="221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88" s="78" customFormat="1" ht="18" customHeight="1">
      <c r="A18" s="233">
        <f t="shared" ref="A18" si="11">A16+1</f>
        <v>3</v>
      </c>
      <c r="B18" s="233" t="s">
        <v>44</v>
      </c>
      <c r="C18" s="235" t="str">
        <f>VLOOKUP(B18,DS,2,0)</f>
        <v>Trần Ngọc Thoại</v>
      </c>
      <c r="D18" s="237" t="str">
        <f>VLOOKUP(B18,DS,3,0)</f>
        <v>Công nhân</v>
      </c>
      <c r="E18" s="90" t="s">
        <v>148</v>
      </c>
      <c r="F18" s="91">
        <v>8</v>
      </c>
      <c r="G18" s="91">
        <v>8</v>
      </c>
      <c r="H18" s="91">
        <v>8</v>
      </c>
      <c r="I18" s="91"/>
      <c r="J18" s="91">
        <v>8</v>
      </c>
      <c r="K18" s="91">
        <v>8</v>
      </c>
      <c r="L18" s="91">
        <v>8</v>
      </c>
      <c r="M18" s="91">
        <v>8</v>
      </c>
      <c r="N18" s="91">
        <v>8</v>
      </c>
      <c r="O18" s="91">
        <v>8</v>
      </c>
      <c r="P18" s="91"/>
      <c r="Q18" s="91">
        <v>8</v>
      </c>
      <c r="R18" s="91">
        <v>8</v>
      </c>
      <c r="S18" s="91">
        <v>8</v>
      </c>
      <c r="T18" s="91">
        <v>8</v>
      </c>
      <c r="U18" s="91">
        <v>8</v>
      </c>
      <c r="V18" s="91">
        <v>8</v>
      </c>
      <c r="W18" s="91"/>
      <c r="X18" s="91">
        <v>8</v>
      </c>
      <c r="Y18" s="91">
        <v>8</v>
      </c>
      <c r="Z18" s="91">
        <v>8</v>
      </c>
      <c r="AA18" s="91">
        <v>8</v>
      </c>
      <c r="AB18" s="91">
        <v>8</v>
      </c>
      <c r="AC18" s="91">
        <v>8</v>
      </c>
      <c r="AD18" s="91"/>
      <c r="AE18" s="91">
        <v>8</v>
      </c>
      <c r="AF18" s="91">
        <v>8</v>
      </c>
      <c r="AG18" s="91">
        <v>8</v>
      </c>
      <c r="AH18" s="91">
        <v>8</v>
      </c>
      <c r="AI18" s="91">
        <v>8</v>
      </c>
      <c r="AJ18" s="91">
        <v>8</v>
      </c>
      <c r="AK18" s="239">
        <f t="shared" ref="AK18" si="12">((SUM(F18:AJ18))/8)-(SUMIF($F$6:$AJ$6,"C.Nhật",F18:AJ18)/8)</f>
        <v>27</v>
      </c>
      <c r="AL18" s="239">
        <f t="shared" ref="AL18" si="13">SUM(F19:AJ19)/8*1.5</f>
        <v>0</v>
      </c>
      <c r="AM18" s="241">
        <f>SUMIF($F$6:$AJ$6,"C.Nhật",$F18:$AJ19)/8*2</f>
        <v>0</v>
      </c>
      <c r="AN18" s="218">
        <f t="shared" ref="AN18" si="14">SUM(AK18:AM19)</f>
        <v>27</v>
      </c>
      <c r="AO18" s="244">
        <v>0</v>
      </c>
      <c r="AP18" s="218"/>
      <c r="AQ18" s="218"/>
      <c r="AR18" s="218"/>
      <c r="AS18" s="220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88" s="78" customFormat="1" ht="18" customHeight="1">
      <c r="A19" s="234"/>
      <c r="B19" s="234"/>
      <c r="C19" s="236"/>
      <c r="D19" s="238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40"/>
      <c r="AL19" s="240"/>
      <c r="AM19" s="242"/>
      <c r="AN19" s="219"/>
      <c r="AO19" s="245"/>
      <c r="AP19" s="219"/>
      <c r="AQ19" s="219"/>
      <c r="AR19" s="219"/>
      <c r="AS19" s="221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88" s="78" customFormat="1" ht="18" customHeight="1">
      <c r="A20" s="233">
        <f t="shared" ref="A20" si="15">A18+1</f>
        <v>4</v>
      </c>
      <c r="B20" s="233" t="s">
        <v>46</v>
      </c>
      <c r="C20" s="235" t="str">
        <f>VLOOKUP(B20,DS,2,0)</f>
        <v>Nguyễn Đức Huy</v>
      </c>
      <c r="D20" s="237" t="str">
        <f>VLOOKUP(B20,DS,3,0)</f>
        <v>Công nhân</v>
      </c>
      <c r="E20" s="90" t="s">
        <v>148</v>
      </c>
      <c r="F20" s="91">
        <v>8</v>
      </c>
      <c r="G20" s="91">
        <v>8</v>
      </c>
      <c r="H20" s="91">
        <v>8</v>
      </c>
      <c r="I20" s="91"/>
      <c r="J20" s="91">
        <v>8</v>
      </c>
      <c r="K20" s="91">
        <v>8</v>
      </c>
      <c r="L20" s="91">
        <v>8</v>
      </c>
      <c r="M20" s="91">
        <v>8</v>
      </c>
      <c r="N20" s="91">
        <v>8</v>
      </c>
      <c r="O20" s="91">
        <v>8</v>
      </c>
      <c r="P20" s="91"/>
      <c r="Q20" s="91">
        <v>8</v>
      </c>
      <c r="R20" s="91">
        <v>8</v>
      </c>
      <c r="S20" s="91">
        <v>8</v>
      </c>
      <c r="T20" s="91">
        <v>8</v>
      </c>
      <c r="U20" s="91">
        <v>8</v>
      </c>
      <c r="V20" s="91">
        <v>8</v>
      </c>
      <c r="W20" s="91"/>
      <c r="X20" s="91">
        <v>8</v>
      </c>
      <c r="Y20" s="91">
        <v>8</v>
      </c>
      <c r="Z20" s="91">
        <v>8</v>
      </c>
      <c r="AA20" s="91">
        <v>8</v>
      </c>
      <c r="AB20" s="91">
        <v>8</v>
      </c>
      <c r="AC20" s="91">
        <v>8</v>
      </c>
      <c r="AD20" s="91"/>
      <c r="AE20" s="91">
        <v>8</v>
      </c>
      <c r="AF20" s="91">
        <v>8</v>
      </c>
      <c r="AG20" s="91">
        <v>8</v>
      </c>
      <c r="AH20" s="91">
        <v>8</v>
      </c>
      <c r="AI20" s="91">
        <v>8</v>
      </c>
      <c r="AJ20" s="91">
        <v>8</v>
      </c>
      <c r="AK20" s="239">
        <f t="shared" ref="AK20" si="16">((SUM(F20:AJ20))/8)-(SUMIF($F$6:$AJ$6,"C.Nhật",F20:AJ20)/8)</f>
        <v>27</v>
      </c>
      <c r="AL20" s="239">
        <f t="shared" ref="AL20" si="17">SUM(F21:AJ21)/8*1.5</f>
        <v>0</v>
      </c>
      <c r="AM20" s="241">
        <f>SUMIF($F$6:$AJ$6,"C.Nhật",$F20:$AJ21)/8*2</f>
        <v>0</v>
      </c>
      <c r="AN20" s="218">
        <f t="shared" ref="AN20" si="18">SUM(AK20:AM21)</f>
        <v>27</v>
      </c>
      <c r="AO20" s="244">
        <v>0</v>
      </c>
      <c r="AP20" s="218"/>
      <c r="AQ20" s="218"/>
      <c r="AR20" s="218"/>
      <c r="AS20" s="220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</row>
    <row r="21" spans="1:88" s="78" customFormat="1" ht="18" customHeight="1">
      <c r="A21" s="234"/>
      <c r="B21" s="234"/>
      <c r="C21" s="236"/>
      <c r="D21" s="238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40"/>
      <c r="AL21" s="240"/>
      <c r="AM21" s="242"/>
      <c r="AN21" s="219"/>
      <c r="AO21" s="245"/>
      <c r="AP21" s="219"/>
      <c r="AQ21" s="219"/>
      <c r="AR21" s="219"/>
      <c r="AS21" s="221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</row>
    <row r="22" spans="1:88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</row>
    <row r="23" spans="1:88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</row>
    <row r="24" spans="1:88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</row>
    <row r="25" spans="1:88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</row>
    <row r="26" spans="1:88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</row>
    <row r="27" spans="1:88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</row>
    <row r="28" spans="1:88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</row>
    <row r="29" spans="1:88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</row>
    <row r="30" spans="1:88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</row>
    <row r="31" spans="1:88" ht="15" customHeight="1">
      <c r="C31" s="2" t="s">
        <v>152</v>
      </c>
    </row>
    <row r="32" spans="1:88" ht="15" customHeight="1">
      <c r="C32" s="2" t="s">
        <v>153</v>
      </c>
    </row>
    <row r="33" spans="1:89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</row>
    <row r="34" spans="1:89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</row>
    <row r="35" spans="1:89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</row>
    <row r="36" spans="1:89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</row>
    <row r="37" spans="1:89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</row>
    <row r="38" spans="1:89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1">
    <mergeCell ref="AL20:AL21"/>
    <mergeCell ref="AM20:AM21"/>
    <mergeCell ref="AN20:AN21"/>
    <mergeCell ref="AO20:AO21"/>
    <mergeCell ref="AM18:AM19"/>
    <mergeCell ref="AN18:AN19"/>
    <mergeCell ref="AO18:AO19"/>
    <mergeCell ref="A20:A21"/>
    <mergeCell ref="B20:B21"/>
    <mergeCell ref="C20:C21"/>
    <mergeCell ref="D20:D21"/>
    <mergeCell ref="AK20:AK21"/>
    <mergeCell ref="AP20:AP21"/>
    <mergeCell ref="AQ20:AQ21"/>
    <mergeCell ref="AR20:AR21"/>
    <mergeCell ref="AS20:AS21"/>
    <mergeCell ref="AS18:AS19"/>
    <mergeCell ref="AP18:AP19"/>
    <mergeCell ref="AQ18:AQ19"/>
    <mergeCell ref="AR18:AR19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M14:AM15"/>
    <mergeCell ref="AN14:AN15"/>
    <mergeCell ref="AO14:AO15"/>
    <mergeCell ref="A16:A17"/>
    <mergeCell ref="B16:B17"/>
    <mergeCell ref="C16:C17"/>
    <mergeCell ref="D16:D17"/>
    <mergeCell ref="AK16:AK17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P14:AP15"/>
    <mergeCell ref="AQ14:AQ15"/>
    <mergeCell ref="AR14:AR15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">
    <cfRule type="expression" dxfId="25" priority="4" stopIfTrue="1">
      <formula>IF(WEEKDAY(F$5)=1,TRUE,FALSE)</formula>
    </cfRule>
  </conditionalFormatting>
  <conditionalFormatting sqref="F9:AJ12">
    <cfRule type="expression" dxfId="24" priority="3" stopIfTrue="1">
      <formula>IF(WEEKDAY(F$5)=1,TRUE,FALSE)</formula>
    </cfRule>
  </conditionalFormatting>
  <conditionalFormatting sqref="F14:AJ21">
    <cfRule type="expression" dxfId="23" priority="2" stopIfTrue="1">
      <formula>IF(WEEKDAY(F$5)=1,TRUE,FALSE)</formula>
    </cfRule>
  </conditionalFormatting>
  <conditionalFormatting sqref="F14:AJ21">
    <cfRule type="expression" dxfId="2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13" activePane="bottomRight" state="frozen"/>
      <selection activeCell="E19" sqref="E19"/>
      <selection pane="topRight" activeCell="E19" sqref="E19"/>
      <selection pane="bottomLeft" activeCell="E19" sqref="E19"/>
      <selection pane="bottomRight" sqref="A1:T27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47" t="str">
        <f>"BẢNG THANH TOÁN LƯƠNG THÁNG"&amp;" "&amp;TEXT($E$4,"mm")&amp;" / "&amp;TEXT($E$4,"yyyy")</f>
        <v>BẢNG THANH TOÁN LƯƠNG THÁNG 08 / 2013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132</v>
      </c>
      <c r="S1" s="250"/>
      <c r="T1" s="251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-8'!$AK$9:$AK$21)</f>
        <v>27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-8'!$E$4</f>
        <v>41487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2" t="s">
        <v>3</v>
      </c>
      <c r="B5" s="252" t="s">
        <v>161</v>
      </c>
      <c r="C5" s="204" t="s">
        <v>5</v>
      </c>
      <c r="D5" s="204" t="s">
        <v>6</v>
      </c>
      <c r="E5" s="209" t="s">
        <v>7</v>
      </c>
      <c r="F5" s="255" t="s">
        <v>162</v>
      </c>
      <c r="G5" s="256"/>
      <c r="H5" s="256"/>
      <c r="I5" s="256"/>
      <c r="J5" s="256"/>
      <c r="K5" s="257"/>
      <c r="L5" s="254" t="s">
        <v>14</v>
      </c>
      <c r="M5" s="254" t="s">
        <v>163</v>
      </c>
      <c r="N5" s="204" t="s">
        <v>164</v>
      </c>
      <c r="O5" s="204"/>
      <c r="P5" s="204"/>
      <c r="Q5" s="254" t="s">
        <v>165</v>
      </c>
      <c r="R5" s="254" t="s">
        <v>166</v>
      </c>
      <c r="S5" s="254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53"/>
      <c r="B6" s="253"/>
      <c r="C6" s="204"/>
      <c r="D6" s="204"/>
      <c r="E6" s="209"/>
      <c r="F6" s="255" t="s">
        <v>169</v>
      </c>
      <c r="G6" s="257"/>
      <c r="H6" s="255" t="s">
        <v>170</v>
      </c>
      <c r="I6" s="256"/>
      <c r="J6" s="261" t="s">
        <v>171</v>
      </c>
      <c r="K6" s="254" t="s">
        <v>172</v>
      </c>
      <c r="L6" s="258"/>
      <c r="M6" s="258"/>
      <c r="N6" s="263" t="s">
        <v>173</v>
      </c>
      <c r="O6" s="254" t="s">
        <v>174</v>
      </c>
      <c r="P6" s="254" t="s">
        <v>175</v>
      </c>
      <c r="Q6" s="258"/>
      <c r="R6" s="258"/>
      <c r="S6" s="258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53"/>
      <c r="B7" s="253"/>
      <c r="C7" s="254"/>
      <c r="D7" s="254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62"/>
      <c r="K7" s="258"/>
      <c r="L7" s="259"/>
      <c r="M7" s="259"/>
      <c r="N7" s="264"/>
      <c r="O7" s="258"/>
      <c r="P7" s="258"/>
      <c r="Q7" s="258"/>
      <c r="R7" s="258"/>
      <c r="S7" s="258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-8'!$B$8:$AS$21,36,0)</f>
        <v>27</v>
      </c>
      <c r="G10" s="150">
        <f t="shared" ref="G10:G11" si="2">ROUND(E10/$U$2*F10,0)</f>
        <v>1565000</v>
      </c>
      <c r="H10" s="149">
        <f>(VLOOKUP(B10,'CC -8'!$B$8:$AS$21,37,0)+VLOOKUP(B10,'CC -8'!$B$8:$AS$21,38,0))</f>
        <v>0</v>
      </c>
      <c r="I10" s="150">
        <f t="shared" ref="I10:I11" si="3">ROUND(E10/$U$2*H10,0)</f>
        <v>0</v>
      </c>
      <c r="J10" s="151">
        <f t="shared" ref="J10:K11" si="4">F10+H10</f>
        <v>27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-8'!$B$8:$AS$21,36,0)</f>
        <v>27</v>
      </c>
      <c r="G11" s="150">
        <f t="shared" si="2"/>
        <v>1240000</v>
      </c>
      <c r="H11" s="149">
        <f>(VLOOKUP(B11,'CC -8'!$B$8:$AS$21,37,0)+VLOOKUP(B11,'CC -8'!$B$8:$AS$21,38,0))</f>
        <v>0</v>
      </c>
      <c r="I11" s="150">
        <f t="shared" si="3"/>
        <v>0</v>
      </c>
      <c r="J11" s="151">
        <f t="shared" si="4"/>
        <v>27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60" t="s">
        <v>48</v>
      </c>
      <c r="B13" s="260"/>
      <c r="C13" s="260"/>
      <c r="D13" s="260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10">VLOOKUP(B15,DS,2,0)</f>
        <v>Nguyễn Thị Thanh Thúy</v>
      </c>
      <c r="D15" s="147" t="str">
        <f t="shared" ref="D15:D18" si="11">VLOOKUP(B15,DS,3,0)</f>
        <v>Công nhân</v>
      </c>
      <c r="E15" s="148">
        <f t="shared" ref="E15:E18" si="12">VLOOKUP(B15,DS,4,0)</f>
        <v>1365000</v>
      </c>
      <c r="F15" s="149">
        <f>VLOOKUP(B15,'CC -8'!$B$8:$AS$21,36,0)</f>
        <v>27</v>
      </c>
      <c r="G15" s="150">
        <f t="shared" ref="G15:G18" si="13">ROUND(E15/$U$2*F15,0)</f>
        <v>1365000</v>
      </c>
      <c r="H15" s="149">
        <f>(VLOOKUP(B15,'CC -8'!$B$8:$AS$21,37,0)+VLOOKUP(B15,'CC -8'!$B$8:$AS$21,38,0))</f>
        <v>0</v>
      </c>
      <c r="I15" s="150">
        <f t="shared" ref="I15:I18" si="14">ROUND(E15/$U$2*H15,0)</f>
        <v>0</v>
      </c>
      <c r="J15" s="171">
        <f t="shared" ref="J15:K18" si="15">F15+H15</f>
        <v>27</v>
      </c>
      <c r="K15" s="152">
        <f t="shared" si="15"/>
        <v>1365000</v>
      </c>
      <c r="L15" s="148">
        <f>VLOOKUP(B15,DS,6,0)</f>
        <v>260000</v>
      </c>
      <c r="M15" s="153">
        <f t="shared" ref="M15:M18" si="16">K15+L15</f>
        <v>1625000</v>
      </c>
      <c r="N15" s="153">
        <f>IF(VLOOKUP(B15,DS,9,0)="x",'L - 8'!E15*$N$4,0)</f>
        <v>0</v>
      </c>
      <c r="O15" s="153">
        <f t="shared" ref="O15:O18" si="17">IF(VLOOKUP(B15,DS,9,0)="x",E15*0.015,0)</f>
        <v>0</v>
      </c>
      <c r="P15" s="153">
        <f t="shared" ref="P15:P18" si="18">IF(VLOOKUP(B15,DS,9,0)="x",E15*0.01,0)</f>
        <v>0</v>
      </c>
      <c r="Q15" s="152">
        <f>M15-SUM(N15:P15)</f>
        <v>1625000</v>
      </c>
      <c r="R15" s="152">
        <f t="shared" ref="R15:R18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-8'!$B$8:$AS$21,36,0)</f>
        <v>27</v>
      </c>
      <c r="G16" s="150">
        <f t="shared" si="13"/>
        <v>1275000</v>
      </c>
      <c r="H16" s="149">
        <f>(VLOOKUP(B16,'CC -8'!$B$8:$AS$21,37,0)+VLOOKUP(B16,'CC -8'!$B$8:$AS$21,38,0))</f>
        <v>0</v>
      </c>
      <c r="I16" s="150">
        <f t="shared" si="14"/>
        <v>0</v>
      </c>
      <c r="J16" s="171">
        <f t="shared" si="15"/>
        <v>27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- 8'!E16*$N$4,0)</f>
        <v>0</v>
      </c>
      <c r="O16" s="153">
        <f t="shared" si="17"/>
        <v>0</v>
      </c>
      <c r="P16" s="153">
        <f t="shared" si="18"/>
        <v>0</v>
      </c>
      <c r="Q16" s="152">
        <f t="shared" ref="Q16:Q18" si="20">M16-SUM(N16:P16)</f>
        <v>1535000</v>
      </c>
      <c r="R16" s="152">
        <f t="shared" si="19"/>
        <v>0</v>
      </c>
      <c r="S16" s="154">
        <f t="shared" ref="S16:S18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10"/>
        <v>Trần Ngọc Thoại</v>
      </c>
      <c r="D17" s="147" t="str">
        <f t="shared" si="11"/>
        <v>Công nhân</v>
      </c>
      <c r="E17" s="148">
        <f t="shared" si="12"/>
        <v>990000</v>
      </c>
      <c r="F17" s="149">
        <f>VLOOKUP(B17,'CC -8'!$B$8:$AS$21,36,0)</f>
        <v>27</v>
      </c>
      <c r="G17" s="150">
        <f t="shared" si="13"/>
        <v>990000</v>
      </c>
      <c r="H17" s="149">
        <f>(VLOOKUP(B17,'CC -8'!$B$8:$AS$21,37,0)+VLOOKUP(B17,'CC -8'!$B$8:$AS$21,38,0))</f>
        <v>0</v>
      </c>
      <c r="I17" s="150">
        <f t="shared" si="14"/>
        <v>0</v>
      </c>
      <c r="J17" s="171">
        <f t="shared" si="15"/>
        <v>27</v>
      </c>
      <c r="K17" s="152">
        <f t="shared" si="15"/>
        <v>990000</v>
      </c>
      <c r="L17" s="148">
        <f>VLOOKUP(B17,DS,6,0)</f>
        <v>260000</v>
      </c>
      <c r="M17" s="153">
        <f t="shared" si="16"/>
        <v>1250000</v>
      </c>
      <c r="N17" s="153">
        <f>IF(VLOOKUP(B17,DS,9,0)="x",'L - 8'!E17*$N$4,0)</f>
        <v>0</v>
      </c>
      <c r="O17" s="153">
        <f t="shared" si="17"/>
        <v>0</v>
      </c>
      <c r="P17" s="153">
        <f t="shared" si="18"/>
        <v>0</v>
      </c>
      <c r="Q17" s="152">
        <f t="shared" si="20"/>
        <v>1250000</v>
      </c>
      <c r="R17" s="152">
        <f t="shared" si="19"/>
        <v>0</v>
      </c>
      <c r="S17" s="154">
        <f t="shared" si="21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10"/>
        <v>Nguyễn Đức Huy</v>
      </c>
      <c r="D18" s="147" t="str">
        <f t="shared" si="11"/>
        <v>Công nhân</v>
      </c>
      <c r="E18" s="148">
        <f t="shared" si="12"/>
        <v>1015000</v>
      </c>
      <c r="F18" s="149">
        <f>VLOOKUP(B18,'CC -8'!$B$8:$AS$21,36,0)</f>
        <v>27</v>
      </c>
      <c r="G18" s="150">
        <f t="shared" si="13"/>
        <v>1015000</v>
      </c>
      <c r="H18" s="149">
        <f>(VLOOKUP(B18,'CC -8'!$B$8:$AS$21,37,0)+VLOOKUP(B18,'CC -8'!$B$8:$AS$21,38,0))</f>
        <v>0</v>
      </c>
      <c r="I18" s="150">
        <f t="shared" si="14"/>
        <v>0</v>
      </c>
      <c r="J18" s="171">
        <f t="shared" si="15"/>
        <v>27</v>
      </c>
      <c r="K18" s="152">
        <f t="shared" si="15"/>
        <v>1015000</v>
      </c>
      <c r="L18" s="148">
        <f>VLOOKUP(B18,DS,6,0)</f>
        <v>260000</v>
      </c>
      <c r="M18" s="153">
        <f t="shared" si="16"/>
        <v>1275000</v>
      </c>
      <c r="N18" s="153">
        <f>IF(VLOOKUP(B18,DS,9,0)="x",'L - 8'!E18*$N$4,0)</f>
        <v>0</v>
      </c>
      <c r="O18" s="153">
        <f t="shared" si="17"/>
        <v>0</v>
      </c>
      <c r="P18" s="153">
        <f t="shared" si="18"/>
        <v>0</v>
      </c>
      <c r="Q18" s="152">
        <f t="shared" si="20"/>
        <v>1275000</v>
      </c>
      <c r="R18" s="152">
        <f t="shared" si="19"/>
        <v>0</v>
      </c>
      <c r="S18" s="154">
        <f t="shared" si="21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60" t="s">
        <v>48</v>
      </c>
      <c r="B20" s="260"/>
      <c r="C20" s="260"/>
      <c r="D20" s="260"/>
      <c r="E20" s="167">
        <f>SUM(E14:E19)</f>
        <v>4645000</v>
      </c>
      <c r="F20" s="167"/>
      <c r="G20" s="167">
        <f t="shared" ref="G20:S20" si="22">SUM(G14:G19)</f>
        <v>4645000</v>
      </c>
      <c r="H20" s="167"/>
      <c r="I20" s="167">
        <f t="shared" si="22"/>
        <v>0</v>
      </c>
      <c r="J20" s="167"/>
      <c r="K20" s="167">
        <f t="shared" si="22"/>
        <v>4645000</v>
      </c>
      <c r="L20" s="167">
        <f t="shared" si="22"/>
        <v>1040000</v>
      </c>
      <c r="M20" s="167">
        <f t="shared" si="22"/>
        <v>5685000</v>
      </c>
      <c r="N20" s="167">
        <f t="shared" si="22"/>
        <v>0</v>
      </c>
      <c r="O20" s="167">
        <f t="shared" si="22"/>
        <v>0</v>
      </c>
      <c r="P20" s="167">
        <f t="shared" si="22"/>
        <v>0</v>
      </c>
      <c r="Q20" s="167">
        <f t="shared" si="22"/>
        <v>5685000</v>
      </c>
      <c r="R20" s="167">
        <f t="shared" si="22"/>
        <v>0</v>
      </c>
      <c r="S20" s="167">
        <f t="shared" si="22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31  tháng  8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AE12:IJ12 E5:I6 N5:P6 L5 L23 J6:K7 L7 A26:T59 U32:U59 N19:S19 V26:IJ59 V12 J19:L19 AE14:IJ14 V13:IJ13 D13:T13 D20:T20 Q12:S12 A60:IJ65327 A12:B13 A10:B11 Q10:S11 V5:V11 AE5:IJ11" name="Range1"/>
    <protectedRange password="CC78" sqref="F7:H7" name="Range1_4"/>
    <protectedRange password="CC78" sqref="V23:IJ24 S23:T24 N23:Q24 E23:I24" name="Range1_1_1"/>
    <protectedRange password="CC78" sqref="U1 V1:IJ4 B4:T4 W12:AD12 R2:S3 B1:Q3 U19:U31 W14:AD14 U12:U14 U4:U11 W5:AD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A13:D13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G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T1" sqref="AT1:AY104857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5" width="3.42578125" style="116" customWidth="1"/>
    <col min="36" max="36" width="3.42578125" style="116" hidden="1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16384" width="3.7109375" style="2"/>
  </cols>
  <sheetData>
    <row r="1" spans="1:85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09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22" t="s">
        <v>132</v>
      </c>
      <c r="AN1" s="223"/>
      <c r="AO1" s="223"/>
      <c r="AP1" s="223"/>
      <c r="AQ1" s="223"/>
      <c r="AR1" s="223"/>
      <c r="AS1" s="224"/>
    </row>
    <row r="2" spans="1:85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</row>
    <row r="3" spans="1:85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</row>
    <row r="4" spans="1:85" ht="14.25" customHeight="1">
      <c r="A4" s="69"/>
      <c r="B4" s="69"/>
      <c r="C4" s="70"/>
      <c r="D4" s="71"/>
      <c r="E4" s="72">
        <v>41518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</row>
    <row r="5" spans="1:85" s="78" customFormat="1" ht="18.75" customHeight="1">
      <c r="A5" s="225" t="s">
        <v>133</v>
      </c>
      <c r="B5" s="225" t="s">
        <v>4</v>
      </c>
      <c r="C5" s="225" t="s">
        <v>5</v>
      </c>
      <c r="D5" s="227" t="s">
        <v>134</v>
      </c>
      <c r="E5" s="225" t="s">
        <v>135</v>
      </c>
      <c r="F5" s="77">
        <f>+E4</f>
        <v>41518</v>
      </c>
      <c r="G5" s="77">
        <f t="shared" ref="G5:AJ5" si="0">F5+1</f>
        <v>41519</v>
      </c>
      <c r="H5" s="77">
        <f t="shared" si="0"/>
        <v>41520</v>
      </c>
      <c r="I5" s="77">
        <f t="shared" si="0"/>
        <v>41521</v>
      </c>
      <c r="J5" s="77">
        <f t="shared" si="0"/>
        <v>41522</v>
      </c>
      <c r="K5" s="77">
        <f t="shared" si="0"/>
        <v>41523</v>
      </c>
      <c r="L5" s="77">
        <f t="shared" si="0"/>
        <v>41524</v>
      </c>
      <c r="M5" s="77">
        <f t="shared" si="0"/>
        <v>41525</v>
      </c>
      <c r="N5" s="77">
        <f t="shared" si="0"/>
        <v>41526</v>
      </c>
      <c r="O5" s="77">
        <f t="shared" si="0"/>
        <v>41527</v>
      </c>
      <c r="P5" s="77">
        <f t="shared" si="0"/>
        <v>41528</v>
      </c>
      <c r="Q5" s="77">
        <f t="shared" si="0"/>
        <v>41529</v>
      </c>
      <c r="R5" s="77">
        <f t="shared" si="0"/>
        <v>41530</v>
      </c>
      <c r="S5" s="77">
        <f t="shared" si="0"/>
        <v>41531</v>
      </c>
      <c r="T5" s="77">
        <f t="shared" si="0"/>
        <v>41532</v>
      </c>
      <c r="U5" s="77">
        <f t="shared" si="0"/>
        <v>41533</v>
      </c>
      <c r="V5" s="77">
        <f t="shared" si="0"/>
        <v>41534</v>
      </c>
      <c r="W5" s="77">
        <f t="shared" si="0"/>
        <v>41535</v>
      </c>
      <c r="X5" s="77">
        <f t="shared" si="0"/>
        <v>41536</v>
      </c>
      <c r="Y5" s="77">
        <f t="shared" si="0"/>
        <v>41537</v>
      </c>
      <c r="Z5" s="77">
        <f t="shared" si="0"/>
        <v>41538</v>
      </c>
      <c r="AA5" s="77">
        <f t="shared" si="0"/>
        <v>41539</v>
      </c>
      <c r="AB5" s="77">
        <f t="shared" si="0"/>
        <v>41540</v>
      </c>
      <c r="AC5" s="77">
        <f t="shared" si="0"/>
        <v>41541</v>
      </c>
      <c r="AD5" s="77">
        <f t="shared" si="0"/>
        <v>41542</v>
      </c>
      <c r="AE5" s="77">
        <f t="shared" si="0"/>
        <v>41543</v>
      </c>
      <c r="AF5" s="77">
        <f t="shared" si="0"/>
        <v>41544</v>
      </c>
      <c r="AG5" s="77">
        <f t="shared" si="0"/>
        <v>41545</v>
      </c>
      <c r="AH5" s="77">
        <f>AG5+1</f>
        <v>41546</v>
      </c>
      <c r="AI5" s="77">
        <f t="shared" si="0"/>
        <v>41547</v>
      </c>
      <c r="AJ5" s="77">
        <f t="shared" si="0"/>
        <v>41548</v>
      </c>
      <c r="AK5" s="228" t="s">
        <v>136</v>
      </c>
      <c r="AL5" s="229"/>
      <c r="AM5" s="230"/>
      <c r="AN5" s="231" t="s">
        <v>137</v>
      </c>
      <c r="AO5" s="231" t="s">
        <v>138</v>
      </c>
      <c r="AP5" s="231" t="s">
        <v>139</v>
      </c>
      <c r="AQ5" s="231" t="s">
        <v>140</v>
      </c>
      <c r="AR5" s="231" t="s">
        <v>141</v>
      </c>
      <c r="AS5" s="227" t="s">
        <v>142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</row>
    <row r="6" spans="1:85" s="78" customFormat="1" ht="39.75" customHeight="1">
      <c r="A6" s="226"/>
      <c r="B6" s="226"/>
      <c r="C6" s="226"/>
      <c r="D6" s="226"/>
      <c r="E6" s="226"/>
      <c r="F6" s="79" t="str">
        <f>CHOOSE(WEEKDAY(F5),"C.Nhật","T.Hai","T.Ba","T.Tư","T.Năm","T.Sáu","T.Bảy")</f>
        <v>C.Nhật</v>
      </c>
      <c r="G6" s="79" t="str">
        <f t="shared" ref="G6:AJ6" si="1">CHOOSE(WEEKDAY(G5),"C.Nhật","T.Hai","T.Ba","T.Tư","T.Năm","T.Sáu","T.Bảy")</f>
        <v>T.Hai</v>
      </c>
      <c r="H6" s="79" t="str">
        <f t="shared" si="1"/>
        <v>T.Ba</v>
      </c>
      <c r="I6" s="79" t="str">
        <f t="shared" si="1"/>
        <v>T.Tư</v>
      </c>
      <c r="J6" s="79" t="str">
        <f t="shared" si="1"/>
        <v>T.Năm</v>
      </c>
      <c r="K6" s="79" t="str">
        <f t="shared" si="1"/>
        <v>T.Sáu</v>
      </c>
      <c r="L6" s="79" t="str">
        <f t="shared" si="1"/>
        <v>T.Bảy</v>
      </c>
      <c r="M6" s="79" t="str">
        <f t="shared" si="1"/>
        <v>C.Nhật</v>
      </c>
      <c r="N6" s="79" t="str">
        <f t="shared" si="1"/>
        <v>T.Hai</v>
      </c>
      <c r="O6" s="79" t="str">
        <f t="shared" si="1"/>
        <v>T.Ba</v>
      </c>
      <c r="P6" s="79" t="str">
        <f t="shared" si="1"/>
        <v>T.Tư</v>
      </c>
      <c r="Q6" s="79" t="str">
        <f t="shared" si="1"/>
        <v>T.Năm</v>
      </c>
      <c r="R6" s="79" t="str">
        <f t="shared" si="1"/>
        <v>T.Sáu</v>
      </c>
      <c r="S6" s="79" t="str">
        <f t="shared" si="1"/>
        <v>T.Bảy</v>
      </c>
      <c r="T6" s="79" t="str">
        <f t="shared" si="1"/>
        <v>C.Nhật</v>
      </c>
      <c r="U6" s="79" t="str">
        <f t="shared" si="1"/>
        <v>T.Hai</v>
      </c>
      <c r="V6" s="79" t="str">
        <f t="shared" si="1"/>
        <v>T.Ba</v>
      </c>
      <c r="W6" s="79" t="str">
        <f t="shared" si="1"/>
        <v>T.Tư</v>
      </c>
      <c r="X6" s="79" t="str">
        <f t="shared" si="1"/>
        <v>T.Năm</v>
      </c>
      <c r="Y6" s="79" t="str">
        <f t="shared" si="1"/>
        <v>T.Sáu</v>
      </c>
      <c r="Z6" s="79" t="str">
        <f t="shared" si="1"/>
        <v>T.Bảy</v>
      </c>
      <c r="AA6" s="79" t="str">
        <f t="shared" si="1"/>
        <v>C.Nhật</v>
      </c>
      <c r="AB6" s="79" t="str">
        <f t="shared" si="1"/>
        <v>T.Hai</v>
      </c>
      <c r="AC6" s="79" t="str">
        <f t="shared" si="1"/>
        <v>T.Ba</v>
      </c>
      <c r="AD6" s="79" t="str">
        <f t="shared" si="1"/>
        <v>T.Tư</v>
      </c>
      <c r="AE6" s="79" t="str">
        <f t="shared" si="1"/>
        <v>T.Năm</v>
      </c>
      <c r="AF6" s="79" t="str">
        <f t="shared" si="1"/>
        <v>T.Sáu</v>
      </c>
      <c r="AG6" s="79" t="str">
        <f t="shared" si="1"/>
        <v>T.Bảy</v>
      </c>
      <c r="AH6" s="79" t="str">
        <f t="shared" si="1"/>
        <v>C.Nhật</v>
      </c>
      <c r="AI6" s="79" t="str">
        <f t="shared" si="1"/>
        <v>T.Hai</v>
      </c>
      <c r="AJ6" s="79" t="str">
        <f t="shared" si="1"/>
        <v>T.Ba</v>
      </c>
      <c r="AK6" s="80" t="s">
        <v>143</v>
      </c>
      <c r="AL6" s="80" t="s">
        <v>144</v>
      </c>
      <c r="AM6" s="81" t="s">
        <v>145</v>
      </c>
      <c r="AN6" s="232"/>
      <c r="AO6" s="232"/>
      <c r="AP6" s="232"/>
      <c r="AQ6" s="232"/>
      <c r="AR6" s="232"/>
      <c r="AS6" s="226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</row>
    <row r="7" spans="1:85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</row>
    <row r="8" spans="1:85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</row>
    <row r="9" spans="1:85" s="78" customFormat="1" ht="18" customHeight="1">
      <c r="A9" s="233">
        <v>1</v>
      </c>
      <c r="B9" s="233" t="s">
        <v>34</v>
      </c>
      <c r="C9" s="235" t="str">
        <f>VLOOKUP(B9,DS,2,0)</f>
        <v>Võ Ngọc Thùy Lan</v>
      </c>
      <c r="D9" s="237" t="str">
        <f>VLOOKUP(B9,DS,3,0)</f>
        <v>Giám Đốc</v>
      </c>
      <c r="E9" s="90" t="s">
        <v>148</v>
      </c>
      <c r="F9" s="91"/>
      <c r="G9" s="91">
        <v>8</v>
      </c>
      <c r="H9" s="91">
        <v>8</v>
      </c>
      <c r="I9" s="91">
        <v>8</v>
      </c>
      <c r="J9" s="91">
        <v>8</v>
      </c>
      <c r="K9" s="91">
        <v>8</v>
      </c>
      <c r="L9" s="91">
        <v>8</v>
      </c>
      <c r="M9" s="91"/>
      <c r="N9" s="91">
        <v>8</v>
      </c>
      <c r="O9" s="91">
        <v>8</v>
      </c>
      <c r="P9" s="91">
        <v>8</v>
      </c>
      <c r="Q9" s="91">
        <v>8</v>
      </c>
      <c r="R9" s="91">
        <v>8</v>
      </c>
      <c r="S9" s="91">
        <v>8</v>
      </c>
      <c r="T9" s="91"/>
      <c r="U9" s="91">
        <v>8</v>
      </c>
      <c r="V9" s="91">
        <v>8</v>
      </c>
      <c r="W9" s="91">
        <v>8</v>
      </c>
      <c r="X9" s="91">
        <v>8</v>
      </c>
      <c r="Y9" s="91">
        <v>8</v>
      </c>
      <c r="Z9" s="91">
        <v>8</v>
      </c>
      <c r="AA9" s="91"/>
      <c r="AB9" s="91">
        <v>8</v>
      </c>
      <c r="AC9" s="91">
        <v>8</v>
      </c>
      <c r="AD9" s="91">
        <v>8</v>
      </c>
      <c r="AE9" s="91">
        <v>8</v>
      </c>
      <c r="AF9" s="91">
        <v>8</v>
      </c>
      <c r="AG9" s="91">
        <v>8</v>
      </c>
      <c r="AH9" s="91"/>
      <c r="AI9" s="91">
        <v>8</v>
      </c>
      <c r="AJ9" s="91"/>
      <c r="AK9" s="239">
        <f>((SUM(F9:AJ9))/8)-(SUMIF($F$6:$AJ$6,"C.Nhật",F9:AJ9)/8)</f>
        <v>25</v>
      </c>
      <c r="AL9" s="239">
        <f>SUM(F10:AJ10)/8*1.5</f>
        <v>0</v>
      </c>
      <c r="AM9" s="241">
        <f>SUMIF($F$6:$AJ$6,"C.Nhật",$F9:$AJ10)/8*2</f>
        <v>0</v>
      </c>
      <c r="AN9" s="218">
        <f>SUM(AK9:AM10)</f>
        <v>25</v>
      </c>
      <c r="AO9" s="244">
        <v>0</v>
      </c>
      <c r="AP9" s="218"/>
      <c r="AQ9" s="218"/>
      <c r="AR9" s="218"/>
      <c r="AS9" s="220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</row>
    <row r="10" spans="1:85" s="78" customFormat="1" ht="18" customHeight="1">
      <c r="A10" s="234"/>
      <c r="B10" s="234"/>
      <c r="C10" s="236"/>
      <c r="D10" s="238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40"/>
      <c r="AL10" s="240"/>
      <c r="AM10" s="242"/>
      <c r="AN10" s="219"/>
      <c r="AO10" s="245"/>
      <c r="AP10" s="219"/>
      <c r="AQ10" s="219"/>
      <c r="AR10" s="219"/>
      <c r="AS10" s="221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</row>
    <row r="11" spans="1:85" s="78" customFormat="1" ht="18" customHeight="1">
      <c r="A11" s="233">
        <v>2</v>
      </c>
      <c r="B11" s="233" t="s">
        <v>36</v>
      </c>
      <c r="C11" s="235" t="str">
        <f>VLOOKUP(B11,DS,2,0)</f>
        <v>Nguyễn Thị Thu Hà</v>
      </c>
      <c r="D11" s="237" t="str">
        <f>VLOOKUP(B11,DS,3,0)</f>
        <v>Kế Toán</v>
      </c>
      <c r="E11" s="90" t="s">
        <v>148</v>
      </c>
      <c r="F11" s="91"/>
      <c r="G11" s="91">
        <v>8</v>
      </c>
      <c r="H11" s="91">
        <v>8</v>
      </c>
      <c r="I11" s="91">
        <v>8</v>
      </c>
      <c r="J11" s="91">
        <v>8</v>
      </c>
      <c r="K11" s="91">
        <v>8</v>
      </c>
      <c r="L11" s="91">
        <v>8</v>
      </c>
      <c r="M11" s="91"/>
      <c r="N11" s="91">
        <v>8</v>
      </c>
      <c r="O11" s="91">
        <v>8</v>
      </c>
      <c r="P11" s="91">
        <v>8</v>
      </c>
      <c r="Q11" s="91">
        <v>8</v>
      </c>
      <c r="R11" s="91">
        <v>8</v>
      </c>
      <c r="S11" s="91">
        <v>8</v>
      </c>
      <c r="T11" s="91"/>
      <c r="U11" s="91">
        <v>8</v>
      </c>
      <c r="V11" s="91">
        <v>8</v>
      </c>
      <c r="W11" s="91">
        <v>8</v>
      </c>
      <c r="X11" s="91">
        <v>8</v>
      </c>
      <c r="Y11" s="91">
        <v>8</v>
      </c>
      <c r="Z11" s="91">
        <v>8</v>
      </c>
      <c r="AA11" s="91"/>
      <c r="AB11" s="91">
        <v>8</v>
      </c>
      <c r="AC11" s="91">
        <v>8</v>
      </c>
      <c r="AD11" s="91">
        <v>8</v>
      </c>
      <c r="AE11" s="91">
        <v>8</v>
      </c>
      <c r="AF11" s="91">
        <v>8</v>
      </c>
      <c r="AG11" s="91">
        <v>8</v>
      </c>
      <c r="AH11" s="91"/>
      <c r="AI11" s="91">
        <v>8</v>
      </c>
      <c r="AJ11" s="91"/>
      <c r="AK11" s="239">
        <f t="shared" ref="AK11" si="2">((SUM(F11:AJ11))/8)-(SUMIF($F$6:$AJ$6,"C.Nhật",F11:AJ11)/8)</f>
        <v>25</v>
      </c>
      <c r="AL11" s="239">
        <f t="shared" ref="AL11" si="3">SUM(F12:AJ12)/8*1.5</f>
        <v>0</v>
      </c>
      <c r="AM11" s="241">
        <f t="shared" ref="AM11" si="4">SUMIF($F$6:$AJ$6,"C.Nhật",$F11:$AJ12)/8*2</f>
        <v>0</v>
      </c>
      <c r="AN11" s="218">
        <f t="shared" ref="AN11" si="5">SUM(AK11:AM12)</f>
        <v>25</v>
      </c>
      <c r="AO11" s="244">
        <v>0</v>
      </c>
      <c r="AP11" s="218"/>
      <c r="AQ11" s="218"/>
      <c r="AR11" s="218"/>
      <c r="AS11" s="220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</row>
    <row r="12" spans="1:85" s="78" customFormat="1" ht="18" customHeight="1">
      <c r="A12" s="234"/>
      <c r="B12" s="234"/>
      <c r="C12" s="236"/>
      <c r="D12" s="238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40"/>
      <c r="AL12" s="240"/>
      <c r="AM12" s="242"/>
      <c r="AN12" s="219"/>
      <c r="AO12" s="245"/>
      <c r="AP12" s="219"/>
      <c r="AQ12" s="219"/>
      <c r="AR12" s="219"/>
      <c r="AS12" s="221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</row>
    <row r="13" spans="1:85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</row>
    <row r="14" spans="1:85" s="78" customFormat="1" ht="18" customHeight="1">
      <c r="A14" s="233">
        <v>1</v>
      </c>
      <c r="B14" s="233" t="s">
        <v>39</v>
      </c>
      <c r="C14" s="235" t="str">
        <f>VLOOKUP(B14,DS,2,0)</f>
        <v>Nguyễn Thị Thanh Thúy</v>
      </c>
      <c r="D14" s="237" t="str">
        <f>VLOOKUP(B14,DS,3,0)</f>
        <v>Công nhân</v>
      </c>
      <c r="E14" s="90" t="s">
        <v>148</v>
      </c>
      <c r="F14" s="91"/>
      <c r="G14" s="91">
        <v>8</v>
      </c>
      <c r="H14" s="91">
        <v>8</v>
      </c>
      <c r="I14" s="91">
        <v>8</v>
      </c>
      <c r="J14" s="91">
        <v>8</v>
      </c>
      <c r="K14" s="91">
        <v>8</v>
      </c>
      <c r="L14" s="91">
        <v>8</v>
      </c>
      <c r="M14" s="91"/>
      <c r="N14" s="91">
        <v>8</v>
      </c>
      <c r="O14" s="91">
        <v>8</v>
      </c>
      <c r="P14" s="91">
        <v>8</v>
      </c>
      <c r="Q14" s="91">
        <v>8</v>
      </c>
      <c r="R14" s="91">
        <v>8</v>
      </c>
      <c r="S14" s="91">
        <v>8</v>
      </c>
      <c r="T14" s="91"/>
      <c r="U14" s="91">
        <v>8</v>
      </c>
      <c r="V14" s="91">
        <v>8</v>
      </c>
      <c r="W14" s="91">
        <v>8</v>
      </c>
      <c r="X14" s="91">
        <v>8</v>
      </c>
      <c r="Y14" s="91">
        <v>8</v>
      </c>
      <c r="Z14" s="91">
        <v>8</v>
      </c>
      <c r="AA14" s="91"/>
      <c r="AB14" s="91">
        <v>8</v>
      </c>
      <c r="AC14" s="91">
        <v>8</v>
      </c>
      <c r="AD14" s="91">
        <v>8</v>
      </c>
      <c r="AE14" s="91">
        <v>8</v>
      </c>
      <c r="AF14" s="91">
        <v>8</v>
      </c>
      <c r="AG14" s="91">
        <v>8</v>
      </c>
      <c r="AH14" s="91"/>
      <c r="AI14" s="91">
        <v>8</v>
      </c>
      <c r="AJ14" s="91"/>
      <c r="AK14" s="239">
        <f t="shared" ref="AK14" si="6">((SUM(F14:AJ14))/8)-(SUMIF($F$6:$AJ$6,"C.Nhật",F14:AJ14)/8)</f>
        <v>25</v>
      </c>
      <c r="AL14" s="239">
        <f t="shared" ref="AL14" si="7">SUM(F15:AJ15)/8*1.5</f>
        <v>0</v>
      </c>
      <c r="AM14" s="241">
        <f>SUMIF($F$6:$AJ$6,"C.Nhật",$F14:$AJ15)/8*2</f>
        <v>0</v>
      </c>
      <c r="AN14" s="218">
        <f>SUM(AK14:AM15)</f>
        <v>25</v>
      </c>
      <c r="AO14" s="244">
        <v>0</v>
      </c>
      <c r="AP14" s="218"/>
      <c r="AQ14" s="218"/>
      <c r="AR14" s="218"/>
      <c r="AS14" s="220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85" s="78" customFormat="1" ht="18" customHeight="1">
      <c r="A15" s="234"/>
      <c r="B15" s="234"/>
      <c r="C15" s="236"/>
      <c r="D15" s="238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40"/>
      <c r="AL15" s="240"/>
      <c r="AM15" s="242"/>
      <c r="AN15" s="219"/>
      <c r="AO15" s="245"/>
      <c r="AP15" s="219"/>
      <c r="AQ15" s="219"/>
      <c r="AR15" s="219"/>
      <c r="AS15" s="221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5" s="78" customFormat="1" ht="18" customHeight="1">
      <c r="A16" s="233">
        <f>A14+1</f>
        <v>2</v>
      </c>
      <c r="B16" s="233" t="s">
        <v>42</v>
      </c>
      <c r="C16" s="235" t="str">
        <f>VLOOKUP(B16,DS,2,0)</f>
        <v>Huỳnh Đoàn Viết Thanh</v>
      </c>
      <c r="D16" s="237" t="str">
        <f>VLOOKUP(B16,DS,3,0)</f>
        <v>Công nhân</v>
      </c>
      <c r="E16" s="90" t="s">
        <v>148</v>
      </c>
      <c r="F16" s="91"/>
      <c r="G16" s="91">
        <v>8</v>
      </c>
      <c r="H16" s="91">
        <v>8</v>
      </c>
      <c r="I16" s="91">
        <v>8</v>
      </c>
      <c r="J16" s="91">
        <v>8</v>
      </c>
      <c r="K16" s="91">
        <v>8</v>
      </c>
      <c r="L16" s="91">
        <v>8</v>
      </c>
      <c r="M16" s="91"/>
      <c r="N16" s="91">
        <v>8</v>
      </c>
      <c r="O16" s="91">
        <v>8</v>
      </c>
      <c r="P16" s="91">
        <v>8</v>
      </c>
      <c r="Q16" s="91">
        <v>8</v>
      </c>
      <c r="R16" s="91">
        <v>8</v>
      </c>
      <c r="S16" s="91">
        <v>8</v>
      </c>
      <c r="T16" s="91"/>
      <c r="U16" s="91">
        <v>8</v>
      </c>
      <c r="V16" s="91">
        <v>8</v>
      </c>
      <c r="W16" s="91">
        <v>8</v>
      </c>
      <c r="X16" s="91">
        <v>8</v>
      </c>
      <c r="Y16" s="91">
        <v>8</v>
      </c>
      <c r="Z16" s="91">
        <v>8</v>
      </c>
      <c r="AA16" s="91"/>
      <c r="AB16" s="91">
        <v>8</v>
      </c>
      <c r="AC16" s="91">
        <v>8</v>
      </c>
      <c r="AD16" s="91">
        <v>8</v>
      </c>
      <c r="AE16" s="91">
        <v>8</v>
      </c>
      <c r="AF16" s="91">
        <v>8</v>
      </c>
      <c r="AG16" s="91">
        <v>8</v>
      </c>
      <c r="AH16" s="91"/>
      <c r="AI16" s="91">
        <v>8</v>
      </c>
      <c r="AJ16" s="91"/>
      <c r="AK16" s="239">
        <f t="shared" ref="AK16" si="8">((SUM(F16:AJ16))/8)-(SUMIF($F$6:$AJ$6,"C.Nhật",F16:AJ16)/8)</f>
        <v>25</v>
      </c>
      <c r="AL16" s="239">
        <f t="shared" ref="AL16" si="9">SUM(F17:AJ17)/8*1.5</f>
        <v>0</v>
      </c>
      <c r="AM16" s="241">
        <f>SUMIF($F$6:$AJ$6,"C.Nhật",$F16:$AJ17)/8*2</f>
        <v>0</v>
      </c>
      <c r="AN16" s="218">
        <f t="shared" ref="AN16" si="10">SUM(AK16:AM17)</f>
        <v>25</v>
      </c>
      <c r="AO16" s="244">
        <v>0</v>
      </c>
      <c r="AP16" s="218"/>
      <c r="AQ16" s="218"/>
      <c r="AR16" s="218"/>
      <c r="AS16" s="220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s="78" customFormat="1" ht="18" customHeight="1">
      <c r="A17" s="234"/>
      <c r="B17" s="234"/>
      <c r="C17" s="236"/>
      <c r="D17" s="238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40"/>
      <c r="AL17" s="240"/>
      <c r="AM17" s="242"/>
      <c r="AN17" s="219"/>
      <c r="AO17" s="245"/>
      <c r="AP17" s="219"/>
      <c r="AQ17" s="219"/>
      <c r="AR17" s="219"/>
      <c r="AS17" s="221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s="78" customFormat="1" ht="18" customHeight="1">
      <c r="A18" s="233">
        <f t="shared" ref="A18" si="11">A16+1</f>
        <v>3</v>
      </c>
      <c r="B18" s="233" t="s">
        <v>44</v>
      </c>
      <c r="C18" s="235" t="str">
        <f>VLOOKUP(B18,DS,2,0)</f>
        <v>Trần Ngọc Thoại</v>
      </c>
      <c r="D18" s="237" t="str">
        <f>VLOOKUP(B18,DS,3,0)</f>
        <v>Công nhân</v>
      </c>
      <c r="E18" s="90" t="s">
        <v>148</v>
      </c>
      <c r="F18" s="91"/>
      <c r="G18" s="91">
        <v>8</v>
      </c>
      <c r="H18" s="91">
        <v>8</v>
      </c>
      <c r="I18" s="91">
        <v>8</v>
      </c>
      <c r="J18" s="91">
        <v>8</v>
      </c>
      <c r="K18" s="91">
        <v>8</v>
      </c>
      <c r="L18" s="91">
        <v>8</v>
      </c>
      <c r="M18" s="91"/>
      <c r="N18" s="91">
        <v>8</v>
      </c>
      <c r="O18" s="91">
        <v>8</v>
      </c>
      <c r="P18" s="91">
        <v>8</v>
      </c>
      <c r="Q18" s="91">
        <v>8</v>
      </c>
      <c r="R18" s="91">
        <v>8</v>
      </c>
      <c r="S18" s="91">
        <v>8</v>
      </c>
      <c r="T18" s="91"/>
      <c r="U18" s="91">
        <v>8</v>
      </c>
      <c r="V18" s="91">
        <v>8</v>
      </c>
      <c r="W18" s="91">
        <v>8</v>
      </c>
      <c r="X18" s="91">
        <v>8</v>
      </c>
      <c r="Y18" s="91">
        <v>8</v>
      </c>
      <c r="Z18" s="91">
        <v>8</v>
      </c>
      <c r="AA18" s="91"/>
      <c r="AB18" s="91">
        <v>8</v>
      </c>
      <c r="AC18" s="91">
        <v>8</v>
      </c>
      <c r="AD18" s="91">
        <v>8</v>
      </c>
      <c r="AE18" s="91">
        <v>8</v>
      </c>
      <c r="AF18" s="91">
        <v>8</v>
      </c>
      <c r="AG18" s="91">
        <v>8</v>
      </c>
      <c r="AH18" s="91"/>
      <c r="AI18" s="91">
        <v>8</v>
      </c>
      <c r="AJ18" s="91"/>
      <c r="AK18" s="239">
        <f t="shared" ref="AK18" si="12">((SUM(F18:AJ18))/8)-(SUMIF($F$6:$AJ$6,"C.Nhật",F18:AJ18)/8)</f>
        <v>25</v>
      </c>
      <c r="AL18" s="239">
        <f t="shared" ref="AL18" si="13">SUM(F19:AJ19)/8*1.5</f>
        <v>0</v>
      </c>
      <c r="AM18" s="241">
        <f>SUMIF($F$6:$AJ$6,"C.Nhật",$F18:$AJ19)/8*2</f>
        <v>0</v>
      </c>
      <c r="AN18" s="218">
        <f t="shared" ref="AN18" si="14">SUM(AK18:AM19)</f>
        <v>25</v>
      </c>
      <c r="AO18" s="244">
        <v>0</v>
      </c>
      <c r="AP18" s="218"/>
      <c r="AQ18" s="218"/>
      <c r="AR18" s="218"/>
      <c r="AS18" s="220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s="78" customFormat="1" ht="18" customHeight="1">
      <c r="A19" s="234"/>
      <c r="B19" s="234"/>
      <c r="C19" s="236"/>
      <c r="D19" s="238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40"/>
      <c r="AL19" s="240"/>
      <c r="AM19" s="242"/>
      <c r="AN19" s="219"/>
      <c r="AO19" s="245"/>
      <c r="AP19" s="219"/>
      <c r="AQ19" s="219"/>
      <c r="AR19" s="219"/>
      <c r="AS19" s="221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s="78" customFormat="1" ht="18" customHeight="1">
      <c r="A20" s="233">
        <f t="shared" ref="A20" si="15">A18+1</f>
        <v>4</v>
      </c>
      <c r="B20" s="233" t="s">
        <v>46</v>
      </c>
      <c r="C20" s="235" t="str">
        <f>VLOOKUP(B20,DS,2,0)</f>
        <v>Nguyễn Đức Huy</v>
      </c>
      <c r="D20" s="237" t="str">
        <f>VLOOKUP(B20,DS,3,0)</f>
        <v>Công nhân</v>
      </c>
      <c r="E20" s="90" t="s">
        <v>148</v>
      </c>
      <c r="F20" s="91"/>
      <c r="G20" s="91">
        <v>8</v>
      </c>
      <c r="H20" s="91">
        <v>8</v>
      </c>
      <c r="I20" s="91">
        <v>8</v>
      </c>
      <c r="J20" s="91">
        <v>8</v>
      </c>
      <c r="K20" s="91">
        <v>8</v>
      </c>
      <c r="L20" s="91">
        <v>8</v>
      </c>
      <c r="M20" s="91"/>
      <c r="N20" s="91">
        <v>8</v>
      </c>
      <c r="O20" s="91">
        <v>8</v>
      </c>
      <c r="P20" s="91">
        <v>8</v>
      </c>
      <c r="Q20" s="91">
        <v>8</v>
      </c>
      <c r="R20" s="91">
        <v>8</v>
      </c>
      <c r="S20" s="91">
        <v>8</v>
      </c>
      <c r="T20" s="91"/>
      <c r="U20" s="91">
        <v>8</v>
      </c>
      <c r="V20" s="91">
        <v>8</v>
      </c>
      <c r="W20" s="91">
        <v>8</v>
      </c>
      <c r="X20" s="91">
        <v>8</v>
      </c>
      <c r="Y20" s="91">
        <v>8</v>
      </c>
      <c r="Z20" s="91">
        <v>8</v>
      </c>
      <c r="AA20" s="91"/>
      <c r="AB20" s="91">
        <v>8</v>
      </c>
      <c r="AC20" s="91">
        <v>8</v>
      </c>
      <c r="AD20" s="91">
        <v>8</v>
      </c>
      <c r="AE20" s="91">
        <v>8</v>
      </c>
      <c r="AF20" s="91">
        <v>8</v>
      </c>
      <c r="AG20" s="91">
        <v>8</v>
      </c>
      <c r="AH20" s="91"/>
      <c r="AI20" s="91">
        <v>8</v>
      </c>
      <c r="AJ20" s="91"/>
      <c r="AK20" s="239">
        <f t="shared" ref="AK20" si="16">((SUM(F20:AJ20))/8)-(SUMIF($F$6:$AJ$6,"C.Nhật",F20:AJ20)/8)</f>
        <v>25</v>
      </c>
      <c r="AL20" s="239">
        <f t="shared" ref="AL20" si="17">SUM(F21:AJ21)/8*1.5</f>
        <v>0</v>
      </c>
      <c r="AM20" s="241">
        <f>SUMIF($F$6:$AJ$6,"C.Nhật",$F20:$AJ21)/8*2</f>
        <v>0</v>
      </c>
      <c r="AN20" s="218">
        <f t="shared" ref="AN20" si="18">SUM(AK20:AM21)</f>
        <v>25</v>
      </c>
      <c r="AO20" s="244">
        <v>0</v>
      </c>
      <c r="AP20" s="218"/>
      <c r="AQ20" s="218"/>
      <c r="AR20" s="218"/>
      <c r="AS20" s="220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s="78" customFormat="1" ht="18" customHeight="1">
      <c r="A21" s="234"/>
      <c r="B21" s="234"/>
      <c r="C21" s="236"/>
      <c r="D21" s="238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40"/>
      <c r="AL21" s="240"/>
      <c r="AM21" s="242"/>
      <c r="AN21" s="219"/>
      <c r="AO21" s="245"/>
      <c r="AP21" s="219"/>
      <c r="AQ21" s="219"/>
      <c r="AR21" s="219"/>
      <c r="AS21" s="221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</row>
    <row r="23" spans="1:84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</row>
    <row r="24" spans="1:84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</row>
    <row r="25" spans="1:84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</row>
    <row r="26" spans="1:84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</row>
    <row r="27" spans="1:84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</row>
    <row r="28" spans="1:84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</row>
    <row r="29" spans="1:84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</row>
    <row r="30" spans="1:84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</row>
    <row r="31" spans="1:84" ht="15" customHeight="1">
      <c r="C31" s="2" t="s">
        <v>152</v>
      </c>
    </row>
    <row r="32" spans="1:84" ht="15" customHeight="1">
      <c r="C32" s="2" t="s">
        <v>153</v>
      </c>
    </row>
    <row r="33" spans="1:85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</row>
    <row r="34" spans="1:85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</row>
    <row r="35" spans="1:85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</row>
    <row r="36" spans="1:85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</row>
    <row r="37" spans="1:85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</row>
    <row r="38" spans="1:85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1">
    <mergeCell ref="AL20:AL21"/>
    <mergeCell ref="AM20:AM21"/>
    <mergeCell ref="AN20:AN21"/>
    <mergeCell ref="AO20:AO21"/>
    <mergeCell ref="AM18:AM19"/>
    <mergeCell ref="AN18:AN19"/>
    <mergeCell ref="AO18:AO19"/>
    <mergeCell ref="A20:A21"/>
    <mergeCell ref="B20:B21"/>
    <mergeCell ref="C20:C21"/>
    <mergeCell ref="D20:D21"/>
    <mergeCell ref="AK20:AK21"/>
    <mergeCell ref="AP20:AP21"/>
    <mergeCell ref="AQ20:AQ21"/>
    <mergeCell ref="AR20:AR21"/>
    <mergeCell ref="AS20:AS21"/>
    <mergeCell ref="AS18:AS19"/>
    <mergeCell ref="AP18:AP19"/>
    <mergeCell ref="AQ18:AQ19"/>
    <mergeCell ref="AR18:AR19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M14:AM15"/>
    <mergeCell ref="AN14:AN15"/>
    <mergeCell ref="AO14:AO15"/>
    <mergeCell ref="A16:A17"/>
    <mergeCell ref="B16:B17"/>
    <mergeCell ref="C16:C17"/>
    <mergeCell ref="D16:D17"/>
    <mergeCell ref="AK16:AK17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P14:AP15"/>
    <mergeCell ref="AQ14:AQ15"/>
    <mergeCell ref="AR14:AR15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">
    <cfRule type="expression" dxfId="21" priority="8" stopIfTrue="1">
      <formula>IF(WEEKDAY(F$5)=1,TRUE,FALSE)</formula>
    </cfRule>
  </conditionalFormatting>
  <conditionalFormatting sqref="F9:AJ12">
    <cfRule type="expression" dxfId="20" priority="7" stopIfTrue="1">
      <formula>IF(WEEKDAY(F$5)=1,TRUE,FALSE)</formula>
    </cfRule>
  </conditionalFormatting>
  <conditionalFormatting sqref="AJ14:AJ21">
    <cfRule type="expression" dxfId="19" priority="6" stopIfTrue="1">
      <formula>IF(WEEKDAY(AJ$5)=1,TRUE,FALSE)</formula>
    </cfRule>
  </conditionalFormatting>
  <conditionalFormatting sqref="AJ14:AJ21">
    <cfRule type="expression" dxfId="18" priority="5" stopIfTrue="1">
      <formula>IF(WEEKDAY(AJ$5)=1,TRUE,FALSE)</formula>
    </cfRule>
  </conditionalFormatting>
  <conditionalFormatting sqref="F14:AI17">
    <cfRule type="expression" dxfId="17" priority="4" stopIfTrue="1">
      <formula>IF(WEEKDAY(F$5)=1,TRUE,FALSE)</formula>
    </cfRule>
  </conditionalFormatting>
  <conditionalFormatting sqref="F14:AI17">
    <cfRule type="expression" dxfId="16" priority="3" stopIfTrue="1">
      <formula>IF(WEEKDAY(F$5)=1,TRUE,FALSE)</formula>
    </cfRule>
  </conditionalFormatting>
  <conditionalFormatting sqref="F18:AI21">
    <cfRule type="expression" dxfId="15" priority="2" stopIfTrue="1">
      <formula>IF(WEEKDAY(F$5)=1,TRUE,FALSE)</formula>
    </cfRule>
  </conditionalFormatting>
  <conditionalFormatting sqref="F18:AI21">
    <cfRule type="expression" dxfId="1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12" activePane="bottomRight" state="frozen"/>
      <selection activeCell="E19" sqref="E19"/>
      <selection pane="topRight" activeCell="E19" sqref="E19"/>
      <selection pane="bottomLeft" activeCell="E19" sqref="E19"/>
      <selection pane="bottomRight" sqref="A1:T26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47" t="str">
        <f>"BẢNG THANH TOÁN LƯƠNG THÁNG"&amp;" "&amp;TEXT($E$4,"mm")&amp;" / "&amp;TEXT($E$4,"yyyy")</f>
        <v>BẢNG THANH TOÁN LƯƠNG THÁNG 09 / 2013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132</v>
      </c>
      <c r="S1" s="250"/>
      <c r="T1" s="251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-9'!$AK$9:$AK$21)</f>
        <v>25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-9'!$E$4</f>
        <v>41518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2" t="s">
        <v>3</v>
      </c>
      <c r="B5" s="252" t="s">
        <v>161</v>
      </c>
      <c r="C5" s="204" t="s">
        <v>5</v>
      </c>
      <c r="D5" s="204" t="s">
        <v>6</v>
      </c>
      <c r="E5" s="209" t="s">
        <v>7</v>
      </c>
      <c r="F5" s="255" t="s">
        <v>162</v>
      </c>
      <c r="G5" s="256"/>
      <c r="H5" s="256"/>
      <c r="I5" s="256"/>
      <c r="J5" s="256"/>
      <c r="K5" s="257"/>
      <c r="L5" s="254" t="s">
        <v>14</v>
      </c>
      <c r="M5" s="254" t="s">
        <v>163</v>
      </c>
      <c r="N5" s="204" t="s">
        <v>164</v>
      </c>
      <c r="O5" s="204"/>
      <c r="P5" s="204"/>
      <c r="Q5" s="254" t="s">
        <v>165</v>
      </c>
      <c r="R5" s="254" t="s">
        <v>166</v>
      </c>
      <c r="S5" s="254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53"/>
      <c r="B6" s="253"/>
      <c r="C6" s="204"/>
      <c r="D6" s="204"/>
      <c r="E6" s="209"/>
      <c r="F6" s="255" t="s">
        <v>169</v>
      </c>
      <c r="G6" s="257"/>
      <c r="H6" s="255" t="s">
        <v>170</v>
      </c>
      <c r="I6" s="256"/>
      <c r="J6" s="261" t="s">
        <v>171</v>
      </c>
      <c r="K6" s="254" t="s">
        <v>172</v>
      </c>
      <c r="L6" s="258"/>
      <c r="M6" s="258"/>
      <c r="N6" s="263" t="s">
        <v>173</v>
      </c>
      <c r="O6" s="254" t="s">
        <v>174</v>
      </c>
      <c r="P6" s="254" t="s">
        <v>175</v>
      </c>
      <c r="Q6" s="258"/>
      <c r="R6" s="258"/>
      <c r="S6" s="258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53"/>
      <c r="B7" s="253"/>
      <c r="C7" s="254"/>
      <c r="D7" s="254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62"/>
      <c r="K7" s="258"/>
      <c r="L7" s="259"/>
      <c r="M7" s="259"/>
      <c r="N7" s="264"/>
      <c r="O7" s="258"/>
      <c r="P7" s="258"/>
      <c r="Q7" s="258"/>
      <c r="R7" s="258"/>
      <c r="S7" s="258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-9'!$B$8:$AS$21,36,0)</f>
        <v>25</v>
      </c>
      <c r="G10" s="150">
        <f t="shared" ref="G10:G11" si="2">ROUND(E10/$U$2*F10,0)</f>
        <v>1565000</v>
      </c>
      <c r="H10" s="149">
        <f>(VLOOKUP(B10,'CC -9'!$B$8:$AS$21,37,0)+VLOOKUP(B10,'CC -9'!$B$8:$AS$21,38,0))</f>
        <v>0</v>
      </c>
      <c r="I10" s="150">
        <f t="shared" ref="I10:I11" si="3">ROUND(E10/$U$2*H10,0)</f>
        <v>0</v>
      </c>
      <c r="J10" s="151">
        <f t="shared" ref="J10:K11" si="4">F10+H10</f>
        <v>25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-9'!$B$8:$AS$21,36,0)</f>
        <v>25</v>
      </c>
      <c r="G11" s="150">
        <f t="shared" si="2"/>
        <v>1240000</v>
      </c>
      <c r="H11" s="149">
        <f>(VLOOKUP(B11,'CC -9'!$B$8:$AS$21,37,0)+VLOOKUP(B11,'CC -9'!$B$8:$AS$21,38,0))</f>
        <v>0</v>
      </c>
      <c r="I11" s="150">
        <f t="shared" si="3"/>
        <v>0</v>
      </c>
      <c r="J11" s="151">
        <f t="shared" si="4"/>
        <v>25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60" t="s">
        <v>48</v>
      </c>
      <c r="B13" s="260"/>
      <c r="C13" s="260"/>
      <c r="D13" s="260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10">VLOOKUP(B15,DS,2,0)</f>
        <v>Nguyễn Thị Thanh Thúy</v>
      </c>
      <c r="D15" s="147" t="str">
        <f t="shared" ref="D15:D18" si="11">VLOOKUP(B15,DS,3,0)</f>
        <v>Công nhân</v>
      </c>
      <c r="E15" s="148">
        <f t="shared" ref="E15:E18" si="12">VLOOKUP(B15,DS,4,0)</f>
        <v>1365000</v>
      </c>
      <c r="F15" s="149">
        <f>VLOOKUP(B15,'CC -9'!$B$8:$AS$21,36,0)</f>
        <v>25</v>
      </c>
      <c r="G15" s="150">
        <f t="shared" ref="G15:G18" si="13">ROUND(E15/$U$2*F15,0)</f>
        <v>1365000</v>
      </c>
      <c r="H15" s="149">
        <f>(VLOOKUP(B15,'CC -9'!$B$8:$AS$21,37,0)+VLOOKUP(B15,'CC -9'!$B$8:$AS$21,38,0))</f>
        <v>0</v>
      </c>
      <c r="I15" s="150">
        <f t="shared" ref="I15:I18" si="14">ROUND(E15/$U$2*H15,0)</f>
        <v>0</v>
      </c>
      <c r="J15" s="171">
        <f t="shared" ref="J15:K18" si="15">F15+H15</f>
        <v>25</v>
      </c>
      <c r="K15" s="152">
        <f t="shared" si="15"/>
        <v>1365000</v>
      </c>
      <c r="L15" s="148">
        <f>VLOOKUP(B15,DS,6,0)</f>
        <v>260000</v>
      </c>
      <c r="M15" s="153">
        <f t="shared" ref="M15:M18" si="16">K15+L15</f>
        <v>1625000</v>
      </c>
      <c r="N15" s="153">
        <f>IF(VLOOKUP(B15,DS,9,0)="x",'L - 9'!E15*$N$4,0)</f>
        <v>0</v>
      </c>
      <c r="O15" s="153">
        <f t="shared" ref="O15:O18" si="17">IF(VLOOKUP(B15,DS,9,0)="x",E15*0.015,0)</f>
        <v>0</v>
      </c>
      <c r="P15" s="153">
        <f t="shared" ref="P15:P18" si="18">IF(VLOOKUP(B15,DS,9,0)="x",E15*0.01,0)</f>
        <v>0</v>
      </c>
      <c r="Q15" s="152">
        <f>M15-SUM(N15:P15)</f>
        <v>1625000</v>
      </c>
      <c r="R15" s="152">
        <f t="shared" ref="R15:R18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-9'!$B$8:$AS$21,36,0)</f>
        <v>25</v>
      </c>
      <c r="G16" s="150">
        <f t="shared" si="13"/>
        <v>1275000</v>
      </c>
      <c r="H16" s="149">
        <f>(VLOOKUP(B16,'CC -9'!$B$8:$AS$21,37,0)+VLOOKUP(B16,'CC -9'!$B$8:$AS$21,38,0))</f>
        <v>0</v>
      </c>
      <c r="I16" s="150">
        <f t="shared" si="14"/>
        <v>0</v>
      </c>
      <c r="J16" s="171">
        <f t="shared" si="15"/>
        <v>25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- 9'!E16*$N$4,0)</f>
        <v>0</v>
      </c>
      <c r="O16" s="153">
        <f t="shared" si="17"/>
        <v>0</v>
      </c>
      <c r="P16" s="153">
        <f t="shared" si="18"/>
        <v>0</v>
      </c>
      <c r="Q16" s="152">
        <f t="shared" ref="Q16:Q18" si="20">M16-SUM(N16:P16)</f>
        <v>1535000</v>
      </c>
      <c r="R16" s="152">
        <f t="shared" si="19"/>
        <v>0</v>
      </c>
      <c r="S16" s="154">
        <f t="shared" ref="S16:S18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10"/>
        <v>Trần Ngọc Thoại</v>
      </c>
      <c r="D17" s="147" t="str">
        <f t="shared" si="11"/>
        <v>Công nhân</v>
      </c>
      <c r="E17" s="148">
        <f t="shared" si="12"/>
        <v>990000</v>
      </c>
      <c r="F17" s="149">
        <f>VLOOKUP(B17,'CC -9'!$B$8:$AS$21,36,0)</f>
        <v>25</v>
      </c>
      <c r="G17" s="150">
        <f t="shared" si="13"/>
        <v>990000</v>
      </c>
      <c r="H17" s="149">
        <f>(VLOOKUP(B17,'CC -9'!$B$8:$AS$21,37,0)+VLOOKUP(B17,'CC -9'!$B$8:$AS$21,38,0))</f>
        <v>0</v>
      </c>
      <c r="I17" s="150">
        <f t="shared" si="14"/>
        <v>0</v>
      </c>
      <c r="J17" s="171">
        <f t="shared" si="15"/>
        <v>25</v>
      </c>
      <c r="K17" s="152">
        <f t="shared" si="15"/>
        <v>990000</v>
      </c>
      <c r="L17" s="148">
        <f>VLOOKUP(B17,DS,6,0)</f>
        <v>260000</v>
      </c>
      <c r="M17" s="153">
        <f t="shared" si="16"/>
        <v>1250000</v>
      </c>
      <c r="N17" s="153">
        <f>IF(VLOOKUP(B17,DS,9,0)="x",'L - 9'!E17*$N$4,0)</f>
        <v>0</v>
      </c>
      <c r="O17" s="153">
        <f t="shared" si="17"/>
        <v>0</v>
      </c>
      <c r="P17" s="153">
        <f t="shared" si="18"/>
        <v>0</v>
      </c>
      <c r="Q17" s="152">
        <f t="shared" si="20"/>
        <v>1250000</v>
      </c>
      <c r="R17" s="152">
        <f t="shared" si="19"/>
        <v>0</v>
      </c>
      <c r="S17" s="154">
        <f t="shared" si="21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10"/>
        <v>Nguyễn Đức Huy</v>
      </c>
      <c r="D18" s="147" t="str">
        <f t="shared" si="11"/>
        <v>Công nhân</v>
      </c>
      <c r="E18" s="148">
        <f t="shared" si="12"/>
        <v>1015000</v>
      </c>
      <c r="F18" s="149">
        <f>VLOOKUP(B18,'CC -9'!$B$8:$AS$21,36,0)</f>
        <v>25</v>
      </c>
      <c r="G18" s="150">
        <f t="shared" si="13"/>
        <v>1015000</v>
      </c>
      <c r="H18" s="149">
        <f>(VLOOKUP(B18,'CC -9'!$B$8:$AS$21,37,0)+VLOOKUP(B18,'CC -9'!$B$8:$AS$21,38,0))</f>
        <v>0</v>
      </c>
      <c r="I18" s="150">
        <f t="shared" si="14"/>
        <v>0</v>
      </c>
      <c r="J18" s="171">
        <f t="shared" si="15"/>
        <v>25</v>
      </c>
      <c r="K18" s="152">
        <f t="shared" si="15"/>
        <v>1015000</v>
      </c>
      <c r="L18" s="148">
        <f>VLOOKUP(B18,DS,6,0)</f>
        <v>260000</v>
      </c>
      <c r="M18" s="153">
        <f t="shared" si="16"/>
        <v>1275000</v>
      </c>
      <c r="N18" s="153">
        <f>IF(VLOOKUP(B18,DS,9,0)="x",'L - 9'!E18*$N$4,0)</f>
        <v>0</v>
      </c>
      <c r="O18" s="153">
        <f t="shared" si="17"/>
        <v>0</v>
      </c>
      <c r="P18" s="153">
        <f t="shared" si="18"/>
        <v>0</v>
      </c>
      <c r="Q18" s="152">
        <f t="shared" si="20"/>
        <v>1275000</v>
      </c>
      <c r="R18" s="152">
        <f t="shared" si="19"/>
        <v>0</v>
      </c>
      <c r="S18" s="154">
        <f t="shared" si="21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60" t="s">
        <v>48</v>
      </c>
      <c r="B20" s="260"/>
      <c r="C20" s="260"/>
      <c r="D20" s="260"/>
      <c r="E20" s="167">
        <f>SUM(E14:E19)</f>
        <v>4645000</v>
      </c>
      <c r="F20" s="167"/>
      <c r="G20" s="167">
        <f t="shared" ref="G20:S20" si="22">SUM(G14:G19)</f>
        <v>4645000</v>
      </c>
      <c r="H20" s="167"/>
      <c r="I20" s="167">
        <f t="shared" si="22"/>
        <v>0</v>
      </c>
      <c r="J20" s="167"/>
      <c r="K20" s="167">
        <f t="shared" si="22"/>
        <v>4645000</v>
      </c>
      <c r="L20" s="167">
        <f t="shared" si="22"/>
        <v>1040000</v>
      </c>
      <c r="M20" s="167">
        <f t="shared" si="22"/>
        <v>5685000</v>
      </c>
      <c r="N20" s="167">
        <f t="shared" si="22"/>
        <v>0</v>
      </c>
      <c r="O20" s="167">
        <f t="shared" si="22"/>
        <v>0</v>
      </c>
      <c r="P20" s="167">
        <f t="shared" si="22"/>
        <v>0</v>
      </c>
      <c r="Q20" s="167">
        <f t="shared" si="22"/>
        <v>5685000</v>
      </c>
      <c r="R20" s="167">
        <f t="shared" si="22"/>
        <v>0</v>
      </c>
      <c r="S20" s="167">
        <f t="shared" si="22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30  tháng  9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AE12:IJ12 E5:I6 N5:P6 L5 L23 J6:K7 L7 A26:T59 U32:U59 N19:S19 V26:IJ59 V12 J19:L19 AE14:IJ14 V13:IJ13 D13:T13 D20:T20 Q12:S12 A60:IJ65327 A12:B13 A10:B11 Q10:S11 V5:V11 AE5:IJ11" name="Range1"/>
    <protectedRange password="CC78" sqref="F7:H7" name="Range1_4"/>
    <protectedRange password="CC78" sqref="V23:IJ24 S23:T24 N23:Q24 E23:I24" name="Range1_1_1"/>
    <protectedRange password="CC78" sqref="U1 V1:IJ4 B4:T4 W12:AD12 R2:S3 B1:Q3 U19:U31 W14:AD14 U12:U14 U4:U11 W5:AD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A13:D13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H34"/>
  <sheetViews>
    <sheetView zoomScaleNormal="115" workbookViewId="0">
      <pane xSplit="3" ySplit="6" topLeftCell="D7" activePane="bottomRight" state="frozen"/>
      <selection activeCell="I17" sqref="I17"/>
      <selection pane="topRight" activeCell="I17" sqref="I17"/>
      <selection pane="bottomLeft" activeCell="I17" sqref="I17"/>
      <selection pane="bottomRight" activeCell="AT1" sqref="AT1:AX104857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16384" width="3.7109375" style="2"/>
  </cols>
  <sheetData>
    <row r="1" spans="1:86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10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22" t="s">
        <v>132</v>
      </c>
      <c r="AN1" s="223"/>
      <c r="AO1" s="223"/>
      <c r="AP1" s="223"/>
      <c r="AQ1" s="223"/>
      <c r="AR1" s="223"/>
      <c r="AS1" s="224"/>
    </row>
    <row r="2" spans="1:86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</row>
    <row r="3" spans="1:86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</row>
    <row r="4" spans="1:86" ht="14.25" customHeight="1">
      <c r="A4" s="69"/>
      <c r="B4" s="69"/>
      <c r="C4" s="70"/>
      <c r="D4" s="71"/>
      <c r="E4" s="72">
        <v>41548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</row>
    <row r="5" spans="1:86" s="78" customFormat="1" ht="18.75" customHeight="1">
      <c r="A5" s="225" t="s">
        <v>133</v>
      </c>
      <c r="B5" s="225" t="s">
        <v>4</v>
      </c>
      <c r="C5" s="225" t="s">
        <v>5</v>
      </c>
      <c r="D5" s="227" t="s">
        <v>134</v>
      </c>
      <c r="E5" s="225" t="s">
        <v>135</v>
      </c>
      <c r="F5" s="77">
        <f>+E4</f>
        <v>41548</v>
      </c>
      <c r="G5" s="77">
        <f t="shared" ref="G5:AJ5" si="0">F5+1</f>
        <v>41549</v>
      </c>
      <c r="H5" s="77">
        <f t="shared" si="0"/>
        <v>41550</v>
      </c>
      <c r="I5" s="77">
        <f t="shared" si="0"/>
        <v>41551</v>
      </c>
      <c r="J5" s="77">
        <f t="shared" si="0"/>
        <v>41552</v>
      </c>
      <c r="K5" s="77">
        <f t="shared" si="0"/>
        <v>41553</v>
      </c>
      <c r="L5" s="77">
        <f t="shared" si="0"/>
        <v>41554</v>
      </c>
      <c r="M5" s="77">
        <f t="shared" si="0"/>
        <v>41555</v>
      </c>
      <c r="N5" s="77">
        <f t="shared" si="0"/>
        <v>41556</v>
      </c>
      <c r="O5" s="77">
        <f t="shared" si="0"/>
        <v>41557</v>
      </c>
      <c r="P5" s="77">
        <f t="shared" si="0"/>
        <v>41558</v>
      </c>
      <c r="Q5" s="77">
        <f t="shared" si="0"/>
        <v>41559</v>
      </c>
      <c r="R5" s="77">
        <f t="shared" si="0"/>
        <v>41560</v>
      </c>
      <c r="S5" s="77">
        <f t="shared" si="0"/>
        <v>41561</v>
      </c>
      <c r="T5" s="77">
        <f t="shared" si="0"/>
        <v>41562</v>
      </c>
      <c r="U5" s="77">
        <f t="shared" si="0"/>
        <v>41563</v>
      </c>
      <c r="V5" s="77">
        <f t="shared" si="0"/>
        <v>41564</v>
      </c>
      <c r="W5" s="77">
        <f t="shared" si="0"/>
        <v>41565</v>
      </c>
      <c r="X5" s="77">
        <f t="shared" si="0"/>
        <v>41566</v>
      </c>
      <c r="Y5" s="77">
        <f t="shared" si="0"/>
        <v>41567</v>
      </c>
      <c r="Z5" s="77">
        <f t="shared" si="0"/>
        <v>41568</v>
      </c>
      <c r="AA5" s="77">
        <f t="shared" si="0"/>
        <v>41569</v>
      </c>
      <c r="AB5" s="77">
        <f t="shared" si="0"/>
        <v>41570</v>
      </c>
      <c r="AC5" s="77">
        <f t="shared" si="0"/>
        <v>41571</v>
      </c>
      <c r="AD5" s="77">
        <f t="shared" si="0"/>
        <v>41572</v>
      </c>
      <c r="AE5" s="77">
        <f t="shared" si="0"/>
        <v>41573</v>
      </c>
      <c r="AF5" s="77">
        <f t="shared" si="0"/>
        <v>41574</v>
      </c>
      <c r="AG5" s="77">
        <f t="shared" si="0"/>
        <v>41575</v>
      </c>
      <c r="AH5" s="77">
        <f>AG5+1</f>
        <v>41576</v>
      </c>
      <c r="AI5" s="77">
        <f t="shared" si="0"/>
        <v>41577</v>
      </c>
      <c r="AJ5" s="77">
        <f t="shared" si="0"/>
        <v>41578</v>
      </c>
      <c r="AK5" s="228" t="s">
        <v>136</v>
      </c>
      <c r="AL5" s="229"/>
      <c r="AM5" s="230"/>
      <c r="AN5" s="231" t="s">
        <v>137</v>
      </c>
      <c r="AO5" s="231" t="s">
        <v>138</v>
      </c>
      <c r="AP5" s="231" t="s">
        <v>139</v>
      </c>
      <c r="AQ5" s="231" t="s">
        <v>140</v>
      </c>
      <c r="AR5" s="231" t="s">
        <v>141</v>
      </c>
      <c r="AS5" s="227" t="s">
        <v>142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6" s="78" customFormat="1" ht="39.75" customHeight="1">
      <c r="A6" s="226"/>
      <c r="B6" s="226"/>
      <c r="C6" s="226"/>
      <c r="D6" s="226"/>
      <c r="E6" s="226"/>
      <c r="F6" s="79" t="str">
        <f>CHOOSE(WEEKDAY(F5),"C.Nhật","T.Hai","T.Ba","T.Tư","T.Năm","T.Sáu","T.Bảy")</f>
        <v>T.Ba</v>
      </c>
      <c r="G6" s="79" t="str">
        <f t="shared" ref="G6:AJ6" si="1">CHOOSE(WEEKDAY(G5),"C.Nhật","T.Hai","T.Ba","T.Tư","T.Năm","T.Sáu","T.Bảy")</f>
        <v>T.Tư</v>
      </c>
      <c r="H6" s="79" t="str">
        <f t="shared" si="1"/>
        <v>T.Năm</v>
      </c>
      <c r="I6" s="79" t="str">
        <f t="shared" si="1"/>
        <v>T.Sáu</v>
      </c>
      <c r="J6" s="79" t="str">
        <f t="shared" si="1"/>
        <v>T.Bảy</v>
      </c>
      <c r="K6" s="79" t="str">
        <f t="shared" si="1"/>
        <v>C.Nhật</v>
      </c>
      <c r="L6" s="79" t="str">
        <f t="shared" si="1"/>
        <v>T.Hai</v>
      </c>
      <c r="M6" s="79" t="str">
        <f t="shared" si="1"/>
        <v>T.Ba</v>
      </c>
      <c r="N6" s="79" t="str">
        <f t="shared" si="1"/>
        <v>T.Tư</v>
      </c>
      <c r="O6" s="79" t="str">
        <f t="shared" si="1"/>
        <v>T.Năm</v>
      </c>
      <c r="P6" s="79" t="str">
        <f t="shared" si="1"/>
        <v>T.Sáu</v>
      </c>
      <c r="Q6" s="79" t="str">
        <f t="shared" si="1"/>
        <v>T.Bảy</v>
      </c>
      <c r="R6" s="79" t="str">
        <f t="shared" si="1"/>
        <v>C.Nhật</v>
      </c>
      <c r="S6" s="79" t="str">
        <f t="shared" si="1"/>
        <v>T.Hai</v>
      </c>
      <c r="T6" s="79" t="str">
        <f t="shared" si="1"/>
        <v>T.Ba</v>
      </c>
      <c r="U6" s="79" t="str">
        <f t="shared" si="1"/>
        <v>T.Tư</v>
      </c>
      <c r="V6" s="79" t="str">
        <f t="shared" si="1"/>
        <v>T.Năm</v>
      </c>
      <c r="W6" s="79" t="str">
        <f t="shared" si="1"/>
        <v>T.Sáu</v>
      </c>
      <c r="X6" s="79" t="str">
        <f t="shared" si="1"/>
        <v>T.Bảy</v>
      </c>
      <c r="Y6" s="79" t="str">
        <f t="shared" si="1"/>
        <v>C.Nhật</v>
      </c>
      <c r="Z6" s="79" t="str">
        <f t="shared" si="1"/>
        <v>T.Hai</v>
      </c>
      <c r="AA6" s="79" t="str">
        <f t="shared" si="1"/>
        <v>T.Ba</v>
      </c>
      <c r="AB6" s="79" t="str">
        <f t="shared" si="1"/>
        <v>T.Tư</v>
      </c>
      <c r="AC6" s="79" t="str">
        <f t="shared" si="1"/>
        <v>T.Năm</v>
      </c>
      <c r="AD6" s="79" t="str">
        <f t="shared" si="1"/>
        <v>T.Sáu</v>
      </c>
      <c r="AE6" s="79" t="str">
        <f t="shared" si="1"/>
        <v>T.Bảy</v>
      </c>
      <c r="AF6" s="79" t="str">
        <f t="shared" si="1"/>
        <v>C.Nhật</v>
      </c>
      <c r="AG6" s="79" t="str">
        <f t="shared" si="1"/>
        <v>T.Hai</v>
      </c>
      <c r="AH6" s="79" t="str">
        <f t="shared" si="1"/>
        <v>T.Ba</v>
      </c>
      <c r="AI6" s="79" t="str">
        <f t="shared" si="1"/>
        <v>T.Tư</v>
      </c>
      <c r="AJ6" s="79" t="str">
        <f t="shared" si="1"/>
        <v>T.Năm</v>
      </c>
      <c r="AK6" s="80" t="s">
        <v>143</v>
      </c>
      <c r="AL6" s="80" t="s">
        <v>144</v>
      </c>
      <c r="AM6" s="81" t="s">
        <v>145</v>
      </c>
      <c r="AN6" s="232"/>
      <c r="AO6" s="232"/>
      <c r="AP6" s="232"/>
      <c r="AQ6" s="232"/>
      <c r="AR6" s="232"/>
      <c r="AS6" s="226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</row>
    <row r="7" spans="1:86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</row>
    <row r="8" spans="1:86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</row>
    <row r="9" spans="1:86" s="78" customFormat="1" ht="18" customHeight="1">
      <c r="A9" s="233">
        <v>1</v>
      </c>
      <c r="B9" s="233" t="s">
        <v>34</v>
      </c>
      <c r="C9" s="235" t="str">
        <f>VLOOKUP(B9,DS,2,0)</f>
        <v>Võ Ngọc Thùy Lan</v>
      </c>
      <c r="D9" s="237" t="str">
        <f>VLOOKUP(B9,DS,3,0)</f>
        <v>Giám Đốc</v>
      </c>
      <c r="E9" s="90" t="s">
        <v>148</v>
      </c>
      <c r="F9" s="91">
        <v>8</v>
      </c>
      <c r="G9" s="91">
        <v>8</v>
      </c>
      <c r="H9" s="91">
        <v>8</v>
      </c>
      <c r="I9" s="91">
        <v>8</v>
      </c>
      <c r="J9" s="91">
        <v>8</v>
      </c>
      <c r="K9" s="91"/>
      <c r="L9" s="91">
        <v>8</v>
      </c>
      <c r="M9" s="91">
        <v>8</v>
      </c>
      <c r="N9" s="91">
        <v>8</v>
      </c>
      <c r="O9" s="91">
        <v>8</v>
      </c>
      <c r="P9" s="91">
        <v>8</v>
      </c>
      <c r="Q9" s="91">
        <v>8</v>
      </c>
      <c r="R9" s="91"/>
      <c r="S9" s="91">
        <v>8</v>
      </c>
      <c r="T9" s="91">
        <v>8</v>
      </c>
      <c r="U9" s="91">
        <v>8</v>
      </c>
      <c r="V9" s="91">
        <v>8</v>
      </c>
      <c r="W9" s="91">
        <v>8</v>
      </c>
      <c r="X9" s="91">
        <v>8</v>
      </c>
      <c r="Y9" s="91"/>
      <c r="Z9" s="91">
        <v>8</v>
      </c>
      <c r="AA9" s="91">
        <v>8</v>
      </c>
      <c r="AB9" s="91">
        <v>8</v>
      </c>
      <c r="AC9" s="91">
        <v>8</v>
      </c>
      <c r="AD9" s="91">
        <v>8</v>
      </c>
      <c r="AE9" s="91">
        <v>8</v>
      </c>
      <c r="AF9" s="91"/>
      <c r="AG9" s="91">
        <v>8</v>
      </c>
      <c r="AH9" s="91">
        <v>8</v>
      </c>
      <c r="AI9" s="91">
        <v>8</v>
      </c>
      <c r="AJ9" s="91">
        <v>8</v>
      </c>
      <c r="AK9" s="239">
        <f>((SUM(F9:AJ9))/8)-(SUMIF($F$6:$AJ$6,"C.Nhật",F9:AJ9)/8)</f>
        <v>27</v>
      </c>
      <c r="AL9" s="239">
        <f>SUM(F10:AJ10)/8*1.5</f>
        <v>0</v>
      </c>
      <c r="AM9" s="241">
        <f>SUMIF($F$6:$AJ$6,"C.Nhật",$F9:$AJ10)/8*2</f>
        <v>0</v>
      </c>
      <c r="AN9" s="218">
        <f>SUM(AK9:AM10)</f>
        <v>27</v>
      </c>
      <c r="AO9" s="244">
        <v>0</v>
      </c>
      <c r="AP9" s="218"/>
      <c r="AQ9" s="218"/>
      <c r="AR9" s="218"/>
      <c r="AS9" s="220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</row>
    <row r="10" spans="1:86" s="78" customFormat="1" ht="18" customHeight="1">
      <c r="A10" s="234"/>
      <c r="B10" s="234"/>
      <c r="C10" s="236"/>
      <c r="D10" s="238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40"/>
      <c r="AL10" s="240"/>
      <c r="AM10" s="242"/>
      <c r="AN10" s="219"/>
      <c r="AO10" s="245"/>
      <c r="AP10" s="219"/>
      <c r="AQ10" s="219"/>
      <c r="AR10" s="219"/>
      <c r="AS10" s="221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</row>
    <row r="11" spans="1:86" s="78" customFormat="1" ht="18" customHeight="1">
      <c r="A11" s="233">
        <v>2</v>
      </c>
      <c r="B11" s="233" t="s">
        <v>36</v>
      </c>
      <c r="C11" s="235" t="str">
        <f>VLOOKUP(B11,DS,2,0)</f>
        <v>Nguyễn Thị Thu Hà</v>
      </c>
      <c r="D11" s="237" t="str">
        <f>VLOOKUP(B11,DS,3,0)</f>
        <v>Kế Toán</v>
      </c>
      <c r="E11" s="90" t="s">
        <v>148</v>
      </c>
      <c r="F11" s="91">
        <v>8</v>
      </c>
      <c r="G11" s="91">
        <v>8</v>
      </c>
      <c r="H11" s="91">
        <v>8</v>
      </c>
      <c r="I11" s="91">
        <v>8</v>
      </c>
      <c r="J11" s="91">
        <v>8</v>
      </c>
      <c r="K11" s="91"/>
      <c r="L11" s="91">
        <v>8</v>
      </c>
      <c r="M11" s="91">
        <v>8</v>
      </c>
      <c r="N11" s="91">
        <v>8</v>
      </c>
      <c r="O11" s="91">
        <v>8</v>
      </c>
      <c r="P11" s="91">
        <v>8</v>
      </c>
      <c r="Q11" s="91">
        <v>8</v>
      </c>
      <c r="R11" s="91"/>
      <c r="S11" s="91">
        <v>8</v>
      </c>
      <c r="T11" s="91">
        <v>8</v>
      </c>
      <c r="U11" s="91">
        <v>8</v>
      </c>
      <c r="V11" s="91">
        <v>8</v>
      </c>
      <c r="W11" s="91">
        <v>8</v>
      </c>
      <c r="X11" s="91">
        <v>8</v>
      </c>
      <c r="Y11" s="91"/>
      <c r="Z11" s="91">
        <v>8</v>
      </c>
      <c r="AA11" s="91">
        <v>8</v>
      </c>
      <c r="AB11" s="91">
        <v>8</v>
      </c>
      <c r="AC11" s="91">
        <v>8</v>
      </c>
      <c r="AD11" s="91">
        <v>8</v>
      </c>
      <c r="AE11" s="91">
        <v>8</v>
      </c>
      <c r="AF11" s="91"/>
      <c r="AG11" s="91">
        <v>8</v>
      </c>
      <c r="AH11" s="91">
        <v>8</v>
      </c>
      <c r="AI11" s="91">
        <v>8</v>
      </c>
      <c r="AJ11" s="91">
        <v>8</v>
      </c>
      <c r="AK11" s="239">
        <f t="shared" ref="AK11" si="2">((SUM(F11:AJ11))/8)-(SUMIF($F$6:$AJ$6,"C.Nhật",F11:AJ11)/8)</f>
        <v>27</v>
      </c>
      <c r="AL11" s="239">
        <f t="shared" ref="AL11" si="3">SUM(F12:AJ12)/8*1.5</f>
        <v>0</v>
      </c>
      <c r="AM11" s="241">
        <f t="shared" ref="AM11" si="4">SUMIF($F$6:$AJ$6,"C.Nhật",$F11:$AJ12)/8*2</f>
        <v>0</v>
      </c>
      <c r="AN11" s="218">
        <f t="shared" ref="AN11" si="5">SUM(AK11:AM12)</f>
        <v>27</v>
      </c>
      <c r="AO11" s="244">
        <v>0</v>
      </c>
      <c r="AP11" s="218"/>
      <c r="AQ11" s="218"/>
      <c r="AR11" s="218"/>
      <c r="AS11" s="220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</row>
    <row r="12" spans="1:86" s="78" customFormat="1" ht="18" customHeight="1">
      <c r="A12" s="234"/>
      <c r="B12" s="234"/>
      <c r="C12" s="236"/>
      <c r="D12" s="238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40"/>
      <c r="AL12" s="240"/>
      <c r="AM12" s="242"/>
      <c r="AN12" s="219"/>
      <c r="AO12" s="245"/>
      <c r="AP12" s="219"/>
      <c r="AQ12" s="219"/>
      <c r="AR12" s="219"/>
      <c r="AS12" s="221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</row>
    <row r="13" spans="1:86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</row>
    <row r="14" spans="1:86" s="78" customFormat="1" ht="18" customHeight="1">
      <c r="A14" s="233">
        <v>1</v>
      </c>
      <c r="B14" s="233" t="s">
        <v>39</v>
      </c>
      <c r="C14" s="235" t="str">
        <f>VLOOKUP(B14,DS,2,0)</f>
        <v>Nguyễn Thị Thanh Thúy</v>
      </c>
      <c r="D14" s="237" t="str">
        <f>VLOOKUP(B14,DS,3,0)</f>
        <v>Công nhân</v>
      </c>
      <c r="E14" s="90" t="s">
        <v>148</v>
      </c>
      <c r="F14" s="91">
        <v>8</v>
      </c>
      <c r="G14" s="91">
        <v>8</v>
      </c>
      <c r="H14" s="91">
        <v>8</v>
      </c>
      <c r="I14" s="91">
        <v>8</v>
      </c>
      <c r="J14" s="91">
        <v>8</v>
      </c>
      <c r="K14" s="91"/>
      <c r="L14" s="91">
        <v>8</v>
      </c>
      <c r="M14" s="91">
        <v>8</v>
      </c>
      <c r="N14" s="91">
        <v>8</v>
      </c>
      <c r="O14" s="91">
        <v>8</v>
      </c>
      <c r="P14" s="91">
        <v>8</v>
      </c>
      <c r="Q14" s="91">
        <v>8</v>
      </c>
      <c r="R14" s="91"/>
      <c r="S14" s="91">
        <v>8</v>
      </c>
      <c r="T14" s="91">
        <v>8</v>
      </c>
      <c r="U14" s="91">
        <v>8</v>
      </c>
      <c r="V14" s="91">
        <v>8</v>
      </c>
      <c r="W14" s="91">
        <v>8</v>
      </c>
      <c r="X14" s="91">
        <v>8</v>
      </c>
      <c r="Y14" s="91"/>
      <c r="Z14" s="91">
        <v>8</v>
      </c>
      <c r="AA14" s="91">
        <v>8</v>
      </c>
      <c r="AB14" s="91">
        <v>8</v>
      </c>
      <c r="AC14" s="91">
        <v>8</v>
      </c>
      <c r="AD14" s="91">
        <v>8</v>
      </c>
      <c r="AE14" s="91">
        <v>8</v>
      </c>
      <c r="AF14" s="91"/>
      <c r="AG14" s="91">
        <v>8</v>
      </c>
      <c r="AH14" s="91">
        <v>8</v>
      </c>
      <c r="AI14" s="91">
        <v>8</v>
      </c>
      <c r="AJ14" s="91">
        <v>8</v>
      </c>
      <c r="AK14" s="239">
        <f t="shared" ref="AK14" si="6">((SUM(F14:AJ14))/8)-(SUMIF($F$6:$AJ$6,"C.Nhật",F14:AJ14)/8)</f>
        <v>27</v>
      </c>
      <c r="AL14" s="239">
        <f t="shared" ref="AL14" si="7">SUM(F15:AJ15)/8*1.5</f>
        <v>0</v>
      </c>
      <c r="AM14" s="241">
        <f>SUMIF($F$6:$AJ$6,"C.Nhật",$F14:$AJ15)/8*2</f>
        <v>0</v>
      </c>
      <c r="AN14" s="218">
        <f>SUM(AK14:AM15)</f>
        <v>27</v>
      </c>
      <c r="AO14" s="244">
        <v>0</v>
      </c>
      <c r="AP14" s="218"/>
      <c r="AQ14" s="218"/>
      <c r="AR14" s="218"/>
      <c r="AS14" s="220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</row>
    <row r="15" spans="1:86" s="78" customFormat="1" ht="18" customHeight="1">
      <c r="A15" s="234"/>
      <c r="B15" s="234"/>
      <c r="C15" s="236"/>
      <c r="D15" s="238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40"/>
      <c r="AL15" s="240"/>
      <c r="AM15" s="242"/>
      <c r="AN15" s="219"/>
      <c r="AO15" s="245"/>
      <c r="AP15" s="219"/>
      <c r="AQ15" s="219"/>
      <c r="AR15" s="219"/>
      <c r="AS15" s="221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</row>
    <row r="16" spans="1:86" s="78" customFormat="1" ht="18" customHeight="1">
      <c r="A16" s="233">
        <f>A14+1</f>
        <v>2</v>
      </c>
      <c r="B16" s="233" t="s">
        <v>42</v>
      </c>
      <c r="C16" s="235" t="str">
        <f>VLOOKUP(B16,DS,2,0)</f>
        <v>Huỳnh Đoàn Viết Thanh</v>
      </c>
      <c r="D16" s="237" t="str">
        <f>VLOOKUP(B16,DS,3,0)</f>
        <v>Công nhân</v>
      </c>
      <c r="E16" s="90" t="s">
        <v>148</v>
      </c>
      <c r="F16" s="91">
        <v>8</v>
      </c>
      <c r="G16" s="91">
        <v>8</v>
      </c>
      <c r="H16" s="91">
        <v>8</v>
      </c>
      <c r="I16" s="91">
        <v>8</v>
      </c>
      <c r="J16" s="91">
        <v>8</v>
      </c>
      <c r="K16" s="91"/>
      <c r="L16" s="91">
        <v>8</v>
      </c>
      <c r="M16" s="91">
        <v>8</v>
      </c>
      <c r="N16" s="91">
        <v>8</v>
      </c>
      <c r="O16" s="91">
        <v>8</v>
      </c>
      <c r="P16" s="91">
        <v>8</v>
      </c>
      <c r="Q16" s="91">
        <v>8</v>
      </c>
      <c r="R16" s="91"/>
      <c r="S16" s="91">
        <v>8</v>
      </c>
      <c r="T16" s="91">
        <v>8</v>
      </c>
      <c r="U16" s="91">
        <v>8</v>
      </c>
      <c r="V16" s="91">
        <v>8</v>
      </c>
      <c r="W16" s="91">
        <v>8</v>
      </c>
      <c r="X16" s="91">
        <v>8</v>
      </c>
      <c r="Y16" s="91"/>
      <c r="Z16" s="91">
        <v>8</v>
      </c>
      <c r="AA16" s="91">
        <v>8</v>
      </c>
      <c r="AB16" s="91">
        <v>8</v>
      </c>
      <c r="AC16" s="91">
        <v>8</v>
      </c>
      <c r="AD16" s="91">
        <v>8</v>
      </c>
      <c r="AE16" s="91">
        <v>8</v>
      </c>
      <c r="AF16" s="91"/>
      <c r="AG16" s="91">
        <v>8</v>
      </c>
      <c r="AH16" s="91">
        <v>8</v>
      </c>
      <c r="AI16" s="91">
        <v>8</v>
      </c>
      <c r="AJ16" s="91">
        <v>8</v>
      </c>
      <c r="AK16" s="239">
        <f t="shared" ref="AK16" si="8">((SUM(F16:AJ16))/8)-(SUMIF($F$6:$AJ$6,"C.Nhật",F16:AJ16)/8)</f>
        <v>27</v>
      </c>
      <c r="AL16" s="239">
        <f t="shared" ref="AL16" si="9">SUM(F17:AJ17)/8*1.5</f>
        <v>0</v>
      </c>
      <c r="AM16" s="241">
        <f>SUMIF($F$6:$AJ$6,"C.Nhật",$F16:$AJ17)/8*2</f>
        <v>0</v>
      </c>
      <c r="AN16" s="218">
        <f t="shared" ref="AN16" si="10">SUM(AK16:AM17)</f>
        <v>27</v>
      </c>
      <c r="AO16" s="244">
        <v>0</v>
      </c>
      <c r="AP16" s="218"/>
      <c r="AQ16" s="218"/>
      <c r="AR16" s="218"/>
      <c r="AS16" s="220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</row>
    <row r="17" spans="1:86" s="78" customFormat="1" ht="18" customHeight="1">
      <c r="A17" s="234"/>
      <c r="B17" s="234"/>
      <c r="C17" s="236"/>
      <c r="D17" s="238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40"/>
      <c r="AL17" s="240"/>
      <c r="AM17" s="242"/>
      <c r="AN17" s="219"/>
      <c r="AO17" s="245"/>
      <c r="AP17" s="219"/>
      <c r="AQ17" s="219"/>
      <c r="AR17" s="219"/>
      <c r="AS17" s="221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</row>
    <row r="18" spans="1:86" s="104" customFormat="1" ht="12.75">
      <c r="A18" s="94"/>
      <c r="B18" s="95"/>
      <c r="C18" s="96"/>
      <c r="D18" s="97"/>
      <c r="E18" s="96"/>
      <c r="F18" s="98"/>
      <c r="G18" s="98"/>
      <c r="H18" s="99"/>
      <c r="I18" s="99"/>
      <c r="J18" s="100"/>
      <c r="K18" s="98"/>
      <c r="L18" s="99"/>
      <c r="M18" s="98"/>
      <c r="N18" s="98"/>
      <c r="O18" s="98"/>
      <c r="P18" s="98"/>
      <c r="Q18" s="99"/>
      <c r="R18" s="98"/>
      <c r="S18" s="98"/>
      <c r="T18" s="100"/>
      <c r="U18" s="98"/>
      <c r="V18" s="98"/>
      <c r="W18" s="98"/>
      <c r="X18" s="95"/>
      <c r="Y18" s="98"/>
      <c r="Z18" s="98"/>
      <c r="AA18" s="98"/>
      <c r="AB18" s="98"/>
      <c r="AC18" s="98"/>
      <c r="AD18" s="99"/>
      <c r="AE18" s="98"/>
      <c r="AF18" s="98"/>
      <c r="AG18" s="98"/>
      <c r="AH18" s="98"/>
      <c r="AI18" s="98"/>
      <c r="AJ18" s="98"/>
      <c r="AK18" s="96"/>
      <c r="AL18" s="96"/>
      <c r="AM18" s="101"/>
      <c r="AN18" s="102"/>
      <c r="AO18" s="102"/>
      <c r="AP18" s="102"/>
      <c r="AQ18" s="102"/>
      <c r="AR18" s="102"/>
      <c r="AS18" s="96"/>
    </row>
    <row r="19" spans="1:86" s="104" customFormat="1" ht="12.75">
      <c r="A19" s="94"/>
      <c r="B19" s="95"/>
      <c r="C19" s="94" t="s">
        <v>53</v>
      </c>
      <c r="D19" s="97"/>
      <c r="E19" s="96"/>
      <c r="F19" s="98"/>
      <c r="G19" s="98"/>
      <c r="H19" s="99"/>
      <c r="I19" s="99"/>
      <c r="J19" s="100"/>
      <c r="K19" s="98"/>
      <c r="L19" s="99"/>
      <c r="M19" s="98"/>
      <c r="N19" s="98"/>
      <c r="O19" s="98"/>
      <c r="P19" s="98"/>
      <c r="Q19" s="99"/>
      <c r="R19" s="98"/>
      <c r="S19" s="98"/>
      <c r="T19" s="100"/>
      <c r="U19" s="98"/>
      <c r="V19" s="98"/>
      <c r="W19" s="98"/>
      <c r="X19" s="95"/>
      <c r="Y19" s="98"/>
      <c r="Z19" s="98"/>
      <c r="AA19" s="98"/>
      <c r="AB19" s="98"/>
      <c r="AC19" s="98"/>
      <c r="AD19" s="99"/>
      <c r="AE19" s="98"/>
      <c r="AF19" s="98"/>
      <c r="AG19" s="98"/>
      <c r="AH19" s="98"/>
      <c r="AI19" s="98"/>
      <c r="AJ19" s="98"/>
      <c r="AK19" s="96"/>
      <c r="AL19" s="96"/>
      <c r="AM19" s="101"/>
      <c r="AN19" s="102"/>
      <c r="AO19" s="102"/>
      <c r="AP19" s="102"/>
      <c r="AQ19" s="102"/>
      <c r="AR19" s="102"/>
      <c r="AS19" s="96"/>
    </row>
    <row r="20" spans="1:86" s="104" customFormat="1" ht="12.75">
      <c r="A20" s="105"/>
      <c r="B20" s="105"/>
      <c r="C20" s="96"/>
      <c r="D20" s="97"/>
      <c r="E20" s="96"/>
      <c r="F20" s="98"/>
      <c r="G20" s="98"/>
      <c r="H20" s="106"/>
      <c r="I20" s="106"/>
      <c r="J20" s="106"/>
      <c r="K20" s="98"/>
      <c r="L20" s="106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106"/>
      <c r="AE20" s="98"/>
      <c r="AF20" s="98"/>
      <c r="AG20" s="98"/>
      <c r="AH20" s="98"/>
      <c r="AI20" s="98"/>
      <c r="AJ20" s="98"/>
      <c r="AK20" s="96"/>
      <c r="AL20" s="96"/>
      <c r="AM20" s="101"/>
      <c r="AN20" s="107"/>
      <c r="AO20" s="107"/>
      <c r="AP20" s="107"/>
      <c r="AQ20" s="107"/>
      <c r="AR20" s="107"/>
      <c r="AS20" s="96"/>
    </row>
    <row r="21" spans="1:86" s="108" customFormat="1" ht="15" customHeight="1">
      <c r="A21" s="105"/>
      <c r="B21" s="105"/>
      <c r="C21" s="96"/>
      <c r="D21" s="97"/>
      <c r="E21" s="96"/>
      <c r="F21" s="98"/>
      <c r="G21" s="98"/>
      <c r="H21" s="106"/>
      <c r="I21" s="106"/>
      <c r="J21" s="106"/>
      <c r="K21" s="98"/>
      <c r="L21" s="106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106"/>
      <c r="AE21" s="98"/>
      <c r="AF21" s="98"/>
      <c r="AG21" s="98"/>
      <c r="AH21" s="98"/>
      <c r="AI21" s="98"/>
      <c r="AJ21" s="98"/>
      <c r="AK21" s="96"/>
      <c r="AL21" s="96"/>
      <c r="AM21" s="101"/>
      <c r="AN21" s="107"/>
      <c r="AO21" s="107"/>
      <c r="AP21" s="107"/>
      <c r="AQ21" s="107"/>
      <c r="AR21" s="107"/>
      <c r="AS21" s="96"/>
    </row>
    <row r="22" spans="1:86" s="108" customFormat="1" ht="11.25">
      <c r="A22" s="105"/>
      <c r="B22" s="105"/>
      <c r="C22" s="96"/>
      <c r="D22" s="97"/>
      <c r="E22" s="96"/>
      <c r="F22" s="98"/>
      <c r="G22" s="98"/>
      <c r="H22" s="106"/>
      <c r="I22" s="106"/>
      <c r="J22" s="106"/>
      <c r="K22" s="98"/>
      <c r="L22" s="106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106"/>
      <c r="AE22" s="98"/>
      <c r="AF22" s="98"/>
      <c r="AG22" s="98"/>
      <c r="AH22" s="98"/>
      <c r="AI22" s="98"/>
      <c r="AJ22" s="98"/>
      <c r="AK22" s="96"/>
      <c r="AL22" s="96"/>
      <c r="AM22" s="101"/>
      <c r="AN22" s="107"/>
      <c r="AO22" s="107"/>
      <c r="AP22" s="107"/>
      <c r="AQ22" s="107"/>
      <c r="AR22" s="107"/>
      <c r="AS22" s="96"/>
    </row>
    <row r="23" spans="1:86" s="108" customFormat="1" ht="11.25">
      <c r="A23" s="105"/>
      <c r="B23" s="105"/>
      <c r="C23" s="96"/>
      <c r="D23" s="97"/>
      <c r="E23" s="96"/>
      <c r="F23" s="98"/>
      <c r="G23" s="98"/>
      <c r="H23" s="106"/>
      <c r="I23" s="106"/>
      <c r="J23" s="106"/>
      <c r="K23" s="98"/>
      <c r="L23" s="106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106"/>
      <c r="AE23" s="98"/>
      <c r="AF23" s="98"/>
      <c r="AG23" s="98"/>
      <c r="AH23" s="98"/>
      <c r="AI23" s="98"/>
      <c r="AJ23" s="98"/>
      <c r="AK23" s="96"/>
      <c r="AL23" s="96"/>
      <c r="AM23" s="101"/>
      <c r="AN23" s="107"/>
      <c r="AO23" s="107"/>
      <c r="AP23" s="107"/>
      <c r="AQ23" s="107"/>
      <c r="AR23" s="107"/>
      <c r="AS23" s="96"/>
    </row>
    <row r="24" spans="1:86" s="108" customFormat="1" ht="11.25">
      <c r="A24" s="109"/>
      <c r="B24" s="109"/>
      <c r="C24" s="94"/>
      <c r="D24" s="110"/>
      <c r="E24" s="111"/>
      <c r="F24" s="100"/>
      <c r="G24" s="112"/>
      <c r="H24" s="99"/>
      <c r="I24" s="99"/>
      <c r="J24" s="99"/>
      <c r="K24" s="112"/>
      <c r="L24" s="99"/>
      <c r="M24" s="112"/>
      <c r="N24" s="112"/>
      <c r="O24" s="112"/>
      <c r="P24" s="112"/>
      <c r="Q24" s="99"/>
      <c r="R24" s="100"/>
      <c r="S24" s="112"/>
      <c r="T24" s="112"/>
      <c r="U24" s="99"/>
      <c r="V24" s="112"/>
      <c r="W24" s="112"/>
      <c r="X24" s="99"/>
      <c r="Y24" s="112"/>
      <c r="Z24" s="112"/>
      <c r="AA24" s="112"/>
      <c r="AB24" s="112"/>
      <c r="AC24" s="112"/>
      <c r="AD24" s="99"/>
      <c r="AE24" s="112"/>
      <c r="AF24" s="112"/>
      <c r="AG24" s="112"/>
      <c r="AH24" s="112"/>
      <c r="AI24" s="112"/>
      <c r="AJ24" s="112"/>
      <c r="AK24" s="111"/>
      <c r="AM24" s="113"/>
      <c r="AN24" s="109"/>
      <c r="AO24" s="109"/>
      <c r="AP24" s="109"/>
      <c r="AQ24" s="109"/>
      <c r="AR24" s="109"/>
      <c r="AS24" s="94"/>
    </row>
    <row r="25" spans="1:86" s="108" customFormat="1" ht="12.75">
      <c r="A25" s="2"/>
      <c r="B25" s="2" t="s">
        <v>142</v>
      </c>
      <c r="C25" s="2"/>
      <c r="D25" s="114"/>
      <c r="E25" s="2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6"/>
      <c r="AI25" s="116"/>
      <c r="AJ25" s="116"/>
      <c r="AK25" s="2"/>
      <c r="AL25" s="2"/>
      <c r="AM25" s="117"/>
      <c r="AN25" s="2"/>
      <c r="AO25" s="2"/>
      <c r="AP25" s="2"/>
      <c r="AQ25" s="2"/>
      <c r="AR25" s="2"/>
      <c r="AS25" s="2"/>
    </row>
    <row r="26" spans="1:86" s="108" customFormat="1" ht="12.75">
      <c r="A26" s="2"/>
      <c r="B26" s="2"/>
      <c r="C26" s="2" t="s">
        <v>151</v>
      </c>
      <c r="D26" s="114"/>
      <c r="E26" s="2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6"/>
      <c r="AI26" s="116"/>
      <c r="AJ26" s="116"/>
      <c r="AK26" s="2"/>
      <c r="AL26" s="2"/>
      <c r="AM26" s="117"/>
      <c r="AN26" s="2"/>
      <c r="AO26" s="2"/>
      <c r="AP26" s="2"/>
      <c r="AQ26" s="2"/>
      <c r="AR26" s="2"/>
      <c r="AS26" s="2"/>
    </row>
    <row r="27" spans="1:86" ht="15" customHeight="1">
      <c r="C27" s="2" t="s">
        <v>152</v>
      </c>
    </row>
    <row r="28" spans="1:86" ht="15" customHeight="1">
      <c r="C28" s="2" t="s">
        <v>153</v>
      </c>
    </row>
    <row r="29" spans="1:86" s="114" customFormat="1" ht="15" customHeight="1">
      <c r="A29" s="2"/>
      <c r="B29" s="2"/>
      <c r="C29" s="2" t="s">
        <v>154</v>
      </c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</row>
    <row r="30" spans="1:86" s="114" customFormat="1" ht="15" customHeight="1">
      <c r="A30" s="2"/>
      <c r="B30" s="2"/>
      <c r="C30" s="2" t="s">
        <v>155</v>
      </c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</row>
    <row r="31" spans="1:86" s="114" customFormat="1" ht="15" customHeight="1">
      <c r="A31" s="2"/>
      <c r="B31" s="2"/>
      <c r="C31" s="2" t="s">
        <v>156</v>
      </c>
      <c r="E31" s="2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6"/>
      <c r="AI31" s="116"/>
      <c r="AJ31" s="116"/>
      <c r="AK31" s="2"/>
      <c r="AL31" s="2"/>
      <c r="AM31" s="11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</row>
    <row r="32" spans="1:86" s="114" customFormat="1" ht="15" customHeight="1">
      <c r="A32" s="2"/>
      <c r="B32" s="2"/>
      <c r="C32" s="2" t="s">
        <v>157</v>
      </c>
      <c r="E32" s="2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6"/>
      <c r="AI32" s="116"/>
      <c r="AJ32" s="116"/>
      <c r="AK32" s="2"/>
      <c r="AL32" s="2"/>
      <c r="AM32" s="11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</row>
    <row r="33" spans="1:86" s="114" customFormat="1" ht="15" customHeight="1">
      <c r="A33" s="2"/>
      <c r="B33" s="2"/>
      <c r="C33" s="2" t="s">
        <v>158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</row>
    <row r="34" spans="1:86" s="114" customFormat="1" ht="15" customHeight="1">
      <c r="A34" s="2"/>
      <c r="B34" s="2"/>
      <c r="C34" s="2" t="s">
        <v>159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A14:A17 C14:E17" name="Range1_6_2"/>
    <protectedRange password="CC78" sqref="B14:B17" name="Range1_4_2"/>
  </protectedRanges>
  <mergeCells count="65">
    <mergeCell ref="AP16:AP17"/>
    <mergeCell ref="AQ16:AQ17"/>
    <mergeCell ref="AR16:AR17"/>
    <mergeCell ref="AS16:AS17"/>
    <mergeCell ref="AL16:AL17"/>
    <mergeCell ref="AM16:AM17"/>
    <mergeCell ref="AN16:AN17"/>
    <mergeCell ref="AO16:AO17"/>
    <mergeCell ref="AM14:AM15"/>
    <mergeCell ref="AN14:AN15"/>
    <mergeCell ref="AO14:AO15"/>
    <mergeCell ref="A16:A17"/>
    <mergeCell ref="B16:B17"/>
    <mergeCell ref="C16:C17"/>
    <mergeCell ref="D16:D17"/>
    <mergeCell ref="AK16:AK17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P14:AP15"/>
    <mergeCell ref="AQ14:AQ15"/>
    <mergeCell ref="AR14:AR15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">
    <cfRule type="expression" dxfId="13" priority="8" stopIfTrue="1">
      <formula>IF(WEEKDAY(F$5)=1,TRUE,FALSE)</formula>
    </cfRule>
  </conditionalFormatting>
  <conditionalFormatting sqref="F9:AJ12">
    <cfRule type="expression" dxfId="12" priority="7" stopIfTrue="1">
      <formula>IF(WEEKDAY(F$5)=1,TRUE,FALSE)</formula>
    </cfRule>
  </conditionalFormatting>
  <conditionalFormatting sqref="F14:AJ17">
    <cfRule type="expression" dxfId="11" priority="4" stopIfTrue="1">
      <formula>IF(WEEKDAY(F$5)=1,TRUE,FALSE)</formula>
    </cfRule>
  </conditionalFormatting>
  <conditionalFormatting sqref="F14:AJ17">
    <cfRule type="expression" dxfId="10" priority="3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9"/>
  <sheetViews>
    <sheetView zoomScaleNormal="70" workbookViewId="0">
      <pane xSplit="3" ySplit="8" topLeftCell="D9" activePane="bottomRight" state="frozen"/>
      <selection activeCell="I17" sqref="I17"/>
      <selection pane="topRight" activeCell="I17" sqref="I17"/>
      <selection pane="bottomLeft" activeCell="I17" sqref="I17"/>
      <selection pane="bottomRight" sqref="A1:T24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47" t="str">
        <f>"BẢNG THANH TOÁN LƯƠNG THÁNG"&amp;" "&amp;TEXT($E$4,"mm")&amp;" / "&amp;TEXT($E$4,"yyyy")</f>
        <v>BẢNG THANH TOÁN LƯƠNG THÁNG 10 / 2013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132</v>
      </c>
      <c r="S1" s="250"/>
      <c r="T1" s="251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-10'!$AK$9:$AK$17)</f>
        <v>27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-10'!$E$4</f>
        <v>41548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2" t="s">
        <v>3</v>
      </c>
      <c r="B5" s="252" t="s">
        <v>161</v>
      </c>
      <c r="C5" s="204" t="s">
        <v>5</v>
      </c>
      <c r="D5" s="204" t="s">
        <v>6</v>
      </c>
      <c r="E5" s="209" t="s">
        <v>7</v>
      </c>
      <c r="F5" s="255" t="s">
        <v>162</v>
      </c>
      <c r="G5" s="256"/>
      <c r="H5" s="256"/>
      <c r="I5" s="256"/>
      <c r="J5" s="256"/>
      <c r="K5" s="257"/>
      <c r="L5" s="254" t="s">
        <v>14</v>
      </c>
      <c r="M5" s="254" t="s">
        <v>163</v>
      </c>
      <c r="N5" s="204" t="s">
        <v>164</v>
      </c>
      <c r="O5" s="204"/>
      <c r="P5" s="204"/>
      <c r="Q5" s="254" t="s">
        <v>165</v>
      </c>
      <c r="R5" s="254" t="s">
        <v>166</v>
      </c>
      <c r="S5" s="254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53"/>
      <c r="B6" s="253"/>
      <c r="C6" s="204"/>
      <c r="D6" s="204"/>
      <c r="E6" s="209"/>
      <c r="F6" s="255" t="s">
        <v>169</v>
      </c>
      <c r="G6" s="257"/>
      <c r="H6" s="255" t="s">
        <v>170</v>
      </c>
      <c r="I6" s="256"/>
      <c r="J6" s="261" t="s">
        <v>171</v>
      </c>
      <c r="K6" s="254" t="s">
        <v>172</v>
      </c>
      <c r="L6" s="258"/>
      <c r="M6" s="258"/>
      <c r="N6" s="263" t="s">
        <v>173</v>
      </c>
      <c r="O6" s="254" t="s">
        <v>174</v>
      </c>
      <c r="P6" s="254" t="s">
        <v>175</v>
      </c>
      <c r="Q6" s="258"/>
      <c r="R6" s="258"/>
      <c r="S6" s="258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53"/>
      <c r="B7" s="253"/>
      <c r="C7" s="254"/>
      <c r="D7" s="254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62"/>
      <c r="K7" s="258"/>
      <c r="L7" s="259"/>
      <c r="M7" s="259"/>
      <c r="N7" s="264"/>
      <c r="O7" s="258"/>
      <c r="P7" s="258"/>
      <c r="Q7" s="258"/>
      <c r="R7" s="258"/>
      <c r="S7" s="258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-10'!$B$8:$AS$17,36,0)</f>
        <v>27</v>
      </c>
      <c r="G10" s="150">
        <f t="shared" ref="G10:G11" si="2">ROUND(E10/$U$2*F10,0)</f>
        <v>1565000</v>
      </c>
      <c r="H10" s="149">
        <f>(VLOOKUP(B10,'CC -10'!$B$8:$AS$17,37,0)+VLOOKUP(B10,'CC -10'!$B$8:$AS$17,38,0))</f>
        <v>0</v>
      </c>
      <c r="I10" s="150">
        <f t="shared" ref="I10:I11" si="3">ROUND(E10/$U$2*H10,0)</f>
        <v>0</v>
      </c>
      <c r="J10" s="151">
        <f t="shared" ref="J10:K11" si="4">F10+H10</f>
        <v>27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-10'!$B$8:$AS$17,36,0)</f>
        <v>27</v>
      </c>
      <c r="G11" s="150">
        <f t="shared" si="2"/>
        <v>1240000</v>
      </c>
      <c r="H11" s="149">
        <f>(VLOOKUP(B11,'CC -10'!$B$8:$AS$17,37,0)+VLOOKUP(B11,'CC -10'!$B$8:$AS$17,38,0))</f>
        <v>0</v>
      </c>
      <c r="I11" s="150">
        <f t="shared" si="3"/>
        <v>0</v>
      </c>
      <c r="J11" s="151">
        <f t="shared" si="4"/>
        <v>27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60" t="s">
        <v>48</v>
      </c>
      <c r="B13" s="260"/>
      <c r="C13" s="260"/>
      <c r="D13" s="260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6" si="10">VLOOKUP(B15,DS,2,0)</f>
        <v>Nguyễn Thị Thanh Thúy</v>
      </c>
      <c r="D15" s="147" t="str">
        <f t="shared" ref="D15:D16" si="11">VLOOKUP(B15,DS,3,0)</f>
        <v>Công nhân</v>
      </c>
      <c r="E15" s="148">
        <f t="shared" ref="E15:E16" si="12">VLOOKUP(B15,DS,4,0)</f>
        <v>1365000</v>
      </c>
      <c r="F15" s="149">
        <f>VLOOKUP(B15,'CC -10'!$B$8:$AS$17,36,0)</f>
        <v>27</v>
      </c>
      <c r="G15" s="150">
        <f t="shared" ref="G15:G16" si="13">ROUND(E15/$U$2*F15,0)</f>
        <v>1365000</v>
      </c>
      <c r="H15" s="149">
        <f>(VLOOKUP(B15,'CC -10'!$B$8:$AS$17,37,0)+VLOOKUP(B15,'CC -10'!$B$8:$AS$17,38,0))</f>
        <v>0</v>
      </c>
      <c r="I15" s="150">
        <f t="shared" ref="I15:I16" si="14">ROUND(E15/$U$2*H15,0)</f>
        <v>0</v>
      </c>
      <c r="J15" s="171">
        <f t="shared" ref="J15:K16" si="15">F15+H15</f>
        <v>27</v>
      </c>
      <c r="K15" s="152">
        <f t="shared" si="15"/>
        <v>1365000</v>
      </c>
      <c r="L15" s="148">
        <f>VLOOKUP(B15,DS,6,0)</f>
        <v>260000</v>
      </c>
      <c r="M15" s="153">
        <f t="shared" ref="M15:M16" si="16">K15+L15</f>
        <v>1625000</v>
      </c>
      <c r="N15" s="153">
        <f>IF(VLOOKUP(B15,DS,9,0)="x",'L - 10'!E15*$N$4,0)</f>
        <v>0</v>
      </c>
      <c r="O15" s="153">
        <f t="shared" ref="O15:O16" si="17">IF(VLOOKUP(B15,DS,9,0)="x",E15*0.015,0)</f>
        <v>0</v>
      </c>
      <c r="P15" s="153">
        <f t="shared" ref="P15:P16" si="18">IF(VLOOKUP(B15,DS,9,0)="x",E15*0.01,0)</f>
        <v>0</v>
      </c>
      <c r="Q15" s="152">
        <f>M15-SUM(N15:P15)</f>
        <v>1625000</v>
      </c>
      <c r="R15" s="152">
        <f t="shared" ref="R15:R16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-10'!$B$8:$AS$17,36,0)</f>
        <v>27</v>
      </c>
      <c r="G16" s="150">
        <f t="shared" si="13"/>
        <v>1275000</v>
      </c>
      <c r="H16" s="149">
        <f>(VLOOKUP(B16,'CC -10'!$B$8:$AS$17,37,0)+VLOOKUP(B16,'CC -10'!$B$8:$AS$17,38,0))</f>
        <v>0</v>
      </c>
      <c r="I16" s="150">
        <f t="shared" si="14"/>
        <v>0</v>
      </c>
      <c r="J16" s="171">
        <f t="shared" si="15"/>
        <v>27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- 10'!E16*$N$4,0)</f>
        <v>0</v>
      </c>
      <c r="O16" s="153">
        <f t="shared" si="17"/>
        <v>0</v>
      </c>
      <c r="P16" s="153">
        <f t="shared" si="18"/>
        <v>0</v>
      </c>
      <c r="Q16" s="152">
        <f t="shared" ref="Q16" si="20">M16-SUM(N16:P16)</f>
        <v>1535000</v>
      </c>
      <c r="R16" s="152">
        <f t="shared" si="19"/>
        <v>0</v>
      </c>
      <c r="S16" s="154">
        <f t="shared" ref="S16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25" s="155" customFormat="1" ht="22.5" customHeight="1">
      <c r="A17" s="172"/>
      <c r="B17" s="173"/>
      <c r="C17" s="174"/>
      <c r="D17" s="175"/>
      <c r="E17" s="176"/>
      <c r="F17" s="176"/>
      <c r="G17" s="176"/>
      <c r="H17" s="176"/>
      <c r="I17" s="176"/>
      <c r="J17" s="177"/>
      <c r="K17" s="176"/>
      <c r="L17" s="176"/>
      <c r="M17" s="178"/>
      <c r="N17" s="176"/>
      <c r="O17" s="176"/>
      <c r="P17" s="176"/>
      <c r="Q17" s="176"/>
      <c r="R17" s="176"/>
      <c r="S17" s="176"/>
      <c r="T17" s="152"/>
      <c r="U17" s="103"/>
      <c r="V17" s="179"/>
      <c r="W17" s="179"/>
      <c r="X17" s="179"/>
      <c r="Y17" s="179"/>
    </row>
    <row r="18" spans="1:25" s="170" customFormat="1" ht="21" customHeight="1">
      <c r="A18" s="260" t="s">
        <v>48</v>
      </c>
      <c r="B18" s="260"/>
      <c r="C18" s="260"/>
      <c r="D18" s="260"/>
      <c r="E18" s="167">
        <f>SUM(E14:E17)</f>
        <v>2640000</v>
      </c>
      <c r="F18" s="167"/>
      <c r="G18" s="167">
        <f>SUM(G14:G17)</f>
        <v>2640000</v>
      </c>
      <c r="H18" s="167"/>
      <c r="I18" s="167">
        <f>SUM(I14:I17)</f>
        <v>0</v>
      </c>
      <c r="J18" s="167"/>
      <c r="K18" s="167">
        <f t="shared" ref="K18:S18" si="22">SUM(K14:K17)</f>
        <v>2640000</v>
      </c>
      <c r="L18" s="167">
        <f t="shared" si="22"/>
        <v>520000</v>
      </c>
      <c r="M18" s="167">
        <f t="shared" si="22"/>
        <v>3160000</v>
      </c>
      <c r="N18" s="167">
        <f t="shared" si="22"/>
        <v>0</v>
      </c>
      <c r="O18" s="167">
        <f t="shared" si="22"/>
        <v>0</v>
      </c>
      <c r="P18" s="167">
        <f t="shared" si="22"/>
        <v>0</v>
      </c>
      <c r="Q18" s="167">
        <f t="shared" si="22"/>
        <v>3160000</v>
      </c>
      <c r="R18" s="167">
        <f t="shared" si="22"/>
        <v>0</v>
      </c>
      <c r="S18" s="167">
        <f t="shared" si="22"/>
        <v>3160000</v>
      </c>
      <c r="T18" s="168"/>
      <c r="U18" s="103"/>
      <c r="V18" s="169"/>
      <c r="W18" s="169"/>
      <c r="X18" s="169"/>
      <c r="Y18" s="169"/>
    </row>
    <row r="19" spans="1:25" ht="11.25" customHeight="1">
      <c r="A19" s="180"/>
      <c r="B19" s="180"/>
      <c r="C19" s="181"/>
      <c r="D19" s="182"/>
      <c r="E19" s="183"/>
      <c r="F19" s="181"/>
      <c r="G19" s="181"/>
      <c r="H19" s="181"/>
      <c r="I19" s="181"/>
      <c r="K19" s="181"/>
      <c r="L19" s="181"/>
      <c r="M19" s="185"/>
      <c r="N19" s="181"/>
      <c r="O19" s="181"/>
      <c r="P19" s="181"/>
      <c r="Q19" s="181"/>
      <c r="R19" s="181"/>
      <c r="S19" s="181"/>
      <c r="T19" s="181"/>
      <c r="U19" s="103"/>
    </row>
    <row r="20" spans="1:25" s="155" customFormat="1" ht="11.25" customHeight="1">
      <c r="A20" s="38"/>
      <c r="B20" s="38"/>
      <c r="C20" s="38"/>
      <c r="D20" s="188"/>
      <c r="E20" s="189"/>
      <c r="F20" s="38"/>
      <c r="G20" s="38"/>
      <c r="H20" s="38"/>
      <c r="I20" s="38"/>
      <c r="J20" s="190"/>
      <c r="K20" s="189"/>
      <c r="L20" s="38"/>
      <c r="M20" s="38"/>
      <c r="N20" s="38"/>
      <c r="O20" s="38"/>
      <c r="P20" s="38"/>
      <c r="Q20" s="38"/>
      <c r="R20" s="38"/>
      <c r="S20" s="39" t="str">
        <f>"Ngày "&amp;IF(OR(MONTH($E$4)=4,MONTH($E$4)=6,MONTH($E$4)=9,MONTH($E$4)=11),"30",IF(MONTH($E$4)=2,"28","31"))&amp;"  tháng  "&amp;MONTH($E$4)&amp;"  năm   "&amp;YEAR($E$4)</f>
        <v>Ngày 31  tháng  10  năm   2013</v>
      </c>
      <c r="T20" s="38"/>
      <c r="U20" s="191"/>
      <c r="V20" s="179"/>
      <c r="W20" s="179"/>
      <c r="X20" s="179"/>
      <c r="Y20" s="179"/>
    </row>
    <row r="21" spans="1:25" s="155" customFormat="1" ht="12.75">
      <c r="A21" s="48"/>
      <c r="B21" s="48"/>
      <c r="C21" s="48" t="s">
        <v>180</v>
      </c>
      <c r="D21" s="192"/>
      <c r="E21" s="50"/>
      <c r="F21" s="191"/>
      <c r="G21" s="50"/>
      <c r="H21" s="50"/>
      <c r="I21" s="50"/>
      <c r="J21" s="193"/>
      <c r="K21" s="179"/>
      <c r="L21" s="48"/>
      <c r="M21" s="194"/>
      <c r="N21" s="40"/>
      <c r="O21" s="40"/>
      <c r="P21" s="40"/>
      <c r="Q21" s="40"/>
      <c r="S21" s="191" t="s">
        <v>54</v>
      </c>
      <c r="T21" s="191"/>
      <c r="U21" s="191"/>
      <c r="V21" s="179"/>
      <c r="W21" s="179"/>
      <c r="X21" s="179"/>
      <c r="Y21" s="179"/>
    </row>
    <row r="22" spans="1:25" ht="12">
      <c r="A22" s="180"/>
      <c r="B22" s="180"/>
      <c r="C22" s="195"/>
      <c r="E22" s="196"/>
      <c r="F22" s="105"/>
      <c r="G22" s="196"/>
      <c r="H22" s="196"/>
      <c r="I22" s="196"/>
      <c r="K22" s="186"/>
      <c r="L22" s="195"/>
      <c r="N22" s="197"/>
      <c r="O22" s="197"/>
      <c r="P22" s="197"/>
      <c r="Q22" s="197"/>
      <c r="S22" s="197"/>
      <c r="T22" s="105"/>
      <c r="U22" s="103"/>
    </row>
    <row r="23" spans="1:25" ht="12">
      <c r="C23" s="195"/>
      <c r="L23" s="195"/>
      <c r="T23" s="195"/>
      <c r="U23" s="103"/>
    </row>
    <row r="24" spans="1:25" ht="12">
      <c r="U24" s="103"/>
    </row>
    <row r="25" spans="1:25" ht="12">
      <c r="U25" s="103"/>
    </row>
    <row r="26" spans="1:25" ht="12">
      <c r="U26" s="103"/>
    </row>
    <row r="27" spans="1:25" ht="12">
      <c r="U27" s="103"/>
    </row>
    <row r="28" spans="1:25" ht="12">
      <c r="U28" s="103"/>
    </row>
    <row r="29" spans="1:25" ht="12">
      <c r="U29" s="103"/>
    </row>
  </sheetData>
  <protectedRanges>
    <protectedRange password="CC78" sqref="V17:IJ18 C5:D7 B21:C21 A17:A22 B17:B20 B22 V14 Q5:T7 AE12:IJ12 E5:I6 N5:P6 L5 L21 J6:K7 L7 A24:T57 U30:U57 N17:S17 V24:IJ57 V12 J17:L17 AE14:IJ14 V13:IJ13 D13:T13 D18:T18 Q12:S12 A58:IJ65325 A12:B13 A10:B11 Q10:S11 V5:V11 AE5:IJ11" name="Range1"/>
    <protectedRange password="CC78" sqref="F7:H7" name="Range1_4"/>
    <protectedRange password="CC78" sqref="V21:IJ22 S21:T22 N21:Q22 E21:I22" name="Range1_1_1"/>
    <protectedRange password="CC78" sqref="U1 V1:IJ4 B4:T4 W12:AD12 R2:S3 B1:Q3 U17:U29 W14:AD14 U12:U14 U4:U11 W5:AD11" name="Range1_2"/>
    <protectedRange password="CC78" sqref="A1" name="Range1_2_1_1"/>
    <protectedRange password="CC78" sqref="I7" name="Range1_4_1"/>
    <protectedRange password="CC78" sqref="U2:U3" name="Range1_2_2_1"/>
    <protectedRange password="CC78" sqref="V15:V16 Q15:S16 A15:B16 AE15:IJ16" name="Range1_5"/>
    <protectedRange password="CC78" sqref="U15:U16 W15:AD16" name="Range1_2_3"/>
    <protectedRange password="CC78" sqref="K10:K12 K15:K16" name="Range1_6"/>
    <protectedRange password="CC78" sqref="A2:A3" name="Range1_2_1_3"/>
  </protectedRanges>
  <autoFilter ref="A7:AD10"/>
  <mergeCells count="24">
    <mergeCell ref="A13:D13"/>
    <mergeCell ref="A18:D18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H34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AT1" sqref="AT1:AX104857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5" width="3.42578125" style="116" customWidth="1"/>
    <col min="36" max="36" width="3.42578125" style="116" hidden="1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16384" width="3.7109375" style="2"/>
  </cols>
  <sheetData>
    <row r="1" spans="1:86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11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22" t="s">
        <v>132</v>
      </c>
      <c r="AN1" s="223"/>
      <c r="AO1" s="223"/>
      <c r="AP1" s="223"/>
      <c r="AQ1" s="223"/>
      <c r="AR1" s="223"/>
      <c r="AS1" s="224"/>
    </row>
    <row r="2" spans="1:86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</row>
    <row r="3" spans="1:86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</row>
    <row r="4" spans="1:86" ht="14.25" customHeight="1">
      <c r="A4" s="69"/>
      <c r="B4" s="69"/>
      <c r="C4" s="70"/>
      <c r="D4" s="71"/>
      <c r="E4" s="72">
        <v>41579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</row>
    <row r="5" spans="1:86" s="78" customFormat="1" ht="18.75" customHeight="1">
      <c r="A5" s="225" t="s">
        <v>133</v>
      </c>
      <c r="B5" s="225" t="s">
        <v>4</v>
      </c>
      <c r="C5" s="225" t="s">
        <v>5</v>
      </c>
      <c r="D5" s="227" t="s">
        <v>134</v>
      </c>
      <c r="E5" s="225" t="s">
        <v>135</v>
      </c>
      <c r="F5" s="77">
        <f>+E4</f>
        <v>41579</v>
      </c>
      <c r="G5" s="77">
        <f t="shared" ref="G5:AJ5" si="0">F5+1</f>
        <v>41580</v>
      </c>
      <c r="H5" s="77">
        <f t="shared" si="0"/>
        <v>41581</v>
      </c>
      <c r="I5" s="77">
        <f t="shared" si="0"/>
        <v>41582</v>
      </c>
      <c r="J5" s="77">
        <f t="shared" si="0"/>
        <v>41583</v>
      </c>
      <c r="K5" s="77">
        <f t="shared" si="0"/>
        <v>41584</v>
      </c>
      <c r="L5" s="77">
        <f t="shared" si="0"/>
        <v>41585</v>
      </c>
      <c r="M5" s="77">
        <f t="shared" si="0"/>
        <v>41586</v>
      </c>
      <c r="N5" s="77">
        <f t="shared" si="0"/>
        <v>41587</v>
      </c>
      <c r="O5" s="77">
        <f t="shared" si="0"/>
        <v>41588</v>
      </c>
      <c r="P5" s="77">
        <f t="shared" si="0"/>
        <v>41589</v>
      </c>
      <c r="Q5" s="77">
        <f t="shared" si="0"/>
        <v>41590</v>
      </c>
      <c r="R5" s="77">
        <f t="shared" si="0"/>
        <v>41591</v>
      </c>
      <c r="S5" s="77">
        <f t="shared" si="0"/>
        <v>41592</v>
      </c>
      <c r="T5" s="77">
        <f t="shared" si="0"/>
        <v>41593</v>
      </c>
      <c r="U5" s="77">
        <f t="shared" si="0"/>
        <v>41594</v>
      </c>
      <c r="V5" s="77">
        <f t="shared" si="0"/>
        <v>41595</v>
      </c>
      <c r="W5" s="77">
        <f t="shared" si="0"/>
        <v>41596</v>
      </c>
      <c r="X5" s="77">
        <f t="shared" si="0"/>
        <v>41597</v>
      </c>
      <c r="Y5" s="77">
        <f t="shared" si="0"/>
        <v>41598</v>
      </c>
      <c r="Z5" s="77">
        <f t="shared" si="0"/>
        <v>41599</v>
      </c>
      <c r="AA5" s="77">
        <f t="shared" si="0"/>
        <v>41600</v>
      </c>
      <c r="AB5" s="77">
        <f t="shared" si="0"/>
        <v>41601</v>
      </c>
      <c r="AC5" s="77">
        <f t="shared" si="0"/>
        <v>41602</v>
      </c>
      <c r="AD5" s="77">
        <f t="shared" si="0"/>
        <v>41603</v>
      </c>
      <c r="AE5" s="77">
        <f t="shared" si="0"/>
        <v>41604</v>
      </c>
      <c r="AF5" s="77">
        <f t="shared" si="0"/>
        <v>41605</v>
      </c>
      <c r="AG5" s="77">
        <f t="shared" si="0"/>
        <v>41606</v>
      </c>
      <c r="AH5" s="77">
        <f>AG5+1</f>
        <v>41607</v>
      </c>
      <c r="AI5" s="77">
        <f t="shared" si="0"/>
        <v>41608</v>
      </c>
      <c r="AJ5" s="77">
        <f t="shared" si="0"/>
        <v>41609</v>
      </c>
      <c r="AK5" s="228" t="s">
        <v>136</v>
      </c>
      <c r="AL5" s="229"/>
      <c r="AM5" s="230"/>
      <c r="AN5" s="231" t="s">
        <v>137</v>
      </c>
      <c r="AO5" s="231" t="s">
        <v>138</v>
      </c>
      <c r="AP5" s="231" t="s">
        <v>139</v>
      </c>
      <c r="AQ5" s="231" t="s">
        <v>140</v>
      </c>
      <c r="AR5" s="231" t="s">
        <v>141</v>
      </c>
      <c r="AS5" s="227" t="s">
        <v>142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6" s="78" customFormat="1" ht="39.75" customHeight="1">
      <c r="A6" s="226"/>
      <c r="B6" s="226"/>
      <c r="C6" s="226"/>
      <c r="D6" s="226"/>
      <c r="E6" s="226"/>
      <c r="F6" s="79" t="str">
        <f>CHOOSE(WEEKDAY(F5),"C.Nhật","T.Hai","T.Ba","T.Tư","T.Năm","T.Sáu","T.Bảy")</f>
        <v>T.Sáu</v>
      </c>
      <c r="G6" s="79" t="str">
        <f t="shared" ref="G6:AJ6" si="1">CHOOSE(WEEKDAY(G5),"C.Nhật","T.Hai","T.Ba","T.Tư","T.Năm","T.Sáu","T.Bảy")</f>
        <v>T.Bảy</v>
      </c>
      <c r="H6" s="79" t="str">
        <f t="shared" si="1"/>
        <v>C.Nhật</v>
      </c>
      <c r="I6" s="79" t="str">
        <f t="shared" si="1"/>
        <v>T.Hai</v>
      </c>
      <c r="J6" s="79" t="str">
        <f t="shared" si="1"/>
        <v>T.Ba</v>
      </c>
      <c r="K6" s="79" t="str">
        <f t="shared" si="1"/>
        <v>T.Tư</v>
      </c>
      <c r="L6" s="79" t="str">
        <f t="shared" si="1"/>
        <v>T.Năm</v>
      </c>
      <c r="M6" s="79" t="str">
        <f t="shared" si="1"/>
        <v>T.Sáu</v>
      </c>
      <c r="N6" s="79" t="str">
        <f t="shared" si="1"/>
        <v>T.Bảy</v>
      </c>
      <c r="O6" s="79" t="str">
        <f t="shared" si="1"/>
        <v>C.Nhật</v>
      </c>
      <c r="P6" s="79" t="str">
        <f t="shared" si="1"/>
        <v>T.Hai</v>
      </c>
      <c r="Q6" s="79" t="str">
        <f t="shared" si="1"/>
        <v>T.Ba</v>
      </c>
      <c r="R6" s="79" t="str">
        <f t="shared" si="1"/>
        <v>T.Tư</v>
      </c>
      <c r="S6" s="79" t="str">
        <f t="shared" si="1"/>
        <v>T.Năm</v>
      </c>
      <c r="T6" s="79" t="str">
        <f t="shared" si="1"/>
        <v>T.Sáu</v>
      </c>
      <c r="U6" s="79" t="str">
        <f t="shared" si="1"/>
        <v>T.Bảy</v>
      </c>
      <c r="V6" s="79" t="str">
        <f t="shared" si="1"/>
        <v>C.Nhật</v>
      </c>
      <c r="W6" s="79" t="str">
        <f t="shared" si="1"/>
        <v>T.Hai</v>
      </c>
      <c r="X6" s="79" t="str">
        <f t="shared" si="1"/>
        <v>T.Ba</v>
      </c>
      <c r="Y6" s="79" t="str">
        <f t="shared" si="1"/>
        <v>T.Tư</v>
      </c>
      <c r="Z6" s="79" t="str">
        <f t="shared" si="1"/>
        <v>T.Năm</v>
      </c>
      <c r="AA6" s="79" t="str">
        <f t="shared" si="1"/>
        <v>T.Sáu</v>
      </c>
      <c r="AB6" s="79" t="str">
        <f t="shared" si="1"/>
        <v>T.Bảy</v>
      </c>
      <c r="AC6" s="79" t="str">
        <f t="shared" si="1"/>
        <v>C.Nhật</v>
      </c>
      <c r="AD6" s="79" t="str">
        <f t="shared" si="1"/>
        <v>T.Hai</v>
      </c>
      <c r="AE6" s="79" t="str">
        <f t="shared" si="1"/>
        <v>T.Ba</v>
      </c>
      <c r="AF6" s="79" t="str">
        <f t="shared" si="1"/>
        <v>T.Tư</v>
      </c>
      <c r="AG6" s="79" t="str">
        <f t="shared" si="1"/>
        <v>T.Năm</v>
      </c>
      <c r="AH6" s="79" t="str">
        <f t="shared" si="1"/>
        <v>T.Sáu</v>
      </c>
      <c r="AI6" s="79" t="str">
        <f t="shared" si="1"/>
        <v>T.Bảy</v>
      </c>
      <c r="AJ6" s="79" t="str">
        <f t="shared" si="1"/>
        <v>C.Nhật</v>
      </c>
      <c r="AK6" s="80" t="s">
        <v>143</v>
      </c>
      <c r="AL6" s="80" t="s">
        <v>144</v>
      </c>
      <c r="AM6" s="81" t="s">
        <v>145</v>
      </c>
      <c r="AN6" s="232"/>
      <c r="AO6" s="232"/>
      <c r="AP6" s="232"/>
      <c r="AQ6" s="232"/>
      <c r="AR6" s="232"/>
      <c r="AS6" s="226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</row>
    <row r="7" spans="1:86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</row>
    <row r="8" spans="1:86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</row>
    <row r="9" spans="1:86" s="78" customFormat="1" ht="18" customHeight="1">
      <c r="A9" s="233">
        <v>1</v>
      </c>
      <c r="B9" s="233" t="s">
        <v>34</v>
      </c>
      <c r="C9" s="235" t="str">
        <f>VLOOKUP(B9,DS,2,0)</f>
        <v>Võ Ngọc Thùy Lan</v>
      </c>
      <c r="D9" s="237" t="str">
        <f>VLOOKUP(B9,DS,3,0)</f>
        <v>Giám Đốc</v>
      </c>
      <c r="E9" s="90" t="s">
        <v>148</v>
      </c>
      <c r="F9" s="91">
        <v>8</v>
      </c>
      <c r="G9" s="91">
        <v>8</v>
      </c>
      <c r="H9" s="91"/>
      <c r="I9" s="91">
        <v>8</v>
      </c>
      <c r="J9" s="91">
        <v>8</v>
      </c>
      <c r="K9" s="91">
        <v>8</v>
      </c>
      <c r="L9" s="91">
        <v>8</v>
      </c>
      <c r="M9" s="91">
        <v>8</v>
      </c>
      <c r="N9" s="91">
        <v>8</v>
      </c>
      <c r="O9" s="91"/>
      <c r="P9" s="91">
        <v>8</v>
      </c>
      <c r="Q9" s="91">
        <v>8</v>
      </c>
      <c r="R9" s="91">
        <v>8</v>
      </c>
      <c r="S9" s="91">
        <v>8</v>
      </c>
      <c r="T9" s="91">
        <v>8</v>
      </c>
      <c r="U9" s="91">
        <v>8</v>
      </c>
      <c r="V9" s="91"/>
      <c r="W9" s="91">
        <v>8</v>
      </c>
      <c r="X9" s="91">
        <v>8</v>
      </c>
      <c r="Y9" s="91">
        <v>8</v>
      </c>
      <c r="Z9" s="91">
        <v>8</v>
      </c>
      <c r="AA9" s="91">
        <v>8</v>
      </c>
      <c r="AB9" s="91">
        <v>8</v>
      </c>
      <c r="AC9" s="91"/>
      <c r="AD9" s="91">
        <v>8</v>
      </c>
      <c r="AE9" s="91">
        <v>8</v>
      </c>
      <c r="AF9" s="91">
        <v>8</v>
      </c>
      <c r="AG9" s="91">
        <v>8</v>
      </c>
      <c r="AH9" s="91">
        <v>8</v>
      </c>
      <c r="AI9" s="91">
        <v>8</v>
      </c>
      <c r="AJ9" s="91"/>
      <c r="AK9" s="239">
        <f>((SUM(F9:AJ9))/8)-(SUMIF($F$6:$AJ$6,"C.Nhật",F9:AJ9)/8)</f>
        <v>26</v>
      </c>
      <c r="AL9" s="239">
        <f>SUM(F10:AJ10)/8*1.5</f>
        <v>0</v>
      </c>
      <c r="AM9" s="241">
        <f>SUMIF($F$6:$AJ$6,"C.Nhật",$F9:$AJ10)/8*2</f>
        <v>0</v>
      </c>
      <c r="AN9" s="218">
        <f>SUM(AK9:AM10)</f>
        <v>26</v>
      </c>
      <c r="AO9" s="244">
        <v>0</v>
      </c>
      <c r="AP9" s="218"/>
      <c r="AQ9" s="218"/>
      <c r="AR9" s="218"/>
      <c r="AS9" s="220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</row>
    <row r="10" spans="1:86" s="78" customFormat="1" ht="18" customHeight="1">
      <c r="A10" s="234"/>
      <c r="B10" s="234"/>
      <c r="C10" s="236"/>
      <c r="D10" s="238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40"/>
      <c r="AL10" s="240"/>
      <c r="AM10" s="242"/>
      <c r="AN10" s="219"/>
      <c r="AO10" s="245"/>
      <c r="AP10" s="219"/>
      <c r="AQ10" s="219"/>
      <c r="AR10" s="219"/>
      <c r="AS10" s="221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</row>
    <row r="11" spans="1:86" s="78" customFormat="1" ht="18" customHeight="1">
      <c r="A11" s="233">
        <v>2</v>
      </c>
      <c r="B11" s="233" t="s">
        <v>36</v>
      </c>
      <c r="C11" s="235" t="str">
        <f>VLOOKUP(B11,DS,2,0)</f>
        <v>Nguyễn Thị Thu Hà</v>
      </c>
      <c r="D11" s="237" t="str">
        <f>VLOOKUP(B11,DS,3,0)</f>
        <v>Kế Toán</v>
      </c>
      <c r="E11" s="90" t="s">
        <v>148</v>
      </c>
      <c r="F11" s="91">
        <v>8</v>
      </c>
      <c r="G11" s="91">
        <v>8</v>
      </c>
      <c r="H11" s="91"/>
      <c r="I11" s="91">
        <v>8</v>
      </c>
      <c r="J11" s="91">
        <v>8</v>
      </c>
      <c r="K11" s="91">
        <v>8</v>
      </c>
      <c r="L11" s="91">
        <v>8</v>
      </c>
      <c r="M11" s="91">
        <v>8</v>
      </c>
      <c r="N11" s="91">
        <v>8</v>
      </c>
      <c r="O11" s="91"/>
      <c r="P11" s="91">
        <v>8</v>
      </c>
      <c r="Q11" s="91">
        <v>8</v>
      </c>
      <c r="R11" s="91">
        <v>8</v>
      </c>
      <c r="S11" s="91">
        <v>8</v>
      </c>
      <c r="T11" s="91">
        <v>8</v>
      </c>
      <c r="U11" s="91">
        <v>8</v>
      </c>
      <c r="V11" s="91"/>
      <c r="W11" s="91">
        <v>8</v>
      </c>
      <c r="X11" s="91">
        <v>8</v>
      </c>
      <c r="Y11" s="91">
        <v>8</v>
      </c>
      <c r="Z11" s="91">
        <v>8</v>
      </c>
      <c r="AA11" s="91">
        <v>8</v>
      </c>
      <c r="AB11" s="91">
        <v>8</v>
      </c>
      <c r="AC11" s="91"/>
      <c r="AD11" s="91">
        <v>8</v>
      </c>
      <c r="AE11" s="91">
        <v>8</v>
      </c>
      <c r="AF11" s="91">
        <v>8</v>
      </c>
      <c r="AG11" s="91">
        <v>8</v>
      </c>
      <c r="AH11" s="91">
        <v>8</v>
      </c>
      <c r="AI11" s="91">
        <v>8</v>
      </c>
      <c r="AJ11" s="91"/>
      <c r="AK11" s="239">
        <f t="shared" ref="AK11" si="2">((SUM(F11:AJ11))/8)-(SUMIF($F$6:$AJ$6,"C.Nhật",F11:AJ11)/8)</f>
        <v>26</v>
      </c>
      <c r="AL11" s="239">
        <f t="shared" ref="AL11" si="3">SUM(F12:AJ12)/8*1.5</f>
        <v>0</v>
      </c>
      <c r="AM11" s="241">
        <f t="shared" ref="AM11" si="4">SUMIF($F$6:$AJ$6,"C.Nhật",$F11:$AJ12)/8*2</f>
        <v>0</v>
      </c>
      <c r="AN11" s="218">
        <f t="shared" ref="AN11" si="5">SUM(AK11:AM12)</f>
        <v>26</v>
      </c>
      <c r="AO11" s="244">
        <v>0</v>
      </c>
      <c r="AP11" s="218"/>
      <c r="AQ11" s="218"/>
      <c r="AR11" s="218"/>
      <c r="AS11" s="220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</row>
    <row r="12" spans="1:86" s="78" customFormat="1" ht="18" customHeight="1">
      <c r="A12" s="234"/>
      <c r="B12" s="234"/>
      <c r="C12" s="236"/>
      <c r="D12" s="238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40"/>
      <c r="AL12" s="240"/>
      <c r="AM12" s="242"/>
      <c r="AN12" s="219"/>
      <c r="AO12" s="245"/>
      <c r="AP12" s="219"/>
      <c r="AQ12" s="219"/>
      <c r="AR12" s="219"/>
      <c r="AS12" s="221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</row>
    <row r="13" spans="1:86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</row>
    <row r="14" spans="1:86" s="78" customFormat="1" ht="18" customHeight="1">
      <c r="A14" s="233">
        <v>1</v>
      </c>
      <c r="B14" s="233" t="s">
        <v>39</v>
      </c>
      <c r="C14" s="235" t="str">
        <f>VLOOKUP(B14,DS,2,0)</f>
        <v>Nguyễn Thị Thanh Thúy</v>
      </c>
      <c r="D14" s="237" t="str">
        <f>VLOOKUP(B14,DS,3,0)</f>
        <v>Công nhân</v>
      </c>
      <c r="E14" s="90" t="s">
        <v>148</v>
      </c>
      <c r="F14" s="91">
        <v>8</v>
      </c>
      <c r="G14" s="91">
        <v>8</v>
      </c>
      <c r="H14" s="91"/>
      <c r="I14" s="91">
        <v>8</v>
      </c>
      <c r="J14" s="91">
        <v>8</v>
      </c>
      <c r="K14" s="91">
        <v>8</v>
      </c>
      <c r="L14" s="91">
        <v>8</v>
      </c>
      <c r="M14" s="91">
        <v>8</v>
      </c>
      <c r="N14" s="91">
        <v>8</v>
      </c>
      <c r="O14" s="91"/>
      <c r="P14" s="91">
        <v>8</v>
      </c>
      <c r="Q14" s="91">
        <v>8</v>
      </c>
      <c r="R14" s="91">
        <v>8</v>
      </c>
      <c r="S14" s="91">
        <v>8</v>
      </c>
      <c r="T14" s="91">
        <v>8</v>
      </c>
      <c r="U14" s="91">
        <v>8</v>
      </c>
      <c r="V14" s="91"/>
      <c r="W14" s="91">
        <v>8</v>
      </c>
      <c r="X14" s="91">
        <v>8</v>
      </c>
      <c r="Y14" s="91">
        <v>8</v>
      </c>
      <c r="Z14" s="91">
        <v>8</v>
      </c>
      <c r="AA14" s="91">
        <v>8</v>
      </c>
      <c r="AB14" s="91">
        <v>8</v>
      </c>
      <c r="AC14" s="91"/>
      <c r="AD14" s="91">
        <v>8</v>
      </c>
      <c r="AE14" s="91">
        <v>8</v>
      </c>
      <c r="AF14" s="91">
        <v>8</v>
      </c>
      <c r="AG14" s="91">
        <v>8</v>
      </c>
      <c r="AH14" s="91">
        <v>8</v>
      </c>
      <c r="AI14" s="91">
        <v>8</v>
      </c>
      <c r="AJ14" s="91"/>
      <c r="AK14" s="239">
        <f t="shared" ref="AK14" si="6">((SUM(F14:AJ14))/8)-(SUMIF($F$6:$AJ$6,"C.Nhật",F14:AJ14)/8)</f>
        <v>26</v>
      </c>
      <c r="AL14" s="239">
        <f t="shared" ref="AL14" si="7">SUM(F15:AJ15)/8*1.5</f>
        <v>0</v>
      </c>
      <c r="AM14" s="241">
        <f>SUMIF($F$6:$AJ$6,"C.Nhật",$F14:$AJ15)/8*2</f>
        <v>0</v>
      </c>
      <c r="AN14" s="218">
        <f>SUM(AK14:AM15)</f>
        <v>26</v>
      </c>
      <c r="AO14" s="244">
        <v>0</v>
      </c>
      <c r="AP14" s="218"/>
      <c r="AQ14" s="218"/>
      <c r="AR14" s="218"/>
      <c r="AS14" s="220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</row>
    <row r="15" spans="1:86" s="78" customFormat="1" ht="18" customHeight="1">
      <c r="A15" s="234"/>
      <c r="B15" s="234"/>
      <c r="C15" s="236"/>
      <c r="D15" s="238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40"/>
      <c r="AL15" s="240"/>
      <c r="AM15" s="242"/>
      <c r="AN15" s="219"/>
      <c r="AO15" s="245"/>
      <c r="AP15" s="219"/>
      <c r="AQ15" s="219"/>
      <c r="AR15" s="219"/>
      <c r="AS15" s="221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</row>
    <row r="16" spans="1:86" s="78" customFormat="1" ht="18" customHeight="1">
      <c r="A16" s="233">
        <f>A14+1</f>
        <v>2</v>
      </c>
      <c r="B16" s="233" t="s">
        <v>42</v>
      </c>
      <c r="C16" s="235" t="str">
        <f>VLOOKUP(B16,DS,2,0)</f>
        <v>Huỳnh Đoàn Viết Thanh</v>
      </c>
      <c r="D16" s="237" t="str">
        <f>VLOOKUP(B16,DS,3,0)</f>
        <v>Công nhân</v>
      </c>
      <c r="E16" s="90" t="s">
        <v>148</v>
      </c>
      <c r="F16" s="91">
        <v>8</v>
      </c>
      <c r="G16" s="91">
        <v>8</v>
      </c>
      <c r="H16" s="91"/>
      <c r="I16" s="91">
        <v>8</v>
      </c>
      <c r="J16" s="91">
        <v>8</v>
      </c>
      <c r="K16" s="91">
        <v>8</v>
      </c>
      <c r="L16" s="91">
        <v>8</v>
      </c>
      <c r="M16" s="91">
        <v>8</v>
      </c>
      <c r="N16" s="91">
        <v>8</v>
      </c>
      <c r="O16" s="91"/>
      <c r="P16" s="91">
        <v>8</v>
      </c>
      <c r="Q16" s="91">
        <v>8</v>
      </c>
      <c r="R16" s="91">
        <v>8</v>
      </c>
      <c r="S16" s="91">
        <v>8</v>
      </c>
      <c r="T16" s="91">
        <v>8</v>
      </c>
      <c r="U16" s="91">
        <v>8</v>
      </c>
      <c r="V16" s="91"/>
      <c r="W16" s="91">
        <v>8</v>
      </c>
      <c r="X16" s="91">
        <v>8</v>
      </c>
      <c r="Y16" s="91">
        <v>8</v>
      </c>
      <c r="Z16" s="91">
        <v>8</v>
      </c>
      <c r="AA16" s="91">
        <v>8</v>
      </c>
      <c r="AB16" s="91">
        <v>8</v>
      </c>
      <c r="AC16" s="91"/>
      <c r="AD16" s="91">
        <v>8</v>
      </c>
      <c r="AE16" s="91">
        <v>8</v>
      </c>
      <c r="AF16" s="91">
        <v>8</v>
      </c>
      <c r="AG16" s="91">
        <v>8</v>
      </c>
      <c r="AH16" s="91">
        <v>8</v>
      </c>
      <c r="AI16" s="91">
        <v>8</v>
      </c>
      <c r="AJ16" s="91"/>
      <c r="AK16" s="239">
        <f t="shared" ref="AK16" si="8">((SUM(F16:AJ16))/8)-(SUMIF($F$6:$AJ$6,"C.Nhật",F16:AJ16)/8)</f>
        <v>26</v>
      </c>
      <c r="AL16" s="239">
        <f t="shared" ref="AL16" si="9">SUM(F17:AJ17)/8*1.5</f>
        <v>0</v>
      </c>
      <c r="AM16" s="241">
        <f>SUMIF($F$6:$AJ$6,"C.Nhật",$F16:$AJ17)/8*2</f>
        <v>0</v>
      </c>
      <c r="AN16" s="218">
        <f t="shared" ref="AN16" si="10">SUM(AK16:AM17)</f>
        <v>26</v>
      </c>
      <c r="AO16" s="244">
        <v>0</v>
      </c>
      <c r="AP16" s="218"/>
      <c r="AQ16" s="218"/>
      <c r="AR16" s="218"/>
      <c r="AS16" s="220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</row>
    <row r="17" spans="1:86" s="78" customFormat="1" ht="18" customHeight="1">
      <c r="A17" s="234"/>
      <c r="B17" s="234"/>
      <c r="C17" s="236"/>
      <c r="D17" s="238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40"/>
      <c r="AL17" s="240"/>
      <c r="AM17" s="242"/>
      <c r="AN17" s="219"/>
      <c r="AO17" s="245"/>
      <c r="AP17" s="219"/>
      <c r="AQ17" s="219"/>
      <c r="AR17" s="219"/>
      <c r="AS17" s="221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</row>
    <row r="18" spans="1:86" s="104" customFormat="1" ht="12.75">
      <c r="A18" s="94"/>
      <c r="B18" s="95"/>
      <c r="C18" s="96"/>
      <c r="D18" s="97"/>
      <c r="E18" s="96"/>
      <c r="F18" s="98"/>
      <c r="G18" s="98"/>
      <c r="H18" s="99"/>
      <c r="I18" s="99"/>
      <c r="J18" s="100"/>
      <c r="K18" s="98"/>
      <c r="L18" s="99"/>
      <c r="M18" s="98"/>
      <c r="N18" s="98"/>
      <c r="O18" s="98"/>
      <c r="P18" s="98"/>
      <c r="Q18" s="99"/>
      <c r="R18" s="98"/>
      <c r="S18" s="98"/>
      <c r="T18" s="100"/>
      <c r="U18" s="98"/>
      <c r="V18" s="98"/>
      <c r="W18" s="98"/>
      <c r="X18" s="95"/>
      <c r="Y18" s="98"/>
      <c r="Z18" s="98"/>
      <c r="AA18" s="98"/>
      <c r="AB18" s="98"/>
      <c r="AC18" s="98"/>
      <c r="AD18" s="99"/>
      <c r="AE18" s="98"/>
      <c r="AF18" s="98"/>
      <c r="AG18" s="98"/>
      <c r="AH18" s="98"/>
      <c r="AI18" s="98"/>
      <c r="AJ18" s="98"/>
      <c r="AK18" s="96"/>
      <c r="AL18" s="96"/>
      <c r="AM18" s="101"/>
      <c r="AN18" s="102"/>
      <c r="AO18" s="102"/>
      <c r="AP18" s="102"/>
      <c r="AQ18" s="102"/>
      <c r="AR18" s="102"/>
      <c r="AS18" s="96"/>
    </row>
    <row r="19" spans="1:86" s="104" customFormat="1" ht="12.75">
      <c r="A19" s="94"/>
      <c r="B19" s="95"/>
      <c r="C19" s="94" t="s">
        <v>53</v>
      </c>
      <c r="D19" s="97"/>
      <c r="E19" s="96"/>
      <c r="F19" s="98"/>
      <c r="G19" s="98"/>
      <c r="H19" s="99"/>
      <c r="I19" s="99"/>
      <c r="J19" s="100"/>
      <c r="K19" s="98"/>
      <c r="L19" s="99"/>
      <c r="M19" s="98"/>
      <c r="N19" s="98"/>
      <c r="O19" s="98"/>
      <c r="P19" s="98"/>
      <c r="Q19" s="99"/>
      <c r="R19" s="98"/>
      <c r="S19" s="98"/>
      <c r="T19" s="100"/>
      <c r="U19" s="98"/>
      <c r="V19" s="98"/>
      <c r="W19" s="98"/>
      <c r="X19" s="95"/>
      <c r="Y19" s="98"/>
      <c r="Z19" s="98"/>
      <c r="AA19" s="98"/>
      <c r="AB19" s="98"/>
      <c r="AC19" s="98"/>
      <c r="AD19" s="99"/>
      <c r="AE19" s="98"/>
      <c r="AF19" s="98"/>
      <c r="AG19" s="98"/>
      <c r="AH19" s="98"/>
      <c r="AI19" s="98"/>
      <c r="AJ19" s="98"/>
      <c r="AK19" s="96"/>
      <c r="AL19" s="96"/>
      <c r="AM19" s="101"/>
      <c r="AN19" s="102"/>
      <c r="AO19" s="102"/>
      <c r="AP19" s="102"/>
      <c r="AQ19" s="102"/>
      <c r="AR19" s="102"/>
      <c r="AS19" s="96"/>
    </row>
    <row r="20" spans="1:86" s="104" customFormat="1" ht="12.75">
      <c r="A20" s="105"/>
      <c r="B20" s="105"/>
      <c r="C20" s="96"/>
      <c r="D20" s="97"/>
      <c r="E20" s="96"/>
      <c r="F20" s="98"/>
      <c r="G20" s="98"/>
      <c r="H20" s="106"/>
      <c r="I20" s="106"/>
      <c r="J20" s="106"/>
      <c r="K20" s="98"/>
      <c r="L20" s="106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106"/>
      <c r="AE20" s="98"/>
      <c r="AF20" s="98"/>
      <c r="AG20" s="98"/>
      <c r="AH20" s="98"/>
      <c r="AI20" s="98"/>
      <c r="AJ20" s="98"/>
      <c r="AK20" s="96"/>
      <c r="AL20" s="96"/>
      <c r="AM20" s="101"/>
      <c r="AN20" s="107"/>
      <c r="AO20" s="107"/>
      <c r="AP20" s="107"/>
      <c r="AQ20" s="107"/>
      <c r="AR20" s="107"/>
      <c r="AS20" s="96"/>
    </row>
    <row r="21" spans="1:86" s="108" customFormat="1" ht="15" customHeight="1">
      <c r="A21" s="105"/>
      <c r="B21" s="105"/>
      <c r="C21" s="96"/>
      <c r="D21" s="97"/>
      <c r="E21" s="96"/>
      <c r="F21" s="98"/>
      <c r="G21" s="98"/>
      <c r="H21" s="106"/>
      <c r="I21" s="106"/>
      <c r="J21" s="106"/>
      <c r="K21" s="98"/>
      <c r="L21" s="106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106"/>
      <c r="AE21" s="98"/>
      <c r="AF21" s="98"/>
      <c r="AG21" s="98"/>
      <c r="AH21" s="98"/>
      <c r="AI21" s="98"/>
      <c r="AJ21" s="98"/>
      <c r="AK21" s="96"/>
      <c r="AL21" s="96"/>
      <c r="AM21" s="101"/>
      <c r="AN21" s="107"/>
      <c r="AO21" s="107"/>
      <c r="AP21" s="107"/>
      <c r="AQ21" s="107"/>
      <c r="AR21" s="107"/>
      <c r="AS21" s="96"/>
    </row>
    <row r="22" spans="1:86" s="108" customFormat="1" ht="11.25">
      <c r="A22" s="105"/>
      <c r="B22" s="105"/>
      <c r="C22" s="96"/>
      <c r="D22" s="97"/>
      <c r="E22" s="96"/>
      <c r="F22" s="98"/>
      <c r="G22" s="98"/>
      <c r="H22" s="106"/>
      <c r="I22" s="106"/>
      <c r="J22" s="106"/>
      <c r="K22" s="98"/>
      <c r="L22" s="106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106"/>
      <c r="AE22" s="98"/>
      <c r="AF22" s="98"/>
      <c r="AG22" s="98"/>
      <c r="AH22" s="98"/>
      <c r="AI22" s="98"/>
      <c r="AJ22" s="98"/>
      <c r="AK22" s="96"/>
      <c r="AL22" s="96"/>
      <c r="AM22" s="101"/>
      <c r="AN22" s="107"/>
      <c r="AO22" s="107"/>
      <c r="AP22" s="107"/>
      <c r="AQ22" s="107"/>
      <c r="AR22" s="107"/>
      <c r="AS22" s="96"/>
    </row>
    <row r="23" spans="1:86" s="108" customFormat="1" ht="11.25">
      <c r="A23" s="105"/>
      <c r="B23" s="105"/>
      <c r="C23" s="96"/>
      <c r="D23" s="97"/>
      <c r="E23" s="96"/>
      <c r="F23" s="98"/>
      <c r="G23" s="98"/>
      <c r="H23" s="106"/>
      <c r="I23" s="106"/>
      <c r="J23" s="106"/>
      <c r="K23" s="98"/>
      <c r="L23" s="106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106"/>
      <c r="AE23" s="98"/>
      <c r="AF23" s="98"/>
      <c r="AG23" s="98"/>
      <c r="AH23" s="98"/>
      <c r="AI23" s="98"/>
      <c r="AJ23" s="98"/>
      <c r="AK23" s="96"/>
      <c r="AL23" s="96"/>
      <c r="AM23" s="101"/>
      <c r="AN23" s="107"/>
      <c r="AO23" s="107"/>
      <c r="AP23" s="107"/>
      <c r="AQ23" s="107"/>
      <c r="AR23" s="107"/>
      <c r="AS23" s="96"/>
    </row>
    <row r="24" spans="1:86" s="108" customFormat="1" ht="11.25">
      <c r="A24" s="109"/>
      <c r="B24" s="109"/>
      <c r="C24" s="94"/>
      <c r="D24" s="110"/>
      <c r="E24" s="111"/>
      <c r="F24" s="100"/>
      <c r="G24" s="112"/>
      <c r="H24" s="99"/>
      <c r="I24" s="99"/>
      <c r="J24" s="99"/>
      <c r="K24" s="112"/>
      <c r="L24" s="99"/>
      <c r="M24" s="112"/>
      <c r="N24" s="112"/>
      <c r="O24" s="112"/>
      <c r="P24" s="112"/>
      <c r="Q24" s="99"/>
      <c r="R24" s="100"/>
      <c r="S24" s="112"/>
      <c r="T24" s="112"/>
      <c r="U24" s="99"/>
      <c r="V24" s="112"/>
      <c r="W24" s="112"/>
      <c r="X24" s="99"/>
      <c r="Y24" s="112"/>
      <c r="Z24" s="112"/>
      <c r="AA24" s="112"/>
      <c r="AB24" s="112"/>
      <c r="AC24" s="112"/>
      <c r="AD24" s="99"/>
      <c r="AE24" s="112"/>
      <c r="AF24" s="112"/>
      <c r="AG24" s="112"/>
      <c r="AH24" s="112"/>
      <c r="AI24" s="112"/>
      <c r="AJ24" s="112"/>
      <c r="AK24" s="111"/>
      <c r="AM24" s="113"/>
      <c r="AN24" s="109"/>
      <c r="AO24" s="109"/>
      <c r="AP24" s="109"/>
      <c r="AQ24" s="109"/>
      <c r="AR24" s="109"/>
      <c r="AS24" s="94"/>
    </row>
    <row r="25" spans="1:86" s="108" customFormat="1" ht="12.75">
      <c r="A25" s="2"/>
      <c r="B25" s="2" t="s">
        <v>142</v>
      </c>
      <c r="C25" s="2"/>
      <c r="D25" s="114"/>
      <c r="E25" s="2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6"/>
      <c r="AI25" s="116"/>
      <c r="AJ25" s="116"/>
      <c r="AK25" s="2"/>
      <c r="AL25" s="2"/>
      <c r="AM25" s="117"/>
      <c r="AN25" s="2"/>
      <c r="AO25" s="2"/>
      <c r="AP25" s="2"/>
      <c r="AQ25" s="2"/>
      <c r="AR25" s="2"/>
      <c r="AS25" s="2"/>
    </row>
    <row r="26" spans="1:86" s="108" customFormat="1" ht="12.75">
      <c r="A26" s="2"/>
      <c r="B26" s="2"/>
      <c r="C26" s="2" t="s">
        <v>151</v>
      </c>
      <c r="D26" s="114"/>
      <c r="E26" s="2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6"/>
      <c r="AI26" s="116"/>
      <c r="AJ26" s="116"/>
      <c r="AK26" s="2"/>
      <c r="AL26" s="2"/>
      <c r="AM26" s="117"/>
      <c r="AN26" s="2"/>
      <c r="AO26" s="2"/>
      <c r="AP26" s="2"/>
      <c r="AQ26" s="2"/>
      <c r="AR26" s="2"/>
      <c r="AS26" s="2"/>
    </row>
    <row r="27" spans="1:86" ht="15" customHeight="1">
      <c r="C27" s="2" t="s">
        <v>152</v>
      </c>
    </row>
    <row r="28" spans="1:86" ht="15" customHeight="1">
      <c r="C28" s="2" t="s">
        <v>153</v>
      </c>
    </row>
    <row r="29" spans="1:86" s="114" customFormat="1" ht="15" customHeight="1">
      <c r="A29" s="2"/>
      <c r="B29" s="2"/>
      <c r="C29" s="2" t="s">
        <v>154</v>
      </c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</row>
    <row r="30" spans="1:86" s="114" customFormat="1" ht="15" customHeight="1">
      <c r="A30" s="2"/>
      <c r="B30" s="2"/>
      <c r="C30" s="2" t="s">
        <v>155</v>
      </c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</row>
    <row r="31" spans="1:86" s="114" customFormat="1" ht="15" customHeight="1">
      <c r="A31" s="2"/>
      <c r="B31" s="2"/>
      <c r="C31" s="2" t="s">
        <v>156</v>
      </c>
      <c r="E31" s="2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6"/>
      <c r="AI31" s="116"/>
      <c r="AJ31" s="116"/>
      <c r="AK31" s="2"/>
      <c r="AL31" s="2"/>
      <c r="AM31" s="11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</row>
    <row r="32" spans="1:86" s="114" customFormat="1" ht="15" customHeight="1">
      <c r="A32" s="2"/>
      <c r="B32" s="2"/>
      <c r="C32" s="2" t="s">
        <v>157</v>
      </c>
      <c r="E32" s="2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6"/>
      <c r="AI32" s="116"/>
      <c r="AJ32" s="116"/>
      <c r="AK32" s="2"/>
      <c r="AL32" s="2"/>
      <c r="AM32" s="11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</row>
    <row r="33" spans="1:86" s="114" customFormat="1" ht="15" customHeight="1">
      <c r="A33" s="2"/>
      <c r="B33" s="2"/>
      <c r="C33" s="2" t="s">
        <v>158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</row>
    <row r="34" spans="1:86" s="114" customFormat="1" ht="15" customHeight="1">
      <c r="A34" s="2"/>
      <c r="B34" s="2"/>
      <c r="C34" s="2" t="s">
        <v>159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A14:A17 C14:E17" name="Range1_6_2"/>
    <protectedRange password="CC78" sqref="B14:B17" name="Range1_4_2"/>
  </protectedRanges>
  <mergeCells count="65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1:A12"/>
    <mergeCell ref="B11:B12"/>
    <mergeCell ref="C11:C12"/>
    <mergeCell ref="D11:D12"/>
    <mergeCell ref="AK11:AK12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L11:AL12"/>
    <mergeCell ref="AM11:AM12"/>
    <mergeCell ref="AN11:AN12"/>
    <mergeCell ref="AO11:AO12"/>
    <mergeCell ref="AL16:AL17"/>
    <mergeCell ref="AM16:AM17"/>
    <mergeCell ref="AN16:AN17"/>
    <mergeCell ref="AO16:AO17"/>
    <mergeCell ref="AM14:AM15"/>
    <mergeCell ref="AN14:AN15"/>
    <mergeCell ref="AO14:AO15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S14:AS15"/>
    <mergeCell ref="AP14:AP15"/>
    <mergeCell ref="AQ14:AQ15"/>
    <mergeCell ref="AR14:AR15"/>
  </mergeCells>
  <conditionalFormatting sqref="F5:AJ6 F9:AJ12">
    <cfRule type="expression" dxfId="9" priority="8" stopIfTrue="1">
      <formula>IF(WEEKDAY(F$5)=1,TRUE,FALSE)</formula>
    </cfRule>
  </conditionalFormatting>
  <conditionalFormatting sqref="F9:AJ12">
    <cfRule type="expression" dxfId="8" priority="7" stopIfTrue="1">
      <formula>IF(WEEKDAY(F$5)=1,TRUE,FALSE)</formula>
    </cfRule>
  </conditionalFormatting>
  <conditionalFormatting sqref="AJ14:AJ17">
    <cfRule type="expression" dxfId="7" priority="6" stopIfTrue="1">
      <formula>IF(WEEKDAY(AJ$5)=1,TRUE,FALSE)</formula>
    </cfRule>
  </conditionalFormatting>
  <conditionalFormatting sqref="AJ14:AJ17">
    <cfRule type="expression" dxfId="6" priority="5" stopIfTrue="1">
      <formula>IF(WEEKDAY(AJ$5)=1,TRUE,FALSE)</formula>
    </cfRule>
  </conditionalFormatting>
  <conditionalFormatting sqref="F14:AI17">
    <cfRule type="expression" dxfId="5" priority="2" stopIfTrue="1">
      <formula>IF(WEEKDAY(F$5)=1,TRUE,FALSE)</formula>
    </cfRule>
  </conditionalFormatting>
  <conditionalFormatting sqref="F14:AI17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9"/>
  <sheetViews>
    <sheetView zoomScaleNormal="70" workbookViewId="0">
      <pane xSplit="3" ySplit="8" topLeftCell="D9" activePane="bottomRight" state="frozen"/>
      <selection activeCell="F14" sqref="F14:AI17"/>
      <selection pane="topRight" activeCell="F14" sqref="F14:AI17"/>
      <selection pane="bottomLeft" activeCell="F14" sqref="F14:AI17"/>
      <selection pane="bottomRight" sqref="A1:T24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9"/>
      <c r="C1" s="119"/>
      <c r="D1" s="247" t="str">
        <f>"BẢNG THANH TOÁN LƯƠNG THÁNG"&amp;" "&amp;TEXT($E$4,"mm")&amp;" / "&amp;TEXT($E$4,"yyyy")</f>
        <v>BẢNG THANH TOÁN LƯƠNG THÁNG 11 / 2013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132</v>
      </c>
      <c r="S1" s="250"/>
      <c r="T1" s="251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9"/>
      <c r="C2" s="119"/>
      <c r="D2" s="119"/>
      <c r="E2" s="123"/>
      <c r="F2" s="119"/>
      <c r="G2" s="119"/>
      <c r="H2" s="119"/>
      <c r="I2" s="119"/>
      <c r="J2" s="124"/>
      <c r="K2" s="119"/>
      <c r="L2" s="119"/>
      <c r="M2" s="119"/>
      <c r="N2" s="119"/>
      <c r="O2" s="119"/>
      <c r="P2" s="119"/>
      <c r="Q2" s="119"/>
      <c r="R2" s="119"/>
      <c r="S2" s="119"/>
      <c r="T2" s="64"/>
      <c r="U2" s="125">
        <f>MAX('CC -11'!$AK$9:$AK$17)</f>
        <v>26</v>
      </c>
      <c r="V2" s="121"/>
      <c r="W2" s="121"/>
      <c r="X2" s="122"/>
      <c r="Y2" s="122"/>
    </row>
    <row r="3" spans="1:30" s="96" customFormat="1" ht="15" hidden="1" customHeight="1">
      <c r="A3" s="56"/>
      <c r="B3" s="119"/>
      <c r="C3" s="119"/>
      <c r="D3" s="119"/>
      <c r="E3" s="123"/>
      <c r="F3" s="119"/>
      <c r="G3" s="119"/>
      <c r="H3" s="119"/>
      <c r="I3" s="119"/>
      <c r="J3" s="124"/>
      <c r="K3" s="119"/>
      <c r="L3" s="119"/>
      <c r="M3" s="119"/>
      <c r="N3" s="119"/>
      <c r="O3" s="119"/>
      <c r="P3" s="119"/>
      <c r="Q3" s="119"/>
      <c r="R3" s="119"/>
      <c r="S3" s="119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-11'!$E$4</f>
        <v>41579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2" t="s">
        <v>3</v>
      </c>
      <c r="B5" s="252" t="s">
        <v>161</v>
      </c>
      <c r="C5" s="204" t="s">
        <v>5</v>
      </c>
      <c r="D5" s="204" t="s">
        <v>6</v>
      </c>
      <c r="E5" s="209" t="s">
        <v>7</v>
      </c>
      <c r="F5" s="255" t="s">
        <v>162</v>
      </c>
      <c r="G5" s="256"/>
      <c r="H5" s="256"/>
      <c r="I5" s="256"/>
      <c r="J5" s="256"/>
      <c r="K5" s="257"/>
      <c r="L5" s="254" t="s">
        <v>14</v>
      </c>
      <c r="M5" s="254" t="s">
        <v>163</v>
      </c>
      <c r="N5" s="204" t="s">
        <v>164</v>
      </c>
      <c r="O5" s="204"/>
      <c r="P5" s="204"/>
      <c r="Q5" s="254" t="s">
        <v>165</v>
      </c>
      <c r="R5" s="254" t="s">
        <v>166</v>
      </c>
      <c r="S5" s="254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53"/>
      <c r="B6" s="253"/>
      <c r="C6" s="204"/>
      <c r="D6" s="204"/>
      <c r="E6" s="209"/>
      <c r="F6" s="255" t="s">
        <v>169</v>
      </c>
      <c r="G6" s="257"/>
      <c r="H6" s="255" t="s">
        <v>170</v>
      </c>
      <c r="I6" s="256"/>
      <c r="J6" s="261" t="s">
        <v>171</v>
      </c>
      <c r="K6" s="254" t="s">
        <v>172</v>
      </c>
      <c r="L6" s="258"/>
      <c r="M6" s="258"/>
      <c r="N6" s="263" t="s">
        <v>173</v>
      </c>
      <c r="O6" s="254" t="s">
        <v>174</v>
      </c>
      <c r="P6" s="254" t="s">
        <v>175</v>
      </c>
      <c r="Q6" s="258"/>
      <c r="R6" s="258"/>
      <c r="S6" s="258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53"/>
      <c r="B7" s="253"/>
      <c r="C7" s="254"/>
      <c r="D7" s="254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62"/>
      <c r="K7" s="258"/>
      <c r="L7" s="259"/>
      <c r="M7" s="259"/>
      <c r="N7" s="264"/>
      <c r="O7" s="258"/>
      <c r="P7" s="258"/>
      <c r="Q7" s="258"/>
      <c r="R7" s="258"/>
      <c r="S7" s="258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-11'!$B$8:$AS$17,36,0)</f>
        <v>26</v>
      </c>
      <c r="G10" s="150">
        <f t="shared" ref="G10:G11" si="2">ROUND(E10/$U$2*F10,0)</f>
        <v>1565000</v>
      </c>
      <c r="H10" s="149">
        <f>(VLOOKUP(B10,'CC -11'!$B$8:$AS$17,37,0)+VLOOKUP(B10,'CC -11'!$B$8:$AS$17,38,0))</f>
        <v>0</v>
      </c>
      <c r="I10" s="150">
        <f t="shared" ref="I10:I11" si="3">ROUND(E10/$U$2*H10,0)</f>
        <v>0</v>
      </c>
      <c r="J10" s="151">
        <f t="shared" ref="J10:K11" si="4">F10+H10</f>
        <v>26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-11'!$B$8:$AS$17,36,0)</f>
        <v>26</v>
      </c>
      <c r="G11" s="150">
        <f t="shared" si="2"/>
        <v>1240000</v>
      </c>
      <c r="H11" s="149">
        <f>(VLOOKUP(B11,'CC -11'!$B$8:$AS$17,37,0)+VLOOKUP(B11,'CC -11'!$B$8:$AS$17,38,0))</f>
        <v>0</v>
      </c>
      <c r="I11" s="150">
        <f t="shared" si="3"/>
        <v>0</v>
      </c>
      <c r="J11" s="151">
        <f t="shared" si="4"/>
        <v>26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60" t="s">
        <v>48</v>
      </c>
      <c r="B13" s="260"/>
      <c r="C13" s="260"/>
      <c r="D13" s="260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6" si="10">VLOOKUP(B15,DS,2,0)</f>
        <v>Nguyễn Thị Thanh Thúy</v>
      </c>
      <c r="D15" s="147" t="str">
        <f t="shared" ref="D15:D16" si="11">VLOOKUP(B15,DS,3,0)</f>
        <v>Công nhân</v>
      </c>
      <c r="E15" s="148">
        <f t="shared" ref="E15:E16" si="12">VLOOKUP(B15,DS,4,0)</f>
        <v>1365000</v>
      </c>
      <c r="F15" s="149">
        <f>VLOOKUP(B15,'CC -11'!$B$8:$AS$17,36,0)</f>
        <v>26</v>
      </c>
      <c r="G15" s="150">
        <f t="shared" ref="G15:G16" si="13">ROUND(E15/$U$2*F15,0)</f>
        <v>1365000</v>
      </c>
      <c r="H15" s="149">
        <f>(VLOOKUP(B15,'CC -11'!$B$8:$AS$17,37,0)+VLOOKUP(B15,'CC -11'!$B$8:$AS$17,38,0))</f>
        <v>0</v>
      </c>
      <c r="I15" s="150">
        <f t="shared" ref="I15:I16" si="14">ROUND(E15/$U$2*H15,0)</f>
        <v>0</v>
      </c>
      <c r="J15" s="171">
        <f t="shared" ref="J15:K16" si="15">F15+H15</f>
        <v>26</v>
      </c>
      <c r="K15" s="152">
        <f t="shared" si="15"/>
        <v>1365000</v>
      </c>
      <c r="L15" s="148">
        <f>VLOOKUP(B15,DS,6,0)</f>
        <v>260000</v>
      </c>
      <c r="M15" s="153">
        <f t="shared" ref="M15:M16" si="16">K15+L15</f>
        <v>1625000</v>
      </c>
      <c r="N15" s="153">
        <f>IF(VLOOKUP(B15,DS,9,0)="x",'L - 11'!E15*$N$4,0)</f>
        <v>0</v>
      </c>
      <c r="O15" s="153">
        <f t="shared" ref="O15:O16" si="17">IF(VLOOKUP(B15,DS,9,0)="x",E15*0.015,0)</f>
        <v>0</v>
      </c>
      <c r="P15" s="153">
        <f t="shared" ref="P15:P16" si="18">IF(VLOOKUP(B15,DS,9,0)="x",E15*0.01,0)</f>
        <v>0</v>
      </c>
      <c r="Q15" s="152">
        <f>M15-SUM(N15:P15)</f>
        <v>1625000</v>
      </c>
      <c r="R15" s="152">
        <f t="shared" ref="R15:R16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-11'!$B$8:$AS$17,36,0)</f>
        <v>26</v>
      </c>
      <c r="G16" s="150">
        <f t="shared" si="13"/>
        <v>1275000</v>
      </c>
      <c r="H16" s="149">
        <f>(VLOOKUP(B16,'CC -11'!$B$8:$AS$17,37,0)+VLOOKUP(B16,'CC -11'!$B$8:$AS$17,38,0))</f>
        <v>0</v>
      </c>
      <c r="I16" s="150">
        <f t="shared" si="14"/>
        <v>0</v>
      </c>
      <c r="J16" s="171">
        <f t="shared" si="15"/>
        <v>26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- 11'!E16*$N$4,0)</f>
        <v>0</v>
      </c>
      <c r="O16" s="153">
        <f t="shared" si="17"/>
        <v>0</v>
      </c>
      <c r="P16" s="153">
        <f t="shared" si="18"/>
        <v>0</v>
      </c>
      <c r="Q16" s="152">
        <f t="shared" ref="Q16" si="20">M16-SUM(N16:P16)</f>
        <v>1535000</v>
      </c>
      <c r="R16" s="152">
        <f t="shared" si="19"/>
        <v>0</v>
      </c>
      <c r="S16" s="154">
        <f t="shared" ref="S16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25" s="155" customFormat="1" ht="22.5" customHeight="1">
      <c r="A17" s="172"/>
      <c r="B17" s="173"/>
      <c r="C17" s="174"/>
      <c r="D17" s="175"/>
      <c r="E17" s="176"/>
      <c r="F17" s="176"/>
      <c r="G17" s="176"/>
      <c r="H17" s="176"/>
      <c r="I17" s="176"/>
      <c r="J17" s="177"/>
      <c r="K17" s="176"/>
      <c r="L17" s="176"/>
      <c r="M17" s="178"/>
      <c r="N17" s="176"/>
      <c r="O17" s="176"/>
      <c r="P17" s="176"/>
      <c r="Q17" s="176"/>
      <c r="R17" s="176"/>
      <c r="S17" s="176"/>
      <c r="T17" s="152"/>
      <c r="U17" s="103"/>
      <c r="V17" s="179"/>
      <c r="W17" s="179"/>
      <c r="X17" s="179"/>
      <c r="Y17" s="179"/>
    </row>
    <row r="18" spans="1:25" s="170" customFormat="1" ht="21" customHeight="1">
      <c r="A18" s="260" t="s">
        <v>48</v>
      </c>
      <c r="B18" s="260"/>
      <c r="C18" s="260"/>
      <c r="D18" s="260"/>
      <c r="E18" s="167">
        <f>SUM(E14:E17)</f>
        <v>2640000</v>
      </c>
      <c r="F18" s="167"/>
      <c r="G18" s="167">
        <f>SUM(G14:G17)</f>
        <v>2640000</v>
      </c>
      <c r="H18" s="167"/>
      <c r="I18" s="167">
        <f>SUM(I14:I17)</f>
        <v>0</v>
      </c>
      <c r="J18" s="167"/>
      <c r="K18" s="167">
        <f t="shared" ref="K18:S18" si="22">SUM(K14:K17)</f>
        <v>2640000</v>
      </c>
      <c r="L18" s="167">
        <f t="shared" si="22"/>
        <v>520000</v>
      </c>
      <c r="M18" s="167">
        <f t="shared" si="22"/>
        <v>3160000</v>
      </c>
      <c r="N18" s="167">
        <f t="shared" si="22"/>
        <v>0</v>
      </c>
      <c r="O18" s="167">
        <f t="shared" si="22"/>
        <v>0</v>
      </c>
      <c r="P18" s="167">
        <f t="shared" si="22"/>
        <v>0</v>
      </c>
      <c r="Q18" s="167">
        <f t="shared" si="22"/>
        <v>3160000</v>
      </c>
      <c r="R18" s="167">
        <f t="shared" si="22"/>
        <v>0</v>
      </c>
      <c r="S18" s="167">
        <f t="shared" si="22"/>
        <v>3160000</v>
      </c>
      <c r="T18" s="168"/>
      <c r="U18" s="103"/>
      <c r="V18" s="169"/>
      <c r="W18" s="169"/>
      <c r="X18" s="169"/>
      <c r="Y18" s="169"/>
    </row>
    <row r="19" spans="1:25" ht="11.25" customHeight="1">
      <c r="A19" s="180"/>
      <c r="B19" s="180"/>
      <c r="C19" s="181"/>
      <c r="D19" s="182"/>
      <c r="E19" s="183"/>
      <c r="F19" s="181"/>
      <c r="G19" s="181"/>
      <c r="H19" s="181"/>
      <c r="I19" s="181"/>
      <c r="K19" s="181"/>
      <c r="L19" s="181"/>
      <c r="M19" s="185"/>
      <c r="N19" s="181"/>
      <c r="O19" s="181"/>
      <c r="P19" s="181"/>
      <c r="Q19" s="181"/>
      <c r="R19" s="181"/>
      <c r="S19" s="181"/>
      <c r="T19" s="181"/>
      <c r="U19" s="103"/>
    </row>
    <row r="20" spans="1:25" s="155" customFormat="1" ht="11.25" customHeight="1">
      <c r="A20" s="38"/>
      <c r="B20" s="38"/>
      <c r="C20" s="38"/>
      <c r="D20" s="188"/>
      <c r="E20" s="189"/>
      <c r="F20" s="38"/>
      <c r="G20" s="38"/>
      <c r="H20" s="38"/>
      <c r="I20" s="38"/>
      <c r="J20" s="190"/>
      <c r="K20" s="189"/>
      <c r="L20" s="38"/>
      <c r="M20" s="38"/>
      <c r="N20" s="38"/>
      <c r="O20" s="38"/>
      <c r="P20" s="38"/>
      <c r="Q20" s="38"/>
      <c r="R20" s="38"/>
      <c r="S20" s="39" t="str">
        <f>"Ngày "&amp;IF(OR(MONTH($E$4)=4,MONTH($E$4)=6,MONTH($E$4)=9,MONTH($E$4)=11),"30",IF(MONTH($E$4)=2,"28","31"))&amp;"  tháng  "&amp;MONTH($E$4)&amp;"  năm   "&amp;YEAR($E$4)</f>
        <v>Ngày 30  tháng  11  năm   2013</v>
      </c>
      <c r="T20" s="38"/>
      <c r="U20" s="191"/>
      <c r="V20" s="179"/>
      <c r="W20" s="179"/>
      <c r="X20" s="179"/>
      <c r="Y20" s="179"/>
    </row>
    <row r="21" spans="1:25" s="155" customFormat="1" ht="12.75">
      <c r="A21" s="48"/>
      <c r="B21" s="48"/>
      <c r="C21" s="48" t="s">
        <v>180</v>
      </c>
      <c r="D21" s="192"/>
      <c r="E21" s="50"/>
      <c r="F21" s="191"/>
      <c r="G21" s="50"/>
      <c r="H21" s="50"/>
      <c r="I21" s="50"/>
      <c r="J21" s="193"/>
      <c r="K21" s="179"/>
      <c r="L21" s="48"/>
      <c r="M21" s="194"/>
      <c r="N21" s="40"/>
      <c r="O21" s="40"/>
      <c r="P21" s="40"/>
      <c r="Q21" s="40"/>
      <c r="S21" s="191" t="s">
        <v>54</v>
      </c>
      <c r="T21" s="191"/>
      <c r="U21" s="191"/>
      <c r="V21" s="179"/>
      <c r="W21" s="179"/>
      <c r="X21" s="179"/>
      <c r="Y21" s="179"/>
    </row>
    <row r="22" spans="1:25" ht="12">
      <c r="A22" s="180"/>
      <c r="B22" s="180"/>
      <c r="C22" s="195"/>
      <c r="E22" s="196"/>
      <c r="F22" s="105"/>
      <c r="G22" s="196"/>
      <c r="H22" s="196"/>
      <c r="I22" s="196"/>
      <c r="K22" s="186"/>
      <c r="L22" s="195"/>
      <c r="N22" s="197"/>
      <c r="O22" s="197"/>
      <c r="P22" s="197"/>
      <c r="Q22" s="197"/>
      <c r="S22" s="197"/>
      <c r="T22" s="105"/>
      <c r="U22" s="103"/>
    </row>
    <row r="23" spans="1:25" ht="12">
      <c r="C23" s="195"/>
      <c r="L23" s="195"/>
      <c r="T23" s="195"/>
      <c r="U23" s="103"/>
    </row>
    <row r="24" spans="1:25" ht="12">
      <c r="U24" s="103"/>
    </row>
    <row r="25" spans="1:25" ht="12">
      <c r="U25" s="103"/>
    </row>
    <row r="26" spans="1:25" ht="12">
      <c r="U26" s="103"/>
    </row>
    <row r="27" spans="1:25" ht="12">
      <c r="U27" s="103"/>
    </row>
    <row r="28" spans="1:25" ht="12">
      <c r="U28" s="103"/>
    </row>
    <row r="29" spans="1:25" ht="12">
      <c r="U29" s="103"/>
    </row>
  </sheetData>
  <protectedRanges>
    <protectedRange password="CC78" sqref="V17:IJ18 C5:D7 B21:C21 A17:A22 B17:B20 B22 V14 Q5:T7 E5:I6 N5:P6 L5 L21 J6:K7 L7 A24:T57 U30:U57 N17:S17 V24:IJ57 J17:L17 AE14:IJ14 V13:IJ13 D13:T13 D18:T18 A58:IJ65325 A10:B13 Q10:S12 V5:V12 AE5:IJ12" name="Range1"/>
    <protectedRange password="CC78" sqref="F7:H7" name="Range1_4"/>
    <protectedRange password="CC78" sqref="V21:IJ22 S21:T22 N21:Q22 E21:I22" name="Range1_1_1"/>
    <protectedRange password="CC78" sqref="U1 V1:IJ4 B4:T4 R2:S3 B1:Q3 U17:U29 W14:AD14 U4:U14 W5:AD12" name="Range1_2"/>
    <protectedRange password="CC78" sqref="A1" name="Range1_2_1_1"/>
    <protectedRange password="CC78" sqref="I7" name="Range1_4_1"/>
    <protectedRange password="CC78" sqref="U2:U3" name="Range1_2_2_1"/>
    <protectedRange password="CC78" sqref="V15:V16 Q15:S16 A15:B16 AE15:IJ16" name="Range1_5"/>
    <protectedRange password="CC78" sqref="U15:U16 W15:AD16" name="Range1_2_3"/>
    <protectedRange password="CC78" sqref="K10:K12 K15:K16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8:D18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J34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AT1" sqref="AT1:AV104857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16384" width="3.7109375" style="2"/>
  </cols>
  <sheetData>
    <row r="1" spans="1:88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12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22" t="s">
        <v>132</v>
      </c>
      <c r="AN1" s="223"/>
      <c r="AO1" s="223"/>
      <c r="AP1" s="223"/>
      <c r="AQ1" s="223"/>
      <c r="AR1" s="223"/>
      <c r="AS1" s="224"/>
    </row>
    <row r="2" spans="1:88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</row>
    <row r="3" spans="1:88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</row>
    <row r="4" spans="1:88" ht="14.25" customHeight="1">
      <c r="A4" s="69"/>
      <c r="B4" s="69"/>
      <c r="C4" s="70"/>
      <c r="D4" s="71"/>
      <c r="E4" s="72">
        <v>41609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</row>
    <row r="5" spans="1:88" s="78" customFormat="1" ht="18.75" customHeight="1">
      <c r="A5" s="225" t="s">
        <v>133</v>
      </c>
      <c r="B5" s="225" t="s">
        <v>4</v>
      </c>
      <c r="C5" s="225" t="s">
        <v>5</v>
      </c>
      <c r="D5" s="227" t="s">
        <v>134</v>
      </c>
      <c r="E5" s="225" t="s">
        <v>135</v>
      </c>
      <c r="F5" s="77">
        <f>+E4</f>
        <v>41609</v>
      </c>
      <c r="G5" s="77">
        <f t="shared" ref="G5:AJ5" si="0">F5+1</f>
        <v>41610</v>
      </c>
      <c r="H5" s="77">
        <f t="shared" si="0"/>
        <v>41611</v>
      </c>
      <c r="I5" s="77">
        <f t="shared" si="0"/>
        <v>41612</v>
      </c>
      <c r="J5" s="77">
        <f t="shared" si="0"/>
        <v>41613</v>
      </c>
      <c r="K5" s="77">
        <f t="shared" si="0"/>
        <v>41614</v>
      </c>
      <c r="L5" s="77">
        <f t="shared" si="0"/>
        <v>41615</v>
      </c>
      <c r="M5" s="77">
        <f t="shared" si="0"/>
        <v>41616</v>
      </c>
      <c r="N5" s="77">
        <f t="shared" si="0"/>
        <v>41617</v>
      </c>
      <c r="O5" s="77">
        <f t="shared" si="0"/>
        <v>41618</v>
      </c>
      <c r="P5" s="77">
        <f t="shared" si="0"/>
        <v>41619</v>
      </c>
      <c r="Q5" s="77">
        <f t="shared" si="0"/>
        <v>41620</v>
      </c>
      <c r="R5" s="77">
        <f t="shared" si="0"/>
        <v>41621</v>
      </c>
      <c r="S5" s="77">
        <f t="shared" si="0"/>
        <v>41622</v>
      </c>
      <c r="T5" s="77">
        <f t="shared" si="0"/>
        <v>41623</v>
      </c>
      <c r="U5" s="77">
        <f t="shared" si="0"/>
        <v>41624</v>
      </c>
      <c r="V5" s="77">
        <f t="shared" si="0"/>
        <v>41625</v>
      </c>
      <c r="W5" s="77">
        <f t="shared" si="0"/>
        <v>41626</v>
      </c>
      <c r="X5" s="77">
        <f t="shared" si="0"/>
        <v>41627</v>
      </c>
      <c r="Y5" s="77">
        <f t="shared" si="0"/>
        <v>41628</v>
      </c>
      <c r="Z5" s="77">
        <f t="shared" si="0"/>
        <v>41629</v>
      </c>
      <c r="AA5" s="77">
        <f t="shared" si="0"/>
        <v>41630</v>
      </c>
      <c r="AB5" s="77">
        <f t="shared" si="0"/>
        <v>41631</v>
      </c>
      <c r="AC5" s="77">
        <f t="shared" si="0"/>
        <v>41632</v>
      </c>
      <c r="AD5" s="77">
        <f t="shared" si="0"/>
        <v>41633</v>
      </c>
      <c r="AE5" s="77">
        <f t="shared" si="0"/>
        <v>41634</v>
      </c>
      <c r="AF5" s="77">
        <f t="shared" si="0"/>
        <v>41635</v>
      </c>
      <c r="AG5" s="77">
        <f t="shared" si="0"/>
        <v>41636</v>
      </c>
      <c r="AH5" s="77">
        <f>AG5+1</f>
        <v>41637</v>
      </c>
      <c r="AI5" s="77">
        <f t="shared" si="0"/>
        <v>41638</v>
      </c>
      <c r="AJ5" s="77">
        <f t="shared" si="0"/>
        <v>41639</v>
      </c>
      <c r="AK5" s="228" t="s">
        <v>136</v>
      </c>
      <c r="AL5" s="229"/>
      <c r="AM5" s="230"/>
      <c r="AN5" s="231" t="s">
        <v>137</v>
      </c>
      <c r="AO5" s="231" t="s">
        <v>138</v>
      </c>
      <c r="AP5" s="231" t="s">
        <v>139</v>
      </c>
      <c r="AQ5" s="231" t="s">
        <v>140</v>
      </c>
      <c r="AR5" s="231" t="s">
        <v>141</v>
      </c>
      <c r="AS5" s="227" t="s">
        <v>142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</row>
    <row r="6" spans="1:88" s="78" customFormat="1" ht="39.75" customHeight="1">
      <c r="A6" s="226"/>
      <c r="B6" s="226"/>
      <c r="C6" s="226"/>
      <c r="D6" s="226"/>
      <c r="E6" s="226"/>
      <c r="F6" s="79" t="str">
        <f>CHOOSE(WEEKDAY(F5),"C.Nhật","T.Hai","T.Ba","T.Tư","T.Năm","T.Sáu","T.Bảy")</f>
        <v>C.Nhật</v>
      </c>
      <c r="G6" s="79" t="str">
        <f t="shared" ref="G6:AJ6" si="1">CHOOSE(WEEKDAY(G5),"C.Nhật","T.Hai","T.Ba","T.Tư","T.Năm","T.Sáu","T.Bảy")</f>
        <v>T.Hai</v>
      </c>
      <c r="H6" s="79" t="str">
        <f t="shared" si="1"/>
        <v>T.Ba</v>
      </c>
      <c r="I6" s="79" t="str">
        <f t="shared" si="1"/>
        <v>T.Tư</v>
      </c>
      <c r="J6" s="79" t="str">
        <f t="shared" si="1"/>
        <v>T.Năm</v>
      </c>
      <c r="K6" s="79" t="str">
        <f t="shared" si="1"/>
        <v>T.Sáu</v>
      </c>
      <c r="L6" s="79" t="str">
        <f t="shared" si="1"/>
        <v>T.Bảy</v>
      </c>
      <c r="M6" s="79" t="str">
        <f t="shared" si="1"/>
        <v>C.Nhật</v>
      </c>
      <c r="N6" s="79" t="str">
        <f t="shared" si="1"/>
        <v>T.Hai</v>
      </c>
      <c r="O6" s="79" t="str">
        <f t="shared" si="1"/>
        <v>T.Ba</v>
      </c>
      <c r="P6" s="79" t="str">
        <f t="shared" si="1"/>
        <v>T.Tư</v>
      </c>
      <c r="Q6" s="79" t="str">
        <f t="shared" si="1"/>
        <v>T.Năm</v>
      </c>
      <c r="R6" s="79" t="str">
        <f t="shared" si="1"/>
        <v>T.Sáu</v>
      </c>
      <c r="S6" s="79" t="str">
        <f t="shared" si="1"/>
        <v>T.Bảy</v>
      </c>
      <c r="T6" s="79" t="str">
        <f t="shared" si="1"/>
        <v>C.Nhật</v>
      </c>
      <c r="U6" s="79" t="str">
        <f t="shared" si="1"/>
        <v>T.Hai</v>
      </c>
      <c r="V6" s="79" t="str">
        <f t="shared" si="1"/>
        <v>T.Ba</v>
      </c>
      <c r="W6" s="79" t="str">
        <f t="shared" si="1"/>
        <v>T.Tư</v>
      </c>
      <c r="X6" s="79" t="str">
        <f t="shared" si="1"/>
        <v>T.Năm</v>
      </c>
      <c r="Y6" s="79" t="str">
        <f t="shared" si="1"/>
        <v>T.Sáu</v>
      </c>
      <c r="Z6" s="79" t="str">
        <f t="shared" si="1"/>
        <v>T.Bảy</v>
      </c>
      <c r="AA6" s="79" t="str">
        <f t="shared" si="1"/>
        <v>C.Nhật</v>
      </c>
      <c r="AB6" s="79" t="str">
        <f t="shared" si="1"/>
        <v>T.Hai</v>
      </c>
      <c r="AC6" s="79" t="str">
        <f t="shared" si="1"/>
        <v>T.Ba</v>
      </c>
      <c r="AD6" s="79" t="str">
        <f t="shared" si="1"/>
        <v>T.Tư</v>
      </c>
      <c r="AE6" s="79" t="str">
        <f t="shared" si="1"/>
        <v>T.Năm</v>
      </c>
      <c r="AF6" s="79" t="str">
        <f t="shared" si="1"/>
        <v>T.Sáu</v>
      </c>
      <c r="AG6" s="79" t="str">
        <f t="shared" si="1"/>
        <v>T.Bảy</v>
      </c>
      <c r="AH6" s="79" t="str">
        <f t="shared" si="1"/>
        <v>C.Nhật</v>
      </c>
      <c r="AI6" s="79" t="str">
        <f t="shared" si="1"/>
        <v>T.Hai</v>
      </c>
      <c r="AJ6" s="79" t="str">
        <f t="shared" si="1"/>
        <v>T.Ba</v>
      </c>
      <c r="AK6" s="80" t="s">
        <v>143</v>
      </c>
      <c r="AL6" s="80" t="s">
        <v>144</v>
      </c>
      <c r="AM6" s="81" t="s">
        <v>145</v>
      </c>
      <c r="AN6" s="232"/>
      <c r="AO6" s="232"/>
      <c r="AP6" s="232"/>
      <c r="AQ6" s="232"/>
      <c r="AR6" s="232"/>
      <c r="AS6" s="226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</row>
    <row r="7" spans="1:88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</row>
    <row r="8" spans="1:88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</row>
    <row r="9" spans="1:88" s="78" customFormat="1" ht="18" customHeight="1">
      <c r="A9" s="233">
        <v>1</v>
      </c>
      <c r="B9" s="233" t="s">
        <v>34</v>
      </c>
      <c r="C9" s="235" t="str">
        <f>VLOOKUP(B9,DS,2,0)</f>
        <v>Võ Ngọc Thùy Lan</v>
      </c>
      <c r="D9" s="237" t="str">
        <f>VLOOKUP(B9,DS,3,0)</f>
        <v>Giám Đốc</v>
      </c>
      <c r="E9" s="90" t="s">
        <v>148</v>
      </c>
      <c r="F9" s="91"/>
      <c r="G9" s="91">
        <v>8</v>
      </c>
      <c r="H9" s="91">
        <v>8</v>
      </c>
      <c r="I9" s="91">
        <v>8</v>
      </c>
      <c r="J9" s="91">
        <v>8</v>
      </c>
      <c r="K9" s="91">
        <v>8</v>
      </c>
      <c r="L9" s="91">
        <v>8</v>
      </c>
      <c r="M9" s="91"/>
      <c r="N9" s="91">
        <v>8</v>
      </c>
      <c r="O9" s="91">
        <v>8</v>
      </c>
      <c r="P9" s="91">
        <v>8</v>
      </c>
      <c r="Q9" s="91">
        <v>8</v>
      </c>
      <c r="R9" s="91">
        <v>8</v>
      </c>
      <c r="S9" s="91">
        <v>8</v>
      </c>
      <c r="T9" s="91"/>
      <c r="U9" s="91">
        <v>8</v>
      </c>
      <c r="V9" s="91">
        <v>8</v>
      </c>
      <c r="W9" s="91">
        <v>8</v>
      </c>
      <c r="X9" s="91">
        <v>8</v>
      </c>
      <c r="Y9" s="91">
        <v>8</v>
      </c>
      <c r="Z9" s="91">
        <v>8</v>
      </c>
      <c r="AA9" s="91"/>
      <c r="AB9" s="91">
        <v>8</v>
      </c>
      <c r="AC9" s="91">
        <v>8</v>
      </c>
      <c r="AD9" s="91">
        <v>8</v>
      </c>
      <c r="AE9" s="91">
        <v>8</v>
      </c>
      <c r="AF9" s="91">
        <v>8</v>
      </c>
      <c r="AG9" s="91">
        <v>8</v>
      </c>
      <c r="AH9" s="91"/>
      <c r="AI9" s="91">
        <v>8</v>
      </c>
      <c r="AJ9" s="91">
        <v>8</v>
      </c>
      <c r="AK9" s="239">
        <f>((SUM(F9:AJ9))/8)-(SUMIF($F$6:$AJ$6,"C.Nhật",F9:AJ9)/8)</f>
        <v>26</v>
      </c>
      <c r="AL9" s="239">
        <f>SUM(F10:AJ10)/8*1.5</f>
        <v>0</v>
      </c>
      <c r="AM9" s="241">
        <f>SUMIF($F$6:$AJ$6,"C.Nhật",$F9:$AJ10)/8*2</f>
        <v>0</v>
      </c>
      <c r="AN9" s="218">
        <f>SUM(AK9:AM10)</f>
        <v>26</v>
      </c>
      <c r="AO9" s="244">
        <v>0</v>
      </c>
      <c r="AP9" s="218"/>
      <c r="AQ9" s="218"/>
      <c r="AR9" s="218"/>
      <c r="AS9" s="220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</row>
    <row r="10" spans="1:88" s="78" customFormat="1" ht="18" customHeight="1">
      <c r="A10" s="234"/>
      <c r="B10" s="234"/>
      <c r="C10" s="236"/>
      <c r="D10" s="238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40"/>
      <c r="AL10" s="240"/>
      <c r="AM10" s="242"/>
      <c r="AN10" s="219"/>
      <c r="AO10" s="245"/>
      <c r="AP10" s="219"/>
      <c r="AQ10" s="219"/>
      <c r="AR10" s="219"/>
      <c r="AS10" s="221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</row>
    <row r="11" spans="1:88" s="78" customFormat="1" ht="18" customHeight="1">
      <c r="A11" s="233">
        <v>2</v>
      </c>
      <c r="B11" s="233" t="s">
        <v>36</v>
      </c>
      <c r="C11" s="235" t="str">
        <f>VLOOKUP(B11,DS,2,0)</f>
        <v>Nguyễn Thị Thu Hà</v>
      </c>
      <c r="D11" s="237" t="str">
        <f>VLOOKUP(B11,DS,3,0)</f>
        <v>Kế Toán</v>
      </c>
      <c r="E11" s="90" t="s">
        <v>148</v>
      </c>
      <c r="F11" s="91"/>
      <c r="G11" s="91">
        <v>8</v>
      </c>
      <c r="H11" s="91">
        <v>8</v>
      </c>
      <c r="I11" s="91">
        <v>8</v>
      </c>
      <c r="J11" s="91">
        <v>8</v>
      </c>
      <c r="K11" s="91">
        <v>8</v>
      </c>
      <c r="L11" s="91">
        <v>8</v>
      </c>
      <c r="M11" s="91"/>
      <c r="N11" s="91">
        <v>8</v>
      </c>
      <c r="O11" s="91">
        <v>8</v>
      </c>
      <c r="P11" s="91">
        <v>8</v>
      </c>
      <c r="Q11" s="91">
        <v>8</v>
      </c>
      <c r="R11" s="91">
        <v>8</v>
      </c>
      <c r="S11" s="91">
        <v>8</v>
      </c>
      <c r="T11" s="91"/>
      <c r="U11" s="91">
        <v>8</v>
      </c>
      <c r="V11" s="91">
        <v>8</v>
      </c>
      <c r="W11" s="91">
        <v>8</v>
      </c>
      <c r="X11" s="91">
        <v>8</v>
      </c>
      <c r="Y11" s="91">
        <v>8</v>
      </c>
      <c r="Z11" s="91">
        <v>8</v>
      </c>
      <c r="AA11" s="91"/>
      <c r="AB11" s="91">
        <v>8</v>
      </c>
      <c r="AC11" s="91">
        <v>8</v>
      </c>
      <c r="AD11" s="91">
        <v>8</v>
      </c>
      <c r="AE11" s="91">
        <v>8</v>
      </c>
      <c r="AF11" s="91">
        <v>8</v>
      </c>
      <c r="AG11" s="91">
        <v>8</v>
      </c>
      <c r="AH11" s="91"/>
      <c r="AI11" s="91">
        <v>8</v>
      </c>
      <c r="AJ11" s="91">
        <v>8</v>
      </c>
      <c r="AK11" s="239">
        <f t="shared" ref="AK11" si="2">((SUM(F11:AJ11))/8)-(SUMIF($F$6:$AJ$6,"C.Nhật",F11:AJ11)/8)</f>
        <v>26</v>
      </c>
      <c r="AL11" s="239">
        <f t="shared" ref="AL11" si="3">SUM(F12:AJ12)/8*1.5</f>
        <v>0</v>
      </c>
      <c r="AM11" s="241">
        <f t="shared" ref="AM11" si="4">SUMIF($F$6:$AJ$6,"C.Nhật",$F11:$AJ12)/8*2</f>
        <v>0</v>
      </c>
      <c r="AN11" s="218">
        <f t="shared" ref="AN11" si="5">SUM(AK11:AM12)</f>
        <v>26</v>
      </c>
      <c r="AO11" s="244">
        <v>0</v>
      </c>
      <c r="AP11" s="218"/>
      <c r="AQ11" s="218"/>
      <c r="AR11" s="218"/>
      <c r="AS11" s="220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</row>
    <row r="12" spans="1:88" s="78" customFormat="1" ht="18" customHeight="1">
      <c r="A12" s="234"/>
      <c r="B12" s="234"/>
      <c r="C12" s="236"/>
      <c r="D12" s="238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40"/>
      <c r="AL12" s="240"/>
      <c r="AM12" s="242"/>
      <c r="AN12" s="219"/>
      <c r="AO12" s="245"/>
      <c r="AP12" s="219"/>
      <c r="AQ12" s="219"/>
      <c r="AR12" s="219"/>
      <c r="AS12" s="221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</row>
    <row r="13" spans="1:88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</row>
    <row r="14" spans="1:88" s="78" customFormat="1" ht="18" customHeight="1">
      <c r="A14" s="233">
        <v>1</v>
      </c>
      <c r="B14" s="233" t="s">
        <v>39</v>
      </c>
      <c r="C14" s="235" t="str">
        <f>VLOOKUP(B14,DS,2,0)</f>
        <v>Nguyễn Thị Thanh Thúy</v>
      </c>
      <c r="D14" s="237" t="str">
        <f>VLOOKUP(B14,DS,3,0)</f>
        <v>Công nhân</v>
      </c>
      <c r="E14" s="90" t="s">
        <v>148</v>
      </c>
      <c r="F14" s="91"/>
      <c r="G14" s="91">
        <v>8</v>
      </c>
      <c r="H14" s="91">
        <v>8</v>
      </c>
      <c r="I14" s="91">
        <v>8</v>
      </c>
      <c r="J14" s="91">
        <v>8</v>
      </c>
      <c r="K14" s="91">
        <v>8</v>
      </c>
      <c r="L14" s="91">
        <v>8</v>
      </c>
      <c r="M14" s="91"/>
      <c r="N14" s="91">
        <v>8</v>
      </c>
      <c r="O14" s="91">
        <v>8</v>
      </c>
      <c r="P14" s="91">
        <v>8</v>
      </c>
      <c r="Q14" s="91">
        <v>8</v>
      </c>
      <c r="R14" s="91">
        <v>8</v>
      </c>
      <c r="S14" s="91">
        <v>8</v>
      </c>
      <c r="T14" s="91"/>
      <c r="U14" s="91">
        <v>8</v>
      </c>
      <c r="V14" s="91">
        <v>8</v>
      </c>
      <c r="W14" s="91">
        <v>8</v>
      </c>
      <c r="X14" s="91">
        <v>8</v>
      </c>
      <c r="Y14" s="91">
        <v>8</v>
      </c>
      <c r="Z14" s="91">
        <v>8</v>
      </c>
      <c r="AA14" s="91"/>
      <c r="AB14" s="91">
        <v>8</v>
      </c>
      <c r="AC14" s="91">
        <v>8</v>
      </c>
      <c r="AD14" s="91">
        <v>8</v>
      </c>
      <c r="AE14" s="91">
        <v>8</v>
      </c>
      <c r="AF14" s="91">
        <v>8</v>
      </c>
      <c r="AG14" s="91">
        <v>8</v>
      </c>
      <c r="AH14" s="91"/>
      <c r="AI14" s="91">
        <v>8</v>
      </c>
      <c r="AJ14" s="91">
        <v>8</v>
      </c>
      <c r="AK14" s="239">
        <f t="shared" ref="AK14" si="6">((SUM(F14:AJ14))/8)-(SUMIF($F$6:$AJ$6,"C.Nhật",F14:AJ14)/8)</f>
        <v>26</v>
      </c>
      <c r="AL14" s="239">
        <f t="shared" ref="AL14" si="7">SUM(F15:AJ15)/8*1.5</f>
        <v>0</v>
      </c>
      <c r="AM14" s="241">
        <f>SUMIF($F$6:$AJ$6,"C.Nhật",$F14:$AJ15)/8*2</f>
        <v>0</v>
      </c>
      <c r="AN14" s="218">
        <f>SUM(AK14:AM15)</f>
        <v>26</v>
      </c>
      <c r="AO14" s="244">
        <v>0</v>
      </c>
      <c r="AP14" s="218"/>
      <c r="AQ14" s="218"/>
      <c r="AR14" s="218"/>
      <c r="AS14" s="220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</row>
    <row r="15" spans="1:88" s="78" customFormat="1" ht="18" customHeight="1">
      <c r="A15" s="234"/>
      <c r="B15" s="234"/>
      <c r="C15" s="236"/>
      <c r="D15" s="238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40"/>
      <c r="AL15" s="240"/>
      <c r="AM15" s="242"/>
      <c r="AN15" s="219"/>
      <c r="AO15" s="245"/>
      <c r="AP15" s="219"/>
      <c r="AQ15" s="219"/>
      <c r="AR15" s="219"/>
      <c r="AS15" s="221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</row>
    <row r="16" spans="1:88" s="78" customFormat="1" ht="18" customHeight="1">
      <c r="A16" s="233">
        <f>A14+1</f>
        <v>2</v>
      </c>
      <c r="B16" s="233" t="s">
        <v>42</v>
      </c>
      <c r="C16" s="235" t="str">
        <f>VLOOKUP(B16,DS,2,0)</f>
        <v>Huỳnh Đoàn Viết Thanh</v>
      </c>
      <c r="D16" s="237" t="str">
        <f>VLOOKUP(B16,DS,3,0)</f>
        <v>Công nhân</v>
      </c>
      <c r="E16" s="90" t="s">
        <v>148</v>
      </c>
      <c r="F16" s="91"/>
      <c r="G16" s="91">
        <v>8</v>
      </c>
      <c r="H16" s="91">
        <v>8</v>
      </c>
      <c r="I16" s="91">
        <v>8</v>
      </c>
      <c r="J16" s="91">
        <v>8</v>
      </c>
      <c r="K16" s="91">
        <v>8</v>
      </c>
      <c r="L16" s="91">
        <v>8</v>
      </c>
      <c r="M16" s="91"/>
      <c r="N16" s="91">
        <v>8</v>
      </c>
      <c r="O16" s="91">
        <v>8</v>
      </c>
      <c r="P16" s="91">
        <v>8</v>
      </c>
      <c r="Q16" s="91">
        <v>8</v>
      </c>
      <c r="R16" s="91">
        <v>8</v>
      </c>
      <c r="S16" s="91">
        <v>8</v>
      </c>
      <c r="T16" s="91"/>
      <c r="U16" s="91">
        <v>8</v>
      </c>
      <c r="V16" s="91">
        <v>8</v>
      </c>
      <c r="W16" s="91">
        <v>8</v>
      </c>
      <c r="X16" s="91">
        <v>8</v>
      </c>
      <c r="Y16" s="91">
        <v>8</v>
      </c>
      <c r="Z16" s="91">
        <v>8</v>
      </c>
      <c r="AA16" s="91"/>
      <c r="AB16" s="91">
        <v>8</v>
      </c>
      <c r="AC16" s="91">
        <v>8</v>
      </c>
      <c r="AD16" s="91">
        <v>8</v>
      </c>
      <c r="AE16" s="91">
        <v>8</v>
      </c>
      <c r="AF16" s="91">
        <v>8</v>
      </c>
      <c r="AG16" s="91">
        <v>8</v>
      </c>
      <c r="AH16" s="91"/>
      <c r="AI16" s="91">
        <v>8</v>
      </c>
      <c r="AJ16" s="91">
        <v>8</v>
      </c>
      <c r="AK16" s="239">
        <f t="shared" ref="AK16" si="8">((SUM(F16:AJ16))/8)-(SUMIF($F$6:$AJ$6,"C.Nhật",F16:AJ16)/8)</f>
        <v>26</v>
      </c>
      <c r="AL16" s="239">
        <f t="shared" ref="AL16" si="9">SUM(F17:AJ17)/8*1.5</f>
        <v>0</v>
      </c>
      <c r="AM16" s="241">
        <f>SUMIF($F$6:$AJ$6,"C.Nhật",$F16:$AJ17)/8*2</f>
        <v>0</v>
      </c>
      <c r="AN16" s="218">
        <f t="shared" ref="AN16" si="10">SUM(AK16:AM17)</f>
        <v>26</v>
      </c>
      <c r="AO16" s="244">
        <v>0</v>
      </c>
      <c r="AP16" s="218"/>
      <c r="AQ16" s="218"/>
      <c r="AR16" s="218"/>
      <c r="AS16" s="220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</row>
    <row r="17" spans="1:88" s="78" customFormat="1" ht="18" customHeight="1">
      <c r="A17" s="234"/>
      <c r="B17" s="234"/>
      <c r="C17" s="236"/>
      <c r="D17" s="238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40"/>
      <c r="AL17" s="240"/>
      <c r="AM17" s="242"/>
      <c r="AN17" s="219"/>
      <c r="AO17" s="245"/>
      <c r="AP17" s="219"/>
      <c r="AQ17" s="219"/>
      <c r="AR17" s="219"/>
      <c r="AS17" s="221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</row>
    <row r="18" spans="1:88" s="104" customFormat="1" ht="12.75">
      <c r="A18" s="94"/>
      <c r="B18" s="95"/>
      <c r="C18" s="96"/>
      <c r="D18" s="97"/>
      <c r="E18" s="96"/>
      <c r="F18" s="98"/>
      <c r="G18" s="98"/>
      <c r="H18" s="99"/>
      <c r="I18" s="99"/>
      <c r="J18" s="100"/>
      <c r="K18" s="98"/>
      <c r="L18" s="99"/>
      <c r="M18" s="98"/>
      <c r="N18" s="98"/>
      <c r="O18" s="98"/>
      <c r="P18" s="98"/>
      <c r="Q18" s="99"/>
      <c r="R18" s="98"/>
      <c r="S18" s="98"/>
      <c r="T18" s="100"/>
      <c r="U18" s="98"/>
      <c r="V18" s="98"/>
      <c r="W18" s="98"/>
      <c r="X18" s="95"/>
      <c r="Y18" s="98"/>
      <c r="Z18" s="98"/>
      <c r="AA18" s="98"/>
      <c r="AB18" s="98"/>
      <c r="AC18" s="98"/>
      <c r="AD18" s="99"/>
      <c r="AE18" s="98"/>
      <c r="AF18" s="98"/>
      <c r="AG18" s="98"/>
      <c r="AH18" s="98"/>
      <c r="AI18" s="98"/>
      <c r="AJ18" s="98"/>
      <c r="AK18" s="96"/>
      <c r="AL18" s="96"/>
      <c r="AM18" s="101"/>
      <c r="AN18" s="102"/>
      <c r="AO18" s="102"/>
      <c r="AP18" s="102"/>
      <c r="AQ18" s="102"/>
      <c r="AR18" s="102"/>
      <c r="AS18" s="96"/>
    </row>
    <row r="19" spans="1:88" s="104" customFormat="1" ht="12.75">
      <c r="A19" s="94"/>
      <c r="B19" s="95"/>
      <c r="C19" s="94" t="s">
        <v>53</v>
      </c>
      <c r="D19" s="97"/>
      <c r="E19" s="96"/>
      <c r="F19" s="98"/>
      <c r="G19" s="98"/>
      <c r="H19" s="99"/>
      <c r="I19" s="99"/>
      <c r="J19" s="100"/>
      <c r="K19" s="98"/>
      <c r="L19" s="99"/>
      <c r="M19" s="98"/>
      <c r="N19" s="98"/>
      <c r="O19" s="98"/>
      <c r="P19" s="98"/>
      <c r="Q19" s="99"/>
      <c r="R19" s="98"/>
      <c r="S19" s="98"/>
      <c r="T19" s="100"/>
      <c r="U19" s="98"/>
      <c r="V19" s="98"/>
      <c r="W19" s="98"/>
      <c r="X19" s="95"/>
      <c r="Y19" s="98"/>
      <c r="Z19" s="98"/>
      <c r="AA19" s="98"/>
      <c r="AB19" s="98"/>
      <c r="AC19" s="98"/>
      <c r="AD19" s="99"/>
      <c r="AE19" s="98"/>
      <c r="AF19" s="98"/>
      <c r="AG19" s="98"/>
      <c r="AH19" s="98"/>
      <c r="AI19" s="98"/>
      <c r="AJ19" s="98"/>
      <c r="AK19" s="96"/>
      <c r="AL19" s="96"/>
      <c r="AM19" s="101"/>
      <c r="AN19" s="102"/>
      <c r="AO19" s="102"/>
      <c r="AP19" s="102"/>
      <c r="AQ19" s="102"/>
      <c r="AR19" s="102"/>
      <c r="AS19" s="96"/>
    </row>
    <row r="20" spans="1:88" s="104" customFormat="1" ht="12.75">
      <c r="A20" s="105"/>
      <c r="B20" s="105"/>
      <c r="C20" s="96"/>
      <c r="D20" s="97"/>
      <c r="E20" s="96"/>
      <c r="F20" s="98"/>
      <c r="G20" s="98"/>
      <c r="H20" s="106"/>
      <c r="I20" s="106"/>
      <c r="J20" s="106"/>
      <c r="K20" s="98"/>
      <c r="L20" s="106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106"/>
      <c r="AE20" s="98"/>
      <c r="AF20" s="98"/>
      <c r="AG20" s="98"/>
      <c r="AH20" s="98"/>
      <c r="AI20" s="98"/>
      <c r="AJ20" s="98"/>
      <c r="AK20" s="96"/>
      <c r="AL20" s="96"/>
      <c r="AM20" s="101"/>
      <c r="AN20" s="107"/>
      <c r="AO20" s="107"/>
      <c r="AP20" s="107"/>
      <c r="AQ20" s="107"/>
      <c r="AR20" s="107"/>
      <c r="AS20" s="96"/>
    </row>
    <row r="21" spans="1:88" s="108" customFormat="1" ht="15" customHeight="1">
      <c r="A21" s="105"/>
      <c r="B21" s="105"/>
      <c r="C21" s="96"/>
      <c r="D21" s="97"/>
      <c r="E21" s="96"/>
      <c r="F21" s="98"/>
      <c r="G21" s="98"/>
      <c r="H21" s="106"/>
      <c r="I21" s="106"/>
      <c r="J21" s="106"/>
      <c r="K21" s="98"/>
      <c r="L21" s="106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106"/>
      <c r="AE21" s="98"/>
      <c r="AF21" s="98"/>
      <c r="AG21" s="98"/>
      <c r="AH21" s="98"/>
      <c r="AI21" s="98"/>
      <c r="AJ21" s="98"/>
      <c r="AK21" s="96"/>
      <c r="AL21" s="96"/>
      <c r="AM21" s="101"/>
      <c r="AN21" s="107"/>
      <c r="AO21" s="107"/>
      <c r="AP21" s="107"/>
      <c r="AQ21" s="107"/>
      <c r="AR21" s="107"/>
      <c r="AS21" s="96"/>
    </row>
    <row r="22" spans="1:88" s="108" customFormat="1" ht="11.25">
      <c r="A22" s="105"/>
      <c r="B22" s="105"/>
      <c r="C22" s="96"/>
      <c r="D22" s="97"/>
      <c r="E22" s="96"/>
      <c r="F22" s="98"/>
      <c r="G22" s="98"/>
      <c r="H22" s="106"/>
      <c r="I22" s="106"/>
      <c r="J22" s="106"/>
      <c r="K22" s="98"/>
      <c r="L22" s="106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106"/>
      <c r="AE22" s="98"/>
      <c r="AF22" s="98"/>
      <c r="AG22" s="98"/>
      <c r="AH22" s="98"/>
      <c r="AI22" s="98"/>
      <c r="AJ22" s="98"/>
      <c r="AK22" s="96"/>
      <c r="AL22" s="96"/>
      <c r="AM22" s="101"/>
      <c r="AN22" s="107"/>
      <c r="AO22" s="107"/>
      <c r="AP22" s="107"/>
      <c r="AQ22" s="107"/>
      <c r="AR22" s="107"/>
      <c r="AS22" s="96"/>
    </row>
    <row r="23" spans="1:88" s="108" customFormat="1" ht="11.25">
      <c r="A23" s="105"/>
      <c r="B23" s="105"/>
      <c r="C23" s="96"/>
      <c r="D23" s="97"/>
      <c r="E23" s="96"/>
      <c r="F23" s="98"/>
      <c r="G23" s="98"/>
      <c r="H23" s="106"/>
      <c r="I23" s="106"/>
      <c r="J23" s="106"/>
      <c r="K23" s="98"/>
      <c r="L23" s="106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106"/>
      <c r="AE23" s="98"/>
      <c r="AF23" s="98"/>
      <c r="AG23" s="98"/>
      <c r="AH23" s="98"/>
      <c r="AI23" s="98"/>
      <c r="AJ23" s="98"/>
      <c r="AK23" s="96"/>
      <c r="AL23" s="96"/>
      <c r="AM23" s="101"/>
      <c r="AN23" s="107"/>
      <c r="AO23" s="107"/>
      <c r="AP23" s="107"/>
      <c r="AQ23" s="107"/>
      <c r="AR23" s="107"/>
      <c r="AS23" s="96"/>
    </row>
    <row r="24" spans="1:88" s="108" customFormat="1" ht="11.25">
      <c r="A24" s="109"/>
      <c r="B24" s="109"/>
      <c r="C24" s="94"/>
      <c r="D24" s="110"/>
      <c r="E24" s="111"/>
      <c r="F24" s="100"/>
      <c r="G24" s="112"/>
      <c r="H24" s="99"/>
      <c r="I24" s="99"/>
      <c r="J24" s="99"/>
      <c r="K24" s="112"/>
      <c r="L24" s="99"/>
      <c r="M24" s="112"/>
      <c r="N24" s="112"/>
      <c r="O24" s="112"/>
      <c r="P24" s="112"/>
      <c r="Q24" s="99"/>
      <c r="R24" s="100"/>
      <c r="S24" s="112"/>
      <c r="T24" s="112"/>
      <c r="U24" s="99"/>
      <c r="V24" s="112"/>
      <c r="W24" s="112"/>
      <c r="X24" s="99"/>
      <c r="Y24" s="112"/>
      <c r="Z24" s="112"/>
      <c r="AA24" s="112"/>
      <c r="AB24" s="112"/>
      <c r="AC24" s="112"/>
      <c r="AD24" s="99"/>
      <c r="AE24" s="112"/>
      <c r="AF24" s="112"/>
      <c r="AG24" s="112"/>
      <c r="AH24" s="112"/>
      <c r="AI24" s="112"/>
      <c r="AJ24" s="112"/>
      <c r="AK24" s="111"/>
      <c r="AM24" s="113"/>
      <c r="AN24" s="109"/>
      <c r="AO24" s="109"/>
      <c r="AP24" s="109"/>
      <c r="AQ24" s="109"/>
      <c r="AR24" s="109"/>
      <c r="AS24" s="94"/>
    </row>
    <row r="25" spans="1:88" s="108" customFormat="1" ht="12.75">
      <c r="A25" s="2"/>
      <c r="B25" s="2" t="s">
        <v>142</v>
      </c>
      <c r="C25" s="2"/>
      <c r="D25" s="114"/>
      <c r="E25" s="2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6"/>
      <c r="AI25" s="116"/>
      <c r="AJ25" s="116"/>
      <c r="AK25" s="2"/>
      <c r="AL25" s="2"/>
      <c r="AM25" s="117"/>
      <c r="AN25" s="2"/>
      <c r="AO25" s="2"/>
      <c r="AP25" s="2"/>
      <c r="AQ25" s="2"/>
      <c r="AR25" s="2"/>
      <c r="AS25" s="2"/>
    </row>
    <row r="26" spans="1:88" s="108" customFormat="1" ht="12.75">
      <c r="A26" s="2"/>
      <c r="B26" s="2"/>
      <c r="C26" s="2" t="s">
        <v>151</v>
      </c>
      <c r="D26" s="114"/>
      <c r="E26" s="2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6"/>
      <c r="AI26" s="116"/>
      <c r="AJ26" s="116"/>
      <c r="AK26" s="2"/>
      <c r="AL26" s="2"/>
      <c r="AM26" s="117"/>
      <c r="AN26" s="2"/>
      <c r="AO26" s="2"/>
      <c r="AP26" s="2"/>
      <c r="AQ26" s="2"/>
      <c r="AR26" s="2"/>
      <c r="AS26" s="2"/>
    </row>
    <row r="27" spans="1:88" ht="15" customHeight="1">
      <c r="C27" s="2" t="s">
        <v>152</v>
      </c>
    </row>
    <row r="28" spans="1:88" ht="15" customHeight="1">
      <c r="C28" s="2" t="s">
        <v>153</v>
      </c>
    </row>
    <row r="29" spans="1:88" s="114" customFormat="1" ht="15" customHeight="1">
      <c r="A29" s="2"/>
      <c r="B29" s="2"/>
      <c r="C29" s="2" t="s">
        <v>154</v>
      </c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</row>
    <row r="30" spans="1:88" s="114" customFormat="1" ht="15" customHeight="1">
      <c r="A30" s="2"/>
      <c r="B30" s="2"/>
      <c r="C30" s="2" t="s">
        <v>155</v>
      </c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</row>
    <row r="31" spans="1:88" s="114" customFormat="1" ht="15" customHeight="1">
      <c r="A31" s="2"/>
      <c r="B31" s="2"/>
      <c r="C31" s="2" t="s">
        <v>156</v>
      </c>
      <c r="E31" s="2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6"/>
      <c r="AI31" s="116"/>
      <c r="AJ31" s="116"/>
      <c r="AK31" s="2"/>
      <c r="AL31" s="2"/>
      <c r="AM31" s="11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</row>
    <row r="32" spans="1:88" s="114" customFormat="1" ht="15" customHeight="1">
      <c r="A32" s="2"/>
      <c r="B32" s="2"/>
      <c r="C32" s="2" t="s">
        <v>157</v>
      </c>
      <c r="E32" s="2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6"/>
      <c r="AI32" s="116"/>
      <c r="AJ32" s="116"/>
      <c r="AK32" s="2"/>
      <c r="AL32" s="2"/>
      <c r="AM32" s="11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</row>
    <row r="33" spans="1:88" s="114" customFormat="1" ht="15" customHeight="1">
      <c r="A33" s="2"/>
      <c r="B33" s="2"/>
      <c r="C33" s="2" t="s">
        <v>158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</row>
    <row r="34" spans="1:88" s="114" customFormat="1" ht="15" customHeight="1">
      <c r="A34" s="2"/>
      <c r="B34" s="2"/>
      <c r="C34" s="2" t="s">
        <v>159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A14:A17 C14:E17" name="Range1_6_2"/>
    <protectedRange password="CC78" sqref="B14:B17" name="Range1_4_2"/>
  </protectedRanges>
  <mergeCells count="65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1:A12"/>
    <mergeCell ref="B11:B12"/>
    <mergeCell ref="C11:C12"/>
    <mergeCell ref="D11:D12"/>
    <mergeCell ref="AK11:AK12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L11:AL12"/>
    <mergeCell ref="AM11:AM12"/>
    <mergeCell ref="AN11:AN12"/>
    <mergeCell ref="AO11:AO12"/>
    <mergeCell ref="AL16:AL17"/>
    <mergeCell ref="AM16:AM17"/>
    <mergeCell ref="AN16:AN17"/>
    <mergeCell ref="AO16:AO17"/>
    <mergeCell ref="AM14:AM15"/>
    <mergeCell ref="AN14:AN15"/>
    <mergeCell ref="AO14:AO15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S14:AS15"/>
    <mergeCell ref="AP14:AP15"/>
    <mergeCell ref="AQ14:AQ15"/>
    <mergeCell ref="AR14:AR15"/>
  </mergeCells>
  <conditionalFormatting sqref="F5:AJ6 F9:AJ12">
    <cfRule type="expression" dxfId="3" priority="8" stopIfTrue="1">
      <formula>IF(WEEKDAY(F$5)=1,TRUE,FALSE)</formula>
    </cfRule>
  </conditionalFormatting>
  <conditionalFormatting sqref="F9:AJ12">
    <cfRule type="expression" dxfId="2" priority="7" stopIfTrue="1">
      <formula>IF(WEEKDAY(F$5)=1,TRUE,FALSE)</formula>
    </cfRule>
  </conditionalFormatting>
  <conditionalFormatting sqref="F14:AJ17">
    <cfRule type="expression" dxfId="1" priority="2" stopIfTrue="1">
      <formula>IF(WEEKDAY(F$5)=1,TRUE,FALSE)</formula>
    </cfRule>
  </conditionalFormatting>
  <conditionalFormatting sqref="F14:AJ17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9"/>
  <sheetViews>
    <sheetView zoomScaleNormal="70" workbookViewId="0">
      <pane xSplit="3" ySplit="8" topLeftCell="D11" activePane="bottomRight" state="frozen"/>
      <selection activeCell="F14" sqref="F14:AI17"/>
      <selection pane="topRight" activeCell="F14" sqref="F14:AI17"/>
      <selection pane="bottomLeft" activeCell="F14" sqref="F14:AI17"/>
      <selection pane="bottomRight" sqref="A1:T25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9"/>
      <c r="C1" s="119"/>
      <c r="D1" s="247" t="str">
        <f>"BẢNG THANH TOÁN LƯƠNG THÁNG"&amp;" "&amp;TEXT($E$4,"mm")&amp;" / "&amp;TEXT($E$4,"yyyy")</f>
        <v>BẢNG THANH TOÁN LƯƠNG THÁNG 12 / 2013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132</v>
      </c>
      <c r="S1" s="250"/>
      <c r="T1" s="251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9"/>
      <c r="C2" s="119"/>
      <c r="D2" s="119"/>
      <c r="E2" s="123"/>
      <c r="F2" s="119"/>
      <c r="G2" s="119"/>
      <c r="H2" s="119"/>
      <c r="I2" s="119"/>
      <c r="J2" s="124"/>
      <c r="K2" s="119"/>
      <c r="L2" s="119"/>
      <c r="M2" s="119"/>
      <c r="N2" s="119"/>
      <c r="O2" s="119"/>
      <c r="P2" s="119"/>
      <c r="Q2" s="119"/>
      <c r="R2" s="119"/>
      <c r="S2" s="119"/>
      <c r="T2" s="64"/>
      <c r="U2" s="125">
        <f>MAX('CC -12'!$AK$9:$AK$17)</f>
        <v>26</v>
      </c>
      <c r="V2" s="121"/>
      <c r="W2" s="121"/>
      <c r="X2" s="122"/>
      <c r="Y2" s="122"/>
    </row>
    <row r="3" spans="1:30" s="96" customFormat="1" ht="15" hidden="1" customHeight="1">
      <c r="A3" s="56"/>
      <c r="B3" s="119"/>
      <c r="C3" s="119"/>
      <c r="D3" s="119"/>
      <c r="E3" s="123"/>
      <c r="F3" s="119"/>
      <c r="G3" s="119"/>
      <c r="H3" s="119"/>
      <c r="I3" s="119"/>
      <c r="J3" s="124"/>
      <c r="K3" s="119"/>
      <c r="L3" s="119"/>
      <c r="M3" s="119"/>
      <c r="N3" s="119"/>
      <c r="O3" s="119"/>
      <c r="P3" s="119"/>
      <c r="Q3" s="119"/>
      <c r="R3" s="119"/>
      <c r="S3" s="119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-12'!$E$4</f>
        <v>41609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2" t="s">
        <v>3</v>
      </c>
      <c r="B5" s="252" t="s">
        <v>161</v>
      </c>
      <c r="C5" s="204" t="s">
        <v>5</v>
      </c>
      <c r="D5" s="204" t="s">
        <v>6</v>
      </c>
      <c r="E5" s="209" t="s">
        <v>7</v>
      </c>
      <c r="F5" s="255" t="s">
        <v>162</v>
      </c>
      <c r="G5" s="256"/>
      <c r="H5" s="256"/>
      <c r="I5" s="256"/>
      <c r="J5" s="256"/>
      <c r="K5" s="257"/>
      <c r="L5" s="254" t="s">
        <v>14</v>
      </c>
      <c r="M5" s="254" t="s">
        <v>163</v>
      </c>
      <c r="N5" s="204" t="s">
        <v>164</v>
      </c>
      <c r="O5" s="204"/>
      <c r="P5" s="204"/>
      <c r="Q5" s="254" t="s">
        <v>165</v>
      </c>
      <c r="R5" s="254" t="s">
        <v>166</v>
      </c>
      <c r="S5" s="254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53"/>
      <c r="B6" s="253"/>
      <c r="C6" s="204"/>
      <c r="D6" s="204"/>
      <c r="E6" s="209"/>
      <c r="F6" s="255" t="s">
        <v>169</v>
      </c>
      <c r="G6" s="257"/>
      <c r="H6" s="255" t="s">
        <v>170</v>
      </c>
      <c r="I6" s="256"/>
      <c r="J6" s="261" t="s">
        <v>171</v>
      </c>
      <c r="K6" s="254" t="s">
        <v>172</v>
      </c>
      <c r="L6" s="258"/>
      <c r="M6" s="258"/>
      <c r="N6" s="263" t="s">
        <v>173</v>
      </c>
      <c r="O6" s="254" t="s">
        <v>174</v>
      </c>
      <c r="P6" s="254" t="s">
        <v>175</v>
      </c>
      <c r="Q6" s="258"/>
      <c r="R6" s="258"/>
      <c r="S6" s="258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53"/>
      <c r="B7" s="253"/>
      <c r="C7" s="254"/>
      <c r="D7" s="254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62"/>
      <c r="K7" s="258"/>
      <c r="L7" s="259"/>
      <c r="M7" s="259"/>
      <c r="N7" s="264"/>
      <c r="O7" s="258"/>
      <c r="P7" s="258"/>
      <c r="Q7" s="258"/>
      <c r="R7" s="258"/>
      <c r="S7" s="258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-12'!$B$8:$AS$17,36,0)</f>
        <v>26</v>
      </c>
      <c r="G10" s="150">
        <f t="shared" ref="G10:G11" si="2">ROUND(E10/$U$2*F10,0)</f>
        <v>1565000</v>
      </c>
      <c r="H10" s="149">
        <f>(VLOOKUP(B10,'CC -12'!$B$8:$AS$17,37,0)+VLOOKUP(B10,'CC -12'!$B$8:$AS$17,38,0))</f>
        <v>0</v>
      </c>
      <c r="I10" s="150">
        <f t="shared" ref="I10:I11" si="3">ROUND(E10/$U$2*H10,0)</f>
        <v>0</v>
      </c>
      <c r="J10" s="151">
        <f t="shared" ref="J10:K11" si="4">F10+H10</f>
        <v>26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-12'!$B$8:$AS$17,36,0)</f>
        <v>26</v>
      </c>
      <c r="G11" s="150">
        <f t="shared" si="2"/>
        <v>1240000</v>
      </c>
      <c r="H11" s="149">
        <f>(VLOOKUP(B11,'CC -12'!$B$8:$AS$17,37,0)+VLOOKUP(B11,'CC -12'!$B$8:$AS$17,38,0))</f>
        <v>0</v>
      </c>
      <c r="I11" s="150">
        <f t="shared" si="3"/>
        <v>0</v>
      </c>
      <c r="J11" s="151">
        <f t="shared" si="4"/>
        <v>26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60" t="s">
        <v>48</v>
      </c>
      <c r="B13" s="260"/>
      <c r="C13" s="260"/>
      <c r="D13" s="260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6" si="10">VLOOKUP(B15,DS,2,0)</f>
        <v>Nguyễn Thị Thanh Thúy</v>
      </c>
      <c r="D15" s="147" t="str">
        <f t="shared" ref="D15:D16" si="11">VLOOKUP(B15,DS,3,0)</f>
        <v>Công nhân</v>
      </c>
      <c r="E15" s="148">
        <f t="shared" ref="E15:E16" si="12">VLOOKUP(B15,DS,4,0)</f>
        <v>1365000</v>
      </c>
      <c r="F15" s="149">
        <f>VLOOKUP(B15,'CC -12'!$B$8:$AS$17,36,0)</f>
        <v>26</v>
      </c>
      <c r="G15" s="150">
        <f t="shared" ref="G15:G16" si="13">ROUND(E15/$U$2*F15,0)</f>
        <v>1365000</v>
      </c>
      <c r="H15" s="149">
        <f>(VLOOKUP(B15,'CC -12'!$B$8:$AS$17,37,0)+VLOOKUP(B15,'CC -12'!$B$8:$AS$17,38,0))</f>
        <v>0</v>
      </c>
      <c r="I15" s="150">
        <f t="shared" ref="I15:I16" si="14">ROUND(E15/$U$2*H15,0)</f>
        <v>0</v>
      </c>
      <c r="J15" s="171">
        <f t="shared" ref="J15:K16" si="15">F15+H15</f>
        <v>26</v>
      </c>
      <c r="K15" s="152">
        <f t="shared" si="15"/>
        <v>1365000</v>
      </c>
      <c r="L15" s="148">
        <f>VLOOKUP(B15,DS,6,0)</f>
        <v>260000</v>
      </c>
      <c r="M15" s="153">
        <f t="shared" ref="M15:M16" si="16">K15+L15</f>
        <v>1625000</v>
      </c>
      <c r="N15" s="153">
        <f>IF(VLOOKUP(B15,DS,9,0)="x",'L - 12'!E15*$N$4,0)</f>
        <v>0</v>
      </c>
      <c r="O15" s="153">
        <f t="shared" ref="O15:O16" si="17">IF(VLOOKUP(B15,DS,9,0)="x",E15*0.015,0)</f>
        <v>0</v>
      </c>
      <c r="P15" s="153">
        <f t="shared" ref="P15:P16" si="18">IF(VLOOKUP(B15,DS,9,0)="x",E15*0.01,0)</f>
        <v>0</v>
      </c>
      <c r="Q15" s="152">
        <f>M15-SUM(N15:P15)</f>
        <v>1625000</v>
      </c>
      <c r="R15" s="152">
        <f t="shared" ref="R15:R16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-12'!$B$8:$AS$17,36,0)</f>
        <v>26</v>
      </c>
      <c r="G16" s="150">
        <f t="shared" si="13"/>
        <v>1275000</v>
      </c>
      <c r="H16" s="149">
        <f>(VLOOKUP(B16,'CC -12'!$B$8:$AS$17,37,0)+VLOOKUP(B16,'CC -12'!$B$8:$AS$17,38,0))</f>
        <v>0</v>
      </c>
      <c r="I16" s="150">
        <f t="shared" si="14"/>
        <v>0</v>
      </c>
      <c r="J16" s="171">
        <f t="shared" si="15"/>
        <v>26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- 12'!E16*$N$4,0)</f>
        <v>0</v>
      </c>
      <c r="O16" s="153">
        <f t="shared" si="17"/>
        <v>0</v>
      </c>
      <c r="P16" s="153">
        <f t="shared" si="18"/>
        <v>0</v>
      </c>
      <c r="Q16" s="152">
        <f t="shared" ref="Q16" si="20">M16-SUM(N16:P16)</f>
        <v>1535000</v>
      </c>
      <c r="R16" s="152">
        <f t="shared" si="19"/>
        <v>0</v>
      </c>
      <c r="S16" s="154">
        <f t="shared" ref="S16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25" s="155" customFormat="1" ht="22.5" customHeight="1">
      <c r="A17" s="172"/>
      <c r="B17" s="173"/>
      <c r="C17" s="174"/>
      <c r="D17" s="175"/>
      <c r="E17" s="176"/>
      <c r="F17" s="176"/>
      <c r="G17" s="176"/>
      <c r="H17" s="176"/>
      <c r="I17" s="176"/>
      <c r="J17" s="177"/>
      <c r="K17" s="176"/>
      <c r="L17" s="176"/>
      <c r="M17" s="178"/>
      <c r="N17" s="176"/>
      <c r="O17" s="176"/>
      <c r="P17" s="176"/>
      <c r="Q17" s="176"/>
      <c r="R17" s="176"/>
      <c r="S17" s="176"/>
      <c r="T17" s="152"/>
      <c r="U17" s="103"/>
      <c r="V17" s="179"/>
      <c r="W17" s="179"/>
      <c r="X17" s="179"/>
      <c r="Y17" s="179"/>
    </row>
    <row r="18" spans="1:25" s="170" customFormat="1" ht="21" customHeight="1">
      <c r="A18" s="260" t="s">
        <v>48</v>
      </c>
      <c r="B18" s="260"/>
      <c r="C18" s="260"/>
      <c r="D18" s="260"/>
      <c r="E18" s="167">
        <f>SUM(E14:E17)</f>
        <v>2640000</v>
      </c>
      <c r="F18" s="167"/>
      <c r="G18" s="167">
        <f>SUM(G14:G17)</f>
        <v>2640000</v>
      </c>
      <c r="H18" s="167"/>
      <c r="I18" s="167">
        <f>SUM(I14:I17)</f>
        <v>0</v>
      </c>
      <c r="J18" s="167"/>
      <c r="K18" s="167">
        <f t="shared" ref="K18:S18" si="22">SUM(K14:K17)</f>
        <v>2640000</v>
      </c>
      <c r="L18" s="167">
        <f t="shared" si="22"/>
        <v>520000</v>
      </c>
      <c r="M18" s="167">
        <f t="shared" si="22"/>
        <v>3160000</v>
      </c>
      <c r="N18" s="167">
        <f t="shared" si="22"/>
        <v>0</v>
      </c>
      <c r="O18" s="167">
        <f t="shared" si="22"/>
        <v>0</v>
      </c>
      <c r="P18" s="167">
        <f t="shared" si="22"/>
        <v>0</v>
      </c>
      <c r="Q18" s="167">
        <f t="shared" si="22"/>
        <v>3160000</v>
      </c>
      <c r="R18" s="167">
        <f t="shared" si="22"/>
        <v>0</v>
      </c>
      <c r="S18" s="167">
        <f t="shared" si="22"/>
        <v>3160000</v>
      </c>
      <c r="T18" s="168"/>
      <c r="U18" s="103"/>
      <c r="V18" s="169"/>
      <c r="W18" s="169"/>
      <c r="X18" s="169"/>
      <c r="Y18" s="169"/>
    </row>
    <row r="19" spans="1:25" ht="11.25" customHeight="1">
      <c r="A19" s="180"/>
      <c r="B19" s="180"/>
      <c r="C19" s="181"/>
      <c r="D19" s="182"/>
      <c r="E19" s="183"/>
      <c r="F19" s="181"/>
      <c r="G19" s="181"/>
      <c r="H19" s="181"/>
      <c r="I19" s="181"/>
      <c r="K19" s="181"/>
      <c r="L19" s="181"/>
      <c r="M19" s="185"/>
      <c r="N19" s="181"/>
      <c r="O19" s="181"/>
      <c r="P19" s="181"/>
      <c r="Q19" s="181"/>
      <c r="R19" s="181"/>
      <c r="S19" s="181"/>
      <c r="T19" s="181"/>
      <c r="U19" s="103"/>
    </row>
    <row r="20" spans="1:25" s="155" customFormat="1" ht="11.25" customHeight="1">
      <c r="A20" s="38"/>
      <c r="B20" s="38"/>
      <c r="C20" s="38"/>
      <c r="D20" s="188"/>
      <c r="E20" s="189"/>
      <c r="F20" s="38"/>
      <c r="G20" s="38"/>
      <c r="H20" s="38"/>
      <c r="I20" s="38"/>
      <c r="J20" s="190"/>
      <c r="K20" s="189"/>
      <c r="L20" s="38"/>
      <c r="M20" s="38"/>
      <c r="N20" s="38"/>
      <c r="O20" s="38"/>
      <c r="P20" s="38"/>
      <c r="Q20" s="38"/>
      <c r="R20" s="38"/>
      <c r="S20" s="39" t="str">
        <f>"Ngày "&amp;IF(OR(MONTH($E$4)=4,MONTH($E$4)=6,MONTH($E$4)=9,MONTH($E$4)=11),"30",IF(MONTH($E$4)=2,"28","31"))&amp;"  tháng  "&amp;MONTH($E$4)&amp;"  năm   "&amp;YEAR($E$4)</f>
        <v>Ngày 31  tháng  12  năm   2013</v>
      </c>
      <c r="T20" s="38"/>
      <c r="U20" s="191"/>
      <c r="V20" s="179"/>
      <c r="W20" s="179"/>
      <c r="X20" s="179"/>
      <c r="Y20" s="179"/>
    </row>
    <row r="21" spans="1:25" s="155" customFormat="1" ht="12.75">
      <c r="A21" s="48"/>
      <c r="B21" s="48"/>
      <c r="C21" s="48" t="s">
        <v>180</v>
      </c>
      <c r="D21" s="192"/>
      <c r="E21" s="50"/>
      <c r="F21" s="191"/>
      <c r="G21" s="50"/>
      <c r="H21" s="50"/>
      <c r="I21" s="50"/>
      <c r="J21" s="193"/>
      <c r="K21" s="179"/>
      <c r="L21" s="48"/>
      <c r="M21" s="194"/>
      <c r="N21" s="40"/>
      <c r="O21" s="40"/>
      <c r="P21" s="40"/>
      <c r="Q21" s="40"/>
      <c r="S21" s="191" t="s">
        <v>54</v>
      </c>
      <c r="T21" s="191"/>
      <c r="U21" s="191"/>
      <c r="V21" s="179"/>
      <c r="W21" s="179"/>
      <c r="X21" s="179"/>
      <c r="Y21" s="179"/>
    </row>
    <row r="22" spans="1:25" ht="12">
      <c r="A22" s="180"/>
      <c r="B22" s="180"/>
      <c r="C22" s="195"/>
      <c r="E22" s="196"/>
      <c r="F22" s="105"/>
      <c r="G22" s="196"/>
      <c r="H22" s="196"/>
      <c r="I22" s="196"/>
      <c r="K22" s="186"/>
      <c r="L22" s="195"/>
      <c r="N22" s="197"/>
      <c r="O22" s="197"/>
      <c r="P22" s="197"/>
      <c r="Q22" s="197"/>
      <c r="S22" s="197"/>
      <c r="T22" s="105"/>
      <c r="U22" s="103"/>
    </row>
    <row r="23" spans="1:25" ht="12">
      <c r="C23" s="195"/>
      <c r="L23" s="195"/>
      <c r="T23" s="195"/>
      <c r="U23" s="103"/>
    </row>
    <row r="24" spans="1:25" ht="12">
      <c r="U24" s="103"/>
    </row>
    <row r="25" spans="1:25" ht="12">
      <c r="U25" s="103"/>
    </row>
    <row r="26" spans="1:25" ht="12">
      <c r="U26" s="103"/>
    </row>
    <row r="27" spans="1:25" ht="12">
      <c r="U27" s="103"/>
    </row>
    <row r="28" spans="1:25" ht="12">
      <c r="U28" s="103"/>
    </row>
    <row r="29" spans="1:25" ht="12">
      <c r="U29" s="103"/>
    </row>
  </sheetData>
  <protectedRanges>
    <protectedRange password="CC78" sqref="V17:IJ18 C5:D7 B21:C21 A17:A22 B17:B20 B22 V14 Q5:T7 E5:I6 N5:P6 L5 L21 J6:K7 L7 A24:T57 U30:U57 N17:S17 V24:IJ57 J17:L17 AE14:IJ14 V13:IJ13 D13:T13 D18:T18 A58:IJ65325 A10:B13 Q10:S12 V5:V12 AE5:IJ12" name="Range1"/>
    <protectedRange password="CC78" sqref="F7:H7" name="Range1_4"/>
    <protectedRange password="CC78" sqref="V21:IJ22 S21:T22 N21:Q22 E21:I22" name="Range1_1_1"/>
    <protectedRange password="CC78" sqref="U1 V1:IJ4 B4:T4 R2:S3 B1:Q3 U17:U29 W14:AD14 U4:U14 W5:AD12" name="Range1_2"/>
    <protectedRange password="CC78" sqref="A1" name="Range1_2_1_1"/>
    <protectedRange password="CC78" sqref="I7" name="Range1_4_1"/>
    <protectedRange password="CC78" sqref="U2:U3" name="Range1_2_2_1"/>
    <protectedRange password="CC78" sqref="V15:V16 Q15:S16 A15:B16 AE15:IJ16" name="Range1_5"/>
    <protectedRange password="CC78" sqref="U15:U16 W15:AD16" name="Range1_2_3"/>
    <protectedRange password="CC78" sqref="K10:K12 K15:K16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8:D18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13</vt:i4>
      </vt:variant>
    </vt:vector>
  </HeadingPairs>
  <TitlesOfParts>
    <vt:vector size="38" baseType="lpstr">
      <vt:lpstr>THL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'L - 1'!Print_Area</vt:lpstr>
      <vt:lpstr>'L - 10'!Print_Area</vt:lpstr>
      <vt:lpstr>'L - 11'!Print_Area</vt:lpstr>
      <vt:lpstr>'L - 12'!Print_Area</vt:lpstr>
      <vt:lpstr>'L - 2'!Print_Area</vt:lpstr>
      <vt:lpstr>'L - 3'!Print_Area</vt:lpstr>
      <vt:lpstr>'L - 4'!Print_Area</vt:lpstr>
      <vt:lpstr>'L - 5'!Print_Area</vt:lpstr>
      <vt:lpstr>'L - 6'!Print_Area</vt:lpstr>
      <vt:lpstr>'L - 7'!Print_Area</vt:lpstr>
      <vt:lpstr>'L - 8'!Print_Area</vt:lpstr>
      <vt:lpstr>'L - 9'!Print_Area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2016-12-01T08:43:04Z</cp:lastPrinted>
  <dcterms:created xsi:type="dcterms:W3CDTF">2016-08-06T05:07:50Z</dcterms:created>
  <dcterms:modified xsi:type="dcterms:W3CDTF">2016-12-01T08:43:09Z</dcterms:modified>
</cp:coreProperties>
</file>