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tabRatio="896" activeTab="2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- 1'!$A$7:$AD$9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THL!$A$10:$Z$15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THL!$B$11:$X$20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S1" i="6" l="1"/>
  <c r="F10" i="19" l="1"/>
  <c r="C13" i="25" l="1"/>
  <c r="D13" i="25"/>
  <c r="E13" i="25"/>
  <c r="G13" i="25" s="1"/>
  <c r="F13" i="25"/>
  <c r="H13" i="25"/>
  <c r="L13" i="25"/>
  <c r="N13" i="25"/>
  <c r="O13" i="25"/>
  <c r="P13" i="25"/>
  <c r="R13" i="25"/>
  <c r="AM15" i="24"/>
  <c r="AL15" i="24"/>
  <c r="AK15" i="24"/>
  <c r="AN15" i="24" s="1"/>
  <c r="D15" i="24"/>
  <c r="C15" i="24"/>
  <c r="C13" i="23"/>
  <c r="D13" i="23"/>
  <c r="E13" i="23"/>
  <c r="F13" i="23"/>
  <c r="L13" i="23" s="1"/>
  <c r="H13" i="23"/>
  <c r="N13" i="23"/>
  <c r="O13" i="23"/>
  <c r="P13" i="23"/>
  <c r="R13" i="23"/>
  <c r="AM15" i="22"/>
  <c r="AL15" i="22"/>
  <c r="AK15" i="22"/>
  <c r="AN15" i="22" s="1"/>
  <c r="D15" i="22"/>
  <c r="C15" i="22"/>
  <c r="C11" i="21"/>
  <c r="D11" i="21"/>
  <c r="E11" i="21"/>
  <c r="F11" i="21"/>
  <c r="H11" i="21"/>
  <c r="N11" i="21"/>
  <c r="O11" i="21"/>
  <c r="P11" i="21"/>
  <c r="R11" i="21"/>
  <c r="C12" i="21"/>
  <c r="D12" i="21"/>
  <c r="E12" i="21"/>
  <c r="F12" i="21"/>
  <c r="L12" i="21" s="1"/>
  <c r="H12" i="21"/>
  <c r="N12" i="21"/>
  <c r="O12" i="21"/>
  <c r="P12" i="21"/>
  <c r="R12" i="21"/>
  <c r="C13" i="21"/>
  <c r="D13" i="21"/>
  <c r="E13" i="21"/>
  <c r="F13" i="21"/>
  <c r="L13" i="21" s="1"/>
  <c r="H13" i="21"/>
  <c r="N13" i="21"/>
  <c r="O13" i="21"/>
  <c r="P13" i="21"/>
  <c r="R13" i="21"/>
  <c r="AM15" i="20"/>
  <c r="AL15" i="20"/>
  <c r="AK15" i="20"/>
  <c r="AN15" i="20" s="1"/>
  <c r="D15" i="20"/>
  <c r="C15" i="20"/>
  <c r="C11" i="19"/>
  <c r="D11" i="19"/>
  <c r="E11" i="19"/>
  <c r="N11" i="19"/>
  <c r="O11" i="19"/>
  <c r="P11" i="19"/>
  <c r="R11" i="19"/>
  <c r="C12" i="19"/>
  <c r="D12" i="19"/>
  <c r="E12" i="19"/>
  <c r="F12" i="19"/>
  <c r="L12" i="19" s="1"/>
  <c r="H12" i="19"/>
  <c r="N12" i="19"/>
  <c r="O12" i="19"/>
  <c r="P12" i="19"/>
  <c r="R12" i="19"/>
  <c r="C13" i="19"/>
  <c r="D13" i="19"/>
  <c r="E13" i="19"/>
  <c r="F13" i="19"/>
  <c r="L13" i="19" s="1"/>
  <c r="H13" i="19"/>
  <c r="N13" i="19"/>
  <c r="O13" i="19"/>
  <c r="P13" i="19"/>
  <c r="R13" i="19"/>
  <c r="AM15" i="18"/>
  <c r="AL15" i="18"/>
  <c r="AK15" i="18"/>
  <c r="AN15" i="18" s="1"/>
  <c r="D15" i="18"/>
  <c r="C15" i="18"/>
  <c r="C11" i="17"/>
  <c r="D11" i="17"/>
  <c r="E11" i="17"/>
  <c r="F11" i="17"/>
  <c r="L11" i="17" s="1"/>
  <c r="H11" i="17"/>
  <c r="N11" i="17"/>
  <c r="O11" i="17"/>
  <c r="P11" i="17"/>
  <c r="R11" i="17"/>
  <c r="C12" i="17"/>
  <c r="D12" i="17"/>
  <c r="E12" i="17"/>
  <c r="F12" i="17"/>
  <c r="L12" i="17" s="1"/>
  <c r="H12" i="17"/>
  <c r="N12" i="17"/>
  <c r="O12" i="17"/>
  <c r="P12" i="17"/>
  <c r="R12" i="17"/>
  <c r="C13" i="17"/>
  <c r="D13" i="17"/>
  <c r="E13" i="17"/>
  <c r="F13" i="17"/>
  <c r="L13" i="17" s="1"/>
  <c r="H13" i="17"/>
  <c r="N13" i="17"/>
  <c r="O13" i="17"/>
  <c r="P13" i="17"/>
  <c r="R13" i="17"/>
  <c r="AM15" i="16"/>
  <c r="AL15" i="16"/>
  <c r="AK15" i="16"/>
  <c r="AN15" i="16" s="1"/>
  <c r="D15" i="16"/>
  <c r="C15" i="16"/>
  <c r="C13" i="15"/>
  <c r="D13" i="15"/>
  <c r="E13" i="15"/>
  <c r="F13" i="15"/>
  <c r="L13" i="15" s="1"/>
  <c r="H13" i="15"/>
  <c r="N13" i="15"/>
  <c r="O13" i="15"/>
  <c r="P13" i="15"/>
  <c r="R13" i="15"/>
  <c r="AM15" i="14"/>
  <c r="AL15" i="14"/>
  <c r="AK15" i="14"/>
  <c r="AN15" i="14" s="1"/>
  <c r="D15" i="14"/>
  <c r="C15" i="14"/>
  <c r="C11" i="13"/>
  <c r="D11" i="13"/>
  <c r="E11" i="13"/>
  <c r="F11" i="13"/>
  <c r="L11" i="13" s="1"/>
  <c r="H11" i="13"/>
  <c r="N11" i="13"/>
  <c r="O11" i="13"/>
  <c r="P11" i="13"/>
  <c r="R11" i="13"/>
  <c r="C12" i="13"/>
  <c r="D12" i="13"/>
  <c r="E12" i="13"/>
  <c r="F12" i="13"/>
  <c r="L12" i="13" s="1"/>
  <c r="H12" i="13"/>
  <c r="N12" i="13"/>
  <c r="O12" i="13"/>
  <c r="P12" i="13"/>
  <c r="R12" i="13"/>
  <c r="C13" i="13"/>
  <c r="D13" i="13"/>
  <c r="E13" i="13"/>
  <c r="F13" i="13"/>
  <c r="H13" i="13"/>
  <c r="N13" i="13"/>
  <c r="O13" i="13"/>
  <c r="P13" i="13"/>
  <c r="R13" i="13"/>
  <c r="AM15" i="12"/>
  <c r="AL15" i="12"/>
  <c r="AK15" i="12"/>
  <c r="AN15" i="12" s="1"/>
  <c r="D15" i="12"/>
  <c r="C15" i="12"/>
  <c r="C13" i="11"/>
  <c r="D13" i="11"/>
  <c r="E13" i="11"/>
  <c r="F13" i="11"/>
  <c r="L13" i="11" s="1"/>
  <c r="H13" i="11"/>
  <c r="N13" i="11"/>
  <c r="O13" i="11"/>
  <c r="P13" i="11"/>
  <c r="R13" i="11"/>
  <c r="AM15" i="10"/>
  <c r="AL15" i="10"/>
  <c r="AK15" i="10"/>
  <c r="AN15" i="10" s="1"/>
  <c r="D15" i="10"/>
  <c r="C15" i="10"/>
  <c r="C13" i="9"/>
  <c r="D13" i="9"/>
  <c r="E13" i="9"/>
  <c r="F13" i="9"/>
  <c r="L13" i="9" s="1"/>
  <c r="H13" i="9"/>
  <c r="N13" i="9"/>
  <c r="O13" i="9"/>
  <c r="P13" i="9"/>
  <c r="R13" i="9"/>
  <c r="AM15" i="8"/>
  <c r="AL15" i="8"/>
  <c r="AK15" i="8"/>
  <c r="AN15" i="8" s="1"/>
  <c r="D15" i="8"/>
  <c r="C15" i="8"/>
  <c r="R13" i="7"/>
  <c r="P13" i="7"/>
  <c r="O13" i="7"/>
  <c r="N13" i="7"/>
  <c r="E13" i="7"/>
  <c r="D13" i="7"/>
  <c r="C13" i="7"/>
  <c r="AL15" i="6"/>
  <c r="D15" i="6"/>
  <c r="C15" i="6"/>
  <c r="AM15" i="4"/>
  <c r="AL15" i="4"/>
  <c r="AK15" i="4"/>
  <c r="AN15" i="4" s="1"/>
  <c r="D15" i="4"/>
  <c r="C15" i="4"/>
  <c r="C13" i="5"/>
  <c r="D13" i="5"/>
  <c r="E13" i="5"/>
  <c r="F13" i="5"/>
  <c r="L13" i="5" s="1"/>
  <c r="H13" i="5"/>
  <c r="N13" i="5"/>
  <c r="O13" i="5"/>
  <c r="P13" i="5"/>
  <c r="R13" i="5"/>
  <c r="C13" i="3"/>
  <c r="D13" i="3"/>
  <c r="E13" i="3"/>
  <c r="F13" i="3"/>
  <c r="L13" i="3" s="1"/>
  <c r="H13" i="3"/>
  <c r="N13" i="3"/>
  <c r="O13" i="3"/>
  <c r="P13" i="3"/>
  <c r="R13" i="3"/>
  <c r="AM15" i="2"/>
  <c r="AL15" i="2"/>
  <c r="AK15" i="2"/>
  <c r="AN15" i="2" s="1"/>
  <c r="D15" i="2"/>
  <c r="C15" i="2"/>
  <c r="I13" i="25" l="1"/>
  <c r="I13" i="21"/>
  <c r="J11" i="21"/>
  <c r="G13" i="23"/>
  <c r="I13" i="17"/>
  <c r="K13" i="25"/>
  <c r="M13" i="25" s="1"/>
  <c r="Q13" i="25" s="1"/>
  <c r="S13" i="25" s="1"/>
  <c r="I13" i="23"/>
  <c r="J12" i="17"/>
  <c r="G13" i="3"/>
  <c r="G13" i="9"/>
  <c r="G13" i="13"/>
  <c r="G11" i="13"/>
  <c r="I12" i="21"/>
  <c r="I11" i="21"/>
  <c r="I13" i="3"/>
  <c r="G13" i="11"/>
  <c r="G13" i="15"/>
  <c r="J13" i="17"/>
  <c r="J12" i="19"/>
  <c r="I13" i="13"/>
  <c r="I12" i="13"/>
  <c r="G12" i="17"/>
  <c r="G13" i="21"/>
  <c r="G11" i="21"/>
  <c r="G12" i="13"/>
  <c r="G13" i="17"/>
  <c r="K13" i="17" s="1"/>
  <c r="M13" i="17" s="1"/>
  <c r="Q13" i="17" s="1"/>
  <c r="S13" i="17" s="1"/>
  <c r="J11" i="17"/>
  <c r="I13" i="9"/>
  <c r="I13" i="11"/>
  <c r="J12" i="13"/>
  <c r="I11" i="13"/>
  <c r="I13" i="15"/>
  <c r="G11" i="17"/>
  <c r="J13" i="19"/>
  <c r="J12" i="21"/>
  <c r="G12" i="21"/>
  <c r="J13" i="25"/>
  <c r="J13" i="23"/>
  <c r="J13" i="21"/>
  <c r="L11" i="21"/>
  <c r="I12" i="17"/>
  <c r="I11" i="17"/>
  <c r="J13" i="15"/>
  <c r="J13" i="13"/>
  <c r="L13" i="13"/>
  <c r="J11" i="13"/>
  <c r="J13" i="11"/>
  <c r="J13" i="9"/>
  <c r="J13" i="5"/>
  <c r="J13" i="3"/>
  <c r="K13" i="21" l="1"/>
  <c r="M13" i="21" s="1"/>
  <c r="Q13" i="21" s="1"/>
  <c r="S13" i="21" s="1"/>
  <c r="K13" i="9"/>
  <c r="M13" i="9" s="1"/>
  <c r="Q13" i="9" s="1"/>
  <c r="S13" i="9" s="1"/>
  <c r="K13" i="23"/>
  <c r="M13" i="23" s="1"/>
  <c r="Q13" i="23" s="1"/>
  <c r="S13" i="23" s="1"/>
  <c r="K13" i="3"/>
  <c r="M13" i="3" s="1"/>
  <c r="Q13" i="3" s="1"/>
  <c r="S13" i="3" s="1"/>
  <c r="K13" i="13"/>
  <c r="M13" i="13" s="1"/>
  <c r="Q13" i="13" s="1"/>
  <c r="S13" i="13" s="1"/>
  <c r="K13" i="15"/>
  <c r="M13" i="15" s="1"/>
  <c r="Q13" i="15" s="1"/>
  <c r="S13" i="15" s="1"/>
  <c r="K11" i="21"/>
  <c r="M11" i="21" s="1"/>
  <c r="Q11" i="21" s="1"/>
  <c r="S11" i="21" s="1"/>
  <c r="K13" i="11"/>
  <c r="M13" i="11" s="1"/>
  <c r="Q13" i="11" s="1"/>
  <c r="S13" i="11" s="1"/>
  <c r="K12" i="17"/>
  <c r="M12" i="17" s="1"/>
  <c r="Q12" i="17" s="1"/>
  <c r="S12" i="17" s="1"/>
  <c r="K11" i="13"/>
  <c r="M11" i="13" s="1"/>
  <c r="Q11" i="13" s="1"/>
  <c r="S11" i="13" s="1"/>
  <c r="K12" i="21"/>
  <c r="M12" i="21" s="1"/>
  <c r="Q12" i="21" s="1"/>
  <c r="S12" i="21" s="1"/>
  <c r="K11" i="17"/>
  <c r="M11" i="17" s="1"/>
  <c r="Q11" i="17" s="1"/>
  <c r="S11" i="17" s="1"/>
  <c r="K12" i="13"/>
  <c r="M12" i="13" s="1"/>
  <c r="Q12" i="13" s="1"/>
  <c r="S12" i="13" s="1"/>
  <c r="C11" i="25"/>
  <c r="D11" i="25"/>
  <c r="E11" i="25"/>
  <c r="F11" i="25"/>
  <c r="L11" i="25" s="1"/>
  <c r="H11" i="25"/>
  <c r="N11" i="25"/>
  <c r="O11" i="25"/>
  <c r="P11" i="25"/>
  <c r="R11" i="25"/>
  <c r="C12" i="25"/>
  <c r="D12" i="25"/>
  <c r="E12" i="25"/>
  <c r="F12" i="25"/>
  <c r="H12" i="25"/>
  <c r="N12" i="25"/>
  <c r="O12" i="25"/>
  <c r="P12" i="25"/>
  <c r="R12" i="25"/>
  <c r="AL13" i="24"/>
  <c r="D13" i="24"/>
  <c r="C13" i="24"/>
  <c r="AL11" i="24"/>
  <c r="D11" i="24"/>
  <c r="C11" i="24"/>
  <c r="C11" i="23"/>
  <c r="D11" i="23"/>
  <c r="E11" i="23"/>
  <c r="F11" i="23"/>
  <c r="H11" i="23"/>
  <c r="N11" i="23"/>
  <c r="O11" i="23"/>
  <c r="P11" i="23"/>
  <c r="R11" i="23"/>
  <c r="C12" i="23"/>
  <c r="D12" i="23"/>
  <c r="E12" i="23"/>
  <c r="F12" i="23"/>
  <c r="L12" i="23" s="1"/>
  <c r="H12" i="23"/>
  <c r="N12" i="23"/>
  <c r="O12" i="23"/>
  <c r="P12" i="23"/>
  <c r="R12" i="23"/>
  <c r="AM13" i="22"/>
  <c r="AL13" i="22"/>
  <c r="AK13" i="22"/>
  <c r="AN13" i="22" s="1"/>
  <c r="D13" i="22"/>
  <c r="C13" i="22"/>
  <c r="AM11" i="22"/>
  <c r="AL11" i="22"/>
  <c r="AK11" i="22"/>
  <c r="AN11" i="22" s="1"/>
  <c r="D11" i="22"/>
  <c r="C11" i="22"/>
  <c r="AM13" i="20"/>
  <c r="AL13" i="20"/>
  <c r="AK13" i="20"/>
  <c r="AN13" i="20" s="1"/>
  <c r="D13" i="20"/>
  <c r="C13" i="20"/>
  <c r="AM11" i="20"/>
  <c r="AL11" i="20"/>
  <c r="AK11" i="20"/>
  <c r="D11" i="20"/>
  <c r="C11" i="20"/>
  <c r="AM13" i="18"/>
  <c r="AL13" i="18"/>
  <c r="AK13" i="18"/>
  <c r="AN13" i="18" s="1"/>
  <c r="D13" i="18"/>
  <c r="C13" i="18"/>
  <c r="AM11" i="18"/>
  <c r="H11" i="19" s="1"/>
  <c r="AL11" i="18"/>
  <c r="AK11" i="18"/>
  <c r="F11" i="19" s="1"/>
  <c r="L11" i="19" s="1"/>
  <c r="D11" i="18"/>
  <c r="C11" i="18"/>
  <c r="AM13" i="16"/>
  <c r="AL13" i="16"/>
  <c r="AK13" i="16"/>
  <c r="AN13" i="16" s="1"/>
  <c r="D13" i="16"/>
  <c r="C13" i="16"/>
  <c r="AM11" i="16"/>
  <c r="AL11" i="16"/>
  <c r="AK11" i="16"/>
  <c r="D11" i="16"/>
  <c r="C11" i="16"/>
  <c r="C11" i="15"/>
  <c r="D11" i="15"/>
  <c r="E11" i="15"/>
  <c r="F11" i="15"/>
  <c r="L11" i="15" s="1"/>
  <c r="H11" i="15"/>
  <c r="N11" i="15"/>
  <c r="O11" i="15"/>
  <c r="P11" i="15"/>
  <c r="R11" i="15"/>
  <c r="C12" i="15"/>
  <c r="D12" i="15"/>
  <c r="E12" i="15"/>
  <c r="F12" i="15"/>
  <c r="H12" i="15"/>
  <c r="N12" i="15"/>
  <c r="O12" i="15"/>
  <c r="P12" i="15"/>
  <c r="R12" i="15"/>
  <c r="AL13" i="14"/>
  <c r="D13" i="14"/>
  <c r="C13" i="14"/>
  <c r="AL11" i="14"/>
  <c r="D11" i="14"/>
  <c r="C11" i="14"/>
  <c r="AL13" i="12"/>
  <c r="D13" i="12"/>
  <c r="C13" i="12"/>
  <c r="AL11" i="12"/>
  <c r="D11" i="12"/>
  <c r="C11" i="12"/>
  <c r="J11" i="19" l="1"/>
  <c r="J12" i="25"/>
  <c r="J12" i="15"/>
  <c r="J12" i="23"/>
  <c r="L12" i="25"/>
  <c r="L12" i="15"/>
  <c r="J11" i="23"/>
  <c r="L11" i="23"/>
  <c r="J11" i="25"/>
  <c r="AN11" i="20"/>
  <c r="AN11" i="18"/>
  <c r="AN11" i="16"/>
  <c r="J11" i="15"/>
  <c r="C11" i="11" l="1"/>
  <c r="D11" i="11"/>
  <c r="E11" i="11"/>
  <c r="N11" i="11"/>
  <c r="O11" i="11"/>
  <c r="P11" i="11"/>
  <c r="R11" i="11"/>
  <c r="C12" i="11"/>
  <c r="D12" i="11"/>
  <c r="E12" i="11"/>
  <c r="N12" i="11"/>
  <c r="O12" i="11"/>
  <c r="P12" i="11"/>
  <c r="R12" i="11"/>
  <c r="AL13" i="10"/>
  <c r="D13" i="10"/>
  <c r="C13" i="10"/>
  <c r="AL11" i="10"/>
  <c r="D11" i="10"/>
  <c r="C11" i="10"/>
  <c r="C11" i="9"/>
  <c r="D11" i="9"/>
  <c r="E11" i="9"/>
  <c r="N11" i="9"/>
  <c r="O11" i="9"/>
  <c r="P11" i="9"/>
  <c r="R11" i="9"/>
  <c r="C12" i="9"/>
  <c r="D12" i="9"/>
  <c r="E12" i="9"/>
  <c r="N12" i="9"/>
  <c r="O12" i="9"/>
  <c r="P12" i="9"/>
  <c r="R12" i="9"/>
  <c r="AL13" i="8"/>
  <c r="D13" i="8"/>
  <c r="C13" i="8"/>
  <c r="AL11" i="8"/>
  <c r="D11" i="8"/>
  <c r="C11" i="8"/>
  <c r="C11" i="7"/>
  <c r="D11" i="7"/>
  <c r="E11" i="7"/>
  <c r="N11" i="7"/>
  <c r="O11" i="7"/>
  <c r="P11" i="7"/>
  <c r="R11" i="7"/>
  <c r="C12" i="7"/>
  <c r="D12" i="7"/>
  <c r="E12" i="7"/>
  <c r="N12" i="7"/>
  <c r="O12" i="7"/>
  <c r="P12" i="7"/>
  <c r="R12" i="7"/>
  <c r="AL13" i="6"/>
  <c r="D13" i="6"/>
  <c r="C13" i="6"/>
  <c r="AL11" i="6"/>
  <c r="D11" i="6"/>
  <c r="C11" i="6"/>
  <c r="C11" i="5"/>
  <c r="D11" i="5"/>
  <c r="E11" i="5"/>
  <c r="F11" i="5"/>
  <c r="L11" i="5" s="1"/>
  <c r="H11" i="5"/>
  <c r="N11" i="5"/>
  <c r="O11" i="5"/>
  <c r="P11" i="5"/>
  <c r="R11" i="5"/>
  <c r="C12" i="5"/>
  <c r="D12" i="5"/>
  <c r="E12" i="5"/>
  <c r="F12" i="5"/>
  <c r="H12" i="5"/>
  <c r="N12" i="5"/>
  <c r="O12" i="5"/>
  <c r="P12" i="5"/>
  <c r="R12" i="5"/>
  <c r="AL13" i="4"/>
  <c r="D13" i="4"/>
  <c r="C13" i="4"/>
  <c r="AL11" i="4"/>
  <c r="D11" i="4"/>
  <c r="C11" i="4"/>
  <c r="C11" i="3"/>
  <c r="D11" i="3"/>
  <c r="E11" i="3"/>
  <c r="N11" i="3"/>
  <c r="O11" i="3"/>
  <c r="P11" i="3"/>
  <c r="R11" i="3"/>
  <c r="C12" i="3"/>
  <c r="D12" i="3"/>
  <c r="E12" i="3"/>
  <c r="N12" i="3"/>
  <c r="O12" i="3"/>
  <c r="P12" i="3"/>
  <c r="R12" i="3"/>
  <c r="AL11" i="2"/>
  <c r="D11" i="2"/>
  <c r="C11" i="2"/>
  <c r="AL13" i="2"/>
  <c r="D13" i="2"/>
  <c r="C13" i="2"/>
  <c r="A12" i="1"/>
  <c r="J12" i="5" l="1"/>
  <c r="L12" i="5"/>
  <c r="J11" i="5"/>
  <c r="C17" i="15"/>
  <c r="D17" i="15"/>
  <c r="E17" i="15"/>
  <c r="N17" i="15"/>
  <c r="O17" i="15"/>
  <c r="P17" i="15"/>
  <c r="R17" i="15"/>
  <c r="AL18" i="14"/>
  <c r="D18" i="14"/>
  <c r="C18" i="14"/>
  <c r="R17" i="25" l="1"/>
  <c r="R19" i="25" s="1"/>
  <c r="P17" i="25"/>
  <c r="P19" i="25" s="1"/>
  <c r="O17" i="25"/>
  <c r="O19" i="25" s="1"/>
  <c r="N17" i="25"/>
  <c r="N19" i="25" s="1"/>
  <c r="E17" i="25"/>
  <c r="E19" i="25" s="1"/>
  <c r="D17" i="25"/>
  <c r="C17" i="25"/>
  <c r="R10" i="25"/>
  <c r="R15" i="25" s="1"/>
  <c r="P10" i="25"/>
  <c r="P15" i="25" s="1"/>
  <c r="O10" i="25"/>
  <c r="N10" i="25"/>
  <c r="N15" i="25" s="1"/>
  <c r="E10" i="25"/>
  <c r="E15" i="25" s="1"/>
  <c r="D10" i="25"/>
  <c r="C10" i="25"/>
  <c r="E4" i="25"/>
  <c r="S21" i="25" s="1"/>
  <c r="AL18" i="24"/>
  <c r="D18" i="24"/>
  <c r="C18" i="24"/>
  <c r="AL9" i="24"/>
  <c r="D9" i="24"/>
  <c r="C9" i="24"/>
  <c r="F5" i="24"/>
  <c r="F6" i="24" s="1"/>
  <c r="S1" i="24"/>
  <c r="R17" i="23"/>
  <c r="R19" i="23" s="1"/>
  <c r="P17" i="23"/>
  <c r="P19" i="23" s="1"/>
  <c r="O17" i="23"/>
  <c r="O19" i="23" s="1"/>
  <c r="N17" i="23"/>
  <c r="N19" i="23" s="1"/>
  <c r="E17" i="23"/>
  <c r="E19" i="23" s="1"/>
  <c r="D17" i="23"/>
  <c r="C17" i="23"/>
  <c r="R10" i="23"/>
  <c r="P10" i="23"/>
  <c r="P15" i="23" s="1"/>
  <c r="O10" i="23"/>
  <c r="O15" i="23" s="1"/>
  <c r="N10" i="23"/>
  <c r="E10" i="23"/>
  <c r="E15" i="23" s="1"/>
  <c r="D10" i="23"/>
  <c r="C10" i="23"/>
  <c r="E4" i="23"/>
  <c r="S21" i="23" s="1"/>
  <c r="AL18" i="22"/>
  <c r="D18" i="22"/>
  <c r="C18" i="22"/>
  <c r="AL9" i="22"/>
  <c r="D9" i="22"/>
  <c r="C9" i="22"/>
  <c r="F5" i="22"/>
  <c r="F6" i="22" s="1"/>
  <c r="S1" i="22"/>
  <c r="F5" i="16"/>
  <c r="C10" i="3"/>
  <c r="D10" i="3"/>
  <c r="E10" i="3"/>
  <c r="N10" i="3"/>
  <c r="O10" i="3"/>
  <c r="P10" i="3"/>
  <c r="R10" i="3"/>
  <c r="D1" i="25" l="1"/>
  <c r="D1" i="23"/>
  <c r="O15" i="25"/>
  <c r="G5" i="24"/>
  <c r="H5" i="24" s="1"/>
  <c r="I5" i="24" s="1"/>
  <c r="G5" i="22"/>
  <c r="H5" i="22" s="1"/>
  <c r="H6" i="22" s="1"/>
  <c r="N15" i="23"/>
  <c r="R15" i="23"/>
  <c r="R17" i="21"/>
  <c r="P17" i="21"/>
  <c r="P19" i="21" s="1"/>
  <c r="O17" i="21"/>
  <c r="O19" i="21" s="1"/>
  <c r="N17" i="21"/>
  <c r="N19" i="21" s="1"/>
  <c r="E17" i="21"/>
  <c r="E19" i="21" s="1"/>
  <c r="D17" i="21"/>
  <c r="C17" i="21"/>
  <c r="R19" i="21"/>
  <c r="R10" i="21"/>
  <c r="R15" i="21" s="1"/>
  <c r="P10" i="21"/>
  <c r="O10" i="21"/>
  <c r="O15" i="21" s="1"/>
  <c r="N10" i="21"/>
  <c r="N15" i="21" s="1"/>
  <c r="E10" i="21"/>
  <c r="E15" i="21" s="1"/>
  <c r="D10" i="21"/>
  <c r="C10" i="21"/>
  <c r="E4" i="21"/>
  <c r="S21" i="21" s="1"/>
  <c r="AL18" i="20"/>
  <c r="D18" i="20"/>
  <c r="C18" i="20"/>
  <c r="AL9" i="20"/>
  <c r="D9" i="20"/>
  <c r="C9" i="20"/>
  <c r="F5" i="20"/>
  <c r="F6" i="20" s="1"/>
  <c r="S1" i="20"/>
  <c r="R17" i="19"/>
  <c r="R19" i="19" s="1"/>
  <c r="P17" i="19"/>
  <c r="P19" i="19" s="1"/>
  <c r="O17" i="19"/>
  <c r="O19" i="19" s="1"/>
  <c r="N17" i="19"/>
  <c r="E17" i="19"/>
  <c r="D17" i="19"/>
  <c r="C17" i="19"/>
  <c r="N19" i="19"/>
  <c r="R10" i="19"/>
  <c r="R15" i="19" s="1"/>
  <c r="P10" i="19"/>
  <c r="P15" i="19" s="1"/>
  <c r="O10" i="19"/>
  <c r="O15" i="19" s="1"/>
  <c r="N10" i="19"/>
  <c r="N15" i="19" s="1"/>
  <c r="E10" i="19"/>
  <c r="D10" i="19"/>
  <c r="C10" i="19"/>
  <c r="E4" i="19"/>
  <c r="S21" i="19" s="1"/>
  <c r="AL18" i="18"/>
  <c r="D18" i="18"/>
  <c r="C18" i="18"/>
  <c r="AL9" i="18"/>
  <c r="D9" i="18"/>
  <c r="C9" i="18"/>
  <c r="F5" i="18"/>
  <c r="F6" i="18" s="1"/>
  <c r="S1" i="18"/>
  <c r="R17" i="17"/>
  <c r="R19" i="17" s="1"/>
  <c r="P17" i="17"/>
  <c r="P19" i="17" s="1"/>
  <c r="O17" i="17"/>
  <c r="O19" i="17" s="1"/>
  <c r="N17" i="17"/>
  <c r="E17" i="17"/>
  <c r="E19" i="17" s="1"/>
  <c r="D17" i="17"/>
  <c r="C17" i="17"/>
  <c r="N19" i="17"/>
  <c r="R10" i="17"/>
  <c r="R15" i="17" s="1"/>
  <c r="P10" i="17"/>
  <c r="P15" i="17" s="1"/>
  <c r="O10" i="17"/>
  <c r="O15" i="17" s="1"/>
  <c r="N10" i="17"/>
  <c r="N15" i="17" s="1"/>
  <c r="E10" i="17"/>
  <c r="E15" i="17" s="1"/>
  <c r="D10" i="17"/>
  <c r="C10" i="17"/>
  <c r="E4" i="17"/>
  <c r="S21" i="17" s="1"/>
  <c r="AL18" i="16"/>
  <c r="D18" i="16"/>
  <c r="C18" i="16"/>
  <c r="AL9" i="16"/>
  <c r="D9" i="16"/>
  <c r="C9" i="16"/>
  <c r="F6" i="16"/>
  <c r="S1" i="16"/>
  <c r="P19" i="15"/>
  <c r="O19" i="15"/>
  <c r="N19" i="15"/>
  <c r="R19" i="15"/>
  <c r="R10" i="15"/>
  <c r="R15" i="15" s="1"/>
  <c r="P10" i="15"/>
  <c r="O10" i="15"/>
  <c r="O15" i="15" s="1"/>
  <c r="N10" i="15"/>
  <c r="N15" i="15" s="1"/>
  <c r="E10" i="15"/>
  <c r="D10" i="15"/>
  <c r="C10" i="15"/>
  <c r="E4" i="15"/>
  <c r="S21" i="15" s="1"/>
  <c r="AL9" i="14"/>
  <c r="D9" i="14"/>
  <c r="C9" i="14"/>
  <c r="F5" i="14"/>
  <c r="G5" i="14" s="1"/>
  <c r="S1" i="14"/>
  <c r="R17" i="13"/>
  <c r="R19" i="13" s="1"/>
  <c r="P17" i="13"/>
  <c r="P19" i="13" s="1"/>
  <c r="O17" i="13"/>
  <c r="O19" i="13" s="1"/>
  <c r="N17" i="13"/>
  <c r="N19" i="13" s="1"/>
  <c r="E17" i="13"/>
  <c r="E19" i="13" s="1"/>
  <c r="D17" i="13"/>
  <c r="C17" i="13"/>
  <c r="R10" i="13"/>
  <c r="R15" i="13" s="1"/>
  <c r="P10" i="13"/>
  <c r="P15" i="13" s="1"/>
  <c r="O10" i="13"/>
  <c r="O15" i="13" s="1"/>
  <c r="N10" i="13"/>
  <c r="N15" i="13" s="1"/>
  <c r="E10" i="13"/>
  <c r="E15" i="13" s="1"/>
  <c r="D10" i="13"/>
  <c r="C10" i="13"/>
  <c r="E4" i="13"/>
  <c r="S21" i="13" s="1"/>
  <c r="AL18" i="12"/>
  <c r="D18" i="12"/>
  <c r="C18" i="12"/>
  <c r="AL9" i="12"/>
  <c r="D9" i="12"/>
  <c r="C9" i="12"/>
  <c r="F5" i="12"/>
  <c r="G5" i="12" s="1"/>
  <c r="S1" i="12"/>
  <c r="R17" i="11"/>
  <c r="R19" i="11" s="1"/>
  <c r="P17" i="11"/>
  <c r="P19" i="11" s="1"/>
  <c r="O17" i="11"/>
  <c r="O19" i="11" s="1"/>
  <c r="N17" i="11"/>
  <c r="N19" i="11" s="1"/>
  <c r="E17" i="11"/>
  <c r="E19" i="11" s="1"/>
  <c r="D17" i="11"/>
  <c r="C17" i="11"/>
  <c r="R10" i="11"/>
  <c r="R15" i="11" s="1"/>
  <c r="P10" i="11"/>
  <c r="P15" i="11" s="1"/>
  <c r="O10" i="11"/>
  <c r="O15" i="11" s="1"/>
  <c r="N10" i="11"/>
  <c r="N15" i="11" s="1"/>
  <c r="E10" i="11"/>
  <c r="E15" i="11" s="1"/>
  <c r="D10" i="11"/>
  <c r="C10" i="11"/>
  <c r="E4" i="11"/>
  <c r="S21" i="11" s="1"/>
  <c r="AL18" i="10"/>
  <c r="D18" i="10"/>
  <c r="C18" i="10"/>
  <c r="AL9" i="10"/>
  <c r="D9" i="10"/>
  <c r="C9" i="10"/>
  <c r="F5" i="10"/>
  <c r="F6" i="10" s="1"/>
  <c r="S1" i="10"/>
  <c r="R17" i="9"/>
  <c r="R19" i="9" s="1"/>
  <c r="P17" i="9"/>
  <c r="O17" i="9"/>
  <c r="O19" i="9" s="1"/>
  <c r="N17" i="9"/>
  <c r="N19" i="9" s="1"/>
  <c r="E17" i="9"/>
  <c r="E19" i="9" s="1"/>
  <c r="D17" i="9"/>
  <c r="C17" i="9"/>
  <c r="R10" i="9"/>
  <c r="R15" i="9" s="1"/>
  <c r="P10" i="9"/>
  <c r="P15" i="9" s="1"/>
  <c r="O10" i="9"/>
  <c r="O15" i="9" s="1"/>
  <c r="N10" i="9"/>
  <c r="N15" i="9" s="1"/>
  <c r="E10" i="9"/>
  <c r="E15" i="9" s="1"/>
  <c r="D10" i="9"/>
  <c r="C10" i="9"/>
  <c r="E4" i="9"/>
  <c r="S21" i="9" s="1"/>
  <c r="AL18" i="8"/>
  <c r="D18" i="8"/>
  <c r="C18" i="8"/>
  <c r="AL9" i="8"/>
  <c r="D9" i="8"/>
  <c r="C9" i="8"/>
  <c r="F5" i="8"/>
  <c r="F6" i="8" s="1"/>
  <c r="S1" i="8"/>
  <c r="R17" i="7"/>
  <c r="R19" i="7" s="1"/>
  <c r="P17" i="7"/>
  <c r="P19" i="7" s="1"/>
  <c r="O17" i="7"/>
  <c r="O19" i="7" s="1"/>
  <c r="N17" i="7"/>
  <c r="E17" i="7"/>
  <c r="D17" i="7"/>
  <c r="C17" i="7"/>
  <c r="R10" i="7"/>
  <c r="R15" i="7" s="1"/>
  <c r="P10" i="7"/>
  <c r="P15" i="7" s="1"/>
  <c r="O10" i="7"/>
  <c r="O15" i="7" s="1"/>
  <c r="N10" i="7"/>
  <c r="N15" i="7" s="1"/>
  <c r="E10" i="7"/>
  <c r="D10" i="7"/>
  <c r="C10" i="7"/>
  <c r="E4" i="7"/>
  <c r="S21" i="7" s="1"/>
  <c r="AL18" i="6"/>
  <c r="D18" i="6"/>
  <c r="C18" i="6"/>
  <c r="AL9" i="6"/>
  <c r="D9" i="6"/>
  <c r="C9" i="6"/>
  <c r="F5" i="6"/>
  <c r="F6" i="6" s="1"/>
  <c r="R17" i="5"/>
  <c r="R19" i="5" s="1"/>
  <c r="P17" i="5"/>
  <c r="P19" i="5" s="1"/>
  <c r="O17" i="5"/>
  <c r="O19" i="5" s="1"/>
  <c r="N17" i="5"/>
  <c r="E17" i="5"/>
  <c r="D17" i="5"/>
  <c r="C17" i="5"/>
  <c r="R10" i="5"/>
  <c r="R15" i="5" s="1"/>
  <c r="P10" i="5"/>
  <c r="O10" i="5"/>
  <c r="O15" i="5" s="1"/>
  <c r="N10" i="5"/>
  <c r="N15" i="5" s="1"/>
  <c r="E10" i="5"/>
  <c r="D10" i="5"/>
  <c r="C10" i="5"/>
  <c r="E4" i="5"/>
  <c r="D1" i="5" s="1"/>
  <c r="AL18" i="4"/>
  <c r="D18" i="4"/>
  <c r="C18" i="4"/>
  <c r="AL9" i="4"/>
  <c r="D9" i="4"/>
  <c r="C9" i="4"/>
  <c r="F5" i="4"/>
  <c r="F6" i="4" s="1"/>
  <c r="S1" i="4"/>
  <c r="R17" i="3"/>
  <c r="R19" i="3" s="1"/>
  <c r="P17" i="3"/>
  <c r="P19" i="3" s="1"/>
  <c r="O17" i="3"/>
  <c r="O19" i="3" s="1"/>
  <c r="N17" i="3"/>
  <c r="N19" i="3" s="1"/>
  <c r="E17" i="3"/>
  <c r="E19" i="3" s="1"/>
  <c r="D17" i="3"/>
  <c r="C17" i="3"/>
  <c r="R15" i="3"/>
  <c r="O15" i="3"/>
  <c r="N15" i="3"/>
  <c r="E15" i="3"/>
  <c r="E4" i="3"/>
  <c r="S21" i="3" s="1"/>
  <c r="AL18" i="2"/>
  <c r="D18" i="2"/>
  <c r="C18" i="2"/>
  <c r="AL9" i="2"/>
  <c r="D9" i="2"/>
  <c r="C9" i="2"/>
  <c r="F5" i="2"/>
  <c r="G5" i="2" s="1"/>
  <c r="S1" i="2"/>
  <c r="M75" i="1"/>
  <c r="N105" i="1" s="1"/>
  <c r="M74" i="1"/>
  <c r="N103" i="1" s="1"/>
  <c r="M73" i="1"/>
  <c r="N101" i="1" s="1"/>
  <c r="M72" i="1"/>
  <c r="N99" i="1" s="1"/>
  <c r="M71" i="1"/>
  <c r="N97" i="1" s="1"/>
  <c r="M70" i="1"/>
  <c r="N95" i="1" s="1"/>
  <c r="M69" i="1"/>
  <c r="N93" i="1" s="1"/>
  <c r="M68" i="1"/>
  <c r="N91" i="1" s="1"/>
  <c r="M67" i="1"/>
  <c r="N89" i="1" s="1"/>
  <c r="M66" i="1"/>
  <c r="N87" i="1" s="1"/>
  <c r="M65" i="1"/>
  <c r="N85" i="1" s="1"/>
  <c r="M64" i="1"/>
  <c r="N83" i="1" s="1"/>
  <c r="M63" i="1"/>
  <c r="N81" i="1" s="1"/>
  <c r="M62" i="1"/>
  <c r="N79" i="1" s="1"/>
  <c r="M61" i="1"/>
  <c r="N77" i="1" s="1"/>
  <c r="M60" i="1"/>
  <c r="N75" i="1" s="1"/>
  <c r="M59" i="1"/>
  <c r="N73" i="1" s="1"/>
  <c r="M58" i="1"/>
  <c r="N71" i="1" s="1"/>
  <c r="M57" i="1"/>
  <c r="N69" i="1" s="1"/>
  <c r="M56" i="1"/>
  <c r="N67" i="1" s="1"/>
  <c r="M55" i="1"/>
  <c r="N65" i="1" s="1"/>
  <c r="M54" i="1"/>
  <c r="N63" i="1" s="1"/>
  <c r="M53" i="1"/>
  <c r="N61" i="1" s="1"/>
  <c r="M52" i="1"/>
  <c r="N59" i="1" s="1"/>
  <c r="M51" i="1"/>
  <c r="N57" i="1" s="1"/>
  <c r="M50" i="1"/>
  <c r="N55" i="1" s="1"/>
  <c r="M49" i="1"/>
  <c r="N53" i="1" s="1"/>
  <c r="M48" i="1"/>
  <c r="N51" i="1" s="1"/>
  <c r="M47" i="1"/>
  <c r="N49" i="1" s="1"/>
  <c r="M46" i="1"/>
  <c r="N47" i="1" s="1"/>
  <c r="M45" i="1"/>
  <c r="N45" i="1" s="1"/>
  <c r="K23" i="1"/>
  <c r="K24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U18" i="1"/>
  <c r="T18" i="1"/>
  <c r="S18" i="1"/>
  <c r="R18" i="1"/>
  <c r="Q18" i="1"/>
  <c r="P18" i="1"/>
  <c r="O18" i="1"/>
  <c r="N18" i="1"/>
  <c r="M18" i="1"/>
  <c r="L18" i="1"/>
  <c r="K18" i="1"/>
  <c r="J18" i="1"/>
  <c r="H18" i="1"/>
  <c r="G18" i="1"/>
  <c r="F18" i="1"/>
  <c r="E18" i="1"/>
  <c r="A17" i="1"/>
  <c r="A16" i="1"/>
  <c r="A13" i="1"/>
  <c r="A15" i="1"/>
  <c r="A11" i="1"/>
  <c r="A6" i="1"/>
  <c r="N19" i="5" l="1"/>
  <c r="G6" i="22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N19" i="7"/>
  <c r="P15" i="15"/>
  <c r="P15" i="21"/>
  <c r="P19" i="9"/>
  <c r="G5" i="8"/>
  <c r="G6" i="8" s="1"/>
  <c r="D1" i="7"/>
  <c r="P15" i="3"/>
  <c r="G6" i="2"/>
  <c r="H5" i="2"/>
  <c r="D1" i="3"/>
  <c r="F6" i="2"/>
  <c r="H5" i="14"/>
  <c r="G6" i="14"/>
  <c r="G6" i="12"/>
  <c r="H5" i="12"/>
  <c r="F6" i="14"/>
  <c r="D1" i="15"/>
  <c r="E19" i="15"/>
  <c r="E15" i="15"/>
  <c r="G5" i="20"/>
  <c r="D1" i="21"/>
  <c r="E15" i="19"/>
  <c r="E19" i="19"/>
  <c r="G5" i="10"/>
  <c r="D1" i="11"/>
  <c r="P15" i="5"/>
  <c r="I5" i="4"/>
  <c r="G5" i="6"/>
  <c r="E15" i="5"/>
  <c r="E19" i="5"/>
  <c r="S21" i="5"/>
  <c r="D1" i="9"/>
  <c r="E15" i="7"/>
  <c r="E19" i="7"/>
  <c r="J5" i="22" l="1"/>
  <c r="G6" i="4"/>
  <c r="J6" i="24"/>
  <c r="K5" i="24"/>
  <c r="K5" i="22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H6" i="18"/>
  <c r="G6" i="10"/>
  <c r="H5" i="10"/>
  <c r="H5" i="6"/>
  <c r="G6" i="6"/>
  <c r="I6" i="4"/>
  <c r="J5" i="4"/>
  <c r="H6" i="8" l="1"/>
  <c r="L5" i="24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13" i="24" l="1"/>
  <c r="AK11" i="24"/>
  <c r="AM11" i="24"/>
  <c r="AK13" i="24"/>
  <c r="AN13" i="24" s="1"/>
  <c r="AM9" i="24"/>
  <c r="H10" i="25" s="1"/>
  <c r="AK9" i="24"/>
  <c r="AK18" i="24"/>
  <c r="AM18" i="24"/>
  <c r="H17" i="25" s="1"/>
  <c r="AM9" i="22"/>
  <c r="H10" i="23" s="1"/>
  <c r="AK9" i="22"/>
  <c r="AM18" i="22"/>
  <c r="H17" i="23" s="1"/>
  <c r="AK18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11" i="24" l="1"/>
  <c r="AM11" i="4"/>
  <c r="AK11" i="4"/>
  <c r="AN11" i="4" s="1"/>
  <c r="AK13" i="4"/>
  <c r="AN13" i="4" s="1"/>
  <c r="AM13" i="4"/>
  <c r="AN9" i="24"/>
  <c r="F10" i="25"/>
  <c r="U2" i="25"/>
  <c r="AN18" i="24"/>
  <c r="F17" i="25"/>
  <c r="F17" i="23"/>
  <c r="AN18" i="22"/>
  <c r="U2" i="23"/>
  <c r="F10" i="23"/>
  <c r="AN9" i="22"/>
  <c r="AI6" i="2"/>
  <c r="AJ5" i="2"/>
  <c r="AJ6" i="2" s="1"/>
  <c r="AM9" i="2"/>
  <c r="H10" i="3" s="1"/>
  <c r="AK18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9" i="4"/>
  <c r="H10" i="5" s="1"/>
  <c r="AM18" i="4"/>
  <c r="H17" i="5" s="1"/>
  <c r="AK9" i="4"/>
  <c r="AK18" i="4"/>
  <c r="AH6" i="6"/>
  <c r="AI5" i="6"/>
  <c r="AI6" i="8"/>
  <c r="AJ5" i="8"/>
  <c r="AJ6" i="8" s="1"/>
  <c r="G12" i="25" l="1"/>
  <c r="G11" i="25"/>
  <c r="I12" i="25"/>
  <c r="I11" i="25"/>
  <c r="I11" i="23"/>
  <c r="I12" i="23"/>
  <c r="G12" i="23"/>
  <c r="G11" i="23"/>
  <c r="K11" i="23" s="1"/>
  <c r="M11" i="23" s="1"/>
  <c r="Q11" i="23" s="1"/>
  <c r="S11" i="23" s="1"/>
  <c r="J17" i="23"/>
  <c r="L17" i="23"/>
  <c r="L19" i="23" s="1"/>
  <c r="J10" i="25"/>
  <c r="L10" i="25"/>
  <c r="L15" i="25" s="1"/>
  <c r="J10" i="23"/>
  <c r="L10" i="23"/>
  <c r="L15" i="23" s="1"/>
  <c r="J17" i="25"/>
  <c r="L17" i="25"/>
  <c r="L19" i="25" s="1"/>
  <c r="AK18" i="14"/>
  <c r="AK11" i="14"/>
  <c r="AM18" i="14"/>
  <c r="H17" i="15" s="1"/>
  <c r="AM11" i="14"/>
  <c r="AM13" i="14"/>
  <c r="AK13" i="14"/>
  <c r="AK11" i="12"/>
  <c r="AN11" i="12" s="1"/>
  <c r="AM13" i="12"/>
  <c r="AK13" i="12"/>
  <c r="AN13" i="12" s="1"/>
  <c r="AM11" i="12"/>
  <c r="AK11" i="8"/>
  <c r="F11" i="9" s="1"/>
  <c r="AM13" i="8"/>
  <c r="H12" i="9" s="1"/>
  <c r="AM11" i="8"/>
  <c r="H11" i="9" s="1"/>
  <c r="AK13" i="8"/>
  <c r="AK11" i="2"/>
  <c r="F11" i="3" s="1"/>
  <c r="AM13" i="2"/>
  <c r="H12" i="3" s="1"/>
  <c r="AM11" i="2"/>
  <c r="H11" i="3" s="1"/>
  <c r="AK13" i="2"/>
  <c r="G10" i="25"/>
  <c r="G17" i="25"/>
  <c r="I10" i="25"/>
  <c r="I17" i="25"/>
  <c r="G10" i="23"/>
  <c r="G17" i="23"/>
  <c r="I17" i="23"/>
  <c r="I10" i="23"/>
  <c r="F17" i="3"/>
  <c r="L17" i="3" s="1"/>
  <c r="L19" i="3" s="1"/>
  <c r="AM18" i="2"/>
  <c r="H17" i="3" s="1"/>
  <c r="AK9" i="2"/>
  <c r="F10" i="3" s="1"/>
  <c r="AI6" i="20"/>
  <c r="AJ5" i="20"/>
  <c r="AJ6" i="20" s="1"/>
  <c r="AM18" i="16"/>
  <c r="H17" i="17" s="1"/>
  <c r="AK18" i="16"/>
  <c r="AK9" i="16"/>
  <c r="AM9" i="16"/>
  <c r="H10" i="17" s="1"/>
  <c r="AK9" i="12"/>
  <c r="AM9" i="12"/>
  <c r="H10" i="13" s="1"/>
  <c r="AM18" i="12"/>
  <c r="H17" i="13" s="1"/>
  <c r="AK18" i="12"/>
  <c r="AK9" i="18"/>
  <c r="AM9" i="18"/>
  <c r="H10" i="19" s="1"/>
  <c r="AM18" i="18"/>
  <c r="H17" i="19" s="1"/>
  <c r="AK18" i="18"/>
  <c r="AK9" i="14"/>
  <c r="AM9" i="14"/>
  <c r="H10" i="15" s="1"/>
  <c r="AI6" i="10"/>
  <c r="AJ5" i="10"/>
  <c r="AJ6" i="10" s="1"/>
  <c r="AI6" i="6"/>
  <c r="AK18" i="8"/>
  <c r="AM9" i="8"/>
  <c r="H10" i="9" s="1"/>
  <c r="AM18" i="8"/>
  <c r="H17" i="9" s="1"/>
  <c r="AK9" i="8"/>
  <c r="AN18" i="4"/>
  <c r="F17" i="5"/>
  <c r="AN9" i="4"/>
  <c r="F10" i="5"/>
  <c r="U2" i="5"/>
  <c r="AK15" i="6" l="1"/>
  <c r="AM15" i="6"/>
  <c r="H13" i="7" s="1"/>
  <c r="K11" i="25"/>
  <c r="M11" i="25" s="1"/>
  <c r="Q11" i="25" s="1"/>
  <c r="S11" i="25" s="1"/>
  <c r="K12" i="25"/>
  <c r="M12" i="25" s="1"/>
  <c r="Q12" i="25" s="1"/>
  <c r="S12" i="25" s="1"/>
  <c r="K12" i="23"/>
  <c r="M12" i="23" s="1"/>
  <c r="Q12" i="23" s="1"/>
  <c r="S12" i="23" s="1"/>
  <c r="G13" i="5"/>
  <c r="I13" i="5"/>
  <c r="AN11" i="14"/>
  <c r="AN13" i="14"/>
  <c r="AN18" i="14"/>
  <c r="F17" i="15"/>
  <c r="AN13" i="2"/>
  <c r="F12" i="3"/>
  <c r="J10" i="3"/>
  <c r="L10" i="3"/>
  <c r="L15" i="3" s="1"/>
  <c r="L11" i="3"/>
  <c r="J11" i="3"/>
  <c r="AN13" i="8"/>
  <c r="F12" i="9"/>
  <c r="L11" i="9"/>
  <c r="J11" i="9"/>
  <c r="AM13" i="10"/>
  <c r="H12" i="11" s="1"/>
  <c r="AK11" i="10"/>
  <c r="F11" i="11" s="1"/>
  <c r="AM11" i="10"/>
  <c r="H11" i="11" s="1"/>
  <c r="AK13" i="10"/>
  <c r="AN11" i="8"/>
  <c r="AK11" i="6"/>
  <c r="F11" i="7" s="1"/>
  <c r="AK13" i="6"/>
  <c r="F12" i="7" s="1"/>
  <c r="AM11" i="6"/>
  <c r="H11" i="7" s="1"/>
  <c r="AM13" i="6"/>
  <c r="H12" i="7" s="1"/>
  <c r="J17" i="5"/>
  <c r="L17" i="5"/>
  <c r="L19" i="5" s="1"/>
  <c r="G12" i="5"/>
  <c r="G11" i="5"/>
  <c r="I11" i="5"/>
  <c r="I12" i="5"/>
  <c r="J10" i="5"/>
  <c r="L10" i="5"/>
  <c r="L15" i="5" s="1"/>
  <c r="AN11" i="2"/>
  <c r="I19" i="25"/>
  <c r="K17" i="25"/>
  <c r="M17" i="25" s="1"/>
  <c r="Q17" i="25" s="1"/>
  <c r="S17" i="25" s="1"/>
  <c r="I15" i="25"/>
  <c r="G19" i="25"/>
  <c r="K10" i="25"/>
  <c r="G15" i="25"/>
  <c r="I15" i="23"/>
  <c r="I19" i="23"/>
  <c r="K10" i="23"/>
  <c r="G15" i="23"/>
  <c r="G19" i="23"/>
  <c r="K17" i="23"/>
  <c r="M17" i="23" s="1"/>
  <c r="Q17" i="23" s="1"/>
  <c r="S17" i="23" s="1"/>
  <c r="AN18" i="2"/>
  <c r="AN9" i="2"/>
  <c r="J17" i="3"/>
  <c r="U2" i="3"/>
  <c r="F17" i="17"/>
  <c r="AN18" i="16"/>
  <c r="AN18" i="18"/>
  <c r="F17" i="19"/>
  <c r="F10" i="15"/>
  <c r="U2" i="15"/>
  <c r="AN9" i="14"/>
  <c r="U2" i="19"/>
  <c r="L10" i="19"/>
  <c r="AN9" i="18"/>
  <c r="AN18" i="12"/>
  <c r="F17" i="13"/>
  <c r="F10" i="17"/>
  <c r="AN9" i="16"/>
  <c r="U2" i="17"/>
  <c r="AM9" i="20"/>
  <c r="H10" i="21" s="1"/>
  <c r="AK9" i="20"/>
  <c r="AK18" i="20"/>
  <c r="AM18" i="20"/>
  <c r="H17" i="21" s="1"/>
  <c r="F10" i="13"/>
  <c r="U2" i="13"/>
  <c r="AN9" i="12"/>
  <c r="AK9" i="10"/>
  <c r="AM18" i="10"/>
  <c r="H17" i="11" s="1"/>
  <c r="AK18" i="10"/>
  <c r="AM9" i="10"/>
  <c r="H10" i="11" s="1"/>
  <c r="G10" i="5"/>
  <c r="G17" i="5"/>
  <c r="I17" i="5"/>
  <c r="I10" i="5"/>
  <c r="F17" i="9"/>
  <c r="AN18" i="8"/>
  <c r="F10" i="9"/>
  <c r="AN9" i="8"/>
  <c r="U2" i="9"/>
  <c r="I12" i="9" s="1"/>
  <c r="AK9" i="6"/>
  <c r="AK18" i="6"/>
  <c r="AM9" i="6"/>
  <c r="H10" i="7" s="1"/>
  <c r="AM18" i="6"/>
  <c r="H17" i="7" s="1"/>
  <c r="J12" i="7" l="1"/>
  <c r="L12" i="7"/>
  <c r="L11" i="7"/>
  <c r="J11" i="7"/>
  <c r="AN15" i="6"/>
  <c r="F13" i="7"/>
  <c r="V14" i="19"/>
  <c r="G10" i="19"/>
  <c r="I12" i="19"/>
  <c r="G12" i="19"/>
  <c r="I13" i="19"/>
  <c r="G11" i="19"/>
  <c r="G13" i="19"/>
  <c r="I11" i="19"/>
  <c r="K13" i="5"/>
  <c r="M13" i="5" s="1"/>
  <c r="Q13" i="5" s="1"/>
  <c r="S13" i="5" s="1"/>
  <c r="J10" i="13"/>
  <c r="L10" i="13"/>
  <c r="L15" i="13" s="1"/>
  <c r="J17" i="13"/>
  <c r="L17" i="13"/>
  <c r="L19" i="13" s="1"/>
  <c r="J17" i="19"/>
  <c r="L17" i="19"/>
  <c r="L19" i="19" s="1"/>
  <c r="J17" i="15"/>
  <c r="L17" i="15"/>
  <c r="L19" i="15" s="1"/>
  <c r="K12" i="5"/>
  <c r="M12" i="5" s="1"/>
  <c r="Q12" i="5" s="1"/>
  <c r="S12" i="5" s="1"/>
  <c r="J10" i="17"/>
  <c r="L10" i="17"/>
  <c r="L15" i="17" s="1"/>
  <c r="J10" i="19"/>
  <c r="L15" i="19"/>
  <c r="J10" i="15"/>
  <c r="L10" i="15"/>
  <c r="L15" i="15" s="1"/>
  <c r="J17" i="17"/>
  <c r="L17" i="17"/>
  <c r="L19" i="17" s="1"/>
  <c r="G12" i="15"/>
  <c r="I12" i="15"/>
  <c r="G11" i="15"/>
  <c r="I11" i="15"/>
  <c r="J12" i="3"/>
  <c r="L12" i="3"/>
  <c r="I11" i="9"/>
  <c r="J10" i="9"/>
  <c r="L10" i="9"/>
  <c r="L15" i="9" s="1"/>
  <c r="J17" i="9"/>
  <c r="L17" i="9"/>
  <c r="L19" i="9" s="1"/>
  <c r="L12" i="9"/>
  <c r="J12" i="9"/>
  <c r="G11" i="9"/>
  <c r="G12" i="9"/>
  <c r="K12" i="9" s="1"/>
  <c r="AN13" i="10"/>
  <c r="F12" i="11"/>
  <c r="L11" i="11"/>
  <c r="J11" i="11"/>
  <c r="AN11" i="10"/>
  <c r="AN13" i="6"/>
  <c r="AN11" i="6"/>
  <c r="K11" i="5"/>
  <c r="M11" i="5" s="1"/>
  <c r="Q11" i="5" s="1"/>
  <c r="S11" i="5" s="1"/>
  <c r="I12" i="3"/>
  <c r="G11" i="3"/>
  <c r="G12" i="3"/>
  <c r="I11" i="3"/>
  <c r="I17" i="15"/>
  <c r="G17" i="15"/>
  <c r="K19" i="25"/>
  <c r="K15" i="25"/>
  <c r="M10" i="25"/>
  <c r="K19" i="23"/>
  <c r="M10" i="23"/>
  <c r="K15" i="23"/>
  <c r="G10" i="3"/>
  <c r="I10" i="3"/>
  <c r="I15" i="5"/>
  <c r="I17" i="3"/>
  <c r="G17" i="3"/>
  <c r="G17" i="19"/>
  <c r="I17" i="19"/>
  <c r="I10" i="19"/>
  <c r="I17" i="13"/>
  <c r="G10" i="13"/>
  <c r="I10" i="13"/>
  <c r="G17" i="13"/>
  <c r="F17" i="21"/>
  <c r="AN18" i="20"/>
  <c r="F10" i="21"/>
  <c r="AN9" i="20"/>
  <c r="U2" i="21"/>
  <c r="I10" i="15"/>
  <c r="G10" i="15"/>
  <c r="G17" i="17"/>
  <c r="G10" i="17"/>
  <c r="I17" i="17"/>
  <c r="I10" i="17"/>
  <c r="F17" i="11"/>
  <c r="AN18" i="10"/>
  <c r="F10" i="11"/>
  <c r="AN9" i="10"/>
  <c r="U2" i="11"/>
  <c r="F17" i="7"/>
  <c r="AN18" i="6"/>
  <c r="I19" i="5"/>
  <c r="G15" i="5"/>
  <c r="K10" i="5"/>
  <c r="U2" i="7"/>
  <c r="F10" i="7"/>
  <c r="AN9" i="6"/>
  <c r="G10" i="9"/>
  <c r="G17" i="9"/>
  <c r="I17" i="9"/>
  <c r="I10" i="9"/>
  <c r="I15" i="9" s="1"/>
  <c r="G19" i="5"/>
  <c r="K17" i="5"/>
  <c r="L13" i="7" l="1"/>
  <c r="J13" i="7"/>
  <c r="K11" i="19"/>
  <c r="M11" i="19" s="1"/>
  <c r="Q11" i="19" s="1"/>
  <c r="S11" i="19" s="1"/>
  <c r="K13" i="19"/>
  <c r="M13" i="19" s="1"/>
  <c r="Q13" i="19" s="1"/>
  <c r="S13" i="19" s="1"/>
  <c r="K12" i="19"/>
  <c r="M12" i="19" s="1"/>
  <c r="Q12" i="19" s="1"/>
  <c r="S12" i="19" s="1"/>
  <c r="K11" i="15"/>
  <c r="M11" i="15" s="1"/>
  <c r="Q11" i="15" s="1"/>
  <c r="S11" i="15" s="1"/>
  <c r="M12" i="9"/>
  <c r="Q12" i="9" s="1"/>
  <c r="S12" i="9" s="1"/>
  <c r="I13" i="7"/>
  <c r="G13" i="7"/>
  <c r="G12" i="7"/>
  <c r="I11" i="7"/>
  <c r="G11" i="7"/>
  <c r="I12" i="7"/>
  <c r="K12" i="3"/>
  <c r="M12" i="3" s="1"/>
  <c r="Q12" i="3" s="1"/>
  <c r="S12" i="3" s="1"/>
  <c r="J17" i="7"/>
  <c r="L17" i="7"/>
  <c r="L19" i="7" s="1"/>
  <c r="J17" i="21"/>
  <c r="L17" i="21"/>
  <c r="L19" i="21" s="1"/>
  <c r="K12" i="15"/>
  <c r="M12" i="15" s="1"/>
  <c r="Q12" i="15" s="1"/>
  <c r="S12" i="15" s="1"/>
  <c r="J10" i="7"/>
  <c r="L10" i="7"/>
  <c r="L15" i="7" s="1"/>
  <c r="J10" i="21"/>
  <c r="L10" i="21"/>
  <c r="L15" i="21" s="1"/>
  <c r="K11" i="9"/>
  <c r="M11" i="9" s="1"/>
  <c r="Q11" i="9" s="1"/>
  <c r="S11" i="9" s="1"/>
  <c r="L12" i="11"/>
  <c r="J12" i="11"/>
  <c r="J10" i="11"/>
  <c r="L10" i="11"/>
  <c r="L15" i="11" s="1"/>
  <c r="J17" i="11"/>
  <c r="L17" i="11"/>
  <c r="L19" i="11" s="1"/>
  <c r="I12" i="11"/>
  <c r="G12" i="11"/>
  <c r="G11" i="11"/>
  <c r="I11" i="11"/>
  <c r="K11" i="3"/>
  <c r="M11" i="3" s="1"/>
  <c r="Q11" i="3" s="1"/>
  <c r="S11" i="3" s="1"/>
  <c r="K17" i="15"/>
  <c r="M17" i="15" s="1"/>
  <c r="Q17" i="15" s="1"/>
  <c r="S17" i="15" s="1"/>
  <c r="M15" i="25"/>
  <c r="Q10" i="25"/>
  <c r="M19" i="25"/>
  <c r="Q10" i="23"/>
  <c r="M15" i="23"/>
  <c r="M19" i="23"/>
  <c r="K17" i="17"/>
  <c r="M17" i="17" s="1"/>
  <c r="Q17" i="17" s="1"/>
  <c r="S17" i="17" s="1"/>
  <c r="K10" i="3"/>
  <c r="M10" i="3" s="1"/>
  <c r="Q10" i="3" s="1"/>
  <c r="S10" i="3" s="1"/>
  <c r="I15" i="17"/>
  <c r="I15" i="3"/>
  <c r="G15" i="3"/>
  <c r="G19" i="3"/>
  <c r="K17" i="3"/>
  <c r="I19" i="3"/>
  <c r="G15" i="17"/>
  <c r="K10" i="17"/>
  <c r="G19" i="15"/>
  <c r="G15" i="19"/>
  <c r="K10" i="19"/>
  <c r="I19" i="15"/>
  <c r="G17" i="21"/>
  <c r="I17" i="21"/>
  <c r="I10" i="21"/>
  <c r="G10" i="21"/>
  <c r="G15" i="13"/>
  <c r="K10" i="13"/>
  <c r="G19" i="19"/>
  <c r="G15" i="15"/>
  <c r="K10" i="15"/>
  <c r="K17" i="13"/>
  <c r="G19" i="13"/>
  <c r="I19" i="19"/>
  <c r="G19" i="17"/>
  <c r="I19" i="17"/>
  <c r="I15" i="15"/>
  <c r="I15" i="13"/>
  <c r="I19" i="13"/>
  <c r="I15" i="19"/>
  <c r="K17" i="19"/>
  <c r="M17" i="19" s="1"/>
  <c r="Q17" i="19" s="1"/>
  <c r="S17" i="19" s="1"/>
  <c r="I17" i="11"/>
  <c r="G10" i="11"/>
  <c r="G17" i="11"/>
  <c r="I10" i="11"/>
  <c r="I19" i="9"/>
  <c r="K10" i="9"/>
  <c r="G15" i="9"/>
  <c r="K17" i="9"/>
  <c r="G19" i="9"/>
  <c r="K15" i="5"/>
  <c r="M10" i="5"/>
  <c r="I10" i="7"/>
  <c r="G10" i="7"/>
  <c r="I17" i="7"/>
  <c r="G17" i="7"/>
  <c r="M17" i="5"/>
  <c r="K19" i="5"/>
  <c r="K13" i="7" l="1"/>
  <c r="M13" i="7" s="1"/>
  <c r="Q13" i="7" s="1"/>
  <c r="S13" i="7" s="1"/>
  <c r="S15" i="3"/>
  <c r="K12" i="7"/>
  <c r="M12" i="7" s="1"/>
  <c r="Q12" i="7" s="1"/>
  <c r="S12" i="7" s="1"/>
  <c r="K11" i="7"/>
  <c r="M11" i="7" s="1"/>
  <c r="Q11" i="7" s="1"/>
  <c r="S11" i="7" s="1"/>
  <c r="K11" i="11"/>
  <c r="M11" i="11" s="1"/>
  <c r="Q11" i="11" s="1"/>
  <c r="S11" i="11" s="1"/>
  <c r="K12" i="11"/>
  <c r="M12" i="11" s="1"/>
  <c r="Q12" i="11" s="1"/>
  <c r="S12" i="11" s="1"/>
  <c r="Q19" i="25"/>
  <c r="S19" i="25"/>
  <c r="S10" i="25"/>
  <c r="S15" i="25" s="1"/>
  <c r="Q15" i="25"/>
  <c r="S19" i="23"/>
  <c r="Q19" i="23"/>
  <c r="S10" i="23"/>
  <c r="S15" i="23" s="1"/>
  <c r="Q15" i="23"/>
  <c r="I19" i="21"/>
  <c r="I15" i="11"/>
  <c r="K19" i="3"/>
  <c r="M17" i="3"/>
  <c r="K15" i="3"/>
  <c r="K19" i="17"/>
  <c r="K19" i="19"/>
  <c r="K10" i="21"/>
  <c r="G15" i="21"/>
  <c r="K19" i="15"/>
  <c r="K15" i="15"/>
  <c r="M10" i="15"/>
  <c r="I15" i="21"/>
  <c r="K15" i="13"/>
  <c r="M10" i="13"/>
  <c r="M10" i="19"/>
  <c r="K15" i="19"/>
  <c r="K15" i="17"/>
  <c r="M10" i="17"/>
  <c r="K19" i="13"/>
  <c r="M17" i="13"/>
  <c r="G19" i="21"/>
  <c r="K17" i="21"/>
  <c r="M17" i="21" s="1"/>
  <c r="Q17" i="21" s="1"/>
  <c r="S17" i="21" s="1"/>
  <c r="K10" i="11"/>
  <c r="G15" i="11"/>
  <c r="I19" i="11"/>
  <c r="K17" i="11"/>
  <c r="G19" i="11"/>
  <c r="G15" i="7"/>
  <c r="K10" i="7"/>
  <c r="I19" i="7"/>
  <c r="M15" i="5"/>
  <c r="Q10" i="5"/>
  <c r="K15" i="9"/>
  <c r="M10" i="9"/>
  <c r="G19" i="7"/>
  <c r="K17" i="7"/>
  <c r="I15" i="7"/>
  <c r="Q17" i="5"/>
  <c r="M19" i="5"/>
  <c r="K19" i="9"/>
  <c r="M17" i="9"/>
  <c r="M15" i="3" l="1"/>
  <c r="Q17" i="3"/>
  <c r="M19" i="3"/>
  <c r="Q10" i="19"/>
  <c r="M15" i="19"/>
  <c r="M19" i="19"/>
  <c r="K19" i="21"/>
  <c r="Q10" i="13"/>
  <c r="M15" i="13"/>
  <c r="M19" i="17"/>
  <c r="M15" i="17"/>
  <c r="Q10" i="17"/>
  <c r="M15" i="15"/>
  <c r="Q10" i="15"/>
  <c r="Q17" i="13"/>
  <c r="M19" i="13"/>
  <c r="M19" i="15"/>
  <c r="K15" i="21"/>
  <c r="M10" i="21"/>
  <c r="K19" i="11"/>
  <c r="M17" i="11"/>
  <c r="K15" i="11"/>
  <c r="M10" i="11"/>
  <c r="M17" i="7"/>
  <c r="K19" i="7"/>
  <c r="Q15" i="5"/>
  <c r="S10" i="5"/>
  <c r="S15" i="5" s="1"/>
  <c r="M10" i="7"/>
  <c r="K15" i="7"/>
  <c r="Q17" i="9"/>
  <c r="M19" i="9"/>
  <c r="Q19" i="5"/>
  <c r="S17" i="5"/>
  <c r="S19" i="5" s="1"/>
  <c r="Q10" i="9"/>
  <c r="M15" i="9"/>
  <c r="Q19" i="3" l="1"/>
  <c r="S17" i="3"/>
  <c r="S19" i="3" s="1"/>
  <c r="Q15" i="3"/>
  <c r="Q15" i="13"/>
  <c r="S10" i="13"/>
  <c r="S15" i="13" s="1"/>
  <c r="Q10" i="21"/>
  <c r="M15" i="21"/>
  <c r="Q15" i="17"/>
  <c r="S10" i="17"/>
  <c r="S15" i="17" s="1"/>
  <c r="S17" i="13"/>
  <c r="S19" i="13" s="1"/>
  <c r="Q19" i="13"/>
  <c r="Q19" i="19"/>
  <c r="S19" i="19"/>
  <c r="Q19" i="15"/>
  <c r="S19" i="15"/>
  <c r="Q15" i="15"/>
  <c r="S10" i="15"/>
  <c r="S15" i="15" s="1"/>
  <c r="Q19" i="17"/>
  <c r="S19" i="17"/>
  <c r="M19" i="21"/>
  <c r="Q15" i="19"/>
  <c r="S10" i="19"/>
  <c r="S15" i="19" s="1"/>
  <c r="Q10" i="11"/>
  <c r="M15" i="11"/>
  <c r="Q17" i="11"/>
  <c r="M19" i="11"/>
  <c r="S10" i="9"/>
  <c r="S15" i="9" s="1"/>
  <c r="Q15" i="9"/>
  <c r="S17" i="9"/>
  <c r="S19" i="9" s="1"/>
  <c r="Q19" i="9"/>
  <c r="Q10" i="7"/>
  <c r="M15" i="7"/>
  <c r="Q17" i="7"/>
  <c r="M19" i="7"/>
  <c r="V15" i="19" l="1"/>
  <c r="V16" i="19" s="1"/>
  <c r="S10" i="21"/>
  <c r="S15" i="21" s="1"/>
  <c r="Q15" i="21"/>
  <c r="S19" i="21"/>
  <c r="Q19" i="21"/>
  <c r="S17" i="11"/>
  <c r="S19" i="11" s="1"/>
  <c r="Q19" i="11"/>
  <c r="S10" i="11"/>
  <c r="S15" i="11" s="1"/>
  <c r="Q15" i="11"/>
  <c r="Q19" i="7"/>
  <c r="S17" i="7"/>
  <c r="S19" i="7" s="1"/>
  <c r="Q15" i="7"/>
  <c r="S10" i="7"/>
  <c r="S15" i="7" s="1"/>
</calcChain>
</file>

<file path=xl/sharedStrings.xml><?xml version="1.0" encoding="utf-8"?>
<sst xmlns="http://schemas.openxmlformats.org/spreadsheetml/2006/main" count="1178" uniqueCount="176">
  <si>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</si>
  <si>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</si>
  <si>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</si>
  <si>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</si>
  <si>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</si>
  <si>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</si>
  <si>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</si>
  <si>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</si>
  <si>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</si>
  <si>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</si>
  <si>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</si>
  <si>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</si>
  <si>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</si>
  <si>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</si>
  <si>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</si>
  <si>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</si>
  <si>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</si>
  <si>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</si>
  <si>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</si>
  <si>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</si>
  <si>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</si>
  <si>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</si>
  <si>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</si>
  <si>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</si>
  <si>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</si>
  <si>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</si>
  <si>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</si>
  <si>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</si>
  <si>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</si>
  <si>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</si>
  <si>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</si>
  <si>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Công nhân</t>
  </si>
  <si>
    <t>Huỳnh Đoàn Viết Thanh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</si>
  <si>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</si>
  <si>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</si>
  <si>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</si>
  <si>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</si>
  <si>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</si>
  <si>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</si>
  <si>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</si>
  <si>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</si>
  <si>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</si>
  <si>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</si>
  <si>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</si>
  <si>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</si>
  <si>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</si>
  <si>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</si>
  <si>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</si>
  <si>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</si>
  <si>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</si>
  <si>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</si>
  <si>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</si>
  <si>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</si>
  <si>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</si>
  <si>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</si>
  <si>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</si>
  <si>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</si>
  <si>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</si>
  <si>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</si>
  <si>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</si>
  <si>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</si>
  <si>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</si>
  <si>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</si>
  <si>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</si>
  <si>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</si>
  <si>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</si>
  <si>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</si>
  <si>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</si>
  <si>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</si>
  <si>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</si>
  <si>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</si>
  <si>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</si>
  <si>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</si>
  <si>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</si>
  <si>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</si>
  <si>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</si>
  <si>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</si>
  <si>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</si>
  <si>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</si>
  <si>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</si>
  <si>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</si>
  <si>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</si>
  <si>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</si>
  <si>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</si>
  <si>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</si>
  <si>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</si>
  <si>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</si>
  <si>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</si>
  <si>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</si>
  <si>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</si>
  <si>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</si>
  <si>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</si>
  <si>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</si>
  <si>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</si>
  <si>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</si>
  <si>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</si>
  <si>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</si>
  <si>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</si>
  <si>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</si>
  <si>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</si>
  <si>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</si>
  <si>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</si>
  <si>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</si>
  <si>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</si>
  <si>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</si>
  <si>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</si>
  <si>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</si>
  <si>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</si>
  <si>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</si>
  <si>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</si>
  <si>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</si>
  <si>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</si>
  <si>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</si>
  <si>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</si>
  <si>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</si>
  <si>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</si>
  <si>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</si>
  <si>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</si>
  <si>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</si>
  <si>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</si>
  <si>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</si>
  <si>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</si>
  <si>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</si>
  <si>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</si>
  <si>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</si>
  <si>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</si>
  <si>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</si>
  <si>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</si>
  <si>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</si>
  <si>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</si>
  <si>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</si>
  <si>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</si>
  <si>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</si>
  <si>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</si>
  <si>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</si>
  <si>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</si>
  <si>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</si>
  <si>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</si>
  <si>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</si>
  <si>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</si>
  <si>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</si>
  <si>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</si>
  <si>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</si>
  <si>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</si>
  <si>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</si>
  <si>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</si>
  <si>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</si>
  <si>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</si>
  <si>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</si>
  <si>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</si>
  <si>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</si>
  <si>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</si>
  <si>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</si>
  <si>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</si>
  <si>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</si>
  <si>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</si>
  <si>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</si>
  <si>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</si>
  <si>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</si>
  <si>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</si>
  <si>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</si>
  <si>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</si>
  <si>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</si>
  <si>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</si>
  <si>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</si>
  <si>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</si>
  <si>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QL02</t>
  </si>
  <si>
    <t>Mai Thị Hường</t>
  </si>
  <si>
    <t>Kinh Doanh</t>
  </si>
  <si>
    <t>QL03</t>
  </si>
  <si>
    <t>Giao Hàng</t>
  </si>
  <si>
    <t>Nguyễn Phước Bảo Việt Hùng</t>
  </si>
  <si>
    <t>Đào Quảng Ninh</t>
  </si>
  <si>
    <t>QL04</t>
  </si>
  <si>
    <t>Tài xế</t>
  </si>
  <si>
    <t>Nguyễn Thị Thanh 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</si>
</sst>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6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165" fontId="15" fillId="2" borderId="0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11" xfId="0" applyNumberFormat="1" applyFont="1" applyFill="1" applyBorder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3" fontId="21" fillId="0" borderId="0" xfId="1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125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6"/>
  <sheetViews>
    <sheetView topLeftCell="A8" workbookViewId="0">
      <pane ySplit="3" topLeftCell="A11" activePane="bottomLeft" state="frozen"/>
      <selection activeCell="E19" sqref="E19"/>
      <selection pane="bottomLeft" activeCell="E14" sqref="E14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3" t="s">
        <v>2</v>
      </c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</row>
    <row r="6" spans="1:26" ht="23.25" customHeight="1">
      <c r="A6" s="204" t="str">
        <f>"Tháng "&amp;'CC -1'!C4&amp;" năm 2011"</f>
        <v>Tháng  năm 2011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05" t="s">
        <v>3</v>
      </c>
      <c r="B8" s="205" t="s">
        <v>4</v>
      </c>
      <c r="C8" s="205" t="s">
        <v>5</v>
      </c>
      <c r="D8" s="205" t="s">
        <v>6</v>
      </c>
      <c r="E8" s="206" t="s">
        <v>7</v>
      </c>
      <c r="F8" s="207"/>
      <c r="G8" s="210" t="s">
        <v>8</v>
      </c>
      <c r="H8" s="210"/>
      <c r="I8" s="210" t="s">
        <v>9</v>
      </c>
      <c r="J8" s="210" t="s">
        <v>10</v>
      </c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1" t="s">
        <v>11</v>
      </c>
      <c r="W8" s="211" t="s">
        <v>12</v>
      </c>
      <c r="X8" s="211" t="s">
        <v>13</v>
      </c>
      <c r="Y8" s="9"/>
      <c r="Z8" s="9"/>
    </row>
    <row r="9" spans="1:26" s="1" customFormat="1" ht="20.25" customHeight="1">
      <c r="A9" s="205"/>
      <c r="B9" s="205"/>
      <c r="C9" s="205"/>
      <c r="D9" s="205"/>
      <c r="E9" s="208"/>
      <c r="F9" s="209"/>
      <c r="G9" s="10" t="s">
        <v>14</v>
      </c>
      <c r="H9" s="10" t="s">
        <v>15</v>
      </c>
      <c r="I9" s="210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12"/>
      <c r="W9" s="212"/>
      <c r="X9" s="212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7" si="0">IF(B11&lt;&gt;"",ROW()-10,"")</f>
        <v>1</v>
      </c>
      <c r="B11" s="12" t="s">
        <v>28</v>
      </c>
      <c r="C11" s="16" t="s">
        <v>171</v>
      </c>
      <c r="D11" s="12" t="s">
        <v>168</v>
      </c>
      <c r="E11" s="13">
        <v>2600000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/>
    </row>
    <row r="12" spans="1:26" s="20" customFormat="1" ht="21.75" customHeight="1">
      <c r="A12" s="15">
        <f t="shared" ref="A12" si="1">IF(B12&lt;&gt;"",ROW()-10,"")</f>
        <v>2</v>
      </c>
      <c r="B12" s="12" t="s">
        <v>166</v>
      </c>
      <c r="C12" s="16" t="s">
        <v>167</v>
      </c>
      <c r="D12" s="12" t="s">
        <v>29</v>
      </c>
      <c r="E12" s="13">
        <v>2500000</v>
      </c>
      <c r="F12" s="17"/>
      <c r="G12" s="14">
        <v>260000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</row>
    <row r="13" spans="1:26" s="20" customFormat="1" ht="21.75" customHeight="1">
      <c r="A13" s="15">
        <f>IF(B13&lt;&gt;"",ROW()-10,"")</f>
        <v>3</v>
      </c>
      <c r="B13" s="12" t="s">
        <v>169</v>
      </c>
      <c r="C13" s="22" t="s">
        <v>172</v>
      </c>
      <c r="D13" s="15" t="s">
        <v>170</v>
      </c>
      <c r="E13" s="17">
        <v>2000000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9"/>
    </row>
    <row r="14" spans="1:26" s="20" customFormat="1" ht="21.75" customHeight="1">
      <c r="A14" s="15"/>
      <c r="B14" s="12" t="s">
        <v>173</v>
      </c>
      <c r="C14" s="22" t="s">
        <v>32</v>
      </c>
      <c r="D14" s="15" t="s">
        <v>174</v>
      </c>
      <c r="E14" s="13">
        <v>2500000</v>
      </c>
      <c r="F14" s="17"/>
      <c r="G14" s="17">
        <v>260000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  <c r="Z14" s="19"/>
    </row>
    <row r="15" spans="1:26" s="20" customFormat="1" ht="21.75" customHeight="1">
      <c r="A15" s="15">
        <f t="shared" si="0"/>
        <v>5</v>
      </c>
      <c r="B15" s="21" t="s">
        <v>30</v>
      </c>
      <c r="C15" s="22" t="s">
        <v>175</v>
      </c>
      <c r="D15" s="15" t="s">
        <v>31</v>
      </c>
      <c r="E15" s="17">
        <v>2500000</v>
      </c>
      <c r="F15" s="17"/>
      <c r="G15" s="17">
        <v>260000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/>
    </row>
    <row r="16" spans="1:26" ht="21.75" customHeight="1">
      <c r="A16" s="12" t="str">
        <f t="shared" si="0"/>
        <v/>
      </c>
      <c r="B16" s="23"/>
      <c r="C16" s="24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9"/>
    </row>
    <row r="17" spans="1:25" ht="21.75" customHeight="1">
      <c r="A17" s="12" t="str">
        <f t="shared" si="0"/>
        <v/>
      </c>
      <c r="B17" s="27"/>
      <c r="C17" s="28"/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9"/>
    </row>
    <row r="18" spans="1:25" ht="21.75" customHeight="1">
      <c r="A18" s="213" t="s">
        <v>33</v>
      </c>
      <c r="B18" s="214"/>
      <c r="C18" s="214"/>
      <c r="D18" s="31" t="s">
        <v>34</v>
      </c>
      <c r="E18" s="32">
        <f>SUM(E11:E17)</f>
        <v>12100000</v>
      </c>
      <c r="F18" s="32">
        <f>SUM(F11:F17)</f>
        <v>0</v>
      </c>
      <c r="G18" s="32">
        <f>SUM(G11:G17)</f>
        <v>1300000</v>
      </c>
      <c r="H18" s="32">
        <f>SUM(H11:H17)</f>
        <v>0</v>
      </c>
      <c r="I18" s="32"/>
      <c r="J18" s="32">
        <f t="shared" ref="J18:U18" si="2">SUMIF(J$11:J$17,"x",$E$11:$E$17)</f>
        <v>0</v>
      </c>
      <c r="K18" s="32">
        <f t="shared" si="2"/>
        <v>0</v>
      </c>
      <c r="L18" s="32">
        <f t="shared" si="2"/>
        <v>0</v>
      </c>
      <c r="M18" s="32">
        <f t="shared" si="2"/>
        <v>0</v>
      </c>
      <c r="N18" s="32">
        <f t="shared" si="2"/>
        <v>0</v>
      </c>
      <c r="O18" s="32">
        <f t="shared" si="2"/>
        <v>0</v>
      </c>
      <c r="P18" s="32">
        <f t="shared" si="2"/>
        <v>0</v>
      </c>
      <c r="Q18" s="32">
        <f t="shared" si="2"/>
        <v>0</v>
      </c>
      <c r="R18" s="32">
        <f t="shared" si="2"/>
        <v>0</v>
      </c>
      <c r="S18" s="32">
        <f t="shared" si="2"/>
        <v>0</v>
      </c>
      <c r="T18" s="32">
        <f t="shared" si="2"/>
        <v>0</v>
      </c>
      <c r="U18" s="32">
        <f t="shared" si="2"/>
        <v>0</v>
      </c>
      <c r="V18" s="32"/>
      <c r="W18" s="32"/>
      <c r="X18" s="32"/>
      <c r="Y18" s="9"/>
    </row>
    <row r="19" spans="1:25" ht="21.75" customHeight="1">
      <c r="A19" s="215"/>
      <c r="B19" s="216"/>
      <c r="C19" s="216"/>
      <c r="D19" s="31" t="s">
        <v>35</v>
      </c>
      <c r="E19" s="32"/>
      <c r="F19" s="32"/>
      <c r="G19" s="32"/>
      <c r="H19" s="32"/>
      <c r="I19" s="32"/>
      <c r="J19" s="32">
        <f t="array" ref="J19">SUM((J$11:J$17="x")*1)</f>
        <v>0</v>
      </c>
      <c r="K19" s="32">
        <f t="array" ref="K19">SUM((K$11:K$17="x")*1)</f>
        <v>0</v>
      </c>
      <c r="L19" s="32">
        <f t="array" ref="L19">SUM((L$11:L$17="x")*1)</f>
        <v>0</v>
      </c>
      <c r="M19" s="32">
        <f t="array" ref="M19">SUM((M$11:M$17="x")*1)</f>
        <v>0</v>
      </c>
      <c r="N19" s="32">
        <f t="array" ref="N19">SUM((N$11:N$17="x")*1)</f>
        <v>0</v>
      </c>
      <c r="O19" s="32">
        <f t="array" ref="O19">SUM((O$11:O$17="x")*1)</f>
        <v>0</v>
      </c>
      <c r="P19" s="32">
        <f t="array" ref="P19">SUM((P$11:P$17="x")*1)</f>
        <v>0</v>
      </c>
      <c r="Q19" s="32">
        <f t="array" ref="Q19">SUM((Q$11:Q$17="x")*1)</f>
        <v>0</v>
      </c>
      <c r="R19" s="32">
        <f t="array" ref="R19">SUM((R$11:R$17="x")*1)</f>
        <v>0</v>
      </c>
      <c r="S19" s="32">
        <f t="array" ref="S19">SUM((S$11:S$17="x")*1)</f>
        <v>0</v>
      </c>
      <c r="T19" s="32">
        <f t="array" ref="T19">SUM((T$11:T$17="x")*1)</f>
        <v>0</v>
      </c>
      <c r="U19" s="32">
        <f t="array" ref="U19">SUM((U$11:U$17="x")*1)</f>
        <v>0</v>
      </c>
      <c r="V19" s="32"/>
      <c r="W19" s="32"/>
      <c r="X19" s="32"/>
      <c r="Y19" s="9"/>
    </row>
    <row r="20" spans="1:25" ht="21.75" customHeight="1">
      <c r="A20" s="217"/>
      <c r="B20" s="218"/>
      <c r="C20" s="218"/>
      <c r="D20" s="31" t="s">
        <v>36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9"/>
    </row>
    <row r="21" spans="1:25" ht="11.25" customHeight="1">
      <c r="A21" s="33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5" ht="11.25" customHeight="1">
      <c r="A22" s="33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 t="s">
        <v>37</v>
      </c>
      <c r="X22" s="34"/>
    </row>
    <row r="23" spans="1:25" ht="16.5" customHeight="1">
      <c r="A23" s="33"/>
      <c r="B23" s="33"/>
      <c r="C23" s="36" t="s">
        <v>38</v>
      </c>
      <c r="D23" s="37"/>
      <c r="E23" s="38"/>
      <c r="F23" s="39"/>
      <c r="G23" s="39"/>
      <c r="H23" s="39"/>
      <c r="I23" s="40"/>
      <c r="J23" s="40">
        <v>8278</v>
      </c>
      <c r="K23" s="41" t="e">
        <f>#REF!/27/8</f>
        <v>#REF!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 t="s">
        <v>39</v>
      </c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 t="e">
        <f>J23/K23</f>
        <v>#REF!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ht="11.25" customHeight="1">
      <c r="A27" s="33"/>
      <c r="B27" s="33"/>
      <c r="C27" s="36"/>
      <c r="D27" s="37"/>
      <c r="E27" s="38"/>
      <c r="F27" s="39"/>
      <c r="G27" s="39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2"/>
      <c r="X27" s="42"/>
    </row>
    <row r="28" spans="1:25" ht="11.25" customHeight="1">
      <c r="A28" s="33"/>
      <c r="B28" s="33"/>
      <c r="C28" s="36"/>
      <c r="D28" s="37"/>
      <c r="E28" s="38"/>
      <c r="F28" s="39"/>
      <c r="G28" s="39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2"/>
      <c r="X28" s="42"/>
    </row>
    <row r="29" spans="1:25" s="3" customFormat="1">
      <c r="A29" s="43"/>
      <c r="B29" s="43"/>
      <c r="C29" s="44" t="s">
        <v>40</v>
      </c>
      <c r="D29" s="37"/>
      <c r="E29" s="38"/>
      <c r="F29" s="39"/>
      <c r="G29" s="39"/>
      <c r="H29" s="39"/>
      <c r="I29" s="40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  <c r="X29" s="47"/>
    </row>
    <row r="30" spans="1:25" s="3" customFormat="1" ht="9" customHeight="1">
      <c r="A30" s="2"/>
      <c r="B30" s="2"/>
      <c r="C30" s="48"/>
      <c r="D30" s="48"/>
      <c r="E30" s="38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50"/>
      <c r="X30" s="50"/>
    </row>
    <row r="31" spans="1:25" s="3" customFormat="1">
      <c r="A31" s="2"/>
      <c r="B31" s="2"/>
      <c r="C31" s="2"/>
      <c r="D31" s="2"/>
      <c r="E31" s="38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5" s="3" customFormat="1">
      <c r="A32" s="2"/>
      <c r="B32" s="2"/>
      <c r="C32" s="2"/>
      <c r="D32" s="2"/>
      <c r="E32" s="38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45" spans="3:14">
      <c r="C45" s="51"/>
      <c r="G45" s="22" t="s">
        <v>41</v>
      </c>
      <c r="J45" s="2" t="s">
        <v>42</v>
      </c>
      <c r="K45" s="2" t="s">
        <v>41</v>
      </c>
      <c r="M45" s="2" t="str">
        <f>VLOOKUP(K45,$G$45:$J$104,4,0)</f>
        <v>ALTP001</v>
      </c>
      <c r="N45" s="202" t="str">
        <f>M45</f>
        <v>ALTP001</v>
      </c>
    </row>
    <row r="46" spans="3:14">
      <c r="C46" s="51"/>
      <c r="G46" s="22" t="s">
        <v>43</v>
      </c>
      <c r="J46" s="2" t="s">
        <v>44</v>
      </c>
      <c r="K46" s="2" t="s">
        <v>43</v>
      </c>
      <c r="M46" s="2" t="str">
        <f t="shared" ref="M46:M75" si="3">VLOOKUP(K46,$G$45:$J$104,4,0)</f>
        <v>ALTP002</v>
      </c>
      <c r="N46" s="202"/>
    </row>
    <row r="47" spans="3:14">
      <c r="C47" s="51"/>
      <c r="G47" s="22" t="s">
        <v>45</v>
      </c>
      <c r="J47" s="2" t="s">
        <v>46</v>
      </c>
      <c r="K47" s="2" t="s">
        <v>45</v>
      </c>
      <c r="M47" s="2" t="str">
        <f t="shared" si="3"/>
        <v>ALTP003</v>
      </c>
      <c r="N47" s="202" t="str">
        <f>M46</f>
        <v>ALTP002</v>
      </c>
    </row>
    <row r="48" spans="3:14">
      <c r="C48" s="51"/>
      <c r="G48" s="22" t="s">
        <v>47</v>
      </c>
      <c r="J48" s="2" t="s">
        <v>48</v>
      </c>
      <c r="K48" s="2" t="s">
        <v>47</v>
      </c>
      <c r="M48" s="2" t="str">
        <f t="shared" si="3"/>
        <v>ALTP004</v>
      </c>
      <c r="N48" s="202"/>
    </row>
    <row r="49" spans="3:14">
      <c r="C49" s="51"/>
      <c r="G49" s="22" t="s">
        <v>49</v>
      </c>
      <c r="J49" s="2" t="s">
        <v>50</v>
      </c>
      <c r="K49" s="2" t="s">
        <v>49</v>
      </c>
      <c r="M49" s="2" t="str">
        <f t="shared" si="3"/>
        <v>ALTP005</v>
      </c>
      <c r="N49" s="202" t="str">
        <f>M47</f>
        <v>ALTP003</v>
      </c>
    </row>
    <row r="50" spans="3:14">
      <c r="C50" s="51"/>
      <c r="G50" s="22" t="s">
        <v>51</v>
      </c>
      <c r="J50" s="2" t="s">
        <v>52</v>
      </c>
      <c r="K50" s="2" t="s">
        <v>51</v>
      </c>
      <c r="M50" s="2" t="str">
        <f t="shared" si="3"/>
        <v>ALTP006</v>
      </c>
      <c r="N50" s="202"/>
    </row>
    <row r="51" spans="3:14">
      <c r="C51" s="51"/>
      <c r="G51" s="22" t="s">
        <v>53</v>
      </c>
      <c r="J51" s="2" t="s">
        <v>54</v>
      </c>
      <c r="K51" s="2" t="s">
        <v>53</v>
      </c>
      <c r="M51" s="2" t="str">
        <f t="shared" si="3"/>
        <v>ALTP007</v>
      </c>
      <c r="N51" s="202" t="str">
        <f>M48</f>
        <v>ALTP004</v>
      </c>
    </row>
    <row r="52" spans="3:14">
      <c r="C52" s="51"/>
      <c r="G52" s="22" t="s">
        <v>55</v>
      </c>
      <c r="J52" s="2" t="s">
        <v>56</v>
      </c>
      <c r="K52" s="2" t="s">
        <v>55</v>
      </c>
      <c r="M52" s="2" t="str">
        <f t="shared" si="3"/>
        <v>ALTP008</v>
      </c>
      <c r="N52" s="202"/>
    </row>
    <row r="53" spans="3:14">
      <c r="C53" s="51"/>
      <c r="G53" s="22" t="s">
        <v>57</v>
      </c>
      <c r="J53" s="2" t="s">
        <v>58</v>
      </c>
      <c r="K53" s="2" t="s">
        <v>57</v>
      </c>
      <c r="M53" s="2" t="str">
        <f t="shared" si="3"/>
        <v>ALTP009</v>
      </c>
      <c r="N53" s="202" t="str">
        <f>M49</f>
        <v>ALTP005</v>
      </c>
    </row>
    <row r="54" spans="3:14">
      <c r="C54" s="51"/>
      <c r="G54" s="22" t="s">
        <v>59</v>
      </c>
      <c r="J54" s="2" t="s">
        <v>60</v>
      </c>
      <c r="K54" s="2" t="s">
        <v>59</v>
      </c>
      <c r="M54" s="2" t="str">
        <f t="shared" si="3"/>
        <v>ALTP010</v>
      </c>
      <c r="N54" s="202"/>
    </row>
    <row r="55" spans="3:14">
      <c r="C55" s="51"/>
      <c r="G55" s="22" t="s">
        <v>61</v>
      </c>
      <c r="J55" s="2" t="s">
        <v>62</v>
      </c>
      <c r="K55" s="2" t="s">
        <v>61</v>
      </c>
      <c r="M55" s="2" t="str">
        <f t="shared" si="3"/>
        <v>ALTP011</v>
      </c>
      <c r="N55" s="202" t="str">
        <f>M50</f>
        <v>ALTP006</v>
      </c>
    </row>
    <row r="56" spans="3:14">
      <c r="C56" s="51"/>
      <c r="G56" s="22" t="s">
        <v>63</v>
      </c>
      <c r="J56" s="2" t="s">
        <v>64</v>
      </c>
      <c r="K56" s="2" t="s">
        <v>65</v>
      </c>
      <c r="M56" s="2" t="str">
        <f t="shared" si="3"/>
        <v>ALTP013</v>
      </c>
      <c r="N56" s="202"/>
    </row>
    <row r="57" spans="3:14">
      <c r="C57" s="51"/>
      <c r="G57" s="22" t="s">
        <v>65</v>
      </c>
      <c r="J57" s="2" t="s">
        <v>66</v>
      </c>
      <c r="K57" s="2" t="s">
        <v>67</v>
      </c>
      <c r="M57" s="2" t="str">
        <f t="shared" si="3"/>
        <v>ALTP014</v>
      </c>
      <c r="N57" s="202" t="str">
        <f>M51</f>
        <v>ALTP007</v>
      </c>
    </row>
    <row r="58" spans="3:14">
      <c r="C58" s="51"/>
      <c r="G58" s="22" t="s">
        <v>67</v>
      </c>
      <c r="J58" s="2" t="s">
        <v>68</v>
      </c>
      <c r="K58" s="2" t="s">
        <v>69</v>
      </c>
      <c r="M58" s="2" t="str">
        <f t="shared" si="3"/>
        <v>ALTP015</v>
      </c>
      <c r="N58" s="202"/>
    </row>
    <row r="59" spans="3:14">
      <c r="C59" s="51"/>
      <c r="G59" s="22" t="s">
        <v>69</v>
      </c>
      <c r="J59" s="2" t="s">
        <v>70</v>
      </c>
      <c r="K59" s="2" t="s">
        <v>71</v>
      </c>
      <c r="M59" s="2" t="str">
        <f t="shared" si="3"/>
        <v>ALTP016</v>
      </c>
      <c r="N59" s="202" t="str">
        <f>M52</f>
        <v>ALTP008</v>
      </c>
    </row>
    <row r="60" spans="3:14">
      <c r="C60" s="51"/>
      <c r="G60" s="22" t="s">
        <v>71</v>
      </c>
      <c r="J60" s="2" t="s">
        <v>72</v>
      </c>
      <c r="K60" s="2" t="s">
        <v>73</v>
      </c>
      <c r="M60" s="2" t="str">
        <f t="shared" si="3"/>
        <v>ALTP017</v>
      </c>
      <c r="N60" s="202"/>
    </row>
    <row r="61" spans="3:14">
      <c r="C61" s="51"/>
      <c r="G61" s="22" t="s">
        <v>73</v>
      </c>
      <c r="J61" s="2" t="s">
        <v>74</v>
      </c>
      <c r="K61" s="2" t="s">
        <v>75</v>
      </c>
      <c r="M61" s="2" t="str">
        <f t="shared" si="3"/>
        <v>ALTP018</v>
      </c>
      <c r="N61" s="202" t="str">
        <f>M53</f>
        <v>ALTP009</v>
      </c>
    </row>
    <row r="62" spans="3:14">
      <c r="C62" s="51"/>
      <c r="G62" s="22" t="s">
        <v>75</v>
      </c>
      <c r="J62" s="2" t="s">
        <v>76</v>
      </c>
      <c r="K62" s="2" t="s">
        <v>77</v>
      </c>
      <c r="M62" s="2" t="str">
        <f t="shared" si="3"/>
        <v>ALTP019</v>
      </c>
      <c r="N62" s="202"/>
    </row>
    <row r="63" spans="3:14">
      <c r="C63" s="51"/>
      <c r="G63" s="22" t="s">
        <v>77</v>
      </c>
      <c r="J63" s="2" t="s">
        <v>78</v>
      </c>
      <c r="K63" s="2" t="s">
        <v>79</v>
      </c>
      <c r="M63" s="2" t="str">
        <f t="shared" si="3"/>
        <v>ALTP020</v>
      </c>
      <c r="N63" s="202" t="str">
        <f>M54</f>
        <v>ALTP010</v>
      </c>
    </row>
    <row r="64" spans="3:14">
      <c r="C64" s="51"/>
      <c r="G64" s="22" t="s">
        <v>79</v>
      </c>
      <c r="J64" s="2" t="s">
        <v>80</v>
      </c>
      <c r="K64" s="2" t="s">
        <v>81</v>
      </c>
      <c r="M64" s="2" t="str">
        <f t="shared" si="3"/>
        <v>ALTP025</v>
      </c>
      <c r="N64" s="202"/>
    </row>
    <row r="65" spans="3:14">
      <c r="C65" s="51"/>
      <c r="G65" s="22" t="s">
        <v>82</v>
      </c>
      <c r="J65" s="2" t="s">
        <v>83</v>
      </c>
      <c r="K65" s="2" t="s">
        <v>84</v>
      </c>
      <c r="M65" s="2" t="str">
        <f t="shared" si="3"/>
        <v>ALTP027</v>
      </c>
      <c r="N65" s="202" t="str">
        <f>M55</f>
        <v>ALTP011</v>
      </c>
    </row>
    <row r="66" spans="3:14">
      <c r="C66" s="51"/>
      <c r="G66" s="22" t="s">
        <v>85</v>
      </c>
      <c r="J66" s="2" t="s">
        <v>86</v>
      </c>
      <c r="K66" s="2" t="s">
        <v>87</v>
      </c>
      <c r="M66" s="2" t="str">
        <f t="shared" si="3"/>
        <v>ALTN001</v>
      </c>
      <c r="N66" s="202"/>
    </row>
    <row r="67" spans="3:14">
      <c r="C67" s="51"/>
      <c r="G67" s="22" t="s">
        <v>84</v>
      </c>
      <c r="J67" s="2" t="s">
        <v>88</v>
      </c>
      <c r="K67" s="2" t="s">
        <v>89</v>
      </c>
      <c r="M67" s="2" t="str">
        <f t="shared" si="3"/>
        <v>ALTN002</v>
      </c>
      <c r="N67" s="202" t="str">
        <f>M56</f>
        <v>ALTP013</v>
      </c>
    </row>
    <row r="68" spans="3:14">
      <c r="C68" s="51"/>
      <c r="G68" s="2" t="s">
        <v>90</v>
      </c>
      <c r="J68" s="2" t="s">
        <v>91</v>
      </c>
      <c r="K68" s="2" t="s">
        <v>92</v>
      </c>
      <c r="M68" s="2" t="str">
        <f t="shared" si="3"/>
        <v>ALTN003</v>
      </c>
      <c r="N68" s="202"/>
    </row>
    <row r="69" spans="3:14">
      <c r="C69" s="51"/>
      <c r="G69" s="2" t="s">
        <v>93</v>
      </c>
      <c r="J69" s="2" t="s">
        <v>94</v>
      </c>
      <c r="K69" s="2" t="s">
        <v>95</v>
      </c>
      <c r="M69" s="2" t="str">
        <f t="shared" si="3"/>
        <v>ALTN004</v>
      </c>
      <c r="N69" s="202" t="str">
        <f>M57</f>
        <v>ALTP014</v>
      </c>
    </row>
    <row r="70" spans="3:14">
      <c r="C70" s="51"/>
      <c r="G70" s="2" t="s">
        <v>81</v>
      </c>
      <c r="J70" s="2" t="s">
        <v>96</v>
      </c>
      <c r="K70" s="2" t="s">
        <v>97</v>
      </c>
      <c r="M70" s="2" t="str">
        <f t="shared" si="3"/>
        <v>ALTN006</v>
      </c>
      <c r="N70" s="202"/>
    </row>
    <row r="71" spans="3:14">
      <c r="C71" s="51"/>
      <c r="G71" s="2" t="s">
        <v>98</v>
      </c>
      <c r="J71" s="2" t="s">
        <v>99</v>
      </c>
      <c r="K71" s="2" t="s">
        <v>100</v>
      </c>
      <c r="M71" s="2" t="str">
        <f t="shared" si="3"/>
        <v>ALTN007</v>
      </c>
      <c r="N71" s="202" t="str">
        <f>M58</f>
        <v>ALTP015</v>
      </c>
    </row>
    <row r="72" spans="3:14">
      <c r="C72" s="51"/>
      <c r="G72" s="2" t="s">
        <v>87</v>
      </c>
      <c r="J72" s="2" t="s">
        <v>101</v>
      </c>
      <c r="K72" s="2" t="s">
        <v>102</v>
      </c>
      <c r="M72" s="2" t="str">
        <f t="shared" si="3"/>
        <v>ALTN008</v>
      </c>
      <c r="N72" s="202"/>
    </row>
    <row r="73" spans="3:14">
      <c r="C73" s="51"/>
      <c r="G73" s="2" t="s">
        <v>89</v>
      </c>
      <c r="J73" s="2" t="s">
        <v>103</v>
      </c>
      <c r="K73" s="2" t="s">
        <v>104</v>
      </c>
      <c r="M73" s="2" t="str">
        <f t="shared" si="3"/>
        <v>ALTN009</v>
      </c>
      <c r="N73" s="202" t="str">
        <f>M59</f>
        <v>ALTP016</v>
      </c>
    </row>
    <row r="74" spans="3:14">
      <c r="C74" s="51"/>
      <c r="G74" s="2" t="s">
        <v>92</v>
      </c>
      <c r="J74" s="2" t="s">
        <v>105</v>
      </c>
      <c r="K74" s="2" t="s">
        <v>106</v>
      </c>
      <c r="M74" s="2" t="str">
        <f t="shared" si="3"/>
        <v>ALTN010</v>
      </c>
      <c r="N74" s="202"/>
    </row>
    <row r="75" spans="3:14">
      <c r="C75" s="51"/>
      <c r="G75" s="2" t="s">
        <v>95</v>
      </c>
      <c r="J75" s="2" t="s">
        <v>107</v>
      </c>
      <c r="K75" s="2" t="s">
        <v>108</v>
      </c>
      <c r="M75" s="2" t="str">
        <f t="shared" si="3"/>
        <v>ALTN011</v>
      </c>
      <c r="N75" s="202" t="str">
        <f>M60</f>
        <v>ALTP017</v>
      </c>
    </row>
    <row r="76" spans="3:14">
      <c r="C76" s="51"/>
      <c r="G76" s="2" t="s">
        <v>109</v>
      </c>
      <c r="J76" s="2" t="s">
        <v>110</v>
      </c>
      <c r="N76" s="202"/>
    </row>
    <row r="77" spans="3:14">
      <c r="C77" s="51"/>
      <c r="G77" s="4" t="s">
        <v>97</v>
      </c>
      <c r="J77" s="2" t="s">
        <v>111</v>
      </c>
      <c r="N77" s="202" t="str">
        <f>M61</f>
        <v>ALTP018</v>
      </c>
    </row>
    <row r="78" spans="3:14">
      <c r="C78" s="51"/>
      <c r="G78" s="4" t="s">
        <v>100</v>
      </c>
      <c r="J78" s="2" t="s">
        <v>112</v>
      </c>
      <c r="N78" s="202"/>
    </row>
    <row r="79" spans="3:14">
      <c r="C79" s="51"/>
      <c r="G79" s="4" t="s">
        <v>102</v>
      </c>
      <c r="J79" s="2" t="s">
        <v>113</v>
      </c>
      <c r="N79" s="202" t="str">
        <f>M62</f>
        <v>ALTP019</v>
      </c>
    </row>
    <row r="80" spans="3:14">
      <c r="C80" s="51"/>
      <c r="G80" s="4" t="s">
        <v>104</v>
      </c>
      <c r="J80" s="2" t="s">
        <v>114</v>
      </c>
      <c r="N80" s="202"/>
    </row>
    <row r="81" spans="3:14">
      <c r="C81" s="51"/>
      <c r="G81" s="4" t="s">
        <v>106</v>
      </c>
      <c r="J81" s="2" t="s">
        <v>115</v>
      </c>
      <c r="N81" s="202" t="str">
        <f>M63</f>
        <v>ALTP020</v>
      </c>
    </row>
    <row r="82" spans="3:14">
      <c r="C82" s="51"/>
      <c r="G82" s="4" t="s">
        <v>108</v>
      </c>
      <c r="J82" s="2" t="s">
        <v>116</v>
      </c>
      <c r="N82" s="202"/>
    </row>
    <row r="83" spans="3:14">
      <c r="C83" s="51"/>
      <c r="N83" s="202" t="str">
        <f>M64</f>
        <v>ALTP025</v>
      </c>
    </row>
    <row r="84" spans="3:14">
      <c r="C84" s="51"/>
      <c r="N84" s="202"/>
    </row>
    <row r="85" spans="3:14">
      <c r="C85" s="51"/>
      <c r="N85" s="202" t="str">
        <f>M65</f>
        <v>ALTP027</v>
      </c>
    </row>
    <row r="86" spans="3:14">
      <c r="C86" s="51"/>
      <c r="N86" s="202"/>
    </row>
    <row r="87" spans="3:14">
      <c r="C87" s="51"/>
      <c r="N87" s="202" t="str">
        <f>M66</f>
        <v>ALTN001</v>
      </c>
    </row>
    <row r="88" spans="3:14">
      <c r="C88" s="51"/>
      <c r="N88" s="202"/>
    </row>
    <row r="89" spans="3:14">
      <c r="C89" s="51"/>
      <c r="N89" s="202" t="str">
        <f>M67</f>
        <v>ALTN002</v>
      </c>
    </row>
    <row r="90" spans="3:14">
      <c r="C90" s="51"/>
      <c r="N90" s="202"/>
    </row>
    <row r="91" spans="3:14">
      <c r="C91" s="51"/>
      <c r="N91" s="202" t="str">
        <f>M68</f>
        <v>ALTN003</v>
      </c>
    </row>
    <row r="92" spans="3:14">
      <c r="C92" s="51"/>
      <c r="N92" s="202"/>
    </row>
    <row r="93" spans="3:14">
      <c r="C93" s="51"/>
      <c r="N93" s="202" t="str">
        <f>M69</f>
        <v>ALTN004</v>
      </c>
    </row>
    <row r="94" spans="3:14">
      <c r="C94" s="51"/>
      <c r="N94" s="202"/>
    </row>
    <row r="95" spans="3:14">
      <c r="C95" s="51"/>
      <c r="N95" s="202" t="str">
        <f>M70</f>
        <v>ALTN006</v>
      </c>
    </row>
    <row r="96" spans="3:14">
      <c r="C96" s="51"/>
      <c r="N96" s="202"/>
    </row>
    <row r="97" spans="3:14">
      <c r="C97" s="51"/>
      <c r="N97" s="202" t="str">
        <f>M71</f>
        <v>ALTN007</v>
      </c>
    </row>
    <row r="98" spans="3:14">
      <c r="C98" s="51"/>
      <c r="N98" s="202"/>
    </row>
    <row r="99" spans="3:14">
      <c r="C99" s="51"/>
      <c r="N99" s="202" t="str">
        <f>M72</f>
        <v>ALTN008</v>
      </c>
    </row>
    <row r="100" spans="3:14">
      <c r="C100" s="51"/>
      <c r="N100" s="202"/>
    </row>
    <row r="101" spans="3:14">
      <c r="C101" s="51"/>
      <c r="N101" s="202" t="str">
        <f>M73</f>
        <v>ALTN009</v>
      </c>
    </row>
    <row r="102" spans="3:14">
      <c r="C102" s="51"/>
      <c r="N102" s="202"/>
    </row>
    <row r="103" spans="3:14">
      <c r="C103" s="51"/>
      <c r="N103" s="202" t="str">
        <f>M74</f>
        <v>ALTN010</v>
      </c>
    </row>
    <row r="104" spans="3:14">
      <c r="C104" s="51"/>
      <c r="N104" s="202"/>
    </row>
    <row r="105" spans="3:14">
      <c r="C105" s="51"/>
      <c r="N105" s="202" t="str">
        <f>M75</f>
        <v>ALTN011</v>
      </c>
    </row>
    <row r="106" spans="3:14">
      <c r="C106" s="51"/>
      <c r="N106" s="202"/>
    </row>
  </sheetData>
  <protectedRanges>
    <protectedRange password="CC78" sqref="E33:E65334 C30:D65334 W8:W9 B21:B65334 C16:D20 F30:JG44 F96:M96 F45 H45:J45 L45:JG45 L46:L72 F83:L95 N46:JG96 M46:M75 F97:JG65334 K73:L82 F46:J66 F68:J82 F67 H67:J67 F8:H8 J16:JG20 B8:D9 B10:X10 Y8:JG10 V11:JG15 A8:A65334 E11:H20" name="Range1_12_12"/>
    <protectedRange password="CC78" sqref="C23:C28 E30:E32 W23:JG28 D23:H29" name="Range1_1_1"/>
    <protectedRange password="CC78" sqref="C29 W29:JG29" name="Range1_3_1"/>
    <protectedRange password="CC78" sqref="A5:JG7" name="Range1_2_1"/>
    <protectedRange password="CC78" sqref="I8:V9 I11:I20" name="Range1_3_2"/>
    <protectedRange password="CC78" sqref="B16:B20" name="Range1_1_2"/>
    <protectedRange password="CC78" sqref="E8:E9 F9" name="Range1_4_1"/>
    <protectedRange password="CC78" sqref="B15" name="Range1_6_1"/>
    <protectedRange password="CC78" sqref="D11:D15" name="Range1_7_1"/>
    <protectedRange password="CC78" sqref="J11:U15" name="Range1_11_1"/>
  </protectedRanges>
  <autoFilter ref="A10:Z15"/>
  <mergeCells count="45">
    <mergeCell ref="N47:N48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8:C20"/>
    <mergeCell ref="N45:N46"/>
    <mergeCell ref="N71:N72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95:N96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7:N98"/>
    <mergeCell ref="N99:N100"/>
    <mergeCell ref="N101:N102"/>
    <mergeCell ref="N103:N104"/>
    <mergeCell ref="N105:N106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N11" sqref="N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3.710937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855468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42005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42005</v>
      </c>
      <c r="G5" s="73">
        <f t="shared" ref="G5:AJ5" si="0">F5+1</f>
        <v>42006</v>
      </c>
      <c r="H5" s="73">
        <f t="shared" si="0"/>
        <v>42007</v>
      </c>
      <c r="I5" s="73">
        <f t="shared" si="0"/>
        <v>42008</v>
      </c>
      <c r="J5" s="73">
        <f t="shared" si="0"/>
        <v>42009</v>
      </c>
      <c r="K5" s="73">
        <f t="shared" si="0"/>
        <v>42010</v>
      </c>
      <c r="L5" s="73">
        <f t="shared" si="0"/>
        <v>42011</v>
      </c>
      <c r="M5" s="73">
        <f t="shared" si="0"/>
        <v>42012</v>
      </c>
      <c r="N5" s="73">
        <f t="shared" si="0"/>
        <v>42013</v>
      </c>
      <c r="O5" s="73">
        <f t="shared" si="0"/>
        <v>42014</v>
      </c>
      <c r="P5" s="73">
        <f t="shared" si="0"/>
        <v>42015</v>
      </c>
      <c r="Q5" s="73">
        <f t="shared" si="0"/>
        <v>42016</v>
      </c>
      <c r="R5" s="73">
        <f t="shared" si="0"/>
        <v>42017</v>
      </c>
      <c r="S5" s="73">
        <f t="shared" si="0"/>
        <v>42018</v>
      </c>
      <c r="T5" s="73">
        <f t="shared" si="0"/>
        <v>42019</v>
      </c>
      <c r="U5" s="73">
        <f t="shared" si="0"/>
        <v>42020</v>
      </c>
      <c r="V5" s="73">
        <f t="shared" si="0"/>
        <v>42021</v>
      </c>
      <c r="W5" s="73">
        <f t="shared" si="0"/>
        <v>42022</v>
      </c>
      <c r="X5" s="73">
        <f t="shared" si="0"/>
        <v>42023</v>
      </c>
      <c r="Y5" s="73">
        <f t="shared" si="0"/>
        <v>42024</v>
      </c>
      <c r="Z5" s="73">
        <f t="shared" si="0"/>
        <v>42025</v>
      </c>
      <c r="AA5" s="73">
        <f t="shared" si="0"/>
        <v>42026</v>
      </c>
      <c r="AB5" s="73">
        <f t="shared" si="0"/>
        <v>42027</v>
      </c>
      <c r="AC5" s="73">
        <f t="shared" si="0"/>
        <v>42028</v>
      </c>
      <c r="AD5" s="73">
        <f t="shared" si="0"/>
        <v>42029</v>
      </c>
      <c r="AE5" s="73">
        <f t="shared" si="0"/>
        <v>42030</v>
      </c>
      <c r="AF5" s="73">
        <f t="shared" si="0"/>
        <v>42031</v>
      </c>
      <c r="AG5" s="73">
        <f t="shared" si="0"/>
        <v>42032</v>
      </c>
      <c r="AH5" s="73">
        <f>AG5+1</f>
        <v>42033</v>
      </c>
      <c r="AI5" s="73">
        <f t="shared" si="0"/>
        <v>42034</v>
      </c>
      <c r="AJ5" s="73">
        <f t="shared" si="0"/>
        <v>42035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9">
        <f t="shared" ref="AK9" si="2">((SUM(F9:AJ9))/8)-(SUMIF($F$6:$AJ$6,"C.Nhật",F9:AJ9)/8)</f>
        <v>26</v>
      </c>
      <c r="AL9" s="229">
        <f t="shared" ref="AL9" si="3">SUM(F10:AJ10)/8*1.5</f>
        <v>0</v>
      </c>
      <c r="AM9" s="231">
        <f t="shared" ref="AM9:AM15" si="4">SUMIF($F$6:$AJ$6,"C.Nhật",$F9:$AJ10)/8*2</f>
        <v>0</v>
      </c>
      <c r="AN9" s="219">
        <f t="shared" ref="AN9" si="5">SUM(AK9:AM10)</f>
        <v>26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9">
        <f t="shared" ref="AK11" si="6">((SUM(F11:AJ11))/8)-(SUMIF($F$6:$AJ$6,"C.Nhật",F11:AJ11)/8)</f>
        <v>26</v>
      </c>
      <c r="AL11" s="229">
        <f t="shared" ref="AL11" si="7">SUM(F12:AJ12)/8*1.5</f>
        <v>0</v>
      </c>
      <c r="AM11" s="231">
        <f t="shared" si="4"/>
        <v>0</v>
      </c>
      <c r="AN11" s="219">
        <f t="shared" ref="AN11" si="8">SUM(AK11:AM12)</f>
        <v>26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9">
        <f t="shared" ref="AK13" si="9">((SUM(F13:AJ13))/8)-(SUMIF($F$6:$AJ$6,"C.Nhật",F13:AJ13)/8)</f>
        <v>26</v>
      </c>
      <c r="AL13" s="229">
        <f t="shared" ref="AL13" si="10">SUM(F14:AJ14)/8*1.5</f>
        <v>0</v>
      </c>
      <c r="AM13" s="231">
        <f t="shared" si="4"/>
        <v>0</v>
      </c>
      <c r="AN13" s="219">
        <f t="shared" ref="AN13" si="11">SUM(AK13:AM14)</f>
        <v>26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9">
        <f t="shared" ref="AK15" si="12">((SUM(F15:AJ15))/8)-(SUMIF($F$6:$AJ$6,"C.Nhật",F15:AJ15)/8)</f>
        <v>26</v>
      </c>
      <c r="AL15" s="229">
        <f t="shared" ref="AL15" si="13">SUM(F16:AJ16)/8*1.5</f>
        <v>0</v>
      </c>
      <c r="AM15" s="231">
        <f t="shared" si="4"/>
        <v>0</v>
      </c>
      <c r="AN15" s="219">
        <f t="shared" ref="AN15" si="14">SUM(AK15:AM16)</f>
        <v>26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9">
        <f t="shared" ref="AK18" si="15">((SUM(F18:AJ18))/8)-(SUMIF($F$6:$AJ$6,"C.Nhật",F18:AJ18)/8)</f>
        <v>26</v>
      </c>
      <c r="AL18" s="229">
        <f t="shared" ref="AL18" si="16">SUM(F19:AJ19)/8*1.5</f>
        <v>0</v>
      </c>
      <c r="AM18" s="231">
        <f>SUMIF($F$6:$AJ$6,"C.Nhật",$F18:$AJ19)/8*2</f>
        <v>0</v>
      </c>
      <c r="AN18" s="219">
        <f>SUM(AK18:AM19)</f>
        <v>26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8:AQ19"/>
    <mergeCell ref="AR18:AR19"/>
    <mergeCell ref="AS18:AS19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K18:AK19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</mergeCells>
  <conditionalFormatting sqref="F5:AJ6 F9:AJ14">
    <cfRule type="expression" dxfId="124" priority="24" stopIfTrue="1">
      <formula>IF(WEEKDAY(F$5)=1,TRUE,FALSE)</formula>
    </cfRule>
  </conditionalFormatting>
  <conditionalFormatting sqref="F9:AJ14">
    <cfRule type="expression" dxfId="123" priority="23" stopIfTrue="1">
      <formula>IF(WEEKDAY(F$5)=1,TRUE,FALSE)</formula>
    </cfRule>
  </conditionalFormatting>
  <conditionalFormatting sqref="F18:AJ19">
    <cfRule type="expression" dxfId="122" priority="4" stopIfTrue="1">
      <formula>IF(WEEKDAY(F$5)=1,TRUE,FALSE)</formula>
    </cfRule>
  </conditionalFormatting>
  <conditionalFormatting sqref="F18:AJ19">
    <cfRule type="expression" dxfId="121" priority="3" stopIfTrue="1">
      <formula>IF(WEEKDAY(F$5)=1,TRUE,FALSE)</formula>
    </cfRule>
  </conditionalFormatting>
  <conditionalFormatting sqref="F15:AJ16">
    <cfRule type="expression" dxfId="120" priority="2" stopIfTrue="1">
      <formula>IF(WEEKDAY(F$5)=1,TRUE,FALSE)</formula>
    </cfRule>
  </conditionalFormatting>
  <conditionalFormatting sqref="F15:AJ16">
    <cfRule type="expression" dxfId="11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tabSelected="1"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E13"/>
    </sheetView>
  </sheetViews>
  <sheetFormatPr defaultRowHeight="11.25"/>
  <cols>
    <col min="1" max="1" width="4.28515625" style="183" customWidth="1"/>
    <col min="2" max="2" width="8.42578125" style="183" customWidth="1"/>
    <col min="3" max="3" width="24.8554687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01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-1'!$E$4</f>
        <v>42005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-1'!$B$8:$AS$19,36,0)</f>
        <v>26</v>
      </c>
      <c r="G10" s="146">
        <f t="shared" ref="G10" si="2">ROUND(E10/$U$2*F10,0)</f>
        <v>2600000</v>
      </c>
      <c r="H10" s="145">
        <f>(VLOOKUP(B10,'CC -1'!$B$8:$AS$19,37,0)+VLOOKUP(B10,'CC -1'!$B$8:$AS$19,38,0))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 t="shared" ref="K10" si="5">G10+I10</f>
        <v>2600000</v>
      </c>
      <c r="L10" s="144">
        <f>ROUND(F10*20000,0)</f>
        <v>520000</v>
      </c>
      <c r="M10" s="149">
        <f t="shared" ref="M10" si="6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3120000</v>
      </c>
      <c r="R10" s="148">
        <f>VLOOKUP(B10,DS,23,0)</f>
        <v>0</v>
      </c>
      <c r="S10" s="150">
        <f t="shared" ref="S10" si="8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-1'!$B$8:$AS$19,36,0)</f>
        <v>26</v>
      </c>
      <c r="G11" s="146">
        <f t="shared" ref="G11:G12" si="11">ROUND(E11/$U$2*F11,0)</f>
        <v>2500000</v>
      </c>
      <c r="H11" s="145">
        <f>(VLOOKUP(B11,'CC -1'!$B$8:$AS$19,37,0)+VLOOKUP(B11,'CC -1'!$B$8:$AS$19,38,0))</f>
        <v>0</v>
      </c>
      <c r="I11" s="146">
        <f t="shared" ref="I11:I12" si="12">ROUND(E11/$U$2*H11,0)</f>
        <v>0</v>
      </c>
      <c r="J11" s="147">
        <f t="shared" ref="J11:J12" si="13">F11+H11</f>
        <v>26</v>
      </c>
      <c r="K11" s="148">
        <f t="shared" ref="K11:K12" si="14">G11+I11</f>
        <v>2500000</v>
      </c>
      <c r="L11" s="144">
        <f t="shared" ref="L11:L12" si="15">ROUND(F11*20000,0)</f>
        <v>520000</v>
      </c>
      <c r="M11" s="149">
        <f t="shared" ref="M11:M12" si="16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7">M11-SUM(N11:P11)</f>
        <v>3020000</v>
      </c>
      <c r="R11" s="148">
        <f>VLOOKUP(B11,DS,23,0)</f>
        <v>0</v>
      </c>
      <c r="S11" s="150">
        <f t="shared" ref="S11:S12" si="18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-1'!$B$8:$AS$19,36,0)</f>
        <v>26</v>
      </c>
      <c r="G12" s="146">
        <f t="shared" si="11"/>
        <v>2000000</v>
      </c>
      <c r="H12" s="145">
        <f>(VLOOKUP(B12,'CC -1'!$B$8:$AS$19,37,0)+VLOOKUP(B12,'CC -1'!$B$8:$AS$19,38,0))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2000000</v>
      </c>
      <c r="L12" s="144">
        <f t="shared" si="15"/>
        <v>520000</v>
      </c>
      <c r="M12" s="149">
        <f t="shared" si="16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2520000</v>
      </c>
      <c r="R12" s="148">
        <f>VLOOKUP(B12,DS,23,0)</f>
        <v>0</v>
      </c>
      <c r="S12" s="150">
        <f t="shared" si="18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9">VLOOKUP(B13,DS,2,0)</f>
        <v>Huỳnh Đoàn Viết Thanh</v>
      </c>
      <c r="D13" s="143" t="str">
        <f t="shared" ref="D13" si="20">VLOOKUP(B13,DS,3,0)</f>
        <v>Tài xế</v>
      </c>
      <c r="E13" s="144">
        <f>VLOOKUP(B13,DS,4,0)</f>
        <v>2500000</v>
      </c>
      <c r="F13" s="145">
        <f>VLOOKUP(B13,'CC -1'!$B$8:$AS$19,36,0)</f>
        <v>26</v>
      </c>
      <c r="G13" s="146">
        <f t="shared" ref="G13" si="21">ROUND(E13/$U$2*F13,0)</f>
        <v>2500000</v>
      </c>
      <c r="H13" s="145">
        <f>(VLOOKUP(B13,'CC -1'!$B$8:$AS$19,37,0)+VLOOKUP(B13,'CC -1'!$B$8:$AS$19,38,0))</f>
        <v>0</v>
      </c>
      <c r="I13" s="146">
        <f t="shared" ref="I13" si="22">ROUND(E13/$U$2*H13,0)</f>
        <v>0</v>
      </c>
      <c r="J13" s="147">
        <f t="shared" ref="J13" si="23">F13+H13</f>
        <v>26</v>
      </c>
      <c r="K13" s="148">
        <f t="shared" ref="K13" si="24">G13+I13</f>
        <v>2500000</v>
      </c>
      <c r="L13" s="144">
        <f t="shared" ref="L13" si="25">ROUND(F13*20000,0)</f>
        <v>520000</v>
      </c>
      <c r="M13" s="149">
        <f t="shared" ref="M13" si="26">K13+L13</f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7">M13-SUM(N13:P13)</f>
        <v>3020000</v>
      </c>
      <c r="R13" s="148">
        <f>VLOOKUP(B13,DS,23,0)</f>
        <v>0</v>
      </c>
      <c r="S13" s="150">
        <f t="shared" ref="S13" si="28">Q13-R13</f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41"/>
      <c r="B14" s="25"/>
      <c r="C14" s="142"/>
      <c r="D14" s="143"/>
      <c r="E14" s="144"/>
      <c r="F14" s="145"/>
      <c r="G14" s="146"/>
      <c r="H14" s="145"/>
      <c r="I14" s="146"/>
      <c r="J14" s="147"/>
      <c r="K14" s="148"/>
      <c r="L14" s="144"/>
      <c r="M14" s="149"/>
      <c r="N14" s="149"/>
      <c r="O14" s="149"/>
      <c r="P14" s="149"/>
      <c r="Q14" s="148"/>
      <c r="R14" s="148"/>
      <c r="S14" s="150"/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9">SUM(K9:K10)</f>
        <v>2600000</v>
      </c>
      <c r="L15" s="163">
        <f t="shared" si="29"/>
        <v>520000</v>
      </c>
      <c r="M15" s="163">
        <f t="shared" si="29"/>
        <v>3120000</v>
      </c>
      <c r="N15" s="163">
        <f t="shared" si="29"/>
        <v>0</v>
      </c>
      <c r="O15" s="163">
        <f t="shared" si="29"/>
        <v>0</v>
      </c>
      <c r="P15" s="163">
        <f t="shared" si="29"/>
        <v>0</v>
      </c>
      <c r="Q15" s="163">
        <f t="shared" si="29"/>
        <v>3120000</v>
      </c>
      <c r="R15" s="163">
        <f t="shared" si="29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30">VLOOKUP(B17,DS,2,0)</f>
        <v>Nguyễn Thị Thanh Thúy</v>
      </c>
      <c r="D17" s="143" t="str">
        <f t="shared" ref="D17" si="31">VLOOKUP(B17,DS,3,0)</f>
        <v>Công nhân</v>
      </c>
      <c r="E17" s="144">
        <f t="shared" ref="E17" si="32">VLOOKUP(B17,DS,4,0)</f>
        <v>2500000</v>
      </c>
      <c r="F17" s="145">
        <f>VLOOKUP(B17,'CC -1'!$B$8:$AS$19,36,0)</f>
        <v>26</v>
      </c>
      <c r="G17" s="146">
        <f t="shared" ref="G17" si="33">ROUND(E17/$U$2*F17,0)</f>
        <v>2500000</v>
      </c>
      <c r="H17" s="145">
        <f>(VLOOKUP(B17,'CC -1'!$B$8:$AS$19,37,0)+VLOOKUP(B17,'CC -1'!$B$8:$AS$19,38,0))</f>
        <v>0</v>
      </c>
      <c r="I17" s="146">
        <f t="shared" ref="I17" si="34">ROUND(E17/$U$2*H17,0)</f>
        <v>0</v>
      </c>
      <c r="J17" s="167">
        <f t="shared" ref="J17:K17" si="35">F17+H17</f>
        <v>26</v>
      </c>
      <c r="K17" s="148">
        <f t="shared" si="35"/>
        <v>2500000</v>
      </c>
      <c r="L17" s="144">
        <f t="shared" ref="L17" si="36">ROUND(F17*20000,0)</f>
        <v>520000</v>
      </c>
      <c r="M17" s="149">
        <f t="shared" ref="M17" si="37">K17+L17</f>
        <v>3020000</v>
      </c>
      <c r="N17" s="149">
        <f>IF(VLOOKUP(B17,DS,9,0)="x",'L - 1'!E17*$N$4,0)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>M17-SUM(N17:P17)</f>
        <v>3020000</v>
      </c>
      <c r="R17" s="148">
        <f t="shared" ref="R17" si="40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1">SUM(K16:K18)</f>
        <v>2500000</v>
      </c>
      <c r="L19" s="163">
        <f t="shared" si="41"/>
        <v>520000</v>
      </c>
      <c r="M19" s="163">
        <f t="shared" si="41"/>
        <v>3020000</v>
      </c>
      <c r="N19" s="163">
        <f t="shared" si="41"/>
        <v>0</v>
      </c>
      <c r="O19" s="163">
        <f t="shared" si="41"/>
        <v>0</v>
      </c>
      <c r="P19" s="163">
        <f t="shared" si="41"/>
        <v>0</v>
      </c>
      <c r="Q19" s="163">
        <f t="shared" si="41"/>
        <v>3020000</v>
      </c>
      <c r="R19" s="163">
        <f t="shared" si="41"/>
        <v>0</v>
      </c>
      <c r="S19" s="163">
        <f t="shared" si="41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9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4.425781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9.1406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42036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42036</v>
      </c>
      <c r="G5" s="73">
        <f t="shared" ref="G5:AJ5" si="0">F5+1</f>
        <v>42037</v>
      </c>
      <c r="H5" s="73">
        <f t="shared" si="0"/>
        <v>42038</v>
      </c>
      <c r="I5" s="73">
        <f t="shared" si="0"/>
        <v>42039</v>
      </c>
      <c r="J5" s="73">
        <f t="shared" si="0"/>
        <v>42040</v>
      </c>
      <c r="K5" s="73">
        <f t="shared" si="0"/>
        <v>42041</v>
      </c>
      <c r="L5" s="73">
        <f t="shared" si="0"/>
        <v>42042</v>
      </c>
      <c r="M5" s="73">
        <f t="shared" si="0"/>
        <v>42043</v>
      </c>
      <c r="N5" s="73">
        <f t="shared" si="0"/>
        <v>42044</v>
      </c>
      <c r="O5" s="73">
        <f t="shared" si="0"/>
        <v>42045</v>
      </c>
      <c r="P5" s="73">
        <f t="shared" si="0"/>
        <v>42046</v>
      </c>
      <c r="Q5" s="73">
        <f t="shared" si="0"/>
        <v>42047</v>
      </c>
      <c r="R5" s="73">
        <f t="shared" si="0"/>
        <v>42048</v>
      </c>
      <c r="S5" s="73">
        <f t="shared" si="0"/>
        <v>42049</v>
      </c>
      <c r="T5" s="73">
        <f t="shared" si="0"/>
        <v>42050</v>
      </c>
      <c r="U5" s="73">
        <f t="shared" si="0"/>
        <v>42051</v>
      </c>
      <c r="V5" s="73">
        <f t="shared" si="0"/>
        <v>42052</v>
      </c>
      <c r="W5" s="73">
        <f t="shared" si="0"/>
        <v>42053</v>
      </c>
      <c r="X5" s="73">
        <f t="shared" si="0"/>
        <v>42054</v>
      </c>
      <c r="Y5" s="73">
        <f t="shared" si="0"/>
        <v>42055</v>
      </c>
      <c r="Z5" s="73">
        <f t="shared" si="0"/>
        <v>42056</v>
      </c>
      <c r="AA5" s="73">
        <f t="shared" si="0"/>
        <v>42057</v>
      </c>
      <c r="AB5" s="73">
        <f t="shared" si="0"/>
        <v>42058</v>
      </c>
      <c r="AC5" s="73">
        <f t="shared" si="0"/>
        <v>42059</v>
      </c>
      <c r="AD5" s="73">
        <f t="shared" si="0"/>
        <v>42060</v>
      </c>
      <c r="AE5" s="73">
        <f t="shared" si="0"/>
        <v>42061</v>
      </c>
      <c r="AF5" s="73">
        <f t="shared" si="0"/>
        <v>42062</v>
      </c>
      <c r="AG5" s="73">
        <f t="shared" si="0"/>
        <v>42063</v>
      </c>
      <c r="AH5" s="73">
        <f>AG5+1</f>
        <v>42064</v>
      </c>
      <c r="AI5" s="73">
        <f t="shared" si="0"/>
        <v>42065</v>
      </c>
      <c r="AJ5" s="73">
        <f t="shared" si="0"/>
        <v>42066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/>
      <c r="AJ9" s="87"/>
      <c r="AK9" s="229">
        <f>((SUM(F9:AJ9))/8)-(SUMIF($F$6:$AJ$6,"C.Nhật",F9:AJ9)/8)</f>
        <v>24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24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/>
      <c r="AJ11" s="87"/>
      <c r="AK11" s="229">
        <f>((SUM(F11:AJ11))/8)-(SUMIF($F$6:$AJ$6,"C.Nhật",F11:AJ11)/8)</f>
        <v>24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24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/>
      <c r="AJ13" s="87"/>
      <c r="AK13" s="229">
        <f>((SUM(F13:AJ13))/8)-(SUMIF($F$6:$AJ$6,"C.Nhật",F13:AJ13)/8)</f>
        <v>24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24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/>
      <c r="AJ15" s="87"/>
      <c r="AK15" s="229">
        <f>((SUM(F15:AJ15))/8)-(SUMIF($F$6:$AJ$6,"C.Nhật",F15:AJ15)/8)</f>
        <v>24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24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/>
      <c r="AJ18" s="87"/>
      <c r="AK18" s="229">
        <f t="shared" ref="AK18" si="2">((SUM(F18:AJ18))/8)-(SUMIF($F$6:$AJ$6,"C.Nhật",F18:AJ18)/8)</f>
        <v>24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>SUM(AK18:AM19)</f>
        <v>24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</mergeCells>
  <conditionalFormatting sqref="F5:AJ6 F9:AJ10 F11:AG14">
    <cfRule type="expression" dxfId="118" priority="18" stopIfTrue="1">
      <formula>IF(WEEKDAY(F$5)=1,TRUE,FALSE)</formula>
    </cfRule>
  </conditionalFormatting>
  <conditionalFormatting sqref="F9:AJ10 F11:AG14">
    <cfRule type="expression" dxfId="117" priority="17" stopIfTrue="1">
      <formula>IF(WEEKDAY(F$5)=1,TRUE,FALSE)</formula>
    </cfRule>
  </conditionalFormatting>
  <conditionalFormatting sqref="AH18:AJ19">
    <cfRule type="expression" dxfId="116" priority="16" stopIfTrue="1">
      <formula>IF(WEEKDAY(AH$5)=1,TRUE,FALSE)</formula>
    </cfRule>
  </conditionalFormatting>
  <conditionalFormatting sqref="AH18:AJ19">
    <cfRule type="expression" dxfId="115" priority="15" stopIfTrue="1">
      <formula>IF(WEEKDAY(AH$5)=1,TRUE,FALSE)</formula>
    </cfRule>
  </conditionalFormatting>
  <conditionalFormatting sqref="AH11:AJ12">
    <cfRule type="expression" dxfId="114" priority="10" stopIfTrue="1">
      <formula>IF(WEEKDAY(AH$5)=1,TRUE,FALSE)</formula>
    </cfRule>
  </conditionalFormatting>
  <conditionalFormatting sqref="AH11:AJ12">
    <cfRule type="expression" dxfId="113" priority="9" stopIfTrue="1">
      <formula>IF(WEEKDAY(AH$5)=1,TRUE,FALSE)</formula>
    </cfRule>
  </conditionalFormatting>
  <conditionalFormatting sqref="AH13:AJ14">
    <cfRule type="expression" dxfId="112" priority="8" stopIfTrue="1">
      <formula>IF(WEEKDAY(AH$5)=1,TRUE,FALSE)</formula>
    </cfRule>
  </conditionalFormatting>
  <conditionalFormatting sqref="AH13:AJ14">
    <cfRule type="expression" dxfId="111" priority="7" stopIfTrue="1">
      <formula>IF(WEEKDAY(AH$5)=1,TRUE,FALSE)</formula>
    </cfRule>
  </conditionalFormatting>
  <conditionalFormatting sqref="F18:AG19">
    <cfRule type="expression" dxfId="110" priority="6" stopIfTrue="1">
      <formula>IF(WEEKDAY(F$5)=1,TRUE,FALSE)</formula>
    </cfRule>
  </conditionalFormatting>
  <conditionalFormatting sqref="F18:AG19">
    <cfRule type="expression" dxfId="109" priority="5" stopIfTrue="1">
      <formula>IF(WEEKDAY(F$5)=1,TRUE,FALSE)</formula>
    </cfRule>
  </conditionalFormatting>
  <conditionalFormatting sqref="F15:AG16">
    <cfRule type="expression" dxfId="108" priority="4" stopIfTrue="1">
      <formula>IF(WEEKDAY(F$5)=1,TRUE,FALSE)</formula>
    </cfRule>
  </conditionalFormatting>
  <conditionalFormatting sqref="F15:AG16">
    <cfRule type="expression" dxfId="107" priority="3" stopIfTrue="1">
      <formula>IF(WEEKDAY(F$5)=1,TRUE,FALSE)</formula>
    </cfRule>
  </conditionalFormatting>
  <conditionalFormatting sqref="AH15:AJ16">
    <cfRule type="expression" dxfId="106" priority="2" stopIfTrue="1">
      <formula>IF(WEEKDAY(AH$5)=1,TRUE,FALSE)</formula>
    </cfRule>
  </conditionalFormatting>
  <conditionalFormatting sqref="AH15:AJ16">
    <cfRule type="expression" dxfId="105" priority="1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E13"/>
    </sheetView>
  </sheetViews>
  <sheetFormatPr defaultRowHeight="11.25"/>
  <cols>
    <col min="1" max="1" width="4.28515625" style="183" customWidth="1"/>
    <col min="2" max="2" width="8.42578125" style="183" customWidth="1"/>
    <col min="3" max="3" width="25.57031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02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-2'!$AK$9:$AK$19)</f>
        <v>24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-2'!$E$4</f>
        <v>42036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-2'!$B$8:$AS$19,36,0)</f>
        <v>24</v>
      </c>
      <c r="G10" s="146">
        <f t="shared" ref="G10" si="2">ROUND(E10/$U$2*F10,0)</f>
        <v>2600000</v>
      </c>
      <c r="H10" s="145">
        <f>(VLOOKUP(B10,'CC -2'!$B$8:$AS$19,37,0)+VLOOKUP(B10,'CC -2'!$B$8:$AS$19,38,0))</f>
        <v>0</v>
      </c>
      <c r="I10" s="146">
        <f t="shared" ref="I10" si="3">ROUND(E10/$U$2*H10,0)</f>
        <v>0</v>
      </c>
      <c r="J10" s="147">
        <f t="shared" ref="J10" si="4">F10+H10</f>
        <v>24</v>
      </c>
      <c r="K10" s="148">
        <f>G10+I10</f>
        <v>2600000</v>
      </c>
      <c r="L10" s="144">
        <f>ROUND(F10*20000,0)</f>
        <v>480000</v>
      </c>
      <c r="M10" s="149">
        <f t="shared" ref="M10" si="5">K10+L10</f>
        <v>3080000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3080000</v>
      </c>
      <c r="R10" s="148">
        <f>VLOOKUP(B10,DS,23,0)</f>
        <v>0</v>
      </c>
      <c r="S10" s="150">
        <f t="shared" ref="S10" si="7">Q10-R10</f>
        <v>3080000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-2'!$B$8:$AS$19,36,0)</f>
        <v>24</v>
      </c>
      <c r="G11" s="146">
        <f t="shared" ref="G11:G12" si="10">ROUND(E11/$U$2*F11,0)</f>
        <v>2500000</v>
      </c>
      <c r="H11" s="145">
        <f>(VLOOKUP(B11,'CC -2'!$B$8:$AS$19,37,0)+VLOOKUP(B11,'CC -2'!$B$8:$AS$19,38,0))</f>
        <v>0</v>
      </c>
      <c r="I11" s="146">
        <f t="shared" ref="I11:I12" si="11">ROUND(E11/$U$2*H11,0)</f>
        <v>0</v>
      </c>
      <c r="J11" s="147">
        <f t="shared" ref="J11:J12" si="12">F11+H11</f>
        <v>24</v>
      </c>
      <c r="K11" s="148">
        <f t="shared" ref="K11:K12" si="13">G11+I11</f>
        <v>2500000</v>
      </c>
      <c r="L11" s="144">
        <f t="shared" ref="L11:L12" si="14">ROUND(F11*20000,0)</f>
        <v>480000</v>
      </c>
      <c r="M11" s="149">
        <f t="shared" ref="M11:M12" si="15">K11+L11</f>
        <v>2980000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2980000</v>
      </c>
      <c r="R11" s="148">
        <f>VLOOKUP(B11,DS,23,0)</f>
        <v>0</v>
      </c>
      <c r="S11" s="150">
        <f t="shared" ref="S11:S12" si="17">Q11-R11</f>
        <v>2980000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-2'!$B$8:$AS$19,36,0)</f>
        <v>24</v>
      </c>
      <c r="G12" s="146">
        <f t="shared" si="10"/>
        <v>2000000</v>
      </c>
      <c r="H12" s="145">
        <f>(VLOOKUP(B12,'CC -2'!$B$8:$AS$19,37,0)+VLOOKUP(B12,'CC -2'!$B$8:$AS$19,38,0))</f>
        <v>0</v>
      </c>
      <c r="I12" s="146">
        <f t="shared" si="11"/>
        <v>0</v>
      </c>
      <c r="J12" s="147">
        <f t="shared" si="12"/>
        <v>24</v>
      </c>
      <c r="K12" s="148">
        <f t="shared" si="13"/>
        <v>2000000</v>
      </c>
      <c r="L12" s="144">
        <f t="shared" si="14"/>
        <v>480000</v>
      </c>
      <c r="M12" s="149">
        <f t="shared" si="15"/>
        <v>2480000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2480000</v>
      </c>
      <c r="R12" s="148">
        <f>VLOOKUP(B12,DS,23,0)</f>
        <v>0</v>
      </c>
      <c r="S12" s="150">
        <f t="shared" si="17"/>
        <v>2480000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-2'!$B$8:$AS$19,36,0)</f>
        <v>24</v>
      </c>
      <c r="G13" s="146">
        <f t="shared" ref="G13" si="20">ROUND(E13/$U$2*F13,0)</f>
        <v>2500000</v>
      </c>
      <c r="H13" s="145">
        <f>(VLOOKUP(B13,'CC -2'!$B$8:$AS$19,37,0)+VLOOKUP(B13,'CC -2'!$B$8:$AS$19,38,0))</f>
        <v>0</v>
      </c>
      <c r="I13" s="146">
        <f t="shared" ref="I13" si="21">ROUND(E13/$U$2*H13,0)</f>
        <v>0</v>
      </c>
      <c r="J13" s="147">
        <f t="shared" ref="J13" si="22">F13+H13</f>
        <v>24</v>
      </c>
      <c r="K13" s="148">
        <f t="shared" ref="K13" si="23">G13+I13</f>
        <v>2500000</v>
      </c>
      <c r="L13" s="144">
        <f t="shared" ref="L13" si="24">ROUND(F13*20000,0)</f>
        <v>480000</v>
      </c>
      <c r="M13" s="149">
        <f t="shared" ref="M13" si="25">K13+L13</f>
        <v>2980000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2980000</v>
      </c>
      <c r="R13" s="148">
        <f>VLOOKUP(B13,DS,23,0)</f>
        <v>0</v>
      </c>
      <c r="S13" s="150">
        <f t="shared" ref="S13" si="27">Q13-R13</f>
        <v>2980000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480000</v>
      </c>
      <c r="M15" s="163">
        <f t="shared" si="28"/>
        <v>3080000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3080000</v>
      </c>
      <c r="R15" s="163">
        <f t="shared" si="28"/>
        <v>0</v>
      </c>
      <c r="S15" s="163">
        <f>SUM(S9:S14)</f>
        <v>11520000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-2'!$B$8:$AS$19,36,0)</f>
        <v>24</v>
      </c>
      <c r="G17" s="146">
        <f t="shared" ref="G17" si="32">ROUND(E17/$U$2*F17,0)</f>
        <v>2500000</v>
      </c>
      <c r="H17" s="145">
        <f>(VLOOKUP(B17,'CC -2'!$B$8:$AS$19,37,0)+VLOOKUP(B17,'CC -2'!$B$8:$AS$19,38,0))</f>
        <v>0</v>
      </c>
      <c r="I17" s="146">
        <f t="shared" ref="I17" si="33">ROUND(E17/$U$2*H17,0)</f>
        <v>0</v>
      </c>
      <c r="J17" s="167">
        <f t="shared" ref="J17:K17" si="34">F17+H17</f>
        <v>24</v>
      </c>
      <c r="K17" s="148">
        <f t="shared" si="34"/>
        <v>2500000</v>
      </c>
      <c r="L17" s="144">
        <f t="shared" ref="L17" si="35">ROUND(F17*20000,0)</f>
        <v>480000</v>
      </c>
      <c r="M17" s="149">
        <f t="shared" ref="M17" si="36">K17+L17</f>
        <v>2980000</v>
      </c>
      <c r="N17" s="149">
        <f>IF(VLOOKUP(B17,DS,9,0)="x",'L - 2'!E17*$N$4,0)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2980000</v>
      </c>
      <c r="R17" s="148">
        <f t="shared" ref="R17" si="39">VLOOKUP(B17,DS,23,0)</f>
        <v>0</v>
      </c>
      <c r="S17" s="150">
        <f>Q17-R17</f>
        <v>2980000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480000</v>
      </c>
      <c r="M19" s="163">
        <f t="shared" si="40"/>
        <v>2980000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2980000</v>
      </c>
      <c r="R19" s="163">
        <f t="shared" si="40"/>
        <v>0</v>
      </c>
      <c r="S19" s="163">
        <f t="shared" si="40"/>
        <v>2980000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28  tháng  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G18" sqref="G18:AI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4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1406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03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42064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42064</v>
      </c>
      <c r="G5" s="73">
        <f t="shared" ref="G5:AI5" si="0">F5+1</f>
        <v>42065</v>
      </c>
      <c r="H5" s="73">
        <f t="shared" si="0"/>
        <v>42066</v>
      </c>
      <c r="I5" s="73">
        <f t="shared" si="0"/>
        <v>42067</v>
      </c>
      <c r="J5" s="73">
        <f t="shared" si="0"/>
        <v>42068</v>
      </c>
      <c r="K5" s="73">
        <f t="shared" si="0"/>
        <v>42069</v>
      </c>
      <c r="L5" s="73">
        <f t="shared" si="0"/>
        <v>42070</v>
      </c>
      <c r="M5" s="73">
        <f t="shared" si="0"/>
        <v>42071</v>
      </c>
      <c r="N5" s="73">
        <f t="shared" si="0"/>
        <v>42072</v>
      </c>
      <c r="O5" s="73">
        <f t="shared" si="0"/>
        <v>42073</v>
      </c>
      <c r="P5" s="73">
        <f t="shared" si="0"/>
        <v>42074</v>
      </c>
      <c r="Q5" s="73">
        <f t="shared" si="0"/>
        <v>42075</v>
      </c>
      <c r="R5" s="73">
        <f t="shared" si="0"/>
        <v>42076</v>
      </c>
      <c r="S5" s="73">
        <f t="shared" si="0"/>
        <v>42077</v>
      </c>
      <c r="T5" s="73">
        <f t="shared" si="0"/>
        <v>42078</v>
      </c>
      <c r="U5" s="73">
        <f t="shared" si="0"/>
        <v>42079</v>
      </c>
      <c r="V5" s="73">
        <f t="shared" si="0"/>
        <v>42080</v>
      </c>
      <c r="W5" s="73">
        <f t="shared" si="0"/>
        <v>42081</v>
      </c>
      <c r="X5" s="73">
        <f t="shared" si="0"/>
        <v>42082</v>
      </c>
      <c r="Y5" s="73">
        <f t="shared" si="0"/>
        <v>42083</v>
      </c>
      <c r="Z5" s="73">
        <f t="shared" si="0"/>
        <v>42084</v>
      </c>
      <c r="AA5" s="73">
        <f t="shared" si="0"/>
        <v>42085</v>
      </c>
      <c r="AB5" s="73">
        <f t="shared" si="0"/>
        <v>42086</v>
      </c>
      <c r="AC5" s="73">
        <f t="shared" si="0"/>
        <v>42087</v>
      </c>
      <c r="AD5" s="73">
        <f t="shared" si="0"/>
        <v>42088</v>
      </c>
      <c r="AE5" s="73">
        <f t="shared" si="0"/>
        <v>42089</v>
      </c>
      <c r="AF5" s="73">
        <f t="shared" si="0"/>
        <v>42090</v>
      </c>
      <c r="AG5" s="73">
        <f t="shared" si="0"/>
        <v>42091</v>
      </c>
      <c r="AH5" s="73">
        <f>AG5+1</f>
        <v>42092</v>
      </c>
      <c r="AI5" s="73">
        <f t="shared" si="0"/>
        <v>42093</v>
      </c>
      <c r="AJ5" s="73"/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C.Nhật</v>
      </c>
      <c r="G6" s="75" t="str">
        <f t="shared" ref="G6:AI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/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/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29">
        <f>((SUM(F9:AJ9))/8)-(SUMIF($F$6:$AJ$6,"C.Nhật",F9:AJ9)/8)</f>
        <v>25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25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>
        <v>8</v>
      </c>
      <c r="AJ11" s="87"/>
      <c r="AK11" s="229">
        <f>((SUM(F11:AJ11))/8)-(SUMIF($F$6:$AJ$6,"C.Nhật",F11:AJ11)/8)</f>
        <v>25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25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>
        <v>8</v>
      </c>
      <c r="AJ13" s="87"/>
      <c r="AK13" s="229">
        <f>((SUM(F13:AJ13))/8)-(SUMIF($F$6:$AJ$6,"C.Nhật",F13:AJ13)/8)</f>
        <v>25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25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>
        <v>8</v>
      </c>
      <c r="AJ15" s="87"/>
      <c r="AK15" s="229">
        <f>((SUM(F15:AJ15))/8)-(SUMIF($F$6:$AJ$6,"C.Nhật",F15:AJ15)/8)</f>
        <v>25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25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>
        <v>8</v>
      </c>
      <c r="AJ18" s="87"/>
      <c r="AK18" s="229">
        <f t="shared" ref="AK18" si="2">((SUM(F18:AJ18))/8)-(SUMIF($F$6:$AJ$6,"C.Nhật",F18:AJ18)/8)</f>
        <v>25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>SUM(AK18:AM19)</f>
        <v>25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">
    <cfRule type="expression" dxfId="104" priority="24" stopIfTrue="1">
      <formula>IF(WEEKDAY(F$5)=1,TRUE,FALSE)</formula>
    </cfRule>
  </conditionalFormatting>
  <conditionalFormatting sqref="F9:AJ10 F11:AI14">
    <cfRule type="expression" dxfId="103" priority="23" stopIfTrue="1">
      <formula>IF(WEEKDAY(F$5)=1,TRUE,FALSE)</formula>
    </cfRule>
  </conditionalFormatting>
  <conditionalFormatting sqref="AJ18:AJ19">
    <cfRule type="expression" dxfId="102" priority="16" stopIfTrue="1">
      <formula>IF(WEEKDAY(AJ$5)=1,TRUE,FALSE)</formula>
    </cfRule>
  </conditionalFormatting>
  <conditionalFormatting sqref="AJ18:AJ19">
    <cfRule type="expression" dxfId="101" priority="15" stopIfTrue="1">
      <formula>IF(WEEKDAY(AJ$5)=1,TRUE,FALSE)</formula>
    </cfRule>
  </conditionalFormatting>
  <conditionalFormatting sqref="AJ11:AJ12">
    <cfRule type="expression" dxfId="100" priority="14" stopIfTrue="1">
      <formula>IF(WEEKDAY(AJ$5)=1,TRUE,FALSE)</formula>
    </cfRule>
  </conditionalFormatting>
  <conditionalFormatting sqref="AJ11:AJ12">
    <cfRule type="expression" dxfId="99" priority="13" stopIfTrue="1">
      <formula>IF(WEEKDAY(AJ$5)=1,TRUE,FALSE)</formula>
    </cfRule>
  </conditionalFormatting>
  <conditionalFormatting sqref="AJ13:AJ14">
    <cfRule type="expression" dxfId="98" priority="12" stopIfTrue="1">
      <formula>IF(WEEKDAY(AJ$5)=1,TRUE,FALSE)</formula>
    </cfRule>
  </conditionalFormatting>
  <conditionalFormatting sqref="AJ13:AJ14">
    <cfRule type="expression" dxfId="97" priority="11" stopIfTrue="1">
      <formula>IF(WEEKDAY(AJ$5)=1,TRUE,FALSE)</formula>
    </cfRule>
  </conditionalFormatting>
  <conditionalFormatting sqref="F18:F19">
    <cfRule type="expression" dxfId="96" priority="10" stopIfTrue="1">
      <formula>IF(WEEKDAY(F$5)=1,TRUE,FALSE)</formula>
    </cfRule>
  </conditionalFormatting>
  <conditionalFormatting sqref="F18:F19">
    <cfRule type="expression" dxfId="95" priority="9" stopIfTrue="1">
      <formula>IF(WEEKDAY(F$5)=1,TRUE,FALSE)</formula>
    </cfRule>
  </conditionalFormatting>
  <conditionalFormatting sqref="F15:F16">
    <cfRule type="expression" dxfId="94" priority="8" stopIfTrue="1">
      <formula>IF(WEEKDAY(F$5)=1,TRUE,FALSE)</formula>
    </cfRule>
  </conditionalFormatting>
  <conditionalFormatting sqref="F15:F16">
    <cfRule type="expression" dxfId="93" priority="7" stopIfTrue="1">
      <formula>IF(WEEKDAY(F$5)=1,TRUE,FALSE)</formula>
    </cfRule>
  </conditionalFormatting>
  <conditionalFormatting sqref="AJ15:AJ16">
    <cfRule type="expression" dxfId="92" priority="6" stopIfTrue="1">
      <formula>IF(WEEKDAY(AJ$5)=1,TRUE,FALSE)</formula>
    </cfRule>
  </conditionalFormatting>
  <conditionalFormatting sqref="AJ15:AJ16">
    <cfRule type="expression" dxfId="91" priority="5" stopIfTrue="1">
      <formula>IF(WEEKDAY(AJ$5)=1,TRUE,FALSE)</formula>
    </cfRule>
  </conditionalFormatting>
  <conditionalFormatting sqref="G15:AI16">
    <cfRule type="expression" dxfId="7" priority="4" stopIfTrue="1">
      <formula>IF(WEEKDAY(G$5)=1,TRUE,FALSE)</formula>
    </cfRule>
  </conditionalFormatting>
  <conditionalFormatting sqref="G15:AI16">
    <cfRule type="expression" dxfId="5" priority="3" stopIfTrue="1">
      <formula>IF(WEEKDAY(G$5)=1,TRUE,FALSE)</formula>
    </cfRule>
  </conditionalFormatting>
  <conditionalFormatting sqref="G18:AI19">
    <cfRule type="expression" dxfId="3" priority="2" stopIfTrue="1">
      <formula>IF(WEEKDAY(G$5)=1,TRUE,FALSE)</formula>
    </cfRule>
  </conditionalFormatting>
  <conditionalFormatting sqref="G18:AI19">
    <cfRule type="expression" dxfId="1" priority="1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G16" sqref="G16"/>
    </sheetView>
  </sheetViews>
  <sheetFormatPr defaultRowHeight="11.25"/>
  <cols>
    <col min="1" max="1" width="4.28515625" style="183" customWidth="1"/>
    <col min="2" max="2" width="8.42578125" style="183" customWidth="1"/>
    <col min="3" max="3" width="25.425781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03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-3'!$AK$9:$AK$19)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-3'!$E$4</f>
        <v>42064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-3'!$B$8:$AS$19,36,0)</f>
        <v>25</v>
      </c>
      <c r="G10" s="146">
        <f t="shared" ref="G10" si="2">ROUND(E10/$U$2*F10,0)</f>
        <v>2600000</v>
      </c>
      <c r="H10" s="145">
        <f>(VLOOKUP(B10,'CC -3'!$B$8:$AS$19,37,0)+VLOOKUP(B10,'CC -3'!$B$8:$AS$19,38,0))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>ROUND(F10*20000,0)</f>
        <v>500000</v>
      </c>
      <c r="M10" s="149">
        <f t="shared" ref="M10" si="5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3100000</v>
      </c>
      <c r="R10" s="148">
        <f>VLOOKUP(B10,DS,23,0)</f>
        <v>0</v>
      </c>
      <c r="S10" s="150">
        <f t="shared" ref="S10" si="7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-3'!$B$8:$AS$19,36,0)</f>
        <v>25</v>
      </c>
      <c r="G11" s="146">
        <f t="shared" ref="G11:G12" si="10">ROUND(E11/$U$2*F11,0)</f>
        <v>2500000</v>
      </c>
      <c r="H11" s="145">
        <f>(VLOOKUP(B11,'CC -3'!$B$8:$AS$19,37,0)+VLOOKUP(B11,'CC -3'!$B$8:$AS$19,38,0))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2500000</v>
      </c>
      <c r="L11" s="144">
        <f t="shared" ref="L11:L12" si="14">ROUND(F11*20000,0)</f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-3'!$B$8:$AS$19,36,0)</f>
        <v>25</v>
      </c>
      <c r="G12" s="146">
        <f t="shared" si="10"/>
        <v>2000000</v>
      </c>
      <c r="H12" s="145">
        <f>(VLOOKUP(B12,'CC -3'!$B$8:$AS$19,37,0)+VLOOKUP(B12,'CC -3'!$B$8:$AS$19,38,0))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2000000</v>
      </c>
      <c r="L12" s="144">
        <f t="shared" si="14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-3'!$B$8:$AS$19,36,0)</f>
        <v>25</v>
      </c>
      <c r="G13" s="146">
        <f t="shared" ref="G13" si="20">ROUND(E13/$U$2*F13,0)</f>
        <v>2500000</v>
      </c>
      <c r="H13" s="145">
        <f>(VLOOKUP(B13,'CC -3'!$B$8:$AS$19,37,0)+VLOOKUP(B13,'CC -3'!$B$8:$AS$19,38,0))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-3'!$B$8:$AS$19,36,0)</f>
        <v>25</v>
      </c>
      <c r="G17" s="146">
        <f t="shared" ref="G17" si="32">ROUND(E17/$U$2*F17,0)</f>
        <v>2500000</v>
      </c>
      <c r="H17" s="145">
        <f>(VLOOKUP(B17,'CC -3'!$B$8:$AS$19,37,0)+VLOOKUP(B17,'CC -3'!$B$8:$AS$19,38,0))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- 3'!E17*$N$4,0)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3000000</v>
      </c>
      <c r="R17" s="148">
        <f t="shared" ref="R17" si="39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500000</v>
      </c>
      <c r="M19" s="163">
        <f t="shared" si="40"/>
        <v>3000000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3000000</v>
      </c>
      <c r="R19" s="163">
        <f t="shared" si="40"/>
        <v>0</v>
      </c>
      <c r="S19" s="163">
        <f t="shared" si="40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3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57031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42095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42095</v>
      </c>
      <c r="G5" s="73">
        <f t="shared" ref="G5:AJ5" si="0">F5+1</f>
        <v>42096</v>
      </c>
      <c r="H5" s="73">
        <f t="shared" si="0"/>
        <v>42097</v>
      </c>
      <c r="I5" s="73">
        <f t="shared" si="0"/>
        <v>42098</v>
      </c>
      <c r="J5" s="73">
        <f t="shared" si="0"/>
        <v>42099</v>
      </c>
      <c r="K5" s="73">
        <f t="shared" si="0"/>
        <v>42100</v>
      </c>
      <c r="L5" s="73">
        <f t="shared" si="0"/>
        <v>42101</v>
      </c>
      <c r="M5" s="73">
        <f t="shared" si="0"/>
        <v>42102</v>
      </c>
      <c r="N5" s="73">
        <f t="shared" si="0"/>
        <v>42103</v>
      </c>
      <c r="O5" s="73">
        <f t="shared" si="0"/>
        <v>42104</v>
      </c>
      <c r="P5" s="73">
        <f t="shared" si="0"/>
        <v>42105</v>
      </c>
      <c r="Q5" s="73">
        <f t="shared" si="0"/>
        <v>42106</v>
      </c>
      <c r="R5" s="73">
        <f t="shared" si="0"/>
        <v>42107</v>
      </c>
      <c r="S5" s="73">
        <f t="shared" si="0"/>
        <v>42108</v>
      </c>
      <c r="T5" s="73">
        <f t="shared" si="0"/>
        <v>42109</v>
      </c>
      <c r="U5" s="73">
        <f t="shared" si="0"/>
        <v>42110</v>
      </c>
      <c r="V5" s="73">
        <f t="shared" si="0"/>
        <v>42111</v>
      </c>
      <c r="W5" s="73">
        <f t="shared" si="0"/>
        <v>42112</v>
      </c>
      <c r="X5" s="73">
        <f t="shared" si="0"/>
        <v>42113</v>
      </c>
      <c r="Y5" s="73">
        <f t="shared" si="0"/>
        <v>42114</v>
      </c>
      <c r="Z5" s="73">
        <f t="shared" si="0"/>
        <v>42115</v>
      </c>
      <c r="AA5" s="73">
        <f t="shared" si="0"/>
        <v>42116</v>
      </c>
      <c r="AB5" s="73">
        <f t="shared" si="0"/>
        <v>42117</v>
      </c>
      <c r="AC5" s="73">
        <f t="shared" si="0"/>
        <v>42118</v>
      </c>
      <c r="AD5" s="73">
        <f t="shared" si="0"/>
        <v>42119</v>
      </c>
      <c r="AE5" s="73">
        <f t="shared" si="0"/>
        <v>42120</v>
      </c>
      <c r="AF5" s="73">
        <f t="shared" si="0"/>
        <v>42121</v>
      </c>
      <c r="AG5" s="73">
        <f t="shared" si="0"/>
        <v>42122</v>
      </c>
      <c r="AH5" s="73">
        <f>AG5+1</f>
        <v>42123</v>
      </c>
      <c r="AI5" s="73">
        <f t="shared" si="0"/>
        <v>42124</v>
      </c>
      <c r="AJ5" s="73">
        <f t="shared" si="0"/>
        <v>42125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/>
      <c r="AJ9" s="87"/>
      <c r="AK9" s="229">
        <f>((SUM(F9:AJ9))/8)-(SUMIF($F$6:$AJ$6,"C.Nhật",F9:AJ9)/8)</f>
        <v>25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25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/>
      <c r="AJ11" s="87"/>
      <c r="AK11" s="229">
        <f>((SUM(F11:AJ11))/8)-(SUMIF($F$6:$AJ$6,"C.Nhật",F11:AJ11)/8)</f>
        <v>25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25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/>
      <c r="AJ13" s="87"/>
      <c r="AK13" s="229">
        <f>((SUM(F13:AJ13))/8)-(SUMIF($F$6:$AJ$6,"C.Nhật",F13:AJ13)/8)</f>
        <v>25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25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/>
      <c r="AJ15" s="87"/>
      <c r="AK15" s="229">
        <f>((SUM(F15:AJ15))/8)-(SUMIF($F$6:$AJ$6,"C.Nhật",F15:AJ15)/8)</f>
        <v>25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25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/>
      <c r="AJ18" s="87"/>
      <c r="AK18" s="229">
        <f t="shared" ref="AK18" si="2">((SUM(F18:AJ18))/8)-(SUMIF($F$6:$AJ$6,"C.Nhật",F18:AJ18)/8)</f>
        <v>25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>SUM(AK18:AM19)</f>
        <v>25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">
    <cfRule type="expression" dxfId="90" priority="20" stopIfTrue="1">
      <formula>IF(WEEKDAY(F$5)=1,TRUE,FALSE)</formula>
    </cfRule>
  </conditionalFormatting>
  <conditionalFormatting sqref="F9:AJ10 F11:AI14">
    <cfRule type="expression" dxfId="89" priority="19" stopIfTrue="1">
      <formula>IF(WEEKDAY(F$5)=1,TRUE,FALSE)</formula>
    </cfRule>
  </conditionalFormatting>
  <conditionalFormatting sqref="AJ18:AJ19">
    <cfRule type="expression" dxfId="88" priority="18" stopIfTrue="1">
      <formula>IF(WEEKDAY(AJ$5)=1,TRUE,FALSE)</formula>
    </cfRule>
  </conditionalFormatting>
  <conditionalFormatting sqref="AJ18:AJ19">
    <cfRule type="expression" dxfId="87" priority="17" stopIfTrue="1">
      <formula>IF(WEEKDAY(AJ$5)=1,TRUE,FALSE)</formula>
    </cfRule>
  </conditionalFormatting>
  <conditionalFormatting sqref="AJ11:AJ12">
    <cfRule type="expression" dxfId="86" priority="10" stopIfTrue="1">
      <formula>IF(WEEKDAY(AJ$5)=1,TRUE,FALSE)</formula>
    </cfRule>
  </conditionalFormatting>
  <conditionalFormatting sqref="AJ11:AJ12">
    <cfRule type="expression" dxfId="85" priority="9" stopIfTrue="1">
      <formula>IF(WEEKDAY(AJ$5)=1,TRUE,FALSE)</formula>
    </cfRule>
  </conditionalFormatting>
  <conditionalFormatting sqref="AJ13:AJ14">
    <cfRule type="expression" dxfId="84" priority="8" stopIfTrue="1">
      <formula>IF(WEEKDAY(AJ$5)=1,TRUE,FALSE)</formula>
    </cfRule>
  </conditionalFormatting>
  <conditionalFormatting sqref="AJ13:AJ14">
    <cfRule type="expression" dxfId="83" priority="7" stopIfTrue="1">
      <formula>IF(WEEKDAY(AJ$5)=1,TRUE,FALSE)</formula>
    </cfRule>
  </conditionalFormatting>
  <conditionalFormatting sqref="F18:AI19">
    <cfRule type="expression" dxfId="82" priority="6" stopIfTrue="1">
      <formula>IF(WEEKDAY(F$5)=1,TRUE,FALSE)</formula>
    </cfRule>
  </conditionalFormatting>
  <conditionalFormatting sqref="F18:AI19">
    <cfRule type="expression" dxfId="81" priority="5" stopIfTrue="1">
      <formula>IF(WEEKDAY(F$5)=1,TRUE,FALSE)</formula>
    </cfRule>
  </conditionalFormatting>
  <conditionalFormatting sqref="F15:AI16">
    <cfRule type="expression" dxfId="80" priority="4" stopIfTrue="1">
      <formula>IF(WEEKDAY(F$5)=1,TRUE,FALSE)</formula>
    </cfRule>
  </conditionalFormatting>
  <conditionalFormatting sqref="F15:AI16">
    <cfRule type="expression" dxfId="79" priority="3" stopIfTrue="1">
      <formula>IF(WEEKDAY(F$5)=1,TRUE,FALSE)</formula>
    </cfRule>
  </conditionalFormatting>
  <conditionalFormatting sqref="AJ15:AJ16">
    <cfRule type="expression" dxfId="78" priority="2" stopIfTrue="1">
      <formula>IF(WEEKDAY(AJ$5)=1,TRUE,FALSE)</formula>
    </cfRule>
  </conditionalFormatting>
  <conditionalFormatting sqref="AJ15:AJ16">
    <cfRule type="expression" dxfId="77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E13"/>
    </sheetView>
  </sheetViews>
  <sheetFormatPr defaultRowHeight="11.25"/>
  <cols>
    <col min="1" max="1" width="4.28515625" style="183" customWidth="1"/>
    <col min="2" max="2" width="8.42578125" style="183" customWidth="1"/>
    <col min="3" max="3" width="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04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-4'!$AK$9:$AK$19)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-4'!$E$4</f>
        <v>42095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-4'!$B$8:$AS$19,36,0)</f>
        <v>25</v>
      </c>
      <c r="G10" s="146">
        <f t="shared" ref="G10" si="2">ROUND(E10/$U$2*F10,0)</f>
        <v>2600000</v>
      </c>
      <c r="H10" s="145">
        <f>(VLOOKUP(B10,'CC -4'!$B$8:$AS$19,37,0)+VLOOKUP(B10,'CC -4'!$B$8:$AS$19,38,0))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>ROUND(F10*20000,0)</f>
        <v>500000</v>
      </c>
      <c r="M10" s="149">
        <f t="shared" ref="M10" si="5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3100000</v>
      </c>
      <c r="R10" s="148">
        <f>VLOOKUP(B10,DS,23,0)</f>
        <v>0</v>
      </c>
      <c r="S10" s="150">
        <f t="shared" ref="S10" si="7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-4'!$B$8:$AS$19,36,0)</f>
        <v>25</v>
      </c>
      <c r="G11" s="146">
        <f t="shared" ref="G11:G12" si="10">ROUND(E11/$U$2*F11,0)</f>
        <v>2500000</v>
      </c>
      <c r="H11" s="145">
        <f>(VLOOKUP(B11,'CC -4'!$B$8:$AS$19,37,0)+VLOOKUP(B11,'CC -4'!$B$8:$AS$19,38,0))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2500000</v>
      </c>
      <c r="L11" s="144">
        <f t="shared" ref="L11:L12" si="14">ROUND(F11*20000,0)</f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-4'!$B$8:$AS$19,36,0)</f>
        <v>25</v>
      </c>
      <c r="G12" s="146">
        <f t="shared" si="10"/>
        <v>2000000</v>
      </c>
      <c r="H12" s="145">
        <f>(VLOOKUP(B12,'CC -4'!$B$8:$AS$19,37,0)+VLOOKUP(B12,'CC -4'!$B$8:$AS$19,38,0))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2000000</v>
      </c>
      <c r="L12" s="144">
        <f t="shared" si="14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-4'!$B$8:$AS$19,36,0)</f>
        <v>25</v>
      </c>
      <c r="G13" s="146">
        <f t="shared" ref="G13" si="20">ROUND(E13/$U$2*F13,0)</f>
        <v>2500000</v>
      </c>
      <c r="H13" s="145">
        <f>(VLOOKUP(B13,'CC -4'!$B$8:$AS$19,37,0)+VLOOKUP(B13,'CC -4'!$B$8:$AS$19,38,0))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-4'!$B$8:$AS$19,36,0)</f>
        <v>25</v>
      </c>
      <c r="G17" s="146">
        <f t="shared" ref="G17" si="32">ROUND(E17/$U$2*F17,0)</f>
        <v>2500000</v>
      </c>
      <c r="H17" s="145">
        <f>(VLOOKUP(B17,'CC -4'!$B$8:$AS$19,37,0)+VLOOKUP(B17,'CC -4'!$B$8:$AS$19,38,0))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- 4'!E17*$N$4,0)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3000000</v>
      </c>
      <c r="R17" s="148">
        <f t="shared" ref="R17" si="39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500000</v>
      </c>
      <c r="M19" s="163">
        <f t="shared" si="40"/>
        <v>3000000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3000000</v>
      </c>
      <c r="R19" s="163">
        <f t="shared" si="40"/>
        <v>0</v>
      </c>
      <c r="S19" s="163">
        <f t="shared" si="40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4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425781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7.57031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42125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42125</v>
      </c>
      <c r="G5" s="73">
        <f t="shared" ref="G5:AJ5" si="0">F5+1</f>
        <v>42126</v>
      </c>
      <c r="H5" s="73">
        <f t="shared" si="0"/>
        <v>42127</v>
      </c>
      <c r="I5" s="73">
        <f t="shared" si="0"/>
        <v>42128</v>
      </c>
      <c r="J5" s="73">
        <f t="shared" si="0"/>
        <v>42129</v>
      </c>
      <c r="K5" s="73">
        <f t="shared" si="0"/>
        <v>42130</v>
      </c>
      <c r="L5" s="73">
        <f t="shared" si="0"/>
        <v>42131</v>
      </c>
      <c r="M5" s="73">
        <f t="shared" si="0"/>
        <v>42132</v>
      </c>
      <c r="N5" s="73">
        <f t="shared" si="0"/>
        <v>42133</v>
      </c>
      <c r="O5" s="73">
        <f t="shared" si="0"/>
        <v>42134</v>
      </c>
      <c r="P5" s="73">
        <f t="shared" si="0"/>
        <v>42135</v>
      </c>
      <c r="Q5" s="73">
        <f t="shared" si="0"/>
        <v>42136</v>
      </c>
      <c r="R5" s="73">
        <f t="shared" si="0"/>
        <v>42137</v>
      </c>
      <c r="S5" s="73">
        <f t="shared" si="0"/>
        <v>42138</v>
      </c>
      <c r="T5" s="73">
        <f t="shared" si="0"/>
        <v>42139</v>
      </c>
      <c r="U5" s="73">
        <f t="shared" si="0"/>
        <v>42140</v>
      </c>
      <c r="V5" s="73">
        <f t="shared" si="0"/>
        <v>42141</v>
      </c>
      <c r="W5" s="73">
        <f t="shared" si="0"/>
        <v>42142</v>
      </c>
      <c r="X5" s="73">
        <f t="shared" si="0"/>
        <v>42143</v>
      </c>
      <c r="Y5" s="73">
        <f t="shared" si="0"/>
        <v>42144</v>
      </c>
      <c r="Z5" s="73">
        <f t="shared" si="0"/>
        <v>42145</v>
      </c>
      <c r="AA5" s="73">
        <f t="shared" si="0"/>
        <v>42146</v>
      </c>
      <c r="AB5" s="73">
        <f t="shared" si="0"/>
        <v>42147</v>
      </c>
      <c r="AC5" s="73">
        <f t="shared" si="0"/>
        <v>42148</v>
      </c>
      <c r="AD5" s="73">
        <f t="shared" si="0"/>
        <v>42149</v>
      </c>
      <c r="AE5" s="73">
        <f t="shared" si="0"/>
        <v>42150</v>
      </c>
      <c r="AF5" s="73">
        <f t="shared" si="0"/>
        <v>42151</v>
      </c>
      <c r="AG5" s="73">
        <f t="shared" si="0"/>
        <v>42152</v>
      </c>
      <c r="AH5" s="73">
        <f>AG5+1</f>
        <v>42153</v>
      </c>
      <c r="AI5" s="73">
        <f t="shared" si="0"/>
        <v>42154</v>
      </c>
      <c r="AJ5" s="73">
        <f t="shared" si="0"/>
        <v>42155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/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9">
        <f>((SUM(F9:AJ9))/8)-(SUMIF($F$6:$AJ$6,"C.Nhật",F9:AJ9)/8)</f>
        <v>25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25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/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9">
        <f>((SUM(F11:AJ11))/8)-(SUMIF($F$6:$AJ$6,"C.Nhật",F11:AJ11)/8)</f>
        <v>25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25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/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9">
        <f>((SUM(F13:AJ13))/8)-(SUMIF($F$6:$AJ$6,"C.Nhật",F13:AJ13)/8)</f>
        <v>25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25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/>
      <c r="G15" s="87">
        <v>8</v>
      </c>
      <c r="H15" s="87"/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/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/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/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/>
      <c r="AK15" s="229">
        <f>((SUM(F15:AJ15))/8)-(SUMIF($F$6:$AJ$6,"C.Nhật",F15:AJ15)/8)</f>
        <v>25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25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/>
      <c r="G18" s="87">
        <v>8</v>
      </c>
      <c r="H18" s="87"/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/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/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/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/>
      <c r="AK18" s="229">
        <f t="shared" ref="AK18" si="2">((SUM(F18:AJ18))/8)-(SUMIF($F$6:$AJ$6,"C.Nhật",F18:AJ18)/8)</f>
        <v>25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>SUM(AK18:AM19)</f>
        <v>25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">
    <cfRule type="expression" dxfId="76" priority="18" stopIfTrue="1">
      <formula>IF(WEEKDAY(F$5)=1,TRUE,FALSE)</formula>
    </cfRule>
  </conditionalFormatting>
  <conditionalFormatting sqref="F9:AJ14">
    <cfRule type="expression" dxfId="75" priority="17" stopIfTrue="1">
      <formula>IF(WEEKDAY(F$5)=1,TRUE,FALSE)</formula>
    </cfRule>
  </conditionalFormatting>
  <conditionalFormatting sqref="F18:AJ19">
    <cfRule type="expression" dxfId="74" priority="4" stopIfTrue="1">
      <formula>IF(WEEKDAY(F$5)=1,TRUE,FALSE)</formula>
    </cfRule>
  </conditionalFormatting>
  <conditionalFormatting sqref="F18:AJ19">
    <cfRule type="expression" dxfId="73" priority="3" stopIfTrue="1">
      <formula>IF(WEEKDAY(F$5)=1,TRUE,FALSE)</formula>
    </cfRule>
  </conditionalFormatting>
  <conditionalFormatting sqref="F15:AJ16">
    <cfRule type="expression" dxfId="72" priority="2" stopIfTrue="1">
      <formula>IF(WEEKDAY(F$5)=1,TRUE,FALSE)</formula>
    </cfRule>
  </conditionalFormatting>
  <conditionalFormatting sqref="F15:AJ16">
    <cfRule type="expression" dxfId="7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G16" sqref="G16"/>
    </sheetView>
  </sheetViews>
  <sheetFormatPr defaultRowHeight="11.25"/>
  <cols>
    <col min="1" max="1" width="4.28515625" style="183" customWidth="1"/>
    <col min="2" max="2" width="8.42578125" style="183" customWidth="1"/>
    <col min="3" max="3" width="26.57031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05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-5'!$AK$9:$AK$19)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-5'!$E$4</f>
        <v>42125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-5'!$B$8:$AS$19,36,0)</f>
        <v>25</v>
      </c>
      <c r="G10" s="146">
        <f t="shared" ref="G10" si="2">ROUND(E10/$U$2*F10,0)</f>
        <v>2600000</v>
      </c>
      <c r="H10" s="145">
        <f>(VLOOKUP(B10,'CC -5'!$B$8:$AS$19,37,0)+VLOOKUP(B10,'CC -5'!$B$8:$AS$19,38,0))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>ROUND(F10*20000,0)</f>
        <v>500000</v>
      </c>
      <c r="M10" s="149">
        <f t="shared" ref="M10" si="5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3100000</v>
      </c>
      <c r="R10" s="148">
        <f>VLOOKUP(B10,DS,23,0)</f>
        <v>0</v>
      </c>
      <c r="S10" s="150">
        <f t="shared" ref="S10" si="7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-5'!$B$8:$AS$19,36,0)</f>
        <v>25</v>
      </c>
      <c r="G11" s="146">
        <f t="shared" ref="G11:G12" si="10">ROUND(E11/$U$2*F11,0)</f>
        <v>2500000</v>
      </c>
      <c r="H11" s="145">
        <f>(VLOOKUP(B11,'CC -5'!$B$8:$AS$19,37,0)+VLOOKUP(B11,'CC -5'!$B$8:$AS$19,38,0))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2500000</v>
      </c>
      <c r="L11" s="144">
        <f t="shared" ref="L11:L12" si="14">ROUND(F11*20000,0)</f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-5'!$B$8:$AS$19,36,0)</f>
        <v>25</v>
      </c>
      <c r="G12" s="146">
        <f t="shared" si="10"/>
        <v>2000000</v>
      </c>
      <c r="H12" s="145">
        <f>(VLOOKUP(B12,'CC -5'!$B$8:$AS$19,37,0)+VLOOKUP(B12,'CC -5'!$B$8:$AS$19,38,0))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2000000</v>
      </c>
      <c r="L12" s="144">
        <f t="shared" si="14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-5'!$B$8:$AS$19,36,0)</f>
        <v>25</v>
      </c>
      <c r="G13" s="146">
        <f t="shared" ref="G13" si="20">ROUND(E13/$U$2*F13,0)</f>
        <v>2500000</v>
      </c>
      <c r="H13" s="145">
        <f>(VLOOKUP(B13,'CC -5'!$B$8:$AS$19,37,0)+VLOOKUP(B13,'CC -5'!$B$8:$AS$19,38,0))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-5'!$B$8:$AS$19,36,0)</f>
        <v>25</v>
      </c>
      <c r="G17" s="146">
        <f t="shared" ref="G17" si="32">ROUND(E17/$U$2*F17,0)</f>
        <v>2500000</v>
      </c>
      <c r="H17" s="145">
        <f>(VLOOKUP(B17,'CC -5'!$B$8:$AS$19,37,0)+VLOOKUP(B17,'CC -5'!$B$8:$AS$19,38,0))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>ROUND(F17*20000,0)</f>
        <v>500000</v>
      </c>
      <c r="M17" s="149">
        <f t="shared" ref="M17" si="35">K17+L17</f>
        <v>3000000</v>
      </c>
      <c r="N17" s="149">
        <f>IF(VLOOKUP(B17,DS,9,0)="x",'L - 5'!E17*$N$4,0)</f>
        <v>0</v>
      </c>
      <c r="O17" s="149">
        <f t="shared" ref="O17" si="36">IF(VLOOKUP(B17,DS,9,0)="x",E17*0.015,0)</f>
        <v>0</v>
      </c>
      <c r="P17" s="149">
        <f t="shared" ref="P17" si="37">IF(VLOOKUP(B17,DS,9,0)="x",E17*0.01,0)</f>
        <v>0</v>
      </c>
      <c r="Q17" s="148">
        <f>M17-SUM(N17:P17)</f>
        <v>3000000</v>
      </c>
      <c r="R17" s="148">
        <f t="shared" ref="R17" si="38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9">SUM(K16:K18)</f>
        <v>2500000</v>
      </c>
      <c r="L19" s="163">
        <f t="shared" si="39"/>
        <v>500000</v>
      </c>
      <c r="M19" s="163">
        <f t="shared" si="39"/>
        <v>3000000</v>
      </c>
      <c r="N19" s="163">
        <f t="shared" si="39"/>
        <v>0</v>
      </c>
      <c r="O19" s="163">
        <f t="shared" si="39"/>
        <v>0</v>
      </c>
      <c r="P19" s="163">
        <f t="shared" si="39"/>
        <v>0</v>
      </c>
      <c r="Q19" s="163">
        <f t="shared" si="39"/>
        <v>3000000</v>
      </c>
      <c r="R19" s="163">
        <f t="shared" si="39"/>
        <v>0</v>
      </c>
      <c r="S19" s="163">
        <f t="shared" si="39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5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C1" sqref="C1:C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42156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42156</v>
      </c>
      <c r="G5" s="73">
        <f t="shared" ref="G5:AJ5" si="0">F5+1</f>
        <v>42157</v>
      </c>
      <c r="H5" s="73">
        <f t="shared" si="0"/>
        <v>42158</v>
      </c>
      <c r="I5" s="73">
        <f t="shared" si="0"/>
        <v>42159</v>
      </c>
      <c r="J5" s="73">
        <f t="shared" si="0"/>
        <v>42160</v>
      </c>
      <c r="K5" s="73">
        <f t="shared" si="0"/>
        <v>42161</v>
      </c>
      <c r="L5" s="73">
        <f t="shared" si="0"/>
        <v>42162</v>
      </c>
      <c r="M5" s="73">
        <f t="shared" si="0"/>
        <v>42163</v>
      </c>
      <c r="N5" s="73">
        <f t="shared" si="0"/>
        <v>42164</v>
      </c>
      <c r="O5" s="73">
        <f t="shared" si="0"/>
        <v>42165</v>
      </c>
      <c r="P5" s="73">
        <f t="shared" si="0"/>
        <v>42166</v>
      </c>
      <c r="Q5" s="73">
        <f t="shared" si="0"/>
        <v>42167</v>
      </c>
      <c r="R5" s="73">
        <f t="shared" si="0"/>
        <v>42168</v>
      </c>
      <c r="S5" s="73">
        <f t="shared" si="0"/>
        <v>42169</v>
      </c>
      <c r="T5" s="73">
        <f t="shared" si="0"/>
        <v>42170</v>
      </c>
      <c r="U5" s="73">
        <f t="shared" si="0"/>
        <v>42171</v>
      </c>
      <c r="V5" s="73">
        <f t="shared" si="0"/>
        <v>42172</v>
      </c>
      <c r="W5" s="73">
        <f t="shared" si="0"/>
        <v>42173</v>
      </c>
      <c r="X5" s="73">
        <f t="shared" si="0"/>
        <v>42174</v>
      </c>
      <c r="Y5" s="73">
        <f t="shared" si="0"/>
        <v>42175</v>
      </c>
      <c r="Z5" s="73">
        <f t="shared" si="0"/>
        <v>42176</v>
      </c>
      <c r="AA5" s="73">
        <f t="shared" si="0"/>
        <v>42177</v>
      </c>
      <c r="AB5" s="73">
        <f t="shared" si="0"/>
        <v>42178</v>
      </c>
      <c r="AC5" s="73">
        <f t="shared" si="0"/>
        <v>42179</v>
      </c>
      <c r="AD5" s="73">
        <f t="shared" si="0"/>
        <v>42180</v>
      </c>
      <c r="AE5" s="73">
        <f t="shared" si="0"/>
        <v>42181</v>
      </c>
      <c r="AF5" s="73">
        <f t="shared" si="0"/>
        <v>42182</v>
      </c>
      <c r="AG5" s="73">
        <f t="shared" si="0"/>
        <v>42183</v>
      </c>
      <c r="AH5" s="73">
        <f>AG5+1</f>
        <v>42184</v>
      </c>
      <c r="AI5" s="73">
        <f t="shared" si="0"/>
        <v>42185</v>
      </c>
      <c r="AJ5" s="73">
        <f t="shared" si="0"/>
        <v>42186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/>
      <c r="AK9" s="229">
        <f>((SUM(F9:AJ9))/8)-(SUMIF($F$6:$AJ$6,"C.Nhật",F9:AJ9)/8)</f>
        <v>26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26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>
        <v>8</v>
      </c>
      <c r="AI11" s="87">
        <v>8</v>
      </c>
      <c r="AJ11" s="87"/>
      <c r="AK11" s="229">
        <f>((SUM(F11:AJ11))/8)-(SUMIF($F$6:$AJ$6,"C.Nhật",F11:AJ11)/8)</f>
        <v>26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26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>
        <v>8</v>
      </c>
      <c r="AI13" s="87">
        <v>8</v>
      </c>
      <c r="AJ13" s="87"/>
      <c r="AK13" s="229">
        <f>((SUM(F13:AJ13))/8)-(SUMIF($F$6:$AJ$6,"C.Nhật",F13:AJ13)/8)</f>
        <v>26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26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/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/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/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/>
      <c r="AH15" s="87">
        <v>8</v>
      </c>
      <c r="AI15" s="87">
        <v>8</v>
      </c>
      <c r="AJ15" s="87"/>
      <c r="AK15" s="229">
        <f>((SUM(F15:AJ15))/8)-(SUMIF($F$6:$AJ$6,"C.Nhật",F15:AJ15)/8)</f>
        <v>26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26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/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/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/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/>
      <c r="AH18" s="87">
        <v>8</v>
      </c>
      <c r="AI18" s="87">
        <v>8</v>
      </c>
      <c r="AJ18" s="87"/>
      <c r="AK18" s="229">
        <f t="shared" ref="AK18" si="2">((SUM(F18:AJ18))/8)-(SUMIF($F$6:$AJ$6,"C.Nhật",F18:AJ18)/8)</f>
        <v>26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>SUM(AK18:AM19)</f>
        <v>26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</mergeCells>
  <conditionalFormatting sqref="F5:AJ6 F9:AJ10 F11:AI14">
    <cfRule type="expression" dxfId="70" priority="26" stopIfTrue="1">
      <formula>IF(WEEKDAY(F$5)=1,TRUE,FALSE)</formula>
    </cfRule>
  </conditionalFormatting>
  <conditionalFormatting sqref="F9:AJ10 F11:AI14">
    <cfRule type="expression" dxfId="69" priority="25" stopIfTrue="1">
      <formula>IF(WEEKDAY(F$5)=1,TRUE,FALSE)</formula>
    </cfRule>
  </conditionalFormatting>
  <conditionalFormatting sqref="AJ18:AJ19">
    <cfRule type="expression" dxfId="68" priority="24" stopIfTrue="1">
      <formula>IF(WEEKDAY(AJ$5)=1,TRUE,FALSE)</formula>
    </cfRule>
  </conditionalFormatting>
  <conditionalFormatting sqref="AJ18:AJ19">
    <cfRule type="expression" dxfId="67" priority="23" stopIfTrue="1">
      <formula>IF(WEEKDAY(AJ$5)=1,TRUE,FALSE)</formula>
    </cfRule>
  </conditionalFormatting>
  <conditionalFormatting sqref="AJ11:AJ12">
    <cfRule type="expression" dxfId="66" priority="10" stopIfTrue="1">
      <formula>IF(WEEKDAY(AJ$5)=1,TRUE,FALSE)</formula>
    </cfRule>
  </conditionalFormatting>
  <conditionalFormatting sqref="AJ11:AJ12">
    <cfRule type="expression" dxfId="65" priority="9" stopIfTrue="1">
      <formula>IF(WEEKDAY(AJ$5)=1,TRUE,FALSE)</formula>
    </cfRule>
  </conditionalFormatting>
  <conditionalFormatting sqref="AJ13:AJ14">
    <cfRule type="expression" dxfId="64" priority="8" stopIfTrue="1">
      <formula>IF(WEEKDAY(AJ$5)=1,TRUE,FALSE)</formula>
    </cfRule>
  </conditionalFormatting>
  <conditionalFormatting sqref="AJ13:AJ14">
    <cfRule type="expression" dxfId="63" priority="7" stopIfTrue="1">
      <formula>IF(WEEKDAY(AJ$5)=1,TRUE,FALSE)</formula>
    </cfRule>
  </conditionalFormatting>
  <conditionalFormatting sqref="F18:AI19">
    <cfRule type="expression" dxfId="62" priority="6" stopIfTrue="1">
      <formula>IF(WEEKDAY(F$5)=1,TRUE,FALSE)</formula>
    </cfRule>
  </conditionalFormatting>
  <conditionalFormatting sqref="F18:AI19">
    <cfRule type="expression" dxfId="61" priority="5" stopIfTrue="1">
      <formula>IF(WEEKDAY(F$5)=1,TRUE,FALSE)</formula>
    </cfRule>
  </conditionalFormatting>
  <conditionalFormatting sqref="F15:AI16">
    <cfRule type="expression" dxfId="60" priority="4" stopIfTrue="1">
      <formula>IF(WEEKDAY(F$5)=1,TRUE,FALSE)</formula>
    </cfRule>
  </conditionalFormatting>
  <conditionalFormatting sqref="F15:AI16">
    <cfRule type="expression" dxfId="59" priority="3" stopIfTrue="1">
      <formula>IF(WEEKDAY(F$5)=1,TRUE,FALSE)</formula>
    </cfRule>
  </conditionalFormatting>
  <conditionalFormatting sqref="AJ15:AJ16">
    <cfRule type="expression" dxfId="58" priority="2" stopIfTrue="1">
      <formula>IF(WEEKDAY(AJ$5)=1,TRUE,FALSE)</formula>
    </cfRule>
  </conditionalFormatting>
  <conditionalFormatting sqref="AJ15:AJ16">
    <cfRule type="expression" dxfId="57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F14" sqref="F14"/>
    </sheetView>
  </sheetViews>
  <sheetFormatPr defaultRowHeight="11.25"/>
  <cols>
    <col min="1" max="1" width="4.28515625" style="183" customWidth="1"/>
    <col min="2" max="2" width="8.42578125" style="183" customWidth="1"/>
    <col min="3" max="3" width="24.57031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06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-6'!$AK$9:$AK$19)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-6'!$E$4</f>
        <v>42156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-6'!$B$8:$AS$19,36,0)</f>
        <v>26</v>
      </c>
      <c r="G10" s="146">
        <f t="shared" ref="G10" si="2">ROUND(E10/$U$2*F10,0)</f>
        <v>2600000</v>
      </c>
      <c r="H10" s="145">
        <f>(VLOOKUP(B10,'CC -6'!$B$8:$AS$19,37,0)+VLOOKUP(B10,'CC -6'!$B$8:$AS$19,38,0))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2600000</v>
      </c>
      <c r="L10" s="144">
        <f>ROUND(F10*20000,0)</f>
        <v>520000</v>
      </c>
      <c r="M10" s="149">
        <f t="shared" ref="M10" si="5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3120000</v>
      </c>
      <c r="R10" s="148">
        <f>VLOOKUP(B10,DS,23,0)</f>
        <v>0</v>
      </c>
      <c r="S10" s="150">
        <f t="shared" ref="S10" si="7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8">VLOOKUP(B11,DS,2,0)</f>
        <v>Mai Thị Hường</v>
      </c>
      <c r="D11" s="143" t="str">
        <f t="shared" ref="D11:D13" si="9">VLOOKUP(B11,DS,3,0)</f>
        <v>Kế Toán</v>
      </c>
      <c r="E11" s="144">
        <f>VLOOKUP(B11,DS,4,0)</f>
        <v>2500000</v>
      </c>
      <c r="F11" s="145">
        <f>VLOOKUP(B11,'CC -6'!$B$8:$AS$19,36,0)</f>
        <v>26</v>
      </c>
      <c r="G11" s="146">
        <f t="shared" ref="G11:G13" si="10">ROUND(E11/$U$2*F11,0)</f>
        <v>2500000</v>
      </c>
      <c r="H11" s="145">
        <f>(VLOOKUP(B11,'CC -6'!$B$8:$AS$19,37,0)+VLOOKUP(B11,'CC -6'!$B$8:$AS$19,38,0))</f>
        <v>0</v>
      </c>
      <c r="I11" s="146">
        <f t="shared" ref="I11:I13" si="11">ROUND(E11/$U$2*H11,0)</f>
        <v>0</v>
      </c>
      <c r="J11" s="147">
        <f t="shared" ref="J11:J13" si="12">F11+H11</f>
        <v>26</v>
      </c>
      <c r="K11" s="148">
        <f t="shared" ref="K11:K13" si="13">G11+I11</f>
        <v>2500000</v>
      </c>
      <c r="L11" s="144">
        <f t="shared" ref="L11:L13" si="14">ROUND(F11*20000,0)</f>
        <v>520000</v>
      </c>
      <c r="M11" s="149">
        <f t="shared" ref="M11:M13" si="15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6">M11-SUM(N11:P11)</f>
        <v>3020000</v>
      </c>
      <c r="R11" s="148">
        <f>VLOOKUP(B11,DS,23,0)</f>
        <v>0</v>
      </c>
      <c r="S11" s="150">
        <f t="shared" ref="S11:S13" si="17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-6'!$B$8:$AS$19,36,0)</f>
        <v>26</v>
      </c>
      <c r="G12" s="146">
        <f t="shared" si="10"/>
        <v>2000000</v>
      </c>
      <c r="H12" s="145">
        <f>(VLOOKUP(B12,'CC -6'!$B$8:$AS$19,37,0)+VLOOKUP(B12,'CC -6'!$B$8:$AS$19,38,0))</f>
        <v>0</v>
      </c>
      <c r="I12" s="146">
        <f t="shared" si="11"/>
        <v>0</v>
      </c>
      <c r="J12" s="147">
        <f t="shared" si="12"/>
        <v>26</v>
      </c>
      <c r="K12" s="148">
        <f t="shared" si="13"/>
        <v>2000000</v>
      </c>
      <c r="L12" s="144">
        <f t="shared" si="14"/>
        <v>520000</v>
      </c>
      <c r="M12" s="149">
        <f t="shared" si="15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2520000</v>
      </c>
      <c r="R12" s="148">
        <f>VLOOKUP(B12,DS,23,0)</f>
        <v>0</v>
      </c>
      <c r="S12" s="150">
        <f t="shared" si="17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8"/>
        <v>Huỳnh Đoàn Viết Thanh</v>
      </c>
      <c r="D13" s="143" t="str">
        <f t="shared" si="9"/>
        <v>Tài xế</v>
      </c>
      <c r="E13" s="144">
        <f>VLOOKUP(B13,DS,4,0)</f>
        <v>2500000</v>
      </c>
      <c r="F13" s="145">
        <f>VLOOKUP(B13,'CC -6'!$B$8:$AS$19,36,0)</f>
        <v>26</v>
      </c>
      <c r="G13" s="146">
        <f t="shared" si="10"/>
        <v>2500000</v>
      </c>
      <c r="H13" s="145">
        <f>(VLOOKUP(B13,'CC -6'!$B$8:$AS$19,37,0)+VLOOKUP(B13,'CC -6'!$B$8:$AS$19,38,0))</f>
        <v>0</v>
      </c>
      <c r="I13" s="146">
        <f t="shared" si="11"/>
        <v>0</v>
      </c>
      <c r="J13" s="147">
        <f t="shared" si="12"/>
        <v>26</v>
      </c>
      <c r="K13" s="148">
        <f t="shared" si="13"/>
        <v>2500000</v>
      </c>
      <c r="L13" s="144">
        <f t="shared" si="14"/>
        <v>520000</v>
      </c>
      <c r="M13" s="149">
        <f t="shared" si="15"/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6"/>
        <v>3020000</v>
      </c>
      <c r="R13" s="148">
        <f>VLOOKUP(B13,DS,23,0)</f>
        <v>0</v>
      </c>
      <c r="S13" s="150">
        <f t="shared" si="17"/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8">SUM(K9:K10)</f>
        <v>2600000</v>
      </c>
      <c r="L15" s="163">
        <f t="shared" si="18"/>
        <v>520000</v>
      </c>
      <c r="M15" s="163">
        <f t="shared" si="18"/>
        <v>3120000</v>
      </c>
      <c r="N15" s="163">
        <f t="shared" si="18"/>
        <v>0</v>
      </c>
      <c r="O15" s="163">
        <f t="shared" si="18"/>
        <v>0</v>
      </c>
      <c r="P15" s="163">
        <f t="shared" si="18"/>
        <v>0</v>
      </c>
      <c r="Q15" s="163">
        <f t="shared" si="18"/>
        <v>3120000</v>
      </c>
      <c r="R15" s="163">
        <f t="shared" si="18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19">VLOOKUP(B17,DS,2,0)</f>
        <v>Nguyễn Thị Thanh Thúy</v>
      </c>
      <c r="D17" s="143" t="str">
        <f t="shared" ref="D17" si="20">VLOOKUP(B17,DS,3,0)</f>
        <v>Công nhân</v>
      </c>
      <c r="E17" s="144">
        <f t="shared" ref="E17" si="21">VLOOKUP(B17,DS,4,0)</f>
        <v>2500000</v>
      </c>
      <c r="F17" s="145">
        <f>VLOOKUP(B17,'CC -6'!$B$8:$AS$19,36,0)</f>
        <v>26</v>
      </c>
      <c r="G17" s="146">
        <f t="shared" ref="G17" si="22">ROUND(E17/$U$2*F17,0)</f>
        <v>2500000</v>
      </c>
      <c r="H17" s="145">
        <f>(VLOOKUP(B17,'CC -6'!$B$8:$AS$19,37,0)+VLOOKUP(B17,'CC -6'!$B$8:$AS$19,38,0))</f>
        <v>0</v>
      </c>
      <c r="I17" s="146">
        <f t="shared" ref="I17" si="23">ROUND(E17/$U$2*H17,0)</f>
        <v>0</v>
      </c>
      <c r="J17" s="167">
        <f t="shared" ref="J17:K17" si="24">F17+H17</f>
        <v>26</v>
      </c>
      <c r="K17" s="148">
        <f t="shared" si="24"/>
        <v>2500000</v>
      </c>
      <c r="L17" s="144">
        <f t="shared" ref="L17" si="25">ROUND(F17*20000,0)</f>
        <v>520000</v>
      </c>
      <c r="M17" s="149">
        <f t="shared" ref="M17" si="26">K17+L17</f>
        <v>3020000</v>
      </c>
      <c r="N17" s="149">
        <f>IF(VLOOKUP(B17,DS,9,0)="x",'L - 6'!E17*$N$4,0)</f>
        <v>0</v>
      </c>
      <c r="O17" s="149">
        <f t="shared" ref="O17" si="27">IF(VLOOKUP(B17,DS,9,0)="x",E17*0.015,0)</f>
        <v>0</v>
      </c>
      <c r="P17" s="149">
        <f t="shared" ref="P17" si="28">IF(VLOOKUP(B17,DS,9,0)="x",E17*0.01,0)</f>
        <v>0</v>
      </c>
      <c r="Q17" s="148">
        <f>M17-SUM(N17:P17)</f>
        <v>3020000</v>
      </c>
      <c r="R17" s="148">
        <f t="shared" ref="R17" si="29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0">SUM(K16:K18)</f>
        <v>2500000</v>
      </c>
      <c r="L19" s="163">
        <f t="shared" si="30"/>
        <v>520000</v>
      </c>
      <c r="M19" s="163">
        <f t="shared" si="30"/>
        <v>3020000</v>
      </c>
      <c r="N19" s="163">
        <f t="shared" si="30"/>
        <v>0</v>
      </c>
      <c r="O19" s="163">
        <f t="shared" si="30"/>
        <v>0</v>
      </c>
      <c r="P19" s="163">
        <f t="shared" si="30"/>
        <v>0</v>
      </c>
      <c r="Q19" s="163">
        <f t="shared" si="30"/>
        <v>3020000</v>
      </c>
      <c r="R19" s="163">
        <f t="shared" si="30"/>
        <v>0</v>
      </c>
      <c r="S19" s="163">
        <f t="shared" si="30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6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140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855468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42186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42186</v>
      </c>
      <c r="G5" s="73">
        <f t="shared" ref="G5:AJ5" si="0">F5+1</f>
        <v>42187</v>
      </c>
      <c r="H5" s="73">
        <f t="shared" si="0"/>
        <v>42188</v>
      </c>
      <c r="I5" s="73">
        <f t="shared" si="0"/>
        <v>42189</v>
      </c>
      <c r="J5" s="73">
        <f t="shared" si="0"/>
        <v>42190</v>
      </c>
      <c r="K5" s="73">
        <f t="shared" si="0"/>
        <v>42191</v>
      </c>
      <c r="L5" s="73">
        <f t="shared" si="0"/>
        <v>42192</v>
      </c>
      <c r="M5" s="73">
        <f t="shared" si="0"/>
        <v>42193</v>
      </c>
      <c r="N5" s="73">
        <f t="shared" si="0"/>
        <v>42194</v>
      </c>
      <c r="O5" s="73">
        <f t="shared" si="0"/>
        <v>42195</v>
      </c>
      <c r="P5" s="73">
        <f t="shared" si="0"/>
        <v>42196</v>
      </c>
      <c r="Q5" s="73">
        <f t="shared" si="0"/>
        <v>42197</v>
      </c>
      <c r="R5" s="73">
        <f t="shared" si="0"/>
        <v>42198</v>
      </c>
      <c r="S5" s="73">
        <f t="shared" si="0"/>
        <v>42199</v>
      </c>
      <c r="T5" s="73">
        <f t="shared" si="0"/>
        <v>42200</v>
      </c>
      <c r="U5" s="73">
        <f t="shared" si="0"/>
        <v>42201</v>
      </c>
      <c r="V5" s="73">
        <f t="shared" si="0"/>
        <v>42202</v>
      </c>
      <c r="W5" s="73">
        <f t="shared" si="0"/>
        <v>42203</v>
      </c>
      <c r="X5" s="73">
        <f t="shared" si="0"/>
        <v>42204</v>
      </c>
      <c r="Y5" s="73">
        <f t="shared" si="0"/>
        <v>42205</v>
      </c>
      <c r="Z5" s="73">
        <f t="shared" si="0"/>
        <v>42206</v>
      </c>
      <c r="AA5" s="73">
        <f t="shared" si="0"/>
        <v>42207</v>
      </c>
      <c r="AB5" s="73">
        <f t="shared" si="0"/>
        <v>42208</v>
      </c>
      <c r="AC5" s="73">
        <f t="shared" si="0"/>
        <v>42209</v>
      </c>
      <c r="AD5" s="73">
        <f t="shared" si="0"/>
        <v>42210</v>
      </c>
      <c r="AE5" s="73">
        <f t="shared" si="0"/>
        <v>42211</v>
      </c>
      <c r="AF5" s="73">
        <f t="shared" si="0"/>
        <v>42212</v>
      </c>
      <c r="AG5" s="73">
        <f t="shared" si="0"/>
        <v>42213</v>
      </c>
      <c r="AH5" s="73">
        <f>AG5+1</f>
        <v>42214</v>
      </c>
      <c r="AI5" s="73">
        <f t="shared" si="0"/>
        <v>42215</v>
      </c>
      <c r="AJ5" s="73">
        <f t="shared" si="0"/>
        <v>42216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9">
        <f>((SUM(F9:AJ9))/8)-(SUMIF($F$6:$AJ$6,"C.Nhật",F9:AJ9)/8)</f>
        <v>27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27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9">
        <f>((SUM(F11:AJ11))/8)-(SUMIF($F$6:$AJ$6,"C.Nhật",F11:AJ11)/8)</f>
        <v>27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27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9">
        <f>((SUM(F13:AJ13))/8)-(SUMIF($F$6:$AJ$6,"C.Nhật",F13:AJ13)/8)</f>
        <v>27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27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9">
        <f>((SUM(F15:AJ15))/8)-(SUMIF($F$6:$AJ$6,"C.Nhật",F15:AJ15)/8)</f>
        <v>27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27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9">
        <f t="shared" ref="AK18" si="2">((SUM(F18:AJ18))/8)-(SUMIF($F$6:$AJ$6,"C.Nhật",F18:AJ18)/8)</f>
        <v>27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27</v>
      </c>
      <c r="AO18" s="233">
        <v>0</v>
      </c>
      <c r="AP18" s="219"/>
      <c r="AQ18" s="219"/>
      <c r="AR18" s="219"/>
      <c r="AS18" s="221"/>
      <c r="AT18" s="1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1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5:AS16"/>
    <mergeCell ref="A15:A16"/>
    <mergeCell ref="B15:B16"/>
    <mergeCell ref="C15:C16"/>
    <mergeCell ref="D15:D16"/>
    <mergeCell ref="AK15:AK16"/>
    <mergeCell ref="AP15:AP16"/>
    <mergeCell ref="AQ15:AQ16"/>
    <mergeCell ref="AR15:AR16"/>
    <mergeCell ref="AS18:AS19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L18:AL19"/>
    <mergeCell ref="AM18:AM19"/>
    <mergeCell ref="AN18:AN19"/>
    <mergeCell ref="AO18:AO1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L11:AL12"/>
    <mergeCell ref="AM11:AM12"/>
    <mergeCell ref="AN11:AN12"/>
    <mergeCell ref="AO11:AO12"/>
    <mergeCell ref="AL15:AL16"/>
    <mergeCell ref="AM15:AM16"/>
    <mergeCell ref="AN15:AN16"/>
    <mergeCell ref="AO15:AO16"/>
    <mergeCell ref="AL13:AL14"/>
    <mergeCell ref="AM13:AM14"/>
    <mergeCell ref="AN13:AN14"/>
    <mergeCell ref="AO13:AO14"/>
    <mergeCell ref="A11:A12"/>
    <mergeCell ref="B11:B12"/>
    <mergeCell ref="C11:C12"/>
    <mergeCell ref="D11:D12"/>
    <mergeCell ref="AK11:AK12"/>
    <mergeCell ref="A13:A14"/>
    <mergeCell ref="B13:B14"/>
    <mergeCell ref="C13:C14"/>
    <mergeCell ref="D13:D14"/>
    <mergeCell ref="AK13:AK14"/>
    <mergeCell ref="AS13:AS14"/>
    <mergeCell ref="AP11:AP12"/>
    <mergeCell ref="AQ11:AQ12"/>
    <mergeCell ref="AR11:AR12"/>
    <mergeCell ref="AS11:AS12"/>
    <mergeCell ref="AQ13:AQ14"/>
    <mergeCell ref="AR13:AR14"/>
    <mergeCell ref="AP13:AP14"/>
  </mergeCells>
  <conditionalFormatting sqref="F5:AJ6 F9:AJ14">
    <cfRule type="expression" dxfId="56" priority="15" stopIfTrue="1">
      <formula>IF(WEEKDAY(F$5)=1,TRUE,FALSE)</formula>
    </cfRule>
  </conditionalFormatting>
  <conditionalFormatting sqref="F9:AJ14">
    <cfRule type="expression" dxfId="55" priority="14" stopIfTrue="1">
      <formula>IF(WEEKDAY(F$5)=1,TRUE,FALSE)</formula>
    </cfRule>
  </conditionalFormatting>
  <conditionalFormatting sqref="F18:AJ19">
    <cfRule type="expression" dxfId="54" priority="4" stopIfTrue="1">
      <formula>IF(WEEKDAY(F$5)=1,TRUE,FALSE)</formula>
    </cfRule>
  </conditionalFormatting>
  <conditionalFormatting sqref="F18:AJ19">
    <cfRule type="expression" dxfId="53" priority="3" stopIfTrue="1">
      <formula>IF(WEEKDAY(F$5)=1,TRUE,FALSE)</formula>
    </cfRule>
  </conditionalFormatting>
  <conditionalFormatting sqref="F15:AJ16">
    <cfRule type="expression" dxfId="52" priority="2" stopIfTrue="1">
      <formula>IF(WEEKDAY(F$5)=1,TRUE,FALSE)</formula>
    </cfRule>
  </conditionalFormatting>
  <conditionalFormatting sqref="F15:AJ16">
    <cfRule type="expression" dxfId="5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F14" sqref="F14"/>
    </sheetView>
  </sheetViews>
  <sheetFormatPr defaultRowHeight="11.25"/>
  <cols>
    <col min="1" max="1" width="4.28515625" style="183" customWidth="1"/>
    <col min="2" max="2" width="8.42578125" style="183" customWidth="1"/>
    <col min="3" max="3" width="24.57031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07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-7'!$AK$9:$AK$19)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-7'!$E$4</f>
        <v>42186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-7'!$B$8:$AS$19,36,0)</f>
        <v>27</v>
      </c>
      <c r="G10" s="146">
        <f t="shared" ref="G10" si="2">ROUND(E10/$U$2*F10,0)</f>
        <v>2600000</v>
      </c>
      <c r="H10" s="145">
        <f>(VLOOKUP(B10,'CC -7'!$B$8:$AS$19,37,0)+VLOOKUP(B10,'CC -7'!$B$8:$AS$19,38,0))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:L12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-7'!$B$8:$AS$19,36,0)</f>
        <v>27</v>
      </c>
      <c r="G11" s="146">
        <f t="shared" ref="G11:G12" si="11">ROUND(E11/$U$2*F11,0)</f>
        <v>2500000</v>
      </c>
      <c r="H11" s="145">
        <f>(VLOOKUP(B11,'CC -7'!$B$8:$AS$19,37,0)+VLOOKUP(B11,'CC -7'!$B$8:$AS$19,38,0))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2500000</v>
      </c>
      <c r="L11" s="144">
        <f t="shared" si="5"/>
        <v>540000</v>
      </c>
      <c r="M11" s="149">
        <f t="shared" ref="M11:M12" si="15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3040000</v>
      </c>
      <c r="R11" s="148">
        <f>VLOOKUP(B11,DS,23,0)</f>
        <v>0</v>
      </c>
      <c r="S11" s="150">
        <f t="shared" ref="S11:S12" si="17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-7'!$B$8:$AS$19,36,0)</f>
        <v>27</v>
      </c>
      <c r="G12" s="146">
        <f t="shared" si="11"/>
        <v>2000000</v>
      </c>
      <c r="H12" s="145">
        <f>(VLOOKUP(B12,'CC -7'!$B$8:$AS$19,37,0)+VLOOKUP(B12,'CC -7'!$B$8:$AS$19,38,0))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5"/>
        <v>540000</v>
      </c>
      <c r="M12" s="149">
        <f t="shared" si="15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2540000</v>
      </c>
      <c r="R12" s="148">
        <f>VLOOKUP(B12,DS,23,0)</f>
        <v>0</v>
      </c>
      <c r="S12" s="150">
        <f t="shared" si="17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-7'!$B$8:$AS$19,36,0)</f>
        <v>27</v>
      </c>
      <c r="G13" s="146">
        <f t="shared" ref="G13" si="20">ROUND(E13/$U$2*F13,0)</f>
        <v>2500000</v>
      </c>
      <c r="H13" s="145">
        <f>(VLOOKUP(B13,'CC -7'!$B$8:$AS$19,37,0)+VLOOKUP(B13,'CC -7'!$B$8:$AS$19,38,0))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2500000</v>
      </c>
      <c r="L13" s="144">
        <f t="shared" ref="L13" si="24">ROUND(F13*20000,0)</f>
        <v>540000</v>
      </c>
      <c r="M13" s="149">
        <f t="shared" ref="M13" si="25">K13+L13</f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3040000</v>
      </c>
      <c r="R13" s="148">
        <f>VLOOKUP(B13,DS,23,0)</f>
        <v>0</v>
      </c>
      <c r="S13" s="150">
        <f t="shared" ref="S13" si="27">Q13-R13</f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540000</v>
      </c>
      <c r="M15" s="163">
        <f t="shared" si="28"/>
        <v>3140000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3140000</v>
      </c>
      <c r="R15" s="163">
        <f t="shared" si="28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37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-7'!$B$8:$AS$19,36,0)</f>
        <v>27</v>
      </c>
      <c r="G17" s="146">
        <f t="shared" ref="G17" si="32">ROUND(E17/$U$2*F17,0)</f>
        <v>2500000</v>
      </c>
      <c r="H17" s="145">
        <f>(VLOOKUP(B17,'CC -7'!$B$8:$AS$19,37,0)+VLOOKUP(B17,'CC -7'!$B$8:$AS$19,38,0))</f>
        <v>0</v>
      </c>
      <c r="I17" s="146">
        <f t="shared" ref="I17" si="33">ROUND(E17/$U$2*H17,0)</f>
        <v>0</v>
      </c>
      <c r="J17" s="167">
        <f t="shared" ref="J17" si="34">F17+H17</f>
        <v>27</v>
      </c>
      <c r="K17" s="148">
        <f t="shared" ref="K17" si="35">G17+I17</f>
        <v>2500000</v>
      </c>
      <c r="L17" s="144">
        <f t="shared" ref="L17" si="36">ROUND(F17*20000,0)</f>
        <v>540000</v>
      </c>
      <c r="M17" s="149">
        <f t="shared" ref="M17" si="37">K17+L17</f>
        <v>3040000</v>
      </c>
      <c r="N17" s="149">
        <f>IF(VLOOKUP(B17,DS,9,0)="x",'L - 7'!E17*$N$4,0)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 t="shared" ref="Q17" si="40">M17-SUM(N17:P17)</f>
        <v>3040000</v>
      </c>
      <c r="R17" s="148">
        <f t="shared" ref="R17" si="41">VLOOKUP(B17,DS,23,0)</f>
        <v>0</v>
      </c>
      <c r="S17" s="150">
        <f t="shared" ref="S17" si="42">Q17-R17</f>
        <v>3040000</v>
      </c>
      <c r="T17" s="148"/>
      <c r="U17" s="197"/>
      <c r="V17" s="134"/>
      <c r="W17" s="135"/>
      <c r="X17" s="135"/>
      <c r="Y17" s="135"/>
      <c r="Z17" s="136"/>
      <c r="AA17" s="136"/>
      <c r="AB17" s="136"/>
      <c r="AC17" s="136"/>
      <c r="AD17" s="136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3">SUM(K16:K18)</f>
        <v>2500000</v>
      </c>
      <c r="L19" s="163">
        <f t="shared" si="43"/>
        <v>540000</v>
      </c>
      <c r="M19" s="163">
        <f t="shared" si="43"/>
        <v>3040000</v>
      </c>
      <c r="N19" s="163">
        <f t="shared" si="43"/>
        <v>0</v>
      </c>
      <c r="O19" s="163">
        <f t="shared" si="43"/>
        <v>0</v>
      </c>
      <c r="P19" s="163">
        <f t="shared" si="43"/>
        <v>0</v>
      </c>
      <c r="Q19" s="163">
        <f t="shared" si="43"/>
        <v>3040000</v>
      </c>
      <c r="R19" s="163">
        <f t="shared" si="43"/>
        <v>0</v>
      </c>
      <c r="S19" s="163">
        <f t="shared" si="4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7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:V17 Q5:T7 E5:I6 N5:P6 L5 L22 J6:K7 L7 A25:T58 U31:U58 N18:S18 V25:IJ58 J18:L18 AE16:IJ17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W16:AD17 U4:U30 W5:AD14" name="Range1_2"/>
    <protectedRange password="CC78" sqref="A1" name="Range1_2_1_1"/>
    <protectedRange password="CC78" sqref="I7" name="Range1_4_1"/>
    <protectedRange password="CC78" sqref="U2:U3" name="Range1_2_2_1"/>
    <protectedRange password="CC78" sqref="A17:B17 Q17:S17" name="Range1_5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140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1406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42217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42217</v>
      </c>
      <c r="G5" s="73">
        <f t="shared" ref="G5:AJ5" si="0">F5+1</f>
        <v>42218</v>
      </c>
      <c r="H5" s="73">
        <f t="shared" si="0"/>
        <v>42219</v>
      </c>
      <c r="I5" s="73">
        <f t="shared" si="0"/>
        <v>42220</v>
      </c>
      <c r="J5" s="73">
        <f t="shared" si="0"/>
        <v>42221</v>
      </c>
      <c r="K5" s="73">
        <f t="shared" si="0"/>
        <v>42222</v>
      </c>
      <c r="L5" s="73">
        <f t="shared" si="0"/>
        <v>42223</v>
      </c>
      <c r="M5" s="73">
        <f t="shared" si="0"/>
        <v>42224</v>
      </c>
      <c r="N5" s="73">
        <f t="shared" si="0"/>
        <v>42225</v>
      </c>
      <c r="O5" s="73">
        <f t="shared" si="0"/>
        <v>42226</v>
      </c>
      <c r="P5" s="73">
        <f t="shared" si="0"/>
        <v>42227</v>
      </c>
      <c r="Q5" s="73">
        <f t="shared" si="0"/>
        <v>42228</v>
      </c>
      <c r="R5" s="73">
        <f t="shared" si="0"/>
        <v>42229</v>
      </c>
      <c r="S5" s="73">
        <f t="shared" si="0"/>
        <v>42230</v>
      </c>
      <c r="T5" s="73">
        <f t="shared" si="0"/>
        <v>42231</v>
      </c>
      <c r="U5" s="73">
        <f t="shared" si="0"/>
        <v>42232</v>
      </c>
      <c r="V5" s="73">
        <f t="shared" si="0"/>
        <v>42233</v>
      </c>
      <c r="W5" s="73">
        <f t="shared" si="0"/>
        <v>42234</v>
      </c>
      <c r="X5" s="73">
        <f t="shared" si="0"/>
        <v>42235</v>
      </c>
      <c r="Y5" s="73">
        <f t="shared" si="0"/>
        <v>42236</v>
      </c>
      <c r="Z5" s="73">
        <f t="shared" si="0"/>
        <v>42237</v>
      </c>
      <c r="AA5" s="73">
        <f t="shared" si="0"/>
        <v>42238</v>
      </c>
      <c r="AB5" s="73">
        <f t="shared" si="0"/>
        <v>42239</v>
      </c>
      <c r="AC5" s="73">
        <f t="shared" si="0"/>
        <v>42240</v>
      </c>
      <c r="AD5" s="73">
        <f t="shared" si="0"/>
        <v>42241</v>
      </c>
      <c r="AE5" s="73">
        <f t="shared" si="0"/>
        <v>42242</v>
      </c>
      <c r="AF5" s="73">
        <f t="shared" si="0"/>
        <v>42243</v>
      </c>
      <c r="AG5" s="73">
        <f t="shared" si="0"/>
        <v>42244</v>
      </c>
      <c r="AH5" s="73">
        <f>AG5+1</f>
        <v>42245</v>
      </c>
      <c r="AI5" s="73">
        <f t="shared" si="0"/>
        <v>42246</v>
      </c>
      <c r="AJ5" s="73">
        <f t="shared" si="0"/>
        <v>42247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29">
        <f>((SUM(F9:AJ9))/8)-(SUMIF($F$6:$AJ$6,"C.Nhật",F9:AJ9)/8)</f>
        <v>26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26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/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/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/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>
        <v>8</v>
      </c>
      <c r="AK11" s="229">
        <f>((SUM(F11:AJ11))/8)-(SUMIF($F$6:$AJ$6,"C.Nhật",F11:AJ11)/8)</f>
        <v>26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26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/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/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/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>
        <v>8</v>
      </c>
      <c r="AK13" s="229">
        <f>((SUM(F13:AJ13))/8)-(SUMIF($F$6:$AJ$6,"C.Nhật",F13:AJ13)/8)</f>
        <v>26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26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/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/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/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/>
      <c r="AJ15" s="87">
        <v>8</v>
      </c>
      <c r="AK15" s="229">
        <f>((SUM(F15:AJ15))/8)-(SUMIF($F$6:$AJ$6,"C.Nhật",F15:AJ15)/8)</f>
        <v>26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26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/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/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/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/>
      <c r="AJ18" s="87">
        <v>8</v>
      </c>
      <c r="AK18" s="229">
        <f t="shared" ref="AK18" si="2">((SUM(F18:AJ18))/8)-(SUMIF($F$6:$AJ$6,"C.Nhật",F18:AJ18)/8)</f>
        <v>26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26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8:AJ19">
    <cfRule type="expression" dxfId="50" priority="13" stopIfTrue="1">
      <formula>IF(WEEKDAY(F$5)=1,TRUE,FALSE)</formula>
    </cfRule>
  </conditionalFormatting>
  <conditionalFormatting sqref="F9:AJ14">
    <cfRule type="expression" dxfId="49" priority="12" stopIfTrue="1">
      <formula>IF(WEEKDAY(F$5)=1,TRUE,FALSE)</formula>
    </cfRule>
  </conditionalFormatting>
  <conditionalFormatting sqref="F18:AJ19">
    <cfRule type="expression" dxfId="48" priority="3" stopIfTrue="1">
      <formula>IF(WEEKDAY(F$5)=1,TRUE,FALSE)</formula>
    </cfRule>
  </conditionalFormatting>
  <conditionalFormatting sqref="F15:AJ16">
    <cfRule type="expression" dxfId="47" priority="2" stopIfTrue="1">
      <formula>IF(WEEKDAY(F$5)=1,TRUE,FALSE)</formula>
    </cfRule>
  </conditionalFormatting>
  <conditionalFormatting sqref="F15:AJ16">
    <cfRule type="expression" dxfId="4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4.710937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08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-8'!$AK$9:$AK$19)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-8'!$E$4</f>
        <v>42217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-8'!$B$8:$AS$19,36,0)</f>
        <v>26</v>
      </c>
      <c r="G10" s="146">
        <f t="shared" ref="G10" si="2">ROUND(E10/$U$2*F10,0)</f>
        <v>2600000</v>
      </c>
      <c r="H10" s="145">
        <f>(VLOOKUP(B10,'CC -8'!$B$8:$AS$19,37,0)+VLOOKUP(B10,'CC -8'!$B$8:$AS$19,38,0))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2600000</v>
      </c>
      <c r="L10" s="144">
        <f t="shared" ref="L10" si="5">ROUND(F10*20000,0)</f>
        <v>520000</v>
      </c>
      <c r="M10" s="149">
        <f t="shared" ref="M10" si="6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3120000</v>
      </c>
      <c r="R10" s="148">
        <f>VLOOKUP(B10,DS,23,0)</f>
        <v>0</v>
      </c>
      <c r="S10" s="150">
        <f t="shared" ref="S10" si="8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2500000</v>
      </c>
      <c r="F11" s="145">
        <f>VLOOKUP(B11,'CC -8'!$B$8:$AS$19,36,0)</f>
        <v>26</v>
      </c>
      <c r="G11" s="146">
        <f t="shared" ref="G11:G13" si="11">ROUND(E11/$U$2*F11,0)</f>
        <v>2500000</v>
      </c>
      <c r="H11" s="145">
        <f>(VLOOKUP(B11,'CC -8'!$B$8:$AS$19,37,0)+VLOOKUP(B11,'CC -8'!$B$8:$AS$19,38,0))</f>
        <v>0</v>
      </c>
      <c r="I11" s="146">
        <f t="shared" ref="I11:I13" si="12">ROUND(E11/$U$2*H11,0)</f>
        <v>0</v>
      </c>
      <c r="J11" s="147">
        <f t="shared" ref="J11:J13" si="13">F11+H11</f>
        <v>26</v>
      </c>
      <c r="K11" s="148">
        <f t="shared" ref="K11:K13" si="14">G11+I11</f>
        <v>2500000</v>
      </c>
      <c r="L11" s="144">
        <f t="shared" ref="L11:L13" si="15">ROUND(F11*20000,0)</f>
        <v>520000</v>
      </c>
      <c r="M11" s="149">
        <f t="shared" ref="M11:M13" si="16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3020000</v>
      </c>
      <c r="R11" s="148">
        <f>VLOOKUP(B11,DS,23,0)</f>
        <v>0</v>
      </c>
      <c r="S11" s="150">
        <f t="shared" ref="S11:S13" si="18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-8'!$B$8:$AS$19,36,0)</f>
        <v>26</v>
      </c>
      <c r="G12" s="146">
        <f t="shared" si="11"/>
        <v>2000000</v>
      </c>
      <c r="H12" s="145">
        <f>(VLOOKUP(B12,'CC -8'!$B$8:$AS$19,37,0)+VLOOKUP(B12,'CC -8'!$B$8:$AS$19,38,0))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2000000</v>
      </c>
      <c r="L12" s="144">
        <f t="shared" si="15"/>
        <v>520000</v>
      </c>
      <c r="M12" s="149">
        <f t="shared" si="16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2520000</v>
      </c>
      <c r="R12" s="148">
        <f>VLOOKUP(B12,DS,23,0)</f>
        <v>0</v>
      </c>
      <c r="S12" s="150">
        <f t="shared" si="18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2500000</v>
      </c>
      <c r="F13" s="145">
        <f>VLOOKUP(B13,'CC -8'!$B$8:$AS$19,36,0)</f>
        <v>26</v>
      </c>
      <c r="G13" s="146">
        <f t="shared" si="11"/>
        <v>2500000</v>
      </c>
      <c r="H13" s="145">
        <f>(VLOOKUP(B13,'CC -8'!$B$8:$AS$19,37,0)+VLOOKUP(B13,'CC -8'!$B$8:$AS$19,38,0))</f>
        <v>0</v>
      </c>
      <c r="I13" s="146">
        <f t="shared" si="12"/>
        <v>0</v>
      </c>
      <c r="J13" s="147">
        <f t="shared" si="13"/>
        <v>26</v>
      </c>
      <c r="K13" s="148">
        <f t="shared" si="14"/>
        <v>2500000</v>
      </c>
      <c r="L13" s="144">
        <f t="shared" si="15"/>
        <v>520000</v>
      </c>
      <c r="M13" s="149">
        <f t="shared" si="16"/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3020000</v>
      </c>
      <c r="R13" s="148">
        <f>VLOOKUP(B13,DS,23,0)</f>
        <v>0</v>
      </c>
      <c r="S13" s="150">
        <f t="shared" si="18"/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9">SUM(K9:K10)</f>
        <v>2600000</v>
      </c>
      <c r="L15" s="163">
        <f t="shared" si="19"/>
        <v>520000</v>
      </c>
      <c r="M15" s="163">
        <f t="shared" si="19"/>
        <v>3120000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3120000</v>
      </c>
      <c r="R15" s="163">
        <f t="shared" si="19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-8'!$B$8:$AS$19,36,0)</f>
        <v>26</v>
      </c>
      <c r="G17" s="146">
        <f t="shared" ref="G17" si="23">ROUND(E17/$U$2*F17,0)</f>
        <v>2500000</v>
      </c>
      <c r="H17" s="145">
        <f>(VLOOKUP(B17,'CC -8'!$B$8:$AS$19,37,0)+VLOOKUP(B17,'CC -8'!$B$8:$AS$19,38,0))</f>
        <v>0</v>
      </c>
      <c r="I17" s="146">
        <f t="shared" ref="I17" si="24">ROUND(E17/$U$2*H17,0)</f>
        <v>0</v>
      </c>
      <c r="J17" s="167">
        <f t="shared" ref="J17:K17" si="25">F17+H17</f>
        <v>26</v>
      </c>
      <c r="K17" s="148">
        <f t="shared" si="25"/>
        <v>2500000</v>
      </c>
      <c r="L17" s="144">
        <f t="shared" ref="L17" si="26">ROUND(F17*20000,0)</f>
        <v>520000</v>
      </c>
      <c r="M17" s="149">
        <f t="shared" ref="M17" si="27">K17+L17</f>
        <v>3020000</v>
      </c>
      <c r="N17" s="149">
        <f>IF(VLOOKUP(B17,DS,9,0)="x",'L - 8'!E17*$N$4,0)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3020000</v>
      </c>
      <c r="R17" s="148">
        <f t="shared" ref="R17" si="31">VLOOKUP(B17,DS,23,0)</f>
        <v>0</v>
      </c>
      <c r="S17" s="150">
        <f t="shared" ref="S17" si="32"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520000</v>
      </c>
      <c r="M19" s="163">
        <f t="shared" si="33"/>
        <v>3020000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3020000</v>
      </c>
      <c r="R19" s="163">
        <f t="shared" si="33"/>
        <v>0</v>
      </c>
      <c r="S19" s="163">
        <f t="shared" si="33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8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V11" sqref="V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140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7.1406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42248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42248</v>
      </c>
      <c r="G5" s="73">
        <f t="shared" ref="G5:AJ5" si="0">F5+1</f>
        <v>42249</v>
      </c>
      <c r="H5" s="73">
        <f t="shared" si="0"/>
        <v>42250</v>
      </c>
      <c r="I5" s="73">
        <f t="shared" si="0"/>
        <v>42251</v>
      </c>
      <c r="J5" s="73">
        <f t="shared" si="0"/>
        <v>42252</v>
      </c>
      <c r="K5" s="73">
        <f t="shared" si="0"/>
        <v>42253</v>
      </c>
      <c r="L5" s="73">
        <f t="shared" si="0"/>
        <v>42254</v>
      </c>
      <c r="M5" s="73">
        <f t="shared" si="0"/>
        <v>42255</v>
      </c>
      <c r="N5" s="73">
        <f t="shared" si="0"/>
        <v>42256</v>
      </c>
      <c r="O5" s="73">
        <f t="shared" si="0"/>
        <v>42257</v>
      </c>
      <c r="P5" s="73">
        <f t="shared" si="0"/>
        <v>42258</v>
      </c>
      <c r="Q5" s="73">
        <f t="shared" si="0"/>
        <v>42259</v>
      </c>
      <c r="R5" s="73">
        <f t="shared" si="0"/>
        <v>42260</v>
      </c>
      <c r="S5" s="73">
        <f t="shared" si="0"/>
        <v>42261</v>
      </c>
      <c r="T5" s="73">
        <f t="shared" si="0"/>
        <v>42262</v>
      </c>
      <c r="U5" s="73">
        <f t="shared" si="0"/>
        <v>42263</v>
      </c>
      <c r="V5" s="73">
        <f t="shared" si="0"/>
        <v>42264</v>
      </c>
      <c r="W5" s="73">
        <f t="shared" si="0"/>
        <v>42265</v>
      </c>
      <c r="X5" s="73">
        <f t="shared" si="0"/>
        <v>42266</v>
      </c>
      <c r="Y5" s="73">
        <f t="shared" si="0"/>
        <v>42267</v>
      </c>
      <c r="Z5" s="73">
        <f t="shared" si="0"/>
        <v>42268</v>
      </c>
      <c r="AA5" s="73">
        <f t="shared" si="0"/>
        <v>42269</v>
      </c>
      <c r="AB5" s="73">
        <f t="shared" si="0"/>
        <v>42270</v>
      </c>
      <c r="AC5" s="73">
        <f t="shared" si="0"/>
        <v>42271</v>
      </c>
      <c r="AD5" s="73">
        <f t="shared" si="0"/>
        <v>42272</v>
      </c>
      <c r="AE5" s="73">
        <f t="shared" si="0"/>
        <v>42273</v>
      </c>
      <c r="AF5" s="73">
        <f t="shared" si="0"/>
        <v>42274</v>
      </c>
      <c r="AG5" s="73">
        <f t="shared" si="0"/>
        <v>42275</v>
      </c>
      <c r="AH5" s="73">
        <f>AG5+1</f>
        <v>42276</v>
      </c>
      <c r="AI5" s="73">
        <f t="shared" si="0"/>
        <v>42277</v>
      </c>
      <c r="AJ5" s="73">
        <f t="shared" si="0"/>
        <v>42278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9">
        <f>((SUM(F9:AJ9))/8)-(SUMIF($F$6:$AJ$6,"C.Nhật",F9:AJ9)/8)</f>
        <v>25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25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>
        <v>4.32376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29">
        <f>((SUM(F11:AJ11))/8)-(SUMIF($F$6:$AJ$6,"C.Nhật",F11:AJ11)/8)</f>
        <v>11.540469999999999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11.540469999999999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29">
        <f>((SUM(F13:AJ13))/8)-(SUMIF($F$6:$AJ$6,"C.Nhật",F13:AJ13)/8)</f>
        <v>25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25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/>
      <c r="AK15" s="229">
        <f>((SUM(F15:AJ15))/8)-(SUMIF($F$6:$AJ$6,"C.Nhật",F15:AJ15)/8)</f>
        <v>25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25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2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/>
      <c r="AK18" s="229">
        <f t="shared" ref="AK18" si="2">((SUM(F18:AJ18))/8)-(SUMIF($F$6:$AJ$6,"C.Nhật",F18:AJ18)/8)</f>
        <v>25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25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8:AJ19 F11:AI14">
    <cfRule type="expression" dxfId="45" priority="21" stopIfTrue="1">
      <formula>IF(WEEKDAY(F$5)=1,TRUE,FALSE)</formula>
    </cfRule>
  </conditionalFormatting>
  <conditionalFormatting sqref="F9:AJ10 F11:AI14">
    <cfRule type="expression" dxfId="44" priority="20" stopIfTrue="1">
      <formula>IF(WEEKDAY(F$5)=1,TRUE,FALSE)</formula>
    </cfRule>
  </conditionalFormatting>
  <conditionalFormatting sqref="AJ11:AJ12">
    <cfRule type="expression" dxfId="43" priority="9" stopIfTrue="1">
      <formula>IF(WEEKDAY(AJ$5)=1,TRUE,FALSE)</formula>
    </cfRule>
  </conditionalFormatting>
  <conditionalFormatting sqref="AJ11:AJ12">
    <cfRule type="expression" dxfId="42" priority="8" stopIfTrue="1">
      <formula>IF(WEEKDAY(AJ$5)=1,TRUE,FALSE)</formula>
    </cfRule>
  </conditionalFormatting>
  <conditionalFormatting sqref="AJ13:AJ14">
    <cfRule type="expression" dxfId="41" priority="7" stopIfTrue="1">
      <formula>IF(WEEKDAY(AJ$5)=1,TRUE,FALSE)</formula>
    </cfRule>
  </conditionalFormatting>
  <conditionalFormatting sqref="AJ13:AJ14">
    <cfRule type="expression" dxfId="40" priority="6" stopIfTrue="1">
      <formula>IF(WEEKDAY(AJ$5)=1,TRUE,FALSE)</formula>
    </cfRule>
  </conditionalFormatting>
  <conditionalFormatting sqref="F18:AI19">
    <cfRule type="expression" dxfId="39" priority="5" stopIfTrue="1">
      <formula>IF(WEEKDAY(F$5)=1,TRUE,FALSE)</formula>
    </cfRule>
  </conditionalFormatting>
  <conditionalFormatting sqref="F15:AI16">
    <cfRule type="expression" dxfId="38" priority="4" stopIfTrue="1">
      <formula>IF(WEEKDAY(F$5)=1,TRUE,FALSE)</formula>
    </cfRule>
  </conditionalFormatting>
  <conditionalFormatting sqref="F15:AI16">
    <cfRule type="expression" dxfId="37" priority="3" stopIfTrue="1">
      <formula>IF(WEEKDAY(F$5)=1,TRUE,FALSE)</formula>
    </cfRule>
  </conditionalFormatting>
  <conditionalFormatting sqref="AJ15:AJ16">
    <cfRule type="expression" dxfId="36" priority="2" stopIfTrue="1">
      <formula>IF(WEEKDAY(AJ$5)=1,TRUE,FALSE)</formula>
    </cfRule>
  </conditionalFormatting>
  <conditionalFormatting sqref="AJ15:AJ16">
    <cfRule type="expression" dxfId="35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4.28515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09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-9'!$AK$9:$AK$19)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-9'!$E$4</f>
        <v>42248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-9'!$B$8:$AS$19,36,0)</f>
        <v>25</v>
      </c>
      <c r="G10" s="146">
        <f>ROUND(E10/$U$2*F10,0)</f>
        <v>2600000</v>
      </c>
      <c r="H10" s="145">
        <f>(VLOOKUP(B10,'CC -9'!$B$8:$AS$19,37,0)+VLOOKUP(B10,'CC -9'!$B$8:$AS$19,38,0))</f>
        <v>0</v>
      </c>
      <c r="I10" s="146">
        <f t="shared" ref="I10" si="2">ROUND(E10/$U$2*H10,0)</f>
        <v>0</v>
      </c>
      <c r="J10" s="147">
        <f t="shared" ref="J10" si="3">F10+H10</f>
        <v>25</v>
      </c>
      <c r="K10" s="148">
        <f>G10+I10</f>
        <v>2600000</v>
      </c>
      <c r="L10" s="144">
        <f>ROUND(F10,0)*20000</f>
        <v>500000</v>
      </c>
      <c r="M10" s="149">
        <f t="shared" ref="M10" si="4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5">M10-SUM(N10:P10)</f>
        <v>3100000</v>
      </c>
      <c r="R10" s="148">
        <f>VLOOKUP(B10,DS,23,0)</f>
        <v>0</v>
      </c>
      <c r="S10" s="150">
        <f t="shared" ref="S10" si="6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7">VLOOKUP(B11,DS,2,0)</f>
        <v>Mai Thị Hường</v>
      </c>
      <c r="D11" s="143" t="str">
        <f t="shared" ref="D11:D13" si="8">VLOOKUP(B11,DS,3,0)</f>
        <v>Kế Toán</v>
      </c>
      <c r="E11" s="144">
        <f>VLOOKUP(B11,DS,4,0)</f>
        <v>2500000</v>
      </c>
      <c r="F11" s="145">
        <f>VLOOKUP(B11,'CC -9'!$B$8:$AS$19,36,0)</f>
        <v>11.540469999999999</v>
      </c>
      <c r="G11" s="146">
        <f t="shared" ref="G11:G13" si="9">ROUND(E11/$U$2*F11,0)</f>
        <v>1154047</v>
      </c>
      <c r="H11" s="145">
        <f>(VLOOKUP(B11,'CC -9'!$B$8:$AS$19,37,0)+VLOOKUP(B11,'CC -9'!$B$8:$AS$19,38,0))</f>
        <v>0</v>
      </c>
      <c r="I11" s="146">
        <f t="shared" ref="I11:I13" si="10">ROUND(E11/$U$2*H11,0)</f>
        <v>0</v>
      </c>
      <c r="J11" s="147">
        <f t="shared" ref="J11:J13" si="11">F11+H11</f>
        <v>11.540469999999999</v>
      </c>
      <c r="K11" s="148">
        <f t="shared" ref="K11:K13" si="12">G11+I11</f>
        <v>1154047</v>
      </c>
      <c r="L11" s="144">
        <f>ROUND(F11,0)*20000</f>
        <v>240000</v>
      </c>
      <c r="M11" s="149">
        <f t="shared" ref="M11:M13" si="13">K11+L11</f>
        <v>1394047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4">M11-SUM(N11:P11)</f>
        <v>1394047</v>
      </c>
      <c r="R11" s="148">
        <f>VLOOKUP(B11,DS,23,0)</f>
        <v>0</v>
      </c>
      <c r="S11" s="150">
        <f t="shared" ref="S11:S13" si="15">Q11-R11</f>
        <v>1394047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7"/>
        <v>Đào Quảng Ninh</v>
      </c>
      <c r="D12" s="143" t="str">
        <f t="shared" si="8"/>
        <v>Giao Hàng</v>
      </c>
      <c r="E12" s="144">
        <f>VLOOKUP(B12,DS,4,0)</f>
        <v>2000000</v>
      </c>
      <c r="F12" s="145">
        <f>VLOOKUP(B12,'CC -9'!$B$8:$AS$19,36,0)</f>
        <v>25</v>
      </c>
      <c r="G12" s="146">
        <f t="shared" si="9"/>
        <v>2000000</v>
      </c>
      <c r="H12" s="145">
        <f>(VLOOKUP(B12,'CC -9'!$B$8:$AS$19,37,0)+VLOOKUP(B12,'CC -9'!$B$8:$AS$19,38,0))</f>
        <v>0</v>
      </c>
      <c r="I12" s="146">
        <f t="shared" si="10"/>
        <v>0</v>
      </c>
      <c r="J12" s="147">
        <f t="shared" si="11"/>
        <v>25</v>
      </c>
      <c r="K12" s="148">
        <f t="shared" si="12"/>
        <v>2000000</v>
      </c>
      <c r="L12" s="144">
        <f t="shared" ref="L12:L13" si="16">ROUND(F12,0)*20000</f>
        <v>500000</v>
      </c>
      <c r="M12" s="149">
        <f t="shared" si="13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4"/>
        <v>2500000</v>
      </c>
      <c r="R12" s="148">
        <f>VLOOKUP(B12,DS,23,0)</f>
        <v>0</v>
      </c>
      <c r="S12" s="150">
        <f t="shared" si="15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7"/>
        <v>Huỳnh Đoàn Viết Thanh</v>
      </c>
      <c r="D13" s="143" t="str">
        <f t="shared" si="8"/>
        <v>Tài xế</v>
      </c>
      <c r="E13" s="144">
        <f>VLOOKUP(B13,DS,4,0)</f>
        <v>2500000</v>
      </c>
      <c r="F13" s="145">
        <f>VLOOKUP(B13,'CC -9'!$B$8:$AS$19,36,0)</f>
        <v>25</v>
      </c>
      <c r="G13" s="146">
        <f t="shared" si="9"/>
        <v>2500000</v>
      </c>
      <c r="H13" s="145">
        <f>(VLOOKUP(B13,'CC -9'!$B$8:$AS$19,37,0)+VLOOKUP(B13,'CC -9'!$B$8:$AS$19,38,0))</f>
        <v>0</v>
      </c>
      <c r="I13" s="146">
        <f t="shared" si="10"/>
        <v>0</v>
      </c>
      <c r="J13" s="147">
        <f t="shared" si="11"/>
        <v>25</v>
      </c>
      <c r="K13" s="148">
        <f t="shared" si="12"/>
        <v>2500000</v>
      </c>
      <c r="L13" s="144">
        <f t="shared" si="16"/>
        <v>500000</v>
      </c>
      <c r="M13" s="149">
        <f t="shared" si="13"/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4"/>
        <v>3000000</v>
      </c>
      <c r="R13" s="148">
        <f>VLOOKUP(B13,DS,23,0)</f>
        <v>0</v>
      </c>
      <c r="S13" s="150">
        <f t="shared" si="15"/>
        <v>3000000</v>
      </c>
      <c r="T13" s="148"/>
      <c r="U13" s="197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197"/>
      <c r="V14" s="128">
        <f>E11/U2/8</f>
        <v>12500</v>
      </c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7">SUM(K9:K10)</f>
        <v>2600000</v>
      </c>
      <c r="L15" s="163">
        <f t="shared" si="17"/>
        <v>500000</v>
      </c>
      <c r="M15" s="163">
        <f t="shared" si="17"/>
        <v>3100000</v>
      </c>
      <c r="N15" s="163">
        <f t="shared" si="17"/>
        <v>0</v>
      </c>
      <c r="O15" s="163">
        <f t="shared" si="17"/>
        <v>0</v>
      </c>
      <c r="P15" s="163">
        <f t="shared" si="17"/>
        <v>0</v>
      </c>
      <c r="Q15" s="163">
        <f t="shared" si="17"/>
        <v>3100000</v>
      </c>
      <c r="R15" s="163">
        <f t="shared" si="17"/>
        <v>0</v>
      </c>
      <c r="S15" s="163">
        <f>SUM(S9:S14)</f>
        <v>9994047</v>
      </c>
      <c r="T15" s="164"/>
      <c r="U15" s="197">
        <v>9994047</v>
      </c>
      <c r="V15" s="165">
        <f>U15-S15</f>
        <v>0</v>
      </c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201">
        <f>(V15-20000)/V14</f>
        <v>-1.6</v>
      </c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18">VLOOKUP(B17,DS,2,0)</f>
        <v>Nguyễn Thị Thanh Thúy</v>
      </c>
      <c r="D17" s="143" t="str">
        <f t="shared" ref="D17" si="19">VLOOKUP(B17,DS,3,0)</f>
        <v>Công nhân</v>
      </c>
      <c r="E17" s="144">
        <f t="shared" ref="E17" si="20">VLOOKUP(B17,DS,4,0)</f>
        <v>2500000</v>
      </c>
      <c r="F17" s="145">
        <f>VLOOKUP(B17,'CC -9'!$B$8:$AS$19,36,0)</f>
        <v>25</v>
      </c>
      <c r="G17" s="146">
        <f t="shared" ref="G17" si="21">ROUND(E17/$U$2*F17,0)</f>
        <v>2500000</v>
      </c>
      <c r="H17" s="145">
        <f>(VLOOKUP(B17,'CC -9'!$B$8:$AS$19,37,0)+VLOOKUP(B17,'CC -9'!$B$8:$AS$19,38,0))</f>
        <v>0</v>
      </c>
      <c r="I17" s="146">
        <f t="shared" ref="I17" si="22">ROUND(E17/$U$2*H17,0)</f>
        <v>0</v>
      </c>
      <c r="J17" s="167">
        <f t="shared" ref="J17:K17" si="23">F17+H17</f>
        <v>25</v>
      </c>
      <c r="K17" s="148">
        <f t="shared" si="23"/>
        <v>2500000</v>
      </c>
      <c r="L17" s="144">
        <f t="shared" ref="L17" si="24">ROUND(F17*20000,0)</f>
        <v>500000</v>
      </c>
      <c r="M17" s="149">
        <f t="shared" ref="M17" si="25">K17+L17</f>
        <v>3000000</v>
      </c>
      <c r="N17" s="149">
        <f>IF(VLOOKUP(B17,DS,9,0)="x",'L - 9'!E17*$N$4,0)</f>
        <v>0</v>
      </c>
      <c r="O17" s="149">
        <f t="shared" ref="O17" si="26">IF(VLOOKUP(B17,DS,9,0)="x",E17*0.015,0)</f>
        <v>0</v>
      </c>
      <c r="P17" s="149">
        <f t="shared" ref="P17" si="27">IF(VLOOKUP(B17,DS,9,0)="x",E17*0.01,0)</f>
        <v>0</v>
      </c>
      <c r="Q17" s="148">
        <f t="shared" ref="Q17" si="28">M17-SUM(N17:P17)</f>
        <v>3000000</v>
      </c>
      <c r="R17" s="148">
        <f t="shared" ref="R17" si="29">VLOOKUP(B17,DS,23,0)</f>
        <v>0</v>
      </c>
      <c r="S17" s="150">
        <f t="shared" ref="S17" si="30">Q17-R17</f>
        <v>3000000</v>
      </c>
      <c r="T17" s="148"/>
      <c r="U17" s="198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1">SUM(K16:K18)</f>
        <v>2500000</v>
      </c>
      <c r="L19" s="163">
        <f t="shared" si="31"/>
        <v>500000</v>
      </c>
      <c r="M19" s="163">
        <f t="shared" si="31"/>
        <v>3000000</v>
      </c>
      <c r="N19" s="163">
        <f t="shared" si="31"/>
        <v>0</v>
      </c>
      <c r="O19" s="163">
        <f t="shared" si="31"/>
        <v>0</v>
      </c>
      <c r="P19" s="163">
        <f t="shared" si="31"/>
        <v>0</v>
      </c>
      <c r="Q19" s="163">
        <f t="shared" si="31"/>
        <v>3000000</v>
      </c>
      <c r="R19" s="163">
        <f t="shared" si="31"/>
        <v>0</v>
      </c>
      <c r="S19" s="163">
        <f t="shared" si="31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9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AE16:IJ16 Q5:T7 E5:I6 N5:P6 L5 L22 J6:K7 L7 A25:T58 U31:U58 N18:S18 V25:IJ58 J18:L18 V15:IJ15 D15:T15 D19:T19 A59:IJ65326 V5:V14 AE5:IJ14 V16 A10:B15 Q10:S14" name="Range1"/>
    <protectedRange password="CC78" sqref="F7:H7" name="Range1_4"/>
    <protectedRange password="CC78" sqref="V22:IJ23 S22:T23 N22:Q23 E22:I23" name="Range1_1_1"/>
    <protectedRange password="CC78" sqref="U1 V1:IJ4 B4:T4 R2:S3 B1:Q3 U18:U30 U4:U16 W5:AD14 W16:AD16" name="Range1_2"/>
    <protectedRange password="CC78" sqref="A1" name="Range1_2_1_1"/>
    <protectedRange password="CC78" sqref="I7" name="Range1_4_1"/>
    <protectedRange password="CC78" sqref="U2:U3" name="Range1_2_2_1"/>
    <protectedRange password="CC78" sqref="V17 AE17:IJ17 Q17:S17 A17:B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140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425781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42278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42278</v>
      </c>
      <c r="G5" s="73">
        <f t="shared" ref="G5:AJ5" si="0">F5+1</f>
        <v>42279</v>
      </c>
      <c r="H5" s="73">
        <f t="shared" si="0"/>
        <v>42280</v>
      </c>
      <c r="I5" s="73">
        <f t="shared" si="0"/>
        <v>42281</v>
      </c>
      <c r="J5" s="73">
        <f t="shared" si="0"/>
        <v>42282</v>
      </c>
      <c r="K5" s="73">
        <f t="shared" si="0"/>
        <v>42283</v>
      </c>
      <c r="L5" s="73">
        <f t="shared" si="0"/>
        <v>42284</v>
      </c>
      <c r="M5" s="73">
        <f t="shared" si="0"/>
        <v>42285</v>
      </c>
      <c r="N5" s="73">
        <f t="shared" si="0"/>
        <v>42286</v>
      </c>
      <c r="O5" s="73">
        <f t="shared" si="0"/>
        <v>42287</v>
      </c>
      <c r="P5" s="73">
        <f t="shared" si="0"/>
        <v>42288</v>
      </c>
      <c r="Q5" s="73">
        <f t="shared" si="0"/>
        <v>42289</v>
      </c>
      <c r="R5" s="73">
        <f t="shared" si="0"/>
        <v>42290</v>
      </c>
      <c r="S5" s="73">
        <f t="shared" si="0"/>
        <v>42291</v>
      </c>
      <c r="T5" s="73">
        <f t="shared" si="0"/>
        <v>42292</v>
      </c>
      <c r="U5" s="73">
        <f t="shared" si="0"/>
        <v>42293</v>
      </c>
      <c r="V5" s="73">
        <f t="shared" si="0"/>
        <v>42294</v>
      </c>
      <c r="W5" s="73">
        <f t="shared" si="0"/>
        <v>42295</v>
      </c>
      <c r="X5" s="73">
        <f t="shared" si="0"/>
        <v>42296</v>
      </c>
      <c r="Y5" s="73">
        <f t="shared" si="0"/>
        <v>42297</v>
      </c>
      <c r="Z5" s="73">
        <f t="shared" si="0"/>
        <v>42298</v>
      </c>
      <c r="AA5" s="73">
        <f t="shared" si="0"/>
        <v>42299</v>
      </c>
      <c r="AB5" s="73">
        <f t="shared" si="0"/>
        <v>42300</v>
      </c>
      <c r="AC5" s="73">
        <f t="shared" si="0"/>
        <v>42301</v>
      </c>
      <c r="AD5" s="73">
        <f t="shared" si="0"/>
        <v>42302</v>
      </c>
      <c r="AE5" s="73">
        <f t="shared" si="0"/>
        <v>42303</v>
      </c>
      <c r="AF5" s="73">
        <f t="shared" si="0"/>
        <v>42304</v>
      </c>
      <c r="AG5" s="73">
        <f t="shared" si="0"/>
        <v>42305</v>
      </c>
      <c r="AH5" s="73">
        <f>AG5+1</f>
        <v>42306</v>
      </c>
      <c r="AI5" s="73">
        <f t="shared" si="0"/>
        <v>42307</v>
      </c>
      <c r="AJ5" s="73">
        <f t="shared" si="0"/>
        <v>42308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9">
        <f>((SUM(F9:AJ9))/8)-(SUMIF($F$6:$AJ$6,"C.Nhật",F9:AJ9)/8)</f>
        <v>27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27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9">
        <f>((SUM(F11:AJ11))/8)-(SUMIF($F$6:$AJ$6,"C.Nhật",F11:AJ11)/8)</f>
        <v>27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27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9">
        <f>((SUM(F13:AJ13))/8)-(SUMIF($F$6:$AJ$6,"C.Nhật",F13:AJ13)/8)</f>
        <v>27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27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9">
        <f>((SUM(F15:AJ15))/8)-(SUMIF($F$6:$AJ$6,"C.Nhật",F15:AJ15)/8)</f>
        <v>27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27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9">
        <f t="shared" ref="AK18" si="2">((SUM(F18:AJ18))/8)-(SUMIF($F$6:$AJ$6,"C.Nhật",F18:AJ18)/8)</f>
        <v>27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27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8:AJ19">
    <cfRule type="expression" dxfId="34" priority="17" stopIfTrue="1">
      <formula>IF(WEEKDAY(F$5)=1,TRUE,FALSE)</formula>
    </cfRule>
  </conditionalFormatting>
  <conditionalFormatting sqref="F9:AJ14">
    <cfRule type="expression" dxfId="33" priority="16" stopIfTrue="1">
      <formula>IF(WEEKDAY(F$5)=1,TRUE,FALSE)</formula>
    </cfRule>
  </conditionalFormatting>
  <conditionalFormatting sqref="F18:AJ19">
    <cfRule type="expression" dxfId="32" priority="3" stopIfTrue="1">
      <formula>IF(WEEKDAY(F$5)=1,TRUE,FALSE)</formula>
    </cfRule>
  </conditionalFormatting>
  <conditionalFormatting sqref="F15:AJ16">
    <cfRule type="expression" dxfId="31" priority="2" stopIfTrue="1">
      <formula>IF(WEEKDAY(F$5)=1,TRUE,FALSE)</formula>
    </cfRule>
  </conditionalFormatting>
  <conditionalFormatting sqref="F15:AJ16">
    <cfRule type="expression" dxfId="3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G15" sqref="G15"/>
    </sheetView>
  </sheetViews>
  <sheetFormatPr defaultRowHeight="11.25"/>
  <cols>
    <col min="1" max="1" width="4.28515625" style="183" customWidth="1"/>
    <col min="2" max="2" width="8.42578125" style="183" customWidth="1"/>
    <col min="3" max="3" width="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10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-10'!$AK$9:$AK$19)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-10'!$E$4</f>
        <v>42278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-10'!$B$8:$AS$19,36,0)</f>
        <v>27</v>
      </c>
      <c r="G10" s="146">
        <f t="shared" ref="G10" si="2">ROUND(E10/$U$2*F10,0)</f>
        <v>2600000</v>
      </c>
      <c r="H10" s="145">
        <f>(VLOOKUP(B10,'CC -10'!$B$8:$AS$19,37,0)+VLOOKUP(B10,'CC -10'!$B$8:$AS$19,38,0))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2500000</v>
      </c>
      <c r="F11" s="145">
        <f>VLOOKUP(B11,'CC -10'!$B$8:$AS$19,36,0)</f>
        <v>27</v>
      </c>
      <c r="G11" s="146">
        <f t="shared" ref="G11:G13" si="11">ROUND(E11/$U$2*F11,0)</f>
        <v>2500000</v>
      </c>
      <c r="H11" s="145">
        <f>(VLOOKUP(B11,'CC -10'!$B$8:$AS$19,37,0)+VLOOKUP(B11,'CC -10'!$B$8:$AS$19,38,0))</f>
        <v>0</v>
      </c>
      <c r="I11" s="146">
        <f t="shared" ref="I11:I13" si="12">ROUND(E11/$U$2*H11,0)</f>
        <v>0</v>
      </c>
      <c r="J11" s="147">
        <f t="shared" ref="J11:J13" si="13">F11+H11</f>
        <v>27</v>
      </c>
      <c r="K11" s="148">
        <f t="shared" ref="K11:K13" si="14">G11+I11</f>
        <v>2500000</v>
      </c>
      <c r="L11" s="144">
        <f t="shared" ref="L11:L13" si="15">ROUND(F11*20000,0)</f>
        <v>540000</v>
      </c>
      <c r="M11" s="149">
        <f t="shared" ref="M11:M13" si="16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3040000</v>
      </c>
      <c r="R11" s="148">
        <f>VLOOKUP(B11,DS,23,0)</f>
        <v>0</v>
      </c>
      <c r="S11" s="150">
        <f t="shared" ref="S11:S13" si="18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-10'!$B$8:$AS$19,36,0)</f>
        <v>27</v>
      </c>
      <c r="G12" s="146">
        <f t="shared" si="11"/>
        <v>2000000</v>
      </c>
      <c r="H12" s="145">
        <f>(VLOOKUP(B12,'CC -10'!$B$8:$AS$19,37,0)+VLOOKUP(B12,'CC -10'!$B$8:$AS$19,38,0))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15"/>
        <v>540000</v>
      </c>
      <c r="M12" s="149">
        <f t="shared" si="16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2540000</v>
      </c>
      <c r="R12" s="148">
        <f>VLOOKUP(B12,DS,23,0)</f>
        <v>0</v>
      </c>
      <c r="S12" s="150">
        <f t="shared" si="18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2500000</v>
      </c>
      <c r="F13" s="145">
        <f>VLOOKUP(B13,'CC -10'!$B$8:$AS$19,36,0)</f>
        <v>27</v>
      </c>
      <c r="G13" s="146">
        <f t="shared" si="11"/>
        <v>2500000</v>
      </c>
      <c r="H13" s="145">
        <f>(VLOOKUP(B13,'CC -10'!$B$8:$AS$19,37,0)+VLOOKUP(B13,'CC -10'!$B$8:$AS$19,38,0))</f>
        <v>0</v>
      </c>
      <c r="I13" s="146">
        <f t="shared" si="12"/>
        <v>0</v>
      </c>
      <c r="J13" s="147">
        <f t="shared" si="13"/>
        <v>27</v>
      </c>
      <c r="K13" s="148">
        <f t="shared" si="14"/>
        <v>2500000</v>
      </c>
      <c r="L13" s="144">
        <f t="shared" si="15"/>
        <v>540000</v>
      </c>
      <c r="M13" s="149">
        <f t="shared" si="16"/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3040000</v>
      </c>
      <c r="R13" s="148">
        <f>VLOOKUP(B13,DS,23,0)</f>
        <v>0</v>
      </c>
      <c r="S13" s="150">
        <f t="shared" si="18"/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9">SUM(K9:K10)</f>
        <v>2600000</v>
      </c>
      <c r="L15" s="163">
        <f t="shared" si="19"/>
        <v>540000</v>
      </c>
      <c r="M15" s="163">
        <f t="shared" si="19"/>
        <v>3140000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3140000</v>
      </c>
      <c r="R15" s="163">
        <f t="shared" si="19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-10'!$B$8:$AS$19,36,0)</f>
        <v>27</v>
      </c>
      <c r="G17" s="146">
        <f t="shared" ref="G17" si="23">ROUND(E17/$U$2*F17,0)</f>
        <v>2500000</v>
      </c>
      <c r="H17" s="145">
        <f>(VLOOKUP(B17,'CC -10'!$B$8:$AS$19,37,0)+VLOOKUP(B17,'CC -10'!$B$8:$AS$19,38,0))</f>
        <v>0</v>
      </c>
      <c r="I17" s="146">
        <f t="shared" ref="I17" si="24">ROUND(E17/$U$2*H17,0)</f>
        <v>0</v>
      </c>
      <c r="J17" s="167">
        <f t="shared" ref="J17:K17" si="25">F17+H17</f>
        <v>27</v>
      </c>
      <c r="K17" s="148">
        <f t="shared" si="25"/>
        <v>2500000</v>
      </c>
      <c r="L17" s="144">
        <f t="shared" ref="L17" si="26">ROUND(F17*20000,0)</f>
        <v>540000</v>
      </c>
      <c r="M17" s="149">
        <f t="shared" ref="M17" si="27">K17+L17</f>
        <v>3040000</v>
      </c>
      <c r="N17" s="149">
        <f>IF(VLOOKUP(B17,DS,9,0)="x",'L - 10'!E17*$N$4,0)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3040000</v>
      </c>
      <c r="R17" s="148">
        <f t="shared" ref="R17" si="31">VLOOKUP(B17,DS,23,0)</f>
        <v>0</v>
      </c>
      <c r="S17" s="150">
        <f t="shared" ref="S17" si="32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540000</v>
      </c>
      <c r="M19" s="163">
        <f t="shared" si="33"/>
        <v>3040000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3040000</v>
      </c>
      <c r="R19" s="163">
        <f t="shared" si="33"/>
        <v>0</v>
      </c>
      <c r="S19" s="163">
        <f t="shared" si="3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10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D1" sqref="D1:D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1.57031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8.570312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42309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42309</v>
      </c>
      <c r="G5" s="73">
        <f t="shared" ref="G5:AJ5" si="0">F5+1</f>
        <v>42310</v>
      </c>
      <c r="H5" s="73">
        <f t="shared" si="0"/>
        <v>42311</v>
      </c>
      <c r="I5" s="73">
        <f t="shared" si="0"/>
        <v>42312</v>
      </c>
      <c r="J5" s="73">
        <f t="shared" si="0"/>
        <v>42313</v>
      </c>
      <c r="K5" s="73">
        <f t="shared" si="0"/>
        <v>42314</v>
      </c>
      <c r="L5" s="73">
        <f t="shared" si="0"/>
        <v>42315</v>
      </c>
      <c r="M5" s="73">
        <f t="shared" si="0"/>
        <v>42316</v>
      </c>
      <c r="N5" s="73">
        <f t="shared" si="0"/>
        <v>42317</v>
      </c>
      <c r="O5" s="73">
        <f t="shared" si="0"/>
        <v>42318</v>
      </c>
      <c r="P5" s="73">
        <f t="shared" si="0"/>
        <v>42319</v>
      </c>
      <c r="Q5" s="73">
        <f t="shared" si="0"/>
        <v>42320</v>
      </c>
      <c r="R5" s="73">
        <f t="shared" si="0"/>
        <v>42321</v>
      </c>
      <c r="S5" s="73">
        <f t="shared" si="0"/>
        <v>42322</v>
      </c>
      <c r="T5" s="73">
        <f t="shared" si="0"/>
        <v>42323</v>
      </c>
      <c r="U5" s="73">
        <f t="shared" si="0"/>
        <v>42324</v>
      </c>
      <c r="V5" s="73">
        <f t="shared" si="0"/>
        <v>42325</v>
      </c>
      <c r="W5" s="73">
        <f t="shared" si="0"/>
        <v>42326</v>
      </c>
      <c r="X5" s="73">
        <f t="shared" si="0"/>
        <v>42327</v>
      </c>
      <c r="Y5" s="73">
        <f t="shared" si="0"/>
        <v>42328</v>
      </c>
      <c r="Z5" s="73">
        <f t="shared" si="0"/>
        <v>42329</v>
      </c>
      <c r="AA5" s="73">
        <f t="shared" si="0"/>
        <v>42330</v>
      </c>
      <c r="AB5" s="73">
        <f t="shared" si="0"/>
        <v>42331</v>
      </c>
      <c r="AC5" s="73">
        <f t="shared" si="0"/>
        <v>42332</v>
      </c>
      <c r="AD5" s="73">
        <f t="shared" si="0"/>
        <v>42333</v>
      </c>
      <c r="AE5" s="73">
        <f t="shared" si="0"/>
        <v>42334</v>
      </c>
      <c r="AF5" s="73">
        <f t="shared" si="0"/>
        <v>42335</v>
      </c>
      <c r="AG5" s="73">
        <f t="shared" si="0"/>
        <v>42336</v>
      </c>
      <c r="AH5" s="73">
        <f>AG5+1</f>
        <v>42337</v>
      </c>
      <c r="AI5" s="73">
        <f t="shared" si="0"/>
        <v>42338</v>
      </c>
      <c r="AJ5" s="73">
        <f t="shared" si="0"/>
        <v>42339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29">
        <f>((SUM(F9:AJ9))/8)-(SUMIF($F$6:$AJ$6,"C.Nhật",F9:AJ9)/8)</f>
        <v>25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25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>
        <v>8</v>
      </c>
      <c r="AJ11" s="87"/>
      <c r="AK11" s="229">
        <f>((SUM(F11:AJ11))/8)-(SUMIF($F$6:$AJ$6,"C.Nhật",F11:AJ11)/8)</f>
        <v>25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25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>
        <v>8</v>
      </c>
      <c r="AJ13" s="87"/>
      <c r="AK13" s="229">
        <f>((SUM(F13:AJ13))/8)-(SUMIF($F$6:$AJ$6,"C.Nhật",F13:AJ13)/8)</f>
        <v>25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25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>
        <v>8</v>
      </c>
      <c r="AJ15" s="87"/>
      <c r="AK15" s="229">
        <f>((SUM(F15:AJ15))/8)-(SUMIF($F$6:$AJ$6,"C.Nhật",F15:AJ15)/8)</f>
        <v>25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25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>
        <v>8</v>
      </c>
      <c r="AJ18" s="87"/>
      <c r="AK18" s="229">
        <f t="shared" ref="AK18" si="2">((SUM(F18:AJ18))/8)-(SUMIF($F$6:$AJ$6,"C.Nhật",F18:AJ18)/8)</f>
        <v>25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25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 F18:AJ19">
    <cfRule type="expression" dxfId="29" priority="19" stopIfTrue="1">
      <formula>IF(WEEKDAY(F$5)=1,TRUE,FALSE)</formula>
    </cfRule>
  </conditionalFormatting>
  <conditionalFormatting sqref="F9:AJ10 F11:AI14">
    <cfRule type="expression" dxfId="28" priority="18" stopIfTrue="1">
      <formula>IF(WEEKDAY(F$5)=1,TRUE,FALSE)</formula>
    </cfRule>
  </conditionalFormatting>
  <conditionalFormatting sqref="AJ11:AJ12">
    <cfRule type="expression" dxfId="27" priority="9" stopIfTrue="1">
      <formula>IF(WEEKDAY(AJ$5)=1,TRUE,FALSE)</formula>
    </cfRule>
  </conditionalFormatting>
  <conditionalFormatting sqref="AJ11:AJ12">
    <cfRule type="expression" dxfId="26" priority="8" stopIfTrue="1">
      <formula>IF(WEEKDAY(AJ$5)=1,TRUE,FALSE)</formula>
    </cfRule>
  </conditionalFormatting>
  <conditionalFormatting sqref="AJ13:AJ14">
    <cfRule type="expression" dxfId="25" priority="7" stopIfTrue="1">
      <formula>IF(WEEKDAY(AJ$5)=1,TRUE,FALSE)</formula>
    </cfRule>
  </conditionalFormatting>
  <conditionalFormatting sqref="AJ13:AJ14">
    <cfRule type="expression" dxfId="24" priority="6" stopIfTrue="1">
      <formula>IF(WEEKDAY(AJ$5)=1,TRUE,FALSE)</formula>
    </cfRule>
  </conditionalFormatting>
  <conditionalFormatting sqref="F18:AI19">
    <cfRule type="expression" dxfId="23" priority="5" stopIfTrue="1">
      <formula>IF(WEEKDAY(F$5)=1,TRUE,FALSE)</formula>
    </cfRule>
  </conditionalFormatting>
  <conditionalFormatting sqref="F15:AI16">
    <cfRule type="expression" dxfId="22" priority="4" stopIfTrue="1">
      <formula>IF(WEEKDAY(F$5)=1,TRUE,FALSE)</formula>
    </cfRule>
  </conditionalFormatting>
  <conditionalFormatting sqref="F15:AI16">
    <cfRule type="expression" dxfId="21" priority="3" stopIfTrue="1">
      <formula>IF(WEEKDAY(F$5)=1,TRUE,FALSE)</formula>
    </cfRule>
  </conditionalFormatting>
  <conditionalFormatting sqref="AJ15:AJ16">
    <cfRule type="expression" dxfId="20" priority="2" stopIfTrue="1">
      <formula>IF(WEEKDAY(AJ$5)=1,TRUE,FALSE)</formula>
    </cfRule>
  </conditionalFormatting>
  <conditionalFormatting sqref="AJ15:AJ16">
    <cfRule type="expression" dxfId="19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4.8554687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54" t="str">
        <f>"BẢNG THANH TOÁN LƯƠNG THÁNG"&amp;" "&amp;TEXT($E$4,"mm")&amp;" / "&amp;TEXT($E$4,"yyyy")</f>
        <v>BẢNG THANH TOÁN LƯƠNG THÁNG 11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-11'!$AK$9:$AK$19)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-11'!$E$4</f>
        <v>42309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-11'!$B$8:$AS$19,36,0)</f>
        <v>25</v>
      </c>
      <c r="G10" s="146">
        <f t="shared" ref="G10" si="2">ROUND(E10/$U$2*F10,0)</f>
        <v>2600000</v>
      </c>
      <c r="H10" s="145">
        <f>(VLOOKUP(B10,'CC -11'!$B$8:$AS$19,37,0)+VLOOKUP(B10,'CC -11'!$B$8:$AS$19,38,0))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 t="shared" ref="L10:L12" si="5">ROUND(F10*20000,0)</f>
        <v>500000</v>
      </c>
      <c r="M10" s="149">
        <f t="shared" ref="M10" si="6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3100000</v>
      </c>
      <c r="R10" s="148">
        <f>VLOOKUP(B10,DS,23,0)</f>
        <v>0</v>
      </c>
      <c r="S10" s="150">
        <f t="shared" ref="S10" si="8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-11'!$B$8:$AS$19,36,0)</f>
        <v>25</v>
      </c>
      <c r="G11" s="146">
        <f t="shared" ref="G11:G12" si="11">ROUND(E11/$U$2*F11,0)</f>
        <v>2500000</v>
      </c>
      <c r="H11" s="145">
        <f>(VLOOKUP(B11,'CC -11'!$B$8:$AS$19,37,0)+VLOOKUP(B11,'CC -11'!$B$8:$AS$19,38,0))</f>
        <v>0</v>
      </c>
      <c r="I11" s="146">
        <f t="shared" ref="I11:I12" si="12">ROUND(E11/$U$2*H11,0)</f>
        <v>0</v>
      </c>
      <c r="J11" s="147">
        <f t="shared" ref="J11:J12" si="13">F11+H11</f>
        <v>25</v>
      </c>
      <c r="K11" s="148">
        <f t="shared" ref="K11:K12" si="14">G11+I11</f>
        <v>2500000</v>
      </c>
      <c r="L11" s="144">
        <f t="shared" si="5"/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-11'!$B$8:$AS$19,36,0)</f>
        <v>25</v>
      </c>
      <c r="G12" s="146">
        <f t="shared" si="11"/>
        <v>2000000</v>
      </c>
      <c r="H12" s="145">
        <f>(VLOOKUP(B12,'CC -11'!$B$8:$AS$19,37,0)+VLOOKUP(B12,'CC -11'!$B$8:$AS$19,38,0))</f>
        <v>0</v>
      </c>
      <c r="I12" s="146">
        <f t="shared" si="12"/>
        <v>0</v>
      </c>
      <c r="J12" s="147">
        <f t="shared" si="13"/>
        <v>25</v>
      </c>
      <c r="K12" s="148">
        <f t="shared" si="14"/>
        <v>2000000</v>
      </c>
      <c r="L12" s="144">
        <f t="shared" si="5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-11'!$B$8:$AS$19,36,0)</f>
        <v>25</v>
      </c>
      <c r="G13" s="146">
        <f t="shared" ref="G13" si="20">ROUND(E13/$U$2*F13,0)</f>
        <v>2500000</v>
      </c>
      <c r="H13" s="145">
        <f>(VLOOKUP(B13,'CC -11'!$B$8:$AS$19,37,0)+VLOOKUP(B13,'CC -11'!$B$8:$AS$19,38,0))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-11'!$B$8:$AS$19,36,0)</f>
        <v>25</v>
      </c>
      <c r="G17" s="146">
        <f t="shared" ref="G17" si="32">ROUND(E17/$U$2*F17,0)</f>
        <v>2500000</v>
      </c>
      <c r="H17" s="145">
        <f>(VLOOKUP(B17,'CC -11'!$B$8:$AS$19,37,0)+VLOOKUP(B17,'CC -11'!$B$8:$AS$19,38,0))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- 11'!E17*$N$4,0)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3000000</v>
      </c>
      <c r="R17" s="148">
        <f t="shared" ref="R17" si="40">VLOOKUP(B17,DS,23,0)</f>
        <v>0</v>
      </c>
      <c r="S17" s="150">
        <f t="shared" ref="S17" si="41"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500000</v>
      </c>
      <c r="M19" s="163">
        <f t="shared" si="42"/>
        <v>3000000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3000000</v>
      </c>
      <c r="R19" s="163">
        <f t="shared" si="42"/>
        <v>0</v>
      </c>
      <c r="S19" s="163">
        <f t="shared" si="42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11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A10:B15 Q10:S14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1.57031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7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42339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42339</v>
      </c>
      <c r="G5" s="73">
        <f t="shared" ref="G5:AJ5" si="0">F5+1</f>
        <v>42340</v>
      </c>
      <c r="H5" s="73">
        <f t="shared" si="0"/>
        <v>42341</v>
      </c>
      <c r="I5" s="73">
        <f t="shared" si="0"/>
        <v>42342</v>
      </c>
      <c r="J5" s="73">
        <f t="shared" si="0"/>
        <v>42343</v>
      </c>
      <c r="K5" s="73">
        <f t="shared" si="0"/>
        <v>42344</v>
      </c>
      <c r="L5" s="73">
        <f t="shared" si="0"/>
        <v>42345</v>
      </c>
      <c r="M5" s="73">
        <f t="shared" si="0"/>
        <v>42346</v>
      </c>
      <c r="N5" s="73">
        <f t="shared" si="0"/>
        <v>42347</v>
      </c>
      <c r="O5" s="73">
        <f t="shared" si="0"/>
        <v>42348</v>
      </c>
      <c r="P5" s="73">
        <f t="shared" si="0"/>
        <v>42349</v>
      </c>
      <c r="Q5" s="73">
        <f t="shared" si="0"/>
        <v>42350</v>
      </c>
      <c r="R5" s="73">
        <f t="shared" si="0"/>
        <v>42351</v>
      </c>
      <c r="S5" s="73">
        <f t="shared" si="0"/>
        <v>42352</v>
      </c>
      <c r="T5" s="73">
        <f t="shared" si="0"/>
        <v>42353</v>
      </c>
      <c r="U5" s="73">
        <f t="shared" si="0"/>
        <v>42354</v>
      </c>
      <c r="V5" s="73">
        <f t="shared" si="0"/>
        <v>42355</v>
      </c>
      <c r="W5" s="73">
        <f t="shared" si="0"/>
        <v>42356</v>
      </c>
      <c r="X5" s="73">
        <f t="shared" si="0"/>
        <v>42357</v>
      </c>
      <c r="Y5" s="73">
        <f t="shared" si="0"/>
        <v>42358</v>
      </c>
      <c r="Z5" s="73">
        <f t="shared" si="0"/>
        <v>42359</v>
      </c>
      <c r="AA5" s="73">
        <f t="shared" si="0"/>
        <v>42360</v>
      </c>
      <c r="AB5" s="73">
        <f t="shared" si="0"/>
        <v>42361</v>
      </c>
      <c r="AC5" s="73">
        <f t="shared" si="0"/>
        <v>42362</v>
      </c>
      <c r="AD5" s="73">
        <f t="shared" si="0"/>
        <v>42363</v>
      </c>
      <c r="AE5" s="73">
        <f t="shared" si="0"/>
        <v>42364</v>
      </c>
      <c r="AF5" s="73">
        <f t="shared" si="0"/>
        <v>42365</v>
      </c>
      <c r="AG5" s="73">
        <f t="shared" si="0"/>
        <v>42366</v>
      </c>
      <c r="AH5" s="73">
        <f>AG5+1</f>
        <v>42367</v>
      </c>
      <c r="AI5" s="73">
        <f t="shared" si="0"/>
        <v>42368</v>
      </c>
      <c r="AJ5" s="73">
        <f t="shared" si="0"/>
        <v>42369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>
        <v>8</v>
      </c>
      <c r="AK9" s="229">
        <f>((SUM(F9:AJ9))/8)-(SUMIF($F$6:$AJ$6,"C.Nhật",F9:AJ9)/8)</f>
        <v>27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27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>
        <v>8</v>
      </c>
      <c r="AK11" s="229">
        <f>((SUM(F11:AJ11))/8)-(SUMIF($F$6:$AJ$6,"C.Nhật",F11:AJ11)/8)</f>
        <v>27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27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>
        <v>8</v>
      </c>
      <c r="AK13" s="229">
        <f>((SUM(F13:AJ13))/8)-(SUMIF($F$6:$AJ$6,"C.Nhật",F13:AJ13)/8)</f>
        <v>27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27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>
        <v>8</v>
      </c>
      <c r="AK15" s="229">
        <f>((SUM(F15:AJ15))/8)-(SUMIF($F$6:$AJ$6,"C.Nhật",F15:AJ15)/8)</f>
        <v>27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27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>
        <v>8</v>
      </c>
      <c r="AK18" s="229">
        <f t="shared" ref="AK18" si="2">((SUM(F18:AJ18))/8)-(SUMIF($F$6:$AJ$6,"C.Nhật",F18:AJ18)/8)</f>
        <v>27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27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8:AJ19">
    <cfRule type="expression" dxfId="18" priority="17" stopIfTrue="1">
      <formula>IF(WEEKDAY(F$5)=1,TRUE,FALSE)</formula>
    </cfRule>
  </conditionalFormatting>
  <conditionalFormatting sqref="F9:AJ14">
    <cfRule type="expression" dxfId="17" priority="16" stopIfTrue="1">
      <formula>IF(WEEKDAY(F$5)=1,TRUE,FALSE)</formula>
    </cfRule>
  </conditionalFormatting>
  <conditionalFormatting sqref="F18:AJ19">
    <cfRule type="expression" dxfId="16" priority="3" stopIfTrue="1">
      <formula>IF(WEEKDAY(F$5)=1,TRUE,FALSE)</formula>
    </cfRule>
  </conditionalFormatting>
  <conditionalFormatting sqref="F15:AJ16">
    <cfRule type="expression" dxfId="15" priority="2" stopIfTrue="1">
      <formula>IF(WEEKDAY(F$5)=1,TRUE,FALSE)</formula>
    </cfRule>
  </conditionalFormatting>
  <conditionalFormatting sqref="F15:AJ16">
    <cfRule type="expression" dxfId="1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U1" sqref="U1:U1048576"/>
    </sheetView>
  </sheetViews>
  <sheetFormatPr defaultRowHeight="11.25"/>
  <cols>
    <col min="1" max="1" width="4.28515625" style="183" customWidth="1"/>
    <col min="2" max="2" width="8.42578125" style="183" customWidth="1"/>
    <col min="3" max="3" width="26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54" t="str">
        <f>"BẢNG THANH TOÁN LƯƠNG THÁNG"&amp;" "&amp;TEXT($E$4,"mm")&amp;" / "&amp;TEXT($E$4,"yyyy")</f>
        <v>BẢNG THANH TOÁN LƯƠNG THÁNG 12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-12'!$AK$9:$AK$19)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-12'!$E$4</f>
        <v>42339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-12'!$B$8:$AS$19,36,0)</f>
        <v>27</v>
      </c>
      <c r="G10" s="146">
        <f t="shared" ref="G10" si="2">ROUND(E10/$U$2*F10,0)</f>
        <v>2600000</v>
      </c>
      <c r="H10" s="145">
        <f>(VLOOKUP(B10,'CC -12'!$B$8:$AS$19,37,0)+VLOOKUP(B10,'CC -12'!$B$8:$AS$19,38,0))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:L12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-12'!$B$8:$AS$19,36,0)</f>
        <v>27</v>
      </c>
      <c r="G11" s="146">
        <f t="shared" ref="G11:G12" si="11">ROUND(E11/$U$2*F11,0)</f>
        <v>2500000</v>
      </c>
      <c r="H11" s="145">
        <f>(VLOOKUP(B11,'CC -12'!$B$8:$AS$19,37,0)+VLOOKUP(B11,'CC -12'!$B$8:$AS$19,38,0))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2500000</v>
      </c>
      <c r="L11" s="144">
        <f t="shared" si="5"/>
        <v>540000</v>
      </c>
      <c r="M11" s="149">
        <f t="shared" ref="M11:M12" si="15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3040000</v>
      </c>
      <c r="R11" s="148">
        <f>VLOOKUP(B11,DS,23,0)</f>
        <v>0</v>
      </c>
      <c r="S11" s="150">
        <f t="shared" ref="S11:S12" si="17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-12'!$B$8:$AS$19,36,0)</f>
        <v>27</v>
      </c>
      <c r="G12" s="146">
        <f t="shared" si="11"/>
        <v>2000000</v>
      </c>
      <c r="H12" s="145">
        <f>(VLOOKUP(B12,'CC -12'!$B$8:$AS$19,37,0)+VLOOKUP(B12,'CC -12'!$B$8:$AS$19,38,0))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5"/>
        <v>540000</v>
      </c>
      <c r="M12" s="149">
        <f t="shared" si="15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2540000</v>
      </c>
      <c r="R12" s="148">
        <f>VLOOKUP(B12,DS,23,0)</f>
        <v>0</v>
      </c>
      <c r="S12" s="150">
        <f t="shared" si="17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-12'!$B$8:$AS$19,36,0)</f>
        <v>27</v>
      </c>
      <c r="G13" s="146">
        <f t="shared" ref="G13" si="20">ROUND(E13/$U$2*F13,0)</f>
        <v>2500000</v>
      </c>
      <c r="H13" s="145">
        <f>(VLOOKUP(B13,'CC -12'!$B$8:$AS$19,37,0)+VLOOKUP(B13,'CC -12'!$B$8:$AS$19,38,0))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2500000</v>
      </c>
      <c r="L13" s="144">
        <f t="shared" ref="L13" si="24">ROUND(F13*20000,0)</f>
        <v>540000</v>
      </c>
      <c r="M13" s="149">
        <f t="shared" ref="M13" si="25">K13+L13</f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3040000</v>
      </c>
      <c r="R13" s="148">
        <f>VLOOKUP(B13,DS,23,0)</f>
        <v>0</v>
      </c>
      <c r="S13" s="150">
        <f t="shared" ref="S13" si="27">Q13-R13</f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540000</v>
      </c>
      <c r="M15" s="163">
        <f t="shared" si="28"/>
        <v>3140000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3140000</v>
      </c>
      <c r="R15" s="163">
        <f t="shared" si="28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-12'!$B$8:$AS$19,36,0)</f>
        <v>27</v>
      </c>
      <c r="G17" s="146">
        <f t="shared" ref="G17" si="32">ROUND(E17/$U$2*F17,0)</f>
        <v>2500000</v>
      </c>
      <c r="H17" s="145">
        <f>(VLOOKUP(B17,'CC -12'!$B$8:$AS$19,37,0)+VLOOKUP(B17,'CC -12'!$B$8:$AS$19,38,0))</f>
        <v>0</v>
      </c>
      <c r="I17" s="146">
        <f t="shared" ref="I17" si="33">ROUND(E17/$U$2*H17,0)</f>
        <v>0</v>
      </c>
      <c r="J17" s="167">
        <f t="shared" ref="J17:K17" si="34">F17+H17</f>
        <v>27</v>
      </c>
      <c r="K17" s="148">
        <f t="shared" si="34"/>
        <v>2500000</v>
      </c>
      <c r="L17" s="144">
        <f t="shared" ref="L17" si="35">ROUND(F17*20000,0)</f>
        <v>540000</v>
      </c>
      <c r="M17" s="149">
        <f t="shared" ref="M17" si="36">K17+L17</f>
        <v>3040000</v>
      </c>
      <c r="N17" s="149">
        <f>IF(VLOOKUP(B17,DS,9,0)="x",'L - 12'!E17*$N$4,0)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3040000</v>
      </c>
      <c r="R17" s="148">
        <f t="shared" ref="R17" si="40">VLOOKUP(B17,DS,23,0)</f>
        <v>0</v>
      </c>
      <c r="S17" s="150">
        <f t="shared" ref="S17" si="41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540000</v>
      </c>
      <c r="M19" s="163">
        <f t="shared" si="42"/>
        <v>3040000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3040000</v>
      </c>
      <c r="R19" s="163">
        <f t="shared" si="42"/>
        <v>0</v>
      </c>
      <c r="S19" s="163">
        <f t="shared" si="42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2017-02-14T00:39:32Z</cp:lastPrinted>
  <dcterms:created xsi:type="dcterms:W3CDTF">2016-08-06T05:07:50Z</dcterms:created>
  <dcterms:modified xsi:type="dcterms:W3CDTF">2017-02-14T00:40:04Z</dcterms:modified>
</cp:coreProperties>
</file>