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 tabRatio="89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- 1'!$A$6:$AB$8</definedName>
    <definedName name="_xlnm._FilterDatabase" localSheetId="20" hidden="1">'L - 10'!$A$6:$AB$9</definedName>
    <definedName name="_xlnm._FilterDatabase" localSheetId="22" hidden="1">'L - 11'!$A$6:$AB$9</definedName>
    <definedName name="_xlnm._FilterDatabase" localSheetId="24" hidden="1">'L - 12'!$A$6:$AB$9</definedName>
    <definedName name="_xlnm._FilterDatabase" localSheetId="4" hidden="1">'L - 2'!$A$6:$AB$9</definedName>
    <definedName name="_xlnm._FilterDatabase" localSheetId="6" hidden="1">'L - 3'!$A$6:$AB$9</definedName>
    <definedName name="_xlnm._FilterDatabase" localSheetId="8" hidden="1">'L - 4'!$A$6:$AB$9</definedName>
    <definedName name="_xlnm._FilterDatabase" localSheetId="10" hidden="1">'L - 5'!$A$6:$AB$9</definedName>
    <definedName name="_xlnm._FilterDatabase" localSheetId="12" hidden="1">'L - 6'!$A$6:$AB$9</definedName>
    <definedName name="_xlnm._FilterDatabase" localSheetId="14" hidden="1">'L - 7'!$A$6:$AB$9</definedName>
    <definedName name="_xlnm._FilterDatabase" localSheetId="16" hidden="1">'L - 8'!$A$6:$AB$9</definedName>
    <definedName name="_xlnm._FilterDatabase" localSheetId="18" hidden="1">'L - 9'!$A$6:$AB$9</definedName>
    <definedName name="_xlnm._FilterDatabase" localSheetId="0" hidden="1">THL!$A$10:$Z$14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THL!$B$11:$X$19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N15" i="3" l="1"/>
  <c r="M15" i="3"/>
  <c r="L15" i="3"/>
  <c r="L10" i="3"/>
  <c r="M10" i="3"/>
  <c r="N10" i="3"/>
  <c r="L11" i="3"/>
  <c r="M11" i="3"/>
  <c r="N11" i="3"/>
  <c r="N9" i="3"/>
  <c r="M9" i="3"/>
  <c r="L9" i="3"/>
  <c r="N15" i="5"/>
  <c r="M15" i="5"/>
  <c r="L15" i="5"/>
  <c r="L10" i="5"/>
  <c r="M10" i="5"/>
  <c r="N10" i="5"/>
  <c r="L11" i="5"/>
  <c r="M11" i="5"/>
  <c r="N11" i="5"/>
  <c r="N9" i="5"/>
  <c r="M9" i="5"/>
  <c r="L9" i="5"/>
  <c r="N15" i="7"/>
  <c r="M15" i="7"/>
  <c r="L15" i="7"/>
  <c r="L10" i="7"/>
  <c r="M10" i="7"/>
  <c r="N10" i="7"/>
  <c r="L11" i="7"/>
  <c r="M11" i="7"/>
  <c r="N11" i="7"/>
  <c r="N9" i="7"/>
  <c r="M9" i="7"/>
  <c r="L9" i="7"/>
  <c r="A14" i="1"/>
  <c r="C10" i="21" l="1"/>
  <c r="D10" i="21"/>
  <c r="E10" i="21"/>
  <c r="P10" i="21"/>
  <c r="C11" i="21"/>
  <c r="D11" i="21"/>
  <c r="E11" i="21"/>
  <c r="P11" i="21"/>
  <c r="C10" i="19"/>
  <c r="D10" i="19"/>
  <c r="E10" i="19"/>
  <c r="P10" i="19"/>
  <c r="C11" i="19"/>
  <c r="D11" i="19"/>
  <c r="E11" i="19"/>
  <c r="P11" i="19"/>
  <c r="C10" i="17"/>
  <c r="D10" i="17"/>
  <c r="E10" i="17"/>
  <c r="P10" i="17"/>
  <c r="C11" i="17"/>
  <c r="D11" i="17"/>
  <c r="E11" i="17"/>
  <c r="P11" i="17"/>
  <c r="C10" i="13"/>
  <c r="D10" i="13"/>
  <c r="E10" i="13"/>
  <c r="P10" i="13"/>
  <c r="C11" i="13"/>
  <c r="D11" i="13"/>
  <c r="E11" i="13"/>
  <c r="P11" i="13"/>
  <c r="N11" i="13" l="1"/>
  <c r="L11" i="13"/>
  <c r="M11" i="13"/>
  <c r="M10" i="13"/>
  <c r="N10" i="13"/>
  <c r="L10" i="13"/>
  <c r="L11" i="17"/>
  <c r="M11" i="17"/>
  <c r="N11" i="17"/>
  <c r="N10" i="17"/>
  <c r="L10" i="17"/>
  <c r="M10" i="17"/>
  <c r="L11" i="19"/>
  <c r="M11" i="19"/>
  <c r="N11" i="19"/>
  <c r="L10" i="19"/>
  <c r="M10" i="19"/>
  <c r="N10" i="19"/>
  <c r="L11" i="21"/>
  <c r="M11" i="21"/>
  <c r="N11" i="21"/>
  <c r="L10" i="21"/>
  <c r="M10" i="21"/>
  <c r="N10" i="21"/>
  <c r="C10" i="25"/>
  <c r="D10" i="25"/>
  <c r="E10" i="25"/>
  <c r="P10" i="25"/>
  <c r="C11" i="25"/>
  <c r="D11" i="25"/>
  <c r="E11" i="25"/>
  <c r="P11" i="25"/>
  <c r="AL13" i="24"/>
  <c r="D13" i="24"/>
  <c r="C13" i="24"/>
  <c r="AL11" i="24"/>
  <c r="D11" i="24"/>
  <c r="C11" i="24"/>
  <c r="C10" i="23"/>
  <c r="D10" i="23"/>
  <c r="E10" i="23"/>
  <c r="P10" i="23"/>
  <c r="C11" i="23"/>
  <c r="D11" i="23"/>
  <c r="E11" i="23"/>
  <c r="P11" i="23"/>
  <c r="AL13" i="22"/>
  <c r="D13" i="22"/>
  <c r="C13" i="22"/>
  <c r="AL11" i="22"/>
  <c r="D11" i="22"/>
  <c r="C11" i="22"/>
  <c r="AL13" i="20"/>
  <c r="D13" i="20"/>
  <c r="C13" i="20"/>
  <c r="AL11" i="20"/>
  <c r="D11" i="20"/>
  <c r="C11" i="20"/>
  <c r="AL13" i="18"/>
  <c r="D13" i="18"/>
  <c r="C13" i="18"/>
  <c r="AL11" i="18"/>
  <c r="D11" i="18"/>
  <c r="C11" i="18"/>
  <c r="AL13" i="16"/>
  <c r="D13" i="16"/>
  <c r="C13" i="16"/>
  <c r="AL11" i="16"/>
  <c r="D11" i="16"/>
  <c r="C11" i="16"/>
  <c r="C10" i="15"/>
  <c r="D10" i="15"/>
  <c r="E10" i="15"/>
  <c r="P10" i="15"/>
  <c r="C11" i="15"/>
  <c r="D11" i="15"/>
  <c r="E11" i="15"/>
  <c r="P11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L10" i="23" l="1"/>
  <c r="M10" i="23"/>
  <c r="N10" i="23"/>
  <c r="N11" i="25"/>
  <c r="L11" i="25"/>
  <c r="M11" i="25"/>
  <c r="M10" i="25"/>
  <c r="N10" i="25"/>
  <c r="L10" i="25"/>
  <c r="L11" i="15"/>
  <c r="M11" i="15"/>
  <c r="N11" i="15"/>
  <c r="N10" i="15"/>
  <c r="L10" i="15"/>
  <c r="M10" i="15"/>
  <c r="M11" i="23"/>
  <c r="N11" i="23"/>
  <c r="L11" i="23"/>
  <c r="C10" i="11"/>
  <c r="D10" i="11"/>
  <c r="E10" i="11"/>
  <c r="P10" i="11"/>
  <c r="C11" i="11"/>
  <c r="D11" i="11"/>
  <c r="E11" i="11"/>
  <c r="P11" i="11"/>
  <c r="AL13" i="10"/>
  <c r="D13" i="10"/>
  <c r="C13" i="10"/>
  <c r="AL11" i="10"/>
  <c r="D11" i="10"/>
  <c r="C11" i="10"/>
  <c r="C10" i="9"/>
  <c r="D10" i="9"/>
  <c r="E10" i="9"/>
  <c r="P10" i="9"/>
  <c r="C11" i="9"/>
  <c r="D11" i="9"/>
  <c r="E11" i="9"/>
  <c r="P11" i="9"/>
  <c r="AL13" i="8"/>
  <c r="D13" i="8"/>
  <c r="C13" i="8"/>
  <c r="AL11" i="8"/>
  <c r="D11" i="8"/>
  <c r="C11" i="8"/>
  <c r="C10" i="7"/>
  <c r="D10" i="7"/>
  <c r="E10" i="7"/>
  <c r="P10" i="7"/>
  <c r="C11" i="7"/>
  <c r="D11" i="7"/>
  <c r="E11" i="7"/>
  <c r="P11" i="7"/>
  <c r="AL13" i="6"/>
  <c r="D13" i="6"/>
  <c r="C13" i="6"/>
  <c r="AL11" i="6"/>
  <c r="D11" i="6"/>
  <c r="C11" i="6"/>
  <c r="C10" i="5"/>
  <c r="D10" i="5"/>
  <c r="E10" i="5"/>
  <c r="P10" i="5"/>
  <c r="C11" i="5"/>
  <c r="D11" i="5"/>
  <c r="E11" i="5"/>
  <c r="P11" i="5"/>
  <c r="AL13" i="4"/>
  <c r="D13" i="4"/>
  <c r="C13" i="4"/>
  <c r="AL11" i="4"/>
  <c r="D11" i="4"/>
  <c r="C11" i="4"/>
  <c r="C10" i="3"/>
  <c r="D10" i="3"/>
  <c r="E10" i="3"/>
  <c r="P10" i="3"/>
  <c r="C11" i="3"/>
  <c r="D11" i="3"/>
  <c r="E11" i="3"/>
  <c r="P11" i="3"/>
  <c r="AL11" i="2"/>
  <c r="D11" i="2"/>
  <c r="C11" i="2"/>
  <c r="AL13" i="2"/>
  <c r="D13" i="2"/>
  <c r="C13" i="2"/>
  <c r="A12" i="1"/>
  <c r="M11" i="9" l="1"/>
  <c r="N11" i="9"/>
  <c r="L11" i="9"/>
  <c r="N10" i="9"/>
  <c r="L10" i="9"/>
  <c r="M10" i="9"/>
  <c r="N11" i="11"/>
  <c r="L11" i="11"/>
  <c r="M11" i="11"/>
  <c r="L10" i="11"/>
  <c r="M10" i="11"/>
  <c r="N10" i="11"/>
  <c r="C15" i="15"/>
  <c r="D15" i="15"/>
  <c r="E15" i="15"/>
  <c r="P15" i="15"/>
  <c r="AL16" i="14"/>
  <c r="D16" i="14"/>
  <c r="C16" i="14"/>
  <c r="M15" i="15" l="1"/>
  <c r="L15" i="15"/>
  <c r="N15" i="15"/>
  <c r="P15" i="25"/>
  <c r="P17" i="25" s="1"/>
  <c r="E15" i="25"/>
  <c r="D15" i="25"/>
  <c r="C15" i="25"/>
  <c r="P9" i="25"/>
  <c r="P13" i="25" s="1"/>
  <c r="E9" i="25"/>
  <c r="D9" i="25"/>
  <c r="C9" i="25"/>
  <c r="E3" i="25"/>
  <c r="Q19" i="25" s="1"/>
  <c r="AL16" i="24"/>
  <c r="D16" i="24"/>
  <c r="C16" i="24"/>
  <c r="AL9" i="24"/>
  <c r="D9" i="24"/>
  <c r="C9" i="24"/>
  <c r="F5" i="24"/>
  <c r="F6" i="24" s="1"/>
  <c r="S1" i="24"/>
  <c r="P15" i="23"/>
  <c r="P17" i="23" s="1"/>
  <c r="E15" i="23"/>
  <c r="D15" i="23"/>
  <c r="C15" i="23"/>
  <c r="P9" i="23"/>
  <c r="E9" i="23"/>
  <c r="D9" i="23"/>
  <c r="C9" i="23"/>
  <c r="E3" i="23"/>
  <c r="Q19" i="23" s="1"/>
  <c r="AL16" i="22"/>
  <c r="D16" i="22"/>
  <c r="C16" i="22"/>
  <c r="AL9" i="22"/>
  <c r="D9" i="22"/>
  <c r="C9" i="22"/>
  <c r="F5" i="22"/>
  <c r="F6" i="22" s="1"/>
  <c r="S1" i="22"/>
  <c r="F5" i="16"/>
  <c r="C9" i="3"/>
  <c r="D9" i="3"/>
  <c r="E9" i="3"/>
  <c r="P9" i="3"/>
  <c r="E17" i="23" l="1"/>
  <c r="N15" i="23"/>
  <c r="N17" i="23" s="1"/>
  <c r="M15" i="23"/>
  <c r="M17" i="23" s="1"/>
  <c r="L15" i="23"/>
  <c r="E13" i="23"/>
  <c r="L9" i="23"/>
  <c r="L13" i="23" s="1"/>
  <c r="N9" i="23"/>
  <c r="N13" i="23" s="1"/>
  <c r="M9" i="23"/>
  <c r="M13" i="23" s="1"/>
  <c r="E17" i="25"/>
  <c r="N15" i="25"/>
  <c r="N17" i="25" s="1"/>
  <c r="M15" i="25"/>
  <c r="M17" i="25" s="1"/>
  <c r="L15" i="25"/>
  <c r="E13" i="25"/>
  <c r="N9" i="25"/>
  <c r="N13" i="25" s="1"/>
  <c r="M9" i="25"/>
  <c r="M13" i="25" s="1"/>
  <c r="L9" i="25"/>
  <c r="D1" i="25"/>
  <c r="D1" i="23"/>
  <c r="G5" i="24"/>
  <c r="H5" i="24" s="1"/>
  <c r="I5" i="24" s="1"/>
  <c r="G5" i="22"/>
  <c r="H5" i="22" s="1"/>
  <c r="H6" i="22" s="1"/>
  <c r="P13" i="23"/>
  <c r="P15" i="21"/>
  <c r="P17" i="21" s="1"/>
  <c r="E15" i="21"/>
  <c r="D15" i="21"/>
  <c r="C15" i="21"/>
  <c r="P9" i="21"/>
  <c r="P13" i="21" s="1"/>
  <c r="E9" i="21"/>
  <c r="D9" i="21"/>
  <c r="C9" i="21"/>
  <c r="E3" i="21"/>
  <c r="Q19" i="21" s="1"/>
  <c r="AL16" i="20"/>
  <c r="D16" i="20"/>
  <c r="C16" i="20"/>
  <c r="AL9" i="20"/>
  <c r="D9" i="20"/>
  <c r="C9" i="20"/>
  <c r="F5" i="20"/>
  <c r="F6" i="20" s="1"/>
  <c r="S1" i="20"/>
  <c r="P15" i="19"/>
  <c r="P17" i="19" s="1"/>
  <c r="E15" i="19"/>
  <c r="D15" i="19"/>
  <c r="C15" i="19"/>
  <c r="P9" i="19"/>
  <c r="P13" i="19" s="1"/>
  <c r="E9" i="19"/>
  <c r="D9" i="19"/>
  <c r="C9" i="19"/>
  <c r="E3" i="19"/>
  <c r="Q19" i="19" s="1"/>
  <c r="AL16" i="18"/>
  <c r="D16" i="18"/>
  <c r="C16" i="18"/>
  <c r="AL9" i="18"/>
  <c r="D9" i="18"/>
  <c r="C9" i="18"/>
  <c r="F5" i="18"/>
  <c r="F6" i="18" s="1"/>
  <c r="S1" i="18"/>
  <c r="P15" i="17"/>
  <c r="P17" i="17" s="1"/>
  <c r="E15" i="17"/>
  <c r="D15" i="17"/>
  <c r="C15" i="17"/>
  <c r="P9" i="17"/>
  <c r="P13" i="17" s="1"/>
  <c r="E9" i="17"/>
  <c r="D9" i="17"/>
  <c r="C9" i="17"/>
  <c r="E3" i="17"/>
  <c r="Q19" i="17" s="1"/>
  <c r="AL16" i="16"/>
  <c r="D16" i="16"/>
  <c r="C16" i="16"/>
  <c r="AL9" i="16"/>
  <c r="D9" i="16"/>
  <c r="C9" i="16"/>
  <c r="F6" i="16"/>
  <c r="S1" i="16"/>
  <c r="N17" i="15"/>
  <c r="M17" i="15"/>
  <c r="L17" i="15"/>
  <c r="P17" i="15"/>
  <c r="P9" i="15"/>
  <c r="P13" i="15" s="1"/>
  <c r="E9" i="15"/>
  <c r="D9" i="15"/>
  <c r="C9" i="15"/>
  <c r="E3" i="15"/>
  <c r="Q19" i="15" s="1"/>
  <c r="AL9" i="14"/>
  <c r="D9" i="14"/>
  <c r="C9" i="14"/>
  <c r="F5" i="14"/>
  <c r="G5" i="14" s="1"/>
  <c r="S1" i="14"/>
  <c r="P15" i="13"/>
  <c r="P17" i="13" s="1"/>
  <c r="E15" i="13"/>
  <c r="D15" i="13"/>
  <c r="C15" i="13"/>
  <c r="P9" i="13"/>
  <c r="P13" i="13" s="1"/>
  <c r="E9" i="13"/>
  <c r="D9" i="13"/>
  <c r="C9" i="13"/>
  <c r="E3" i="13"/>
  <c r="Q19" i="13" s="1"/>
  <c r="AL16" i="12"/>
  <c r="D16" i="12"/>
  <c r="C16" i="12"/>
  <c r="AL9" i="12"/>
  <c r="D9" i="12"/>
  <c r="C9" i="12"/>
  <c r="F5" i="12"/>
  <c r="G5" i="12" s="1"/>
  <c r="S1" i="12"/>
  <c r="P15" i="11"/>
  <c r="P17" i="11" s="1"/>
  <c r="E15" i="11"/>
  <c r="E17" i="11" s="1"/>
  <c r="D15" i="11"/>
  <c r="C15" i="11"/>
  <c r="P9" i="11"/>
  <c r="P13" i="11" s="1"/>
  <c r="E9" i="11"/>
  <c r="E13" i="11" s="1"/>
  <c r="D9" i="11"/>
  <c r="C9" i="11"/>
  <c r="E3" i="11"/>
  <c r="Q19" i="11" s="1"/>
  <c r="AL16" i="10"/>
  <c r="D16" i="10"/>
  <c r="C16" i="10"/>
  <c r="AL9" i="10"/>
  <c r="D9" i="10"/>
  <c r="C9" i="10"/>
  <c r="F5" i="10"/>
  <c r="F6" i="10" s="1"/>
  <c r="S1" i="10"/>
  <c r="P15" i="9"/>
  <c r="P17" i="9" s="1"/>
  <c r="E15" i="9"/>
  <c r="D15" i="9"/>
  <c r="C15" i="9"/>
  <c r="P9" i="9"/>
  <c r="P13" i="9" s="1"/>
  <c r="E9" i="9"/>
  <c r="D9" i="9"/>
  <c r="C9" i="9"/>
  <c r="E3" i="9"/>
  <c r="Q19" i="9" s="1"/>
  <c r="AL16" i="8"/>
  <c r="D16" i="8"/>
  <c r="C16" i="8"/>
  <c r="AL9" i="8"/>
  <c r="D9" i="8"/>
  <c r="C9" i="8"/>
  <c r="F5" i="8"/>
  <c r="F6" i="8" s="1"/>
  <c r="S1" i="8"/>
  <c r="P15" i="7"/>
  <c r="P17" i="7" s="1"/>
  <c r="N17" i="7"/>
  <c r="M17" i="7"/>
  <c r="E15" i="7"/>
  <c r="D15" i="7"/>
  <c r="C15" i="7"/>
  <c r="P9" i="7"/>
  <c r="P13" i="7" s="1"/>
  <c r="N13" i="7"/>
  <c r="M13" i="7"/>
  <c r="L13" i="7"/>
  <c r="E9" i="7"/>
  <c r="D9" i="7"/>
  <c r="C9" i="7"/>
  <c r="E3" i="7"/>
  <c r="Q19" i="7" s="1"/>
  <c r="AL16" i="6"/>
  <c r="D16" i="6"/>
  <c r="C16" i="6"/>
  <c r="AL9" i="6"/>
  <c r="D9" i="6"/>
  <c r="C9" i="6"/>
  <c r="F5" i="6"/>
  <c r="F6" i="6" s="1"/>
  <c r="S1" i="6"/>
  <c r="P15" i="5"/>
  <c r="P17" i="5" s="1"/>
  <c r="N17" i="5"/>
  <c r="M17" i="5"/>
  <c r="E15" i="5"/>
  <c r="D15" i="5"/>
  <c r="C15" i="5"/>
  <c r="P9" i="5"/>
  <c r="P13" i="5" s="1"/>
  <c r="M13" i="5"/>
  <c r="L13" i="5"/>
  <c r="E9" i="5"/>
  <c r="D9" i="5"/>
  <c r="C9" i="5"/>
  <c r="E3" i="5"/>
  <c r="D1" i="5" s="1"/>
  <c r="AL16" i="4"/>
  <c r="D16" i="4"/>
  <c r="C16" i="4"/>
  <c r="AL9" i="4"/>
  <c r="D9" i="4"/>
  <c r="C9" i="4"/>
  <c r="F5" i="4"/>
  <c r="F6" i="4" s="1"/>
  <c r="S1" i="4"/>
  <c r="P15" i="3"/>
  <c r="P17" i="3" s="1"/>
  <c r="N17" i="3"/>
  <c r="M17" i="3"/>
  <c r="L17" i="3"/>
  <c r="E15" i="3"/>
  <c r="E17" i="3" s="1"/>
  <c r="D15" i="3"/>
  <c r="C15" i="3"/>
  <c r="P13" i="3"/>
  <c r="M13" i="3"/>
  <c r="L13" i="3"/>
  <c r="E13" i="3"/>
  <c r="E3" i="3"/>
  <c r="Q19" i="3" s="1"/>
  <c r="AL16" i="2"/>
  <c r="D16" i="2"/>
  <c r="C16" i="2"/>
  <c r="AL9" i="2"/>
  <c r="D9" i="2"/>
  <c r="C9" i="2"/>
  <c r="F5" i="2"/>
  <c r="G5" i="2" s="1"/>
  <c r="S1" i="2"/>
  <c r="M74" i="1"/>
  <c r="N104" i="1" s="1"/>
  <c r="M73" i="1"/>
  <c r="N102" i="1" s="1"/>
  <c r="M72" i="1"/>
  <c r="N100" i="1" s="1"/>
  <c r="M71" i="1"/>
  <c r="N98" i="1" s="1"/>
  <c r="M70" i="1"/>
  <c r="N96" i="1" s="1"/>
  <c r="M69" i="1"/>
  <c r="N94" i="1" s="1"/>
  <c r="M68" i="1"/>
  <c r="N92" i="1" s="1"/>
  <c r="M67" i="1"/>
  <c r="N90" i="1" s="1"/>
  <c r="M66" i="1"/>
  <c r="N88" i="1" s="1"/>
  <c r="M65" i="1"/>
  <c r="N86" i="1" s="1"/>
  <c r="M64" i="1"/>
  <c r="N84" i="1" s="1"/>
  <c r="M63" i="1"/>
  <c r="N82" i="1" s="1"/>
  <c r="M62" i="1"/>
  <c r="N80" i="1" s="1"/>
  <c r="M61" i="1"/>
  <c r="N78" i="1" s="1"/>
  <c r="M60" i="1"/>
  <c r="N76" i="1" s="1"/>
  <c r="M59" i="1"/>
  <c r="N74" i="1" s="1"/>
  <c r="M58" i="1"/>
  <c r="N72" i="1" s="1"/>
  <c r="M57" i="1"/>
  <c r="N70" i="1" s="1"/>
  <c r="M56" i="1"/>
  <c r="N68" i="1" s="1"/>
  <c r="M55" i="1"/>
  <c r="N66" i="1" s="1"/>
  <c r="M54" i="1"/>
  <c r="N64" i="1" s="1"/>
  <c r="M53" i="1"/>
  <c r="N62" i="1" s="1"/>
  <c r="M52" i="1"/>
  <c r="N60" i="1" s="1"/>
  <c r="M51" i="1"/>
  <c r="N58" i="1" s="1"/>
  <c r="M50" i="1"/>
  <c r="N56" i="1" s="1"/>
  <c r="M49" i="1"/>
  <c r="N54" i="1" s="1"/>
  <c r="M48" i="1"/>
  <c r="N52" i="1" s="1"/>
  <c r="M47" i="1"/>
  <c r="N50" i="1" s="1"/>
  <c r="M46" i="1"/>
  <c r="N48" i="1" s="1"/>
  <c r="M45" i="1"/>
  <c r="N46" i="1" s="1"/>
  <c r="M44" i="1"/>
  <c r="N44" i="1" s="1"/>
  <c r="K22" i="1"/>
  <c r="K23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U17" i="1"/>
  <c r="T17" i="1"/>
  <c r="S17" i="1"/>
  <c r="R17" i="1"/>
  <c r="Q17" i="1"/>
  <c r="P17" i="1"/>
  <c r="O17" i="1"/>
  <c r="N17" i="1"/>
  <c r="M17" i="1"/>
  <c r="L17" i="1"/>
  <c r="K17" i="1"/>
  <c r="J17" i="1"/>
  <c r="H17" i="1"/>
  <c r="G17" i="1"/>
  <c r="F17" i="1"/>
  <c r="E17" i="1"/>
  <c r="A16" i="1"/>
  <c r="A15" i="1"/>
  <c r="A13" i="1"/>
  <c r="A11" i="1"/>
  <c r="A6" i="1"/>
  <c r="E17" i="9" l="1"/>
  <c r="N15" i="9"/>
  <c r="M15" i="9"/>
  <c r="M17" i="9" s="1"/>
  <c r="L15" i="9"/>
  <c r="L17" i="9" s="1"/>
  <c r="E13" i="9"/>
  <c r="M9" i="9"/>
  <c r="M13" i="9" s="1"/>
  <c r="L9" i="9"/>
  <c r="L13" i="9" s="1"/>
  <c r="N9" i="9"/>
  <c r="N13" i="9" s="1"/>
  <c r="M15" i="11"/>
  <c r="M17" i="11" s="1"/>
  <c r="L15" i="11"/>
  <c r="L17" i="11" s="1"/>
  <c r="N15" i="11"/>
  <c r="N17" i="11" s="1"/>
  <c r="E13" i="13"/>
  <c r="N9" i="13"/>
  <c r="N13" i="13" s="1"/>
  <c r="M9" i="13"/>
  <c r="M13" i="13" s="1"/>
  <c r="L9" i="13"/>
  <c r="N9" i="15"/>
  <c r="N13" i="15" s="1"/>
  <c r="M9" i="15"/>
  <c r="M13" i="15" s="1"/>
  <c r="L9" i="15"/>
  <c r="L13" i="25"/>
  <c r="L17" i="25"/>
  <c r="L17" i="23"/>
  <c r="L9" i="11"/>
  <c r="L13" i="11" s="1"/>
  <c r="N9" i="11"/>
  <c r="N13" i="11" s="1"/>
  <c r="M9" i="11"/>
  <c r="M13" i="11" s="1"/>
  <c r="E13" i="21"/>
  <c r="M9" i="21"/>
  <c r="M13" i="21" s="1"/>
  <c r="L9" i="21"/>
  <c r="L13" i="21" s="1"/>
  <c r="N9" i="21"/>
  <c r="N13" i="21" s="1"/>
  <c r="M9" i="19"/>
  <c r="M13" i="19" s="1"/>
  <c r="L9" i="19"/>
  <c r="N9" i="19"/>
  <c r="N13" i="19" s="1"/>
  <c r="L15" i="19"/>
  <c r="N15" i="19"/>
  <c r="N17" i="19" s="1"/>
  <c r="M15" i="19"/>
  <c r="M17" i="19" s="1"/>
  <c r="E17" i="13"/>
  <c r="N15" i="13"/>
  <c r="N17" i="13" s="1"/>
  <c r="M15" i="13"/>
  <c r="M17" i="13" s="1"/>
  <c r="L15" i="13"/>
  <c r="E13" i="17"/>
  <c r="N9" i="17"/>
  <c r="N13" i="17" s="1"/>
  <c r="M9" i="17"/>
  <c r="M13" i="17" s="1"/>
  <c r="L9" i="17"/>
  <c r="E17" i="17"/>
  <c r="M15" i="17"/>
  <c r="M17" i="17" s="1"/>
  <c r="L15" i="17"/>
  <c r="N15" i="17"/>
  <c r="N17" i="17" s="1"/>
  <c r="E17" i="21"/>
  <c r="L15" i="21"/>
  <c r="L17" i="21" s="1"/>
  <c r="N15" i="21"/>
  <c r="N17" i="21" s="1"/>
  <c r="M15" i="21"/>
  <c r="M17" i="21" s="1"/>
  <c r="L17" i="5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7"/>
  <c r="N17" i="9"/>
  <c r="G5" i="8"/>
  <c r="G6" i="8" s="1"/>
  <c r="D1" i="7"/>
  <c r="N13" i="3"/>
  <c r="G6" i="2"/>
  <c r="H5" i="2"/>
  <c r="D1" i="3"/>
  <c r="F6" i="2"/>
  <c r="H5" i="14"/>
  <c r="G6" i="14"/>
  <c r="G6" i="12"/>
  <c r="H5" i="12"/>
  <c r="F6" i="14"/>
  <c r="D1" i="15"/>
  <c r="E17" i="15"/>
  <c r="E13" i="15"/>
  <c r="G5" i="20"/>
  <c r="D1" i="21"/>
  <c r="E13" i="19"/>
  <c r="E17" i="19"/>
  <c r="G5" i="10"/>
  <c r="D1" i="11"/>
  <c r="N13" i="5"/>
  <c r="I5" i="4"/>
  <c r="G5" i="6"/>
  <c r="E13" i="5"/>
  <c r="E17" i="5"/>
  <c r="Q19" i="5"/>
  <c r="D1" i="9"/>
  <c r="E13" i="7"/>
  <c r="E17" i="7"/>
  <c r="L17" i="19" l="1"/>
  <c r="L13" i="17"/>
  <c r="L17" i="13"/>
  <c r="L13" i="13"/>
  <c r="L13" i="19"/>
  <c r="L13" i="15"/>
  <c r="L17" i="17"/>
  <c r="J5" i="22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G6" i="10"/>
  <c r="H5" i="10"/>
  <c r="H5" i="6"/>
  <c r="G6" i="6"/>
  <c r="I6" i="4"/>
  <c r="J5" i="4"/>
  <c r="H6" i="18" l="1"/>
  <c r="H6" i="8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K11" i="22" l="1"/>
  <c r="AM11" i="22"/>
  <c r="H10" i="23" s="1"/>
  <c r="AM13" i="22"/>
  <c r="H11" i="23" s="1"/>
  <c r="AK13" i="22"/>
  <c r="AM13" i="24"/>
  <c r="H11" i="25" s="1"/>
  <c r="AK11" i="24"/>
  <c r="F10" i="25" s="1"/>
  <c r="AM11" i="24"/>
  <c r="H10" i="25" s="1"/>
  <c r="AK13" i="24"/>
  <c r="AM9" i="24"/>
  <c r="H9" i="25" s="1"/>
  <c r="AK9" i="24"/>
  <c r="AK16" i="24"/>
  <c r="AM16" i="24"/>
  <c r="H15" i="25" s="1"/>
  <c r="AM9" i="22"/>
  <c r="H9" i="23" s="1"/>
  <c r="AK9" i="22"/>
  <c r="AM16" i="22"/>
  <c r="H15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3" i="24" l="1"/>
  <c r="F11" i="25"/>
  <c r="J10" i="25"/>
  <c r="AN13" i="22"/>
  <c r="F11" i="23"/>
  <c r="AN11" i="22"/>
  <c r="F10" i="23"/>
  <c r="AN11" i="24"/>
  <c r="AM11" i="4"/>
  <c r="H10" i="5" s="1"/>
  <c r="AK11" i="4"/>
  <c r="AK13" i="4"/>
  <c r="AM13" i="4"/>
  <c r="H11" i="5" s="1"/>
  <c r="AN9" i="24"/>
  <c r="F9" i="25"/>
  <c r="S2" i="25"/>
  <c r="AN16" i="24"/>
  <c r="F15" i="25"/>
  <c r="F15" i="23"/>
  <c r="AN16" i="22"/>
  <c r="S2" i="23"/>
  <c r="F9" i="23"/>
  <c r="AN9" i="22"/>
  <c r="AI6" i="2"/>
  <c r="AJ5" i="2"/>
  <c r="AJ6" i="2" s="1"/>
  <c r="AM9" i="2"/>
  <c r="H9" i="3" s="1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9" i="5" s="1"/>
  <c r="AM16" i="4"/>
  <c r="H15" i="5" s="1"/>
  <c r="AK9" i="4"/>
  <c r="AK16" i="4"/>
  <c r="AH6" i="6"/>
  <c r="AI5" i="6"/>
  <c r="AI6" i="8"/>
  <c r="AJ5" i="8"/>
  <c r="AJ6" i="8" s="1"/>
  <c r="J11" i="25" l="1"/>
  <c r="J10" i="23"/>
  <c r="J11" i="23"/>
  <c r="AM13" i="18"/>
  <c r="H11" i="19" s="1"/>
  <c r="AK13" i="18"/>
  <c r="AM11" i="18"/>
  <c r="H10" i="19" s="1"/>
  <c r="AK11" i="18"/>
  <c r="AK11" i="16"/>
  <c r="AM11" i="16"/>
  <c r="H10" i="17" s="1"/>
  <c r="AK13" i="16"/>
  <c r="AM13" i="16"/>
  <c r="H11" i="17" s="1"/>
  <c r="AN13" i="4"/>
  <c r="F11" i="5"/>
  <c r="AN11" i="4"/>
  <c r="F10" i="5"/>
  <c r="G11" i="25"/>
  <c r="G10" i="25"/>
  <c r="I11" i="25"/>
  <c r="I10" i="25"/>
  <c r="I10" i="23"/>
  <c r="I11" i="23"/>
  <c r="G11" i="23"/>
  <c r="G10" i="23"/>
  <c r="J15" i="23"/>
  <c r="J9" i="25"/>
  <c r="J9" i="23"/>
  <c r="J15" i="25"/>
  <c r="AK16" i="14"/>
  <c r="AK11" i="14"/>
  <c r="F10" i="15" s="1"/>
  <c r="AM16" i="14"/>
  <c r="H15" i="15" s="1"/>
  <c r="AM11" i="14"/>
  <c r="H10" i="15" s="1"/>
  <c r="AM13" i="14"/>
  <c r="H11" i="15" s="1"/>
  <c r="AK13" i="14"/>
  <c r="F11" i="15" s="1"/>
  <c r="AK11" i="12"/>
  <c r="AM13" i="12"/>
  <c r="H11" i="13" s="1"/>
  <c r="AK13" i="12"/>
  <c r="AM11" i="12"/>
  <c r="H10" i="13" s="1"/>
  <c r="AK11" i="8"/>
  <c r="F10" i="9" s="1"/>
  <c r="AM13" i="8"/>
  <c r="H11" i="9" s="1"/>
  <c r="AM11" i="8"/>
  <c r="H10" i="9" s="1"/>
  <c r="AK13" i="8"/>
  <c r="AK11" i="2"/>
  <c r="F10" i="3" s="1"/>
  <c r="AM13" i="2"/>
  <c r="H11" i="3" s="1"/>
  <c r="AM11" i="2"/>
  <c r="H10" i="3" s="1"/>
  <c r="AK13" i="2"/>
  <c r="G9" i="25"/>
  <c r="G15" i="25"/>
  <c r="I9" i="25"/>
  <c r="I15" i="25"/>
  <c r="G9" i="23"/>
  <c r="G15" i="23"/>
  <c r="I15" i="23"/>
  <c r="I9" i="23"/>
  <c r="F15" i="3"/>
  <c r="AM16" i="2"/>
  <c r="H15" i="3" s="1"/>
  <c r="AK9" i="2"/>
  <c r="F9" i="3" s="1"/>
  <c r="J9" i="3" s="1"/>
  <c r="AI6" i="20"/>
  <c r="AJ5" i="20"/>
  <c r="AJ6" i="20" s="1"/>
  <c r="AM16" i="16"/>
  <c r="H15" i="17" s="1"/>
  <c r="AK16" i="16"/>
  <c r="AK9" i="16"/>
  <c r="AM9" i="16"/>
  <c r="H9" i="17" s="1"/>
  <c r="AK9" i="12"/>
  <c r="AM9" i="12"/>
  <c r="H9" i="13" s="1"/>
  <c r="AM16" i="12"/>
  <c r="H15" i="13" s="1"/>
  <c r="AK16" i="12"/>
  <c r="AK9" i="18"/>
  <c r="AM9" i="18"/>
  <c r="H9" i="19" s="1"/>
  <c r="AM16" i="18"/>
  <c r="H15" i="19" s="1"/>
  <c r="AK16" i="18"/>
  <c r="AK9" i="14"/>
  <c r="AM9" i="14"/>
  <c r="H9" i="15" s="1"/>
  <c r="AI6" i="10"/>
  <c r="AJ5" i="10"/>
  <c r="AJ6" i="10" s="1"/>
  <c r="AI6" i="6"/>
  <c r="AK16" i="8"/>
  <c r="AM9" i="8"/>
  <c r="H9" i="9" s="1"/>
  <c r="AM16" i="8"/>
  <c r="H15" i="9" s="1"/>
  <c r="AK9" i="8"/>
  <c r="AN16" i="4"/>
  <c r="F15" i="5"/>
  <c r="AN9" i="4"/>
  <c r="F9" i="5"/>
  <c r="S2" i="5"/>
  <c r="AK11" i="20" l="1"/>
  <c r="AM13" i="20"/>
  <c r="H11" i="21" s="1"/>
  <c r="AK13" i="20"/>
  <c r="AM11" i="20"/>
  <c r="H10" i="21" s="1"/>
  <c r="AN13" i="18"/>
  <c r="F11" i="19"/>
  <c r="F10" i="19"/>
  <c r="AN11" i="18"/>
  <c r="AN13" i="16"/>
  <c r="F11" i="17"/>
  <c r="F10" i="17"/>
  <c r="AN11" i="16"/>
  <c r="J11" i="15"/>
  <c r="J10" i="15"/>
  <c r="AN11" i="12"/>
  <c r="F10" i="13"/>
  <c r="AN13" i="12"/>
  <c r="F11" i="13"/>
  <c r="J10" i="5"/>
  <c r="J11" i="5"/>
  <c r="K10" i="23"/>
  <c r="K10" i="25"/>
  <c r="K11" i="25"/>
  <c r="K11" i="23"/>
  <c r="AN11" i="14"/>
  <c r="AN13" i="14"/>
  <c r="AN16" i="14"/>
  <c r="F15" i="15"/>
  <c r="AN13" i="2"/>
  <c r="F11" i="3"/>
  <c r="J10" i="3"/>
  <c r="AN13" i="8"/>
  <c r="F11" i="9"/>
  <c r="J10" i="9"/>
  <c r="AM13" i="10"/>
  <c r="H11" i="11" s="1"/>
  <c r="AK11" i="10"/>
  <c r="F10" i="11" s="1"/>
  <c r="AM11" i="10"/>
  <c r="H10" i="11" s="1"/>
  <c r="AK13" i="10"/>
  <c r="AN11" i="8"/>
  <c r="AK11" i="6"/>
  <c r="F10" i="7" s="1"/>
  <c r="AK13" i="6"/>
  <c r="F11" i="7" s="1"/>
  <c r="AM11" i="6"/>
  <c r="H10" i="7" s="1"/>
  <c r="AM13" i="6"/>
  <c r="H11" i="7" s="1"/>
  <c r="J15" i="5"/>
  <c r="G11" i="5"/>
  <c r="G10" i="5"/>
  <c r="I10" i="5"/>
  <c r="I11" i="5"/>
  <c r="J9" i="5"/>
  <c r="AN11" i="2"/>
  <c r="I17" i="25"/>
  <c r="K15" i="25"/>
  <c r="I13" i="25"/>
  <c r="G17" i="25"/>
  <c r="K9" i="25"/>
  <c r="O9" i="25" s="1"/>
  <c r="G13" i="25"/>
  <c r="I13" i="23"/>
  <c r="I17" i="23"/>
  <c r="K9" i="23"/>
  <c r="O9" i="23" s="1"/>
  <c r="G13" i="23"/>
  <c r="G17" i="23"/>
  <c r="K15" i="23"/>
  <c r="AN16" i="2"/>
  <c r="AN9" i="2"/>
  <c r="J15" i="3"/>
  <c r="S2" i="3"/>
  <c r="F15" i="17"/>
  <c r="AN16" i="16"/>
  <c r="AN16" i="18"/>
  <c r="F15" i="19"/>
  <c r="F9" i="15"/>
  <c r="S2" i="15"/>
  <c r="AN9" i="14"/>
  <c r="S2" i="19"/>
  <c r="F9" i="19"/>
  <c r="AN9" i="18"/>
  <c r="AN16" i="12"/>
  <c r="F15" i="13"/>
  <c r="F9" i="17"/>
  <c r="AN9" i="16"/>
  <c r="S2" i="17"/>
  <c r="AM9" i="20"/>
  <c r="H9" i="21" s="1"/>
  <c r="AK9" i="20"/>
  <c r="AK16" i="20"/>
  <c r="AM16" i="20"/>
  <c r="H15" i="21" s="1"/>
  <c r="F9" i="13"/>
  <c r="S2" i="13"/>
  <c r="AN9" i="12"/>
  <c r="AK9" i="10"/>
  <c r="AM16" i="10"/>
  <c r="H15" i="11" s="1"/>
  <c r="AK16" i="10"/>
  <c r="AM9" i="10"/>
  <c r="H9" i="11" s="1"/>
  <c r="G9" i="5"/>
  <c r="G15" i="5"/>
  <c r="I15" i="5"/>
  <c r="I9" i="5"/>
  <c r="F15" i="9"/>
  <c r="AN16" i="8"/>
  <c r="F9" i="9"/>
  <c r="AN9" i="8"/>
  <c r="S2" i="9"/>
  <c r="AK9" i="6"/>
  <c r="AK16" i="6"/>
  <c r="AM9" i="6"/>
  <c r="H9" i="7" s="1"/>
  <c r="AM16" i="6"/>
  <c r="H15" i="7" s="1"/>
  <c r="O15" i="25" l="1"/>
  <c r="Q15" i="25" s="1"/>
  <c r="O11" i="23"/>
  <c r="Q11" i="23" s="1"/>
  <c r="O11" i="25"/>
  <c r="Q11" i="25" s="1"/>
  <c r="O15" i="23"/>
  <c r="Q15" i="23" s="1"/>
  <c r="O10" i="25"/>
  <c r="Q10" i="25" s="1"/>
  <c r="O10" i="23"/>
  <c r="Q10" i="23" s="1"/>
  <c r="AN13" i="20"/>
  <c r="F11" i="21"/>
  <c r="F10" i="21"/>
  <c r="AN11" i="20"/>
  <c r="J11" i="19"/>
  <c r="S12" i="19"/>
  <c r="J10" i="19"/>
  <c r="J11" i="17"/>
  <c r="G11" i="17"/>
  <c r="G10" i="17"/>
  <c r="I11" i="17"/>
  <c r="I10" i="17"/>
  <c r="J10" i="17"/>
  <c r="J11" i="13"/>
  <c r="J10" i="13"/>
  <c r="I11" i="13"/>
  <c r="G11" i="13"/>
  <c r="I10" i="13"/>
  <c r="G10" i="13"/>
  <c r="I11" i="9"/>
  <c r="J11" i="7"/>
  <c r="J10" i="7"/>
  <c r="I11" i="19"/>
  <c r="G11" i="19"/>
  <c r="G10" i="19"/>
  <c r="I10" i="19"/>
  <c r="J9" i="13"/>
  <c r="J15" i="13"/>
  <c r="J15" i="19"/>
  <c r="J15" i="15"/>
  <c r="K11" i="5"/>
  <c r="J9" i="17"/>
  <c r="J9" i="19"/>
  <c r="J9" i="15"/>
  <c r="J15" i="17"/>
  <c r="G11" i="15"/>
  <c r="I11" i="15"/>
  <c r="G10" i="15"/>
  <c r="I10" i="15"/>
  <c r="J11" i="3"/>
  <c r="I10" i="9"/>
  <c r="J9" i="9"/>
  <c r="J15" i="9"/>
  <c r="J11" i="9"/>
  <c r="G10" i="9"/>
  <c r="G11" i="9"/>
  <c r="AN13" i="10"/>
  <c r="F11" i="11"/>
  <c r="J10" i="11"/>
  <c r="AN11" i="10"/>
  <c r="AN13" i="6"/>
  <c r="AN11" i="6"/>
  <c r="K10" i="5"/>
  <c r="I11" i="3"/>
  <c r="G10" i="3"/>
  <c r="G11" i="3"/>
  <c r="I10" i="3"/>
  <c r="I15" i="15"/>
  <c r="G15" i="15"/>
  <c r="K17" i="25"/>
  <c r="K13" i="25"/>
  <c r="K17" i="23"/>
  <c r="K13" i="23"/>
  <c r="G9" i="3"/>
  <c r="I9" i="3"/>
  <c r="I13" i="5"/>
  <c r="I15" i="3"/>
  <c r="G15" i="3"/>
  <c r="G15" i="19"/>
  <c r="G9" i="19"/>
  <c r="I15" i="19"/>
  <c r="I9" i="19"/>
  <c r="I15" i="13"/>
  <c r="G9" i="13"/>
  <c r="I9" i="13"/>
  <c r="G15" i="13"/>
  <c r="F15" i="21"/>
  <c r="AN16" i="20"/>
  <c r="F9" i="21"/>
  <c r="AN9" i="20"/>
  <c r="S2" i="21"/>
  <c r="I9" i="15"/>
  <c r="G9" i="15"/>
  <c r="G15" i="17"/>
  <c r="G9" i="17"/>
  <c r="I15" i="17"/>
  <c r="I9" i="17"/>
  <c r="F15" i="11"/>
  <c r="AN16" i="10"/>
  <c r="F9" i="11"/>
  <c r="AN9" i="10"/>
  <c r="S2" i="11"/>
  <c r="F15" i="7"/>
  <c r="AN16" i="6"/>
  <c r="I17" i="5"/>
  <c r="G13" i="5"/>
  <c r="K9" i="5"/>
  <c r="O9" i="5" s="1"/>
  <c r="S2" i="7"/>
  <c r="F9" i="7"/>
  <c r="AN9" i="6"/>
  <c r="G9" i="9"/>
  <c r="G15" i="9"/>
  <c r="I15" i="9"/>
  <c r="I9" i="9"/>
  <c r="I13" i="9" s="1"/>
  <c r="G17" i="5"/>
  <c r="K15" i="5"/>
  <c r="O15" i="5" s="1"/>
  <c r="O11" i="5" l="1"/>
  <c r="Q11" i="5" s="1"/>
  <c r="O10" i="5"/>
  <c r="Q10" i="5" s="1"/>
  <c r="J11" i="21"/>
  <c r="I10" i="21"/>
  <c r="G11" i="21"/>
  <c r="G10" i="21"/>
  <c r="I11" i="21"/>
  <c r="J10" i="21"/>
  <c r="K10" i="17"/>
  <c r="K11" i="17"/>
  <c r="K10" i="13"/>
  <c r="O10" i="13" s="1"/>
  <c r="Q10" i="13" s="1"/>
  <c r="K11" i="13"/>
  <c r="K11" i="9"/>
  <c r="K9" i="3"/>
  <c r="O9" i="3" s="1"/>
  <c r="Q9" i="3" s="1"/>
  <c r="K10" i="19"/>
  <c r="K11" i="19"/>
  <c r="K10" i="15"/>
  <c r="G11" i="7"/>
  <c r="I10" i="7"/>
  <c r="G10" i="7"/>
  <c r="I11" i="7"/>
  <c r="K11" i="3"/>
  <c r="J15" i="7"/>
  <c r="J15" i="21"/>
  <c r="K11" i="15"/>
  <c r="J9" i="7"/>
  <c r="J9" i="21"/>
  <c r="K10" i="9"/>
  <c r="J11" i="11"/>
  <c r="J9" i="11"/>
  <c r="J15" i="11"/>
  <c r="I11" i="11"/>
  <c r="G11" i="11"/>
  <c r="G10" i="11"/>
  <c r="I10" i="11"/>
  <c r="K10" i="3"/>
  <c r="K15" i="15"/>
  <c r="K15" i="17"/>
  <c r="I13" i="17"/>
  <c r="I13" i="3"/>
  <c r="G13" i="3"/>
  <c r="G17" i="3"/>
  <c r="K15" i="3"/>
  <c r="O15" i="3" s="1"/>
  <c r="I17" i="3"/>
  <c r="G13" i="17"/>
  <c r="K9" i="17"/>
  <c r="O9" i="17" s="1"/>
  <c r="G17" i="15"/>
  <c r="G13" i="19"/>
  <c r="K9" i="19"/>
  <c r="O9" i="19" s="1"/>
  <c r="I17" i="15"/>
  <c r="G15" i="21"/>
  <c r="I15" i="21"/>
  <c r="I9" i="21"/>
  <c r="G9" i="21"/>
  <c r="G13" i="13"/>
  <c r="K9" i="13"/>
  <c r="O9" i="13" s="1"/>
  <c r="G17" i="19"/>
  <c r="G13" i="15"/>
  <c r="K9" i="15"/>
  <c r="O9" i="15" s="1"/>
  <c r="K15" i="13"/>
  <c r="O15" i="13" s="1"/>
  <c r="G17" i="13"/>
  <c r="I17" i="19"/>
  <c r="G17" i="17"/>
  <c r="I17" i="17"/>
  <c r="I13" i="15"/>
  <c r="I13" i="13"/>
  <c r="I17" i="13"/>
  <c r="I13" i="19"/>
  <c r="K15" i="19"/>
  <c r="I15" i="11"/>
  <c r="G9" i="11"/>
  <c r="G15" i="11"/>
  <c r="I9" i="11"/>
  <c r="I17" i="9"/>
  <c r="K9" i="9"/>
  <c r="O9" i="9" s="1"/>
  <c r="G13" i="9"/>
  <c r="K15" i="9"/>
  <c r="O15" i="9" s="1"/>
  <c r="G17" i="9"/>
  <c r="K13" i="5"/>
  <c r="I9" i="7"/>
  <c r="G9" i="7"/>
  <c r="I15" i="7"/>
  <c r="G15" i="7"/>
  <c r="K17" i="5"/>
  <c r="O11" i="19" l="1"/>
  <c r="Q11" i="19" s="1"/>
  <c r="O15" i="19"/>
  <c r="Q15" i="19" s="1"/>
  <c r="O15" i="15"/>
  <c r="Q15" i="15" s="1"/>
  <c r="O11" i="15"/>
  <c r="Q11" i="15" s="1"/>
  <c r="O10" i="15"/>
  <c r="Q10" i="15" s="1"/>
  <c r="O11" i="17"/>
  <c r="Q11" i="17" s="1"/>
  <c r="O10" i="17"/>
  <c r="Q10" i="17" s="1"/>
  <c r="O11" i="13"/>
  <c r="Q11" i="13" s="1"/>
  <c r="O10" i="19"/>
  <c r="Q10" i="19" s="1"/>
  <c r="O15" i="17"/>
  <c r="Q15" i="17" s="1"/>
  <c r="K11" i="21"/>
  <c r="K10" i="21"/>
  <c r="O11" i="9"/>
  <c r="Q11" i="9" s="1"/>
  <c r="O10" i="9"/>
  <c r="Q10" i="9" s="1"/>
  <c r="O10" i="3"/>
  <c r="Q10" i="3" s="1"/>
  <c r="O11" i="3"/>
  <c r="Q11" i="3" s="1"/>
  <c r="K11" i="7"/>
  <c r="K10" i="7"/>
  <c r="K10" i="11"/>
  <c r="K11" i="11"/>
  <c r="O17" i="25"/>
  <c r="Q17" i="25"/>
  <c r="Q9" i="25"/>
  <c r="Q13" i="25" s="1"/>
  <c r="O13" i="25"/>
  <c r="Q17" i="23"/>
  <c r="O17" i="23"/>
  <c r="Q9" i="23"/>
  <c r="Q13" i="23" s="1"/>
  <c r="O13" i="23"/>
  <c r="I17" i="21"/>
  <c r="I13" i="11"/>
  <c r="K17" i="3"/>
  <c r="K13" i="3"/>
  <c r="K17" i="17"/>
  <c r="K17" i="19"/>
  <c r="K9" i="21"/>
  <c r="O9" i="21" s="1"/>
  <c r="G13" i="21"/>
  <c r="K17" i="15"/>
  <c r="K13" i="15"/>
  <c r="I13" i="21"/>
  <c r="K13" i="13"/>
  <c r="K13" i="19"/>
  <c r="K13" i="17"/>
  <c r="K17" i="13"/>
  <c r="G17" i="21"/>
  <c r="K15" i="21"/>
  <c r="K9" i="11"/>
  <c r="O9" i="11" s="1"/>
  <c r="G13" i="11"/>
  <c r="I17" i="11"/>
  <c r="K15" i="11"/>
  <c r="O15" i="11" s="1"/>
  <c r="G17" i="11"/>
  <c r="G13" i="7"/>
  <c r="K9" i="7"/>
  <c r="O9" i="7" s="1"/>
  <c r="I17" i="7"/>
  <c r="K13" i="9"/>
  <c r="G17" i="7"/>
  <c r="K15" i="7"/>
  <c r="O15" i="7" s="1"/>
  <c r="I13" i="7"/>
  <c r="K17" i="9"/>
  <c r="O11" i="7" l="1"/>
  <c r="Q11" i="7" s="1"/>
  <c r="O10" i="7"/>
  <c r="Q10" i="7" s="1"/>
  <c r="O15" i="21"/>
  <c r="Q15" i="21" s="1"/>
  <c r="O10" i="21"/>
  <c r="Q10" i="21" s="1"/>
  <c r="O11" i="21"/>
  <c r="Q11" i="21" s="1"/>
  <c r="O11" i="11"/>
  <c r="Q11" i="11" s="1"/>
  <c r="O10" i="11"/>
  <c r="Q10" i="11" s="1"/>
  <c r="Q13" i="3"/>
  <c r="K17" i="21"/>
  <c r="K13" i="21"/>
  <c r="K17" i="11"/>
  <c r="K13" i="11"/>
  <c r="K17" i="7"/>
  <c r="O13" i="5"/>
  <c r="Q9" i="5"/>
  <c r="Q13" i="5" s="1"/>
  <c r="K13" i="7"/>
  <c r="O17" i="5"/>
  <c r="Q15" i="5"/>
  <c r="Q17" i="5" s="1"/>
  <c r="O17" i="3" l="1"/>
  <c r="Q15" i="3"/>
  <c r="Q17" i="3" s="1"/>
  <c r="O13" i="3"/>
  <c r="O13" i="13"/>
  <c r="Q9" i="13"/>
  <c r="Q13" i="13" s="1"/>
  <c r="O13" i="17"/>
  <c r="Q9" i="17"/>
  <c r="Q13" i="17" s="1"/>
  <c r="Q15" i="13"/>
  <c r="Q17" i="13" s="1"/>
  <c r="O17" i="13"/>
  <c r="O17" i="19"/>
  <c r="Q17" i="19"/>
  <c r="O17" i="15"/>
  <c r="Q17" i="15"/>
  <c r="O13" i="15"/>
  <c r="Q9" i="15"/>
  <c r="Q13" i="15" s="1"/>
  <c r="O17" i="17"/>
  <c r="Q17" i="17"/>
  <c r="O13" i="19"/>
  <c r="Q9" i="19"/>
  <c r="Q13" i="19" s="1"/>
  <c r="Q9" i="9"/>
  <c r="Q13" i="9" s="1"/>
  <c r="O13" i="9"/>
  <c r="Q15" i="9"/>
  <c r="Q17" i="9" s="1"/>
  <c r="O17" i="9"/>
  <c r="T12" i="19" l="1"/>
  <c r="Q9" i="21"/>
  <c r="Q13" i="21" s="1"/>
  <c r="O13" i="21"/>
  <c r="Q17" i="21"/>
  <c r="O17" i="21"/>
  <c r="Q15" i="11"/>
  <c r="Q17" i="11" s="1"/>
  <c r="O17" i="11"/>
  <c r="Q9" i="11"/>
  <c r="Q13" i="11" s="1"/>
  <c r="O13" i="11"/>
  <c r="O17" i="7"/>
  <c r="Q15" i="7"/>
  <c r="Q17" i="7" s="1"/>
  <c r="O13" i="7"/>
  <c r="Q9" i="7"/>
  <c r="Q13" i="7" s="1"/>
</calcChain>
</file>

<file path=xl/sharedStrings.xml><?xml version="1.0" encoding="utf-8"?>
<sst xmlns="http://schemas.openxmlformats.org/spreadsheetml/2006/main" count="1135" uniqueCount="173">
  <si>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</si>
  <si>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</si>
  <si>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</si>
  <si>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</si>
  <si>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</si>
  <si>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</si>
  <si>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</si>
  <si>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</si>
  <si>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</si>
  <si>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</si>
  <si>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</si>
  <si>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</si>
  <si>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</si>
  <si>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</si>
  <si>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</si>
  <si>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</si>
  <si>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</si>
  <si>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</si>
  <si>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</si>
  <si>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</si>
  <si>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</si>
  <si>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</si>
  <si>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</si>
  <si>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</si>
  <si>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</si>
  <si>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</si>
  <si>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</si>
  <si>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</si>
  <si>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</si>
  <si>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</si>
  <si>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</si>
  <si>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</si>
  <si>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</si>
  <si>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</si>
  <si>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</si>
  <si>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</si>
  <si>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</si>
  <si>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</si>
  <si>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</si>
  <si>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</si>
  <si>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</si>
  <si>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</si>
  <si>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</si>
  <si>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</si>
  <si>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</si>
  <si>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</si>
  <si>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</si>
  <si>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</si>
  <si>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</si>
  <si>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</si>
  <si>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</si>
  <si>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</si>
  <si>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</si>
  <si>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</si>
  <si>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</si>
  <si>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</si>
  <si>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</si>
  <si>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</si>
  <si>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</si>
  <si>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</si>
  <si>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</si>
  <si>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</si>
  <si>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</si>
  <si>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</si>
  <si>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</si>
  <si>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</si>
  <si>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</si>
  <si>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</si>
  <si>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</si>
  <si>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</si>
  <si>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</si>
  <si>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</si>
  <si>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</si>
  <si>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</si>
  <si>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</si>
  <si>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</si>
  <si>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</si>
  <si>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</si>
  <si>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</si>
  <si>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</si>
  <si>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</si>
  <si>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</si>
  <si>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</si>
  <si>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</si>
  <si>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</si>
  <si>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</si>
  <si>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</si>
  <si>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</si>
  <si>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</si>
  <si>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</si>
  <si>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</si>
  <si>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</si>
  <si>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</si>
  <si>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</si>
  <si>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</si>
  <si>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</si>
  <si>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</si>
  <si>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</si>
  <si>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</si>
  <si>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</si>
  <si>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</si>
  <si>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</si>
  <si>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</si>
  <si>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</si>
  <si>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</si>
  <si>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</si>
  <si>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</si>
  <si>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</si>
  <si>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</si>
  <si>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</si>
  <si>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</si>
  <si>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</si>
  <si>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</si>
  <si>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</si>
  <si>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</si>
  <si>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</si>
  <si>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</si>
  <si>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</si>
  <si>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</si>
  <si>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</si>
  <si>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</si>
  <si>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</si>
  <si>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</si>
  <si>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</si>
  <si>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</si>
  <si>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</si>
  <si>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</si>
  <si>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</si>
  <si>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</si>
  <si>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</si>
  <si>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</si>
  <si>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</si>
  <si>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</si>
  <si>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</si>
  <si>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</si>
  <si>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</si>
  <si>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</si>
  <si>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</si>
  <si>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</si>
  <si>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</si>
  <si>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</si>
  <si>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</si>
  <si>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</si>
  <si>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</si>
  <si>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</si>
  <si>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</si>
  <si>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</si>
  <si>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</si>
  <si>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</si>
  <si>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</si>
  <si>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</si>
  <si>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</si>
  <si>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</si>
  <si>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</si>
  <si>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</si>
  <si>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</si>
  <si>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</si>
  <si>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</si>
  <si>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</si>
  <si>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</si>
  <si>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</si>
  <si>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</si>
  <si>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</si>
  <si>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</si>
  <si>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</si>
  <si>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</si>
  <si>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</si>
  <si>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</si>
  <si>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</si>
  <si>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</si>
  <si>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</si>
  <si>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Thạch Huy Chạch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</si>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</sst>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5"/>
  <sheetViews>
    <sheetView tabSelected="1" topLeftCell="A8" workbookViewId="0">
      <pane ySplit="3" topLeftCell="A11" activePane="bottomLeft" state="frozen"/>
      <selection activeCell="E19" sqref="E19"/>
      <selection pane="bottomLeft" activeCell="M11" sqref="M11:M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customWidth="1"/>
    <col min="7" max="7" width="9.7109375" style="4" customWidth="1"/>
    <col min="8" max="8" width="9.7109375" style="4" hidden="1" customWidth="1"/>
    <col min="9" max="12" width="10.5703125" style="2" hidden="1" customWidth="1"/>
    <col min="13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197" t="s">
        <v>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</row>
    <row r="6" spans="1:26" ht="23.25" customHeight="1">
      <c r="A6" s="198" t="str">
        <f>"Tháng "&amp;'CC -1'!C4&amp;" năm 2011"</f>
        <v>Tháng  năm 2011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199" t="s">
        <v>3</v>
      </c>
      <c r="B8" s="199" t="s">
        <v>4</v>
      </c>
      <c r="C8" s="199" t="s">
        <v>5</v>
      </c>
      <c r="D8" s="199" t="s">
        <v>6</v>
      </c>
      <c r="E8" s="200" t="s">
        <v>7</v>
      </c>
      <c r="F8" s="201"/>
      <c r="G8" s="204" t="s">
        <v>8</v>
      </c>
      <c r="H8" s="204"/>
      <c r="I8" s="204" t="s">
        <v>9</v>
      </c>
      <c r="J8" s="204" t="s">
        <v>10</v>
      </c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5" t="s">
        <v>11</v>
      </c>
      <c r="W8" s="205" t="s">
        <v>12</v>
      </c>
      <c r="X8" s="205" t="s">
        <v>13</v>
      </c>
      <c r="Y8" s="9"/>
      <c r="Z8" s="9"/>
    </row>
    <row r="9" spans="1:26" s="1" customFormat="1" ht="20.25" customHeight="1">
      <c r="A9" s="199"/>
      <c r="B9" s="199"/>
      <c r="C9" s="199"/>
      <c r="D9" s="199"/>
      <c r="E9" s="202"/>
      <c r="F9" s="203"/>
      <c r="G9" s="10" t="s">
        <v>14</v>
      </c>
      <c r="H9" s="10" t="s">
        <v>15</v>
      </c>
      <c r="I9" s="204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6"/>
      <c r="W9" s="206"/>
      <c r="X9" s="206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6" si="0">IF(B11&lt;&gt;"",ROW()-10,"")</f>
        <v>1</v>
      </c>
      <c r="B11" s="12" t="s">
        <v>28</v>
      </c>
      <c r="C11" s="16" t="s">
        <v>169</v>
      </c>
      <c r="D11" s="12" t="s">
        <v>166</v>
      </c>
      <c r="E11" s="13">
        <v>3750000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 t="s">
        <v>172</v>
      </c>
      <c r="O11" s="17" t="s">
        <v>172</v>
      </c>
      <c r="P11" s="17" t="s">
        <v>172</v>
      </c>
      <c r="Q11" s="17" t="s">
        <v>172</v>
      </c>
      <c r="R11" s="17" t="s">
        <v>172</v>
      </c>
      <c r="S11" s="17" t="s">
        <v>172</v>
      </c>
      <c r="T11" s="17" t="s">
        <v>172</v>
      </c>
      <c r="U11" s="17" t="s">
        <v>172</v>
      </c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164</v>
      </c>
      <c r="C12" s="16" t="s">
        <v>165</v>
      </c>
      <c r="D12" s="12" t="s">
        <v>29</v>
      </c>
      <c r="E12" s="13">
        <v>3750000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 t="s">
        <v>172</v>
      </c>
      <c r="O12" s="17" t="s">
        <v>172</v>
      </c>
      <c r="P12" s="17" t="s">
        <v>172</v>
      </c>
      <c r="Q12" s="17" t="s">
        <v>172</v>
      </c>
      <c r="R12" s="17" t="s">
        <v>172</v>
      </c>
      <c r="S12" s="17" t="s">
        <v>172</v>
      </c>
      <c r="T12" s="17" t="s">
        <v>172</v>
      </c>
      <c r="U12" s="17" t="s">
        <v>172</v>
      </c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167</v>
      </c>
      <c r="C13" s="22" t="s">
        <v>170</v>
      </c>
      <c r="D13" s="15" t="s">
        <v>168</v>
      </c>
      <c r="E13" s="17">
        <v>3500000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 t="s">
        <v>172</v>
      </c>
      <c r="O13" s="17" t="s">
        <v>172</v>
      </c>
      <c r="P13" s="17" t="s">
        <v>172</v>
      </c>
      <c r="Q13" s="17" t="s">
        <v>172</v>
      </c>
      <c r="R13" s="17" t="s">
        <v>172</v>
      </c>
      <c r="S13" s="17" t="s">
        <v>172</v>
      </c>
      <c r="T13" s="17" t="s">
        <v>172</v>
      </c>
      <c r="U13" s="17" t="s">
        <v>172</v>
      </c>
      <c r="V13" s="17"/>
      <c r="W13" s="17"/>
      <c r="X13" s="17"/>
      <c r="Y13" s="18"/>
      <c r="Z13" s="19"/>
    </row>
    <row r="14" spans="1:26" s="20" customFormat="1" ht="21.75" customHeight="1">
      <c r="A14" s="15">
        <f>IF(B14&lt;&gt;"",ROW()-10,"")</f>
        <v>4</v>
      </c>
      <c r="B14" s="21" t="s">
        <v>30</v>
      </c>
      <c r="C14" s="22" t="s">
        <v>171</v>
      </c>
      <c r="D14" s="15" t="s">
        <v>31</v>
      </c>
      <c r="E14" s="17">
        <v>3500000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 t="s">
        <v>172</v>
      </c>
      <c r="O14" s="17" t="s">
        <v>172</v>
      </c>
      <c r="P14" s="17" t="s">
        <v>172</v>
      </c>
      <c r="Q14" s="17" t="s">
        <v>172</v>
      </c>
      <c r="R14" s="17" t="s">
        <v>172</v>
      </c>
      <c r="S14" s="17" t="s">
        <v>172</v>
      </c>
      <c r="T14" s="17" t="s">
        <v>172</v>
      </c>
      <c r="U14" s="17" t="s">
        <v>172</v>
      </c>
      <c r="V14" s="17"/>
      <c r="W14" s="17"/>
      <c r="X14" s="17"/>
      <c r="Y14" s="18"/>
      <c r="Z14" s="19"/>
    </row>
    <row r="15" spans="1:26" ht="21.75" customHeight="1">
      <c r="A15" s="12" t="str">
        <f t="shared" si="0"/>
        <v/>
      </c>
      <c r="B15" s="23"/>
      <c r="C15" s="24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9"/>
    </row>
    <row r="16" spans="1:26" ht="21.75" customHeight="1">
      <c r="A16" s="12" t="str">
        <f t="shared" si="0"/>
        <v/>
      </c>
      <c r="B16" s="27"/>
      <c r="C16" s="28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9"/>
    </row>
    <row r="17" spans="1:25" ht="21.75" customHeight="1">
      <c r="A17" s="207" t="s">
        <v>32</v>
      </c>
      <c r="B17" s="208"/>
      <c r="C17" s="208"/>
      <c r="D17" s="31" t="s">
        <v>33</v>
      </c>
      <c r="E17" s="32">
        <f>SUM(E11:E16)</f>
        <v>14500000</v>
      </c>
      <c r="F17" s="32">
        <f>SUM(F11:F16)</f>
        <v>0</v>
      </c>
      <c r="G17" s="32">
        <f>SUM(G11:G16)</f>
        <v>1040000</v>
      </c>
      <c r="H17" s="32">
        <f>SUM(H11:H16)</f>
        <v>0</v>
      </c>
      <c r="I17" s="32"/>
      <c r="J17" s="32">
        <f t="shared" ref="J17:U17" si="2">SUMIF(J$11:J$16,"x",$E$11:$E$16)</f>
        <v>0</v>
      </c>
      <c r="K17" s="32">
        <f t="shared" si="2"/>
        <v>0</v>
      </c>
      <c r="L17" s="32">
        <f t="shared" si="2"/>
        <v>0</v>
      </c>
      <c r="M17" s="32">
        <f t="shared" si="2"/>
        <v>0</v>
      </c>
      <c r="N17" s="32">
        <f t="shared" si="2"/>
        <v>14500000</v>
      </c>
      <c r="O17" s="32">
        <f t="shared" si="2"/>
        <v>14500000</v>
      </c>
      <c r="P17" s="32">
        <f t="shared" si="2"/>
        <v>14500000</v>
      </c>
      <c r="Q17" s="32">
        <f t="shared" si="2"/>
        <v>14500000</v>
      </c>
      <c r="R17" s="32">
        <f t="shared" si="2"/>
        <v>14500000</v>
      </c>
      <c r="S17" s="32">
        <f t="shared" si="2"/>
        <v>14500000</v>
      </c>
      <c r="T17" s="32">
        <f t="shared" si="2"/>
        <v>14500000</v>
      </c>
      <c r="U17" s="32">
        <f t="shared" si="2"/>
        <v>14500000</v>
      </c>
      <c r="V17" s="32"/>
      <c r="W17" s="32"/>
      <c r="X17" s="32"/>
      <c r="Y17" s="9"/>
    </row>
    <row r="18" spans="1:25" ht="21.75" customHeight="1">
      <c r="A18" s="209"/>
      <c r="B18" s="210"/>
      <c r="C18" s="210"/>
      <c r="D18" s="31" t="s">
        <v>34</v>
      </c>
      <c r="E18" s="32"/>
      <c r="F18" s="32"/>
      <c r="G18" s="32"/>
      <c r="H18" s="32"/>
      <c r="I18" s="32"/>
      <c r="J18" s="32">
        <f t="array" ref="J18">SUM((J$11:J$16="x")*1)</f>
        <v>0</v>
      </c>
      <c r="K18" s="32">
        <f t="array" ref="K18">SUM((K$11:K$16="x")*1)</f>
        <v>0</v>
      </c>
      <c r="L18" s="32">
        <f t="array" ref="L18">SUM((L$11:L$16="x")*1)</f>
        <v>0</v>
      </c>
      <c r="M18" s="32">
        <f t="array" ref="M18">SUM((M$11:M$16="x")*1)</f>
        <v>0</v>
      </c>
      <c r="N18" s="32">
        <f t="array" ref="N18">SUM((N$11:N$16="x")*1)</f>
        <v>4</v>
      </c>
      <c r="O18" s="32">
        <f t="array" ref="O18">SUM((O$11:O$16="x")*1)</f>
        <v>4</v>
      </c>
      <c r="P18" s="32">
        <f t="array" ref="P18">SUM((P$11:P$16="x")*1)</f>
        <v>4</v>
      </c>
      <c r="Q18" s="32">
        <f t="array" ref="Q18">SUM((Q$11:Q$16="x")*1)</f>
        <v>4</v>
      </c>
      <c r="R18" s="32">
        <f t="array" ref="R18">SUM((R$11:R$16="x")*1)</f>
        <v>4</v>
      </c>
      <c r="S18" s="32">
        <f t="array" ref="S18">SUM((S$11:S$16="x")*1)</f>
        <v>4</v>
      </c>
      <c r="T18" s="32">
        <f t="array" ref="T18">SUM((T$11:T$16="x")*1)</f>
        <v>4</v>
      </c>
      <c r="U18" s="32">
        <f t="array" ref="U18">SUM((U$11:U$16="x")*1)</f>
        <v>4</v>
      </c>
      <c r="V18" s="32"/>
      <c r="W18" s="32"/>
      <c r="X18" s="32"/>
      <c r="Y18" s="9"/>
    </row>
    <row r="19" spans="1:25" ht="21.75" customHeight="1">
      <c r="A19" s="211"/>
      <c r="B19" s="212"/>
      <c r="C19" s="212"/>
      <c r="D19" s="31" t="s">
        <v>35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9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 t="s">
        <v>36</v>
      </c>
      <c r="X21" s="34"/>
    </row>
    <row r="22" spans="1:25" ht="16.5" customHeight="1">
      <c r="A22" s="33"/>
      <c r="B22" s="33"/>
      <c r="C22" s="36" t="s">
        <v>37</v>
      </c>
      <c r="D22" s="37"/>
      <c r="E22" s="38"/>
      <c r="F22" s="39"/>
      <c r="G22" s="39"/>
      <c r="H22" s="39"/>
      <c r="I22" s="40"/>
      <c r="J22" s="40">
        <v>8278</v>
      </c>
      <c r="K22" s="41" t="e">
        <f>#REF!/27/8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 t="s">
        <v>38</v>
      </c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 t="e">
        <f>J22/K22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s="3" customFormat="1">
      <c r="A28" s="43"/>
      <c r="B28" s="43"/>
      <c r="C28" s="44" t="s">
        <v>39</v>
      </c>
      <c r="D28" s="37"/>
      <c r="E28" s="38"/>
      <c r="F28" s="39"/>
      <c r="G28" s="39"/>
      <c r="H28" s="39"/>
      <c r="I28" s="40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/>
    </row>
    <row r="29" spans="1:25" s="3" customFormat="1" ht="9" customHeight="1">
      <c r="A29" s="2"/>
      <c r="B29" s="2"/>
      <c r="C29" s="48"/>
      <c r="D29" s="48"/>
      <c r="E29" s="38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50"/>
      <c r="X29" s="50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44" spans="3:14">
      <c r="C44" s="51"/>
      <c r="G44" s="22" t="s">
        <v>40</v>
      </c>
      <c r="J44" s="2" t="s">
        <v>41</v>
      </c>
      <c r="K44" s="2" t="s">
        <v>40</v>
      </c>
      <c r="M44" s="2" t="str">
        <f>VLOOKUP(K44,$G$44:$J$103,4,0)</f>
        <v>ALTP001</v>
      </c>
      <c r="N44" s="196" t="str">
        <f>M44</f>
        <v>ALTP001</v>
      </c>
    </row>
    <row r="45" spans="3:14">
      <c r="C45" s="51"/>
      <c r="G45" s="22" t="s">
        <v>42</v>
      </c>
      <c r="J45" s="2" t="s">
        <v>43</v>
      </c>
      <c r="K45" s="2" t="s">
        <v>42</v>
      </c>
      <c r="M45" s="2" t="str">
        <f t="shared" ref="M45:M74" si="3">VLOOKUP(K45,$G$44:$J$103,4,0)</f>
        <v>ALTP002</v>
      </c>
      <c r="N45" s="196"/>
    </row>
    <row r="46" spans="3:14">
      <c r="C46" s="51"/>
      <c r="G46" s="22" t="s">
        <v>44</v>
      </c>
      <c r="J46" s="2" t="s">
        <v>45</v>
      </c>
      <c r="K46" s="2" t="s">
        <v>44</v>
      </c>
      <c r="M46" s="2" t="str">
        <f t="shared" si="3"/>
        <v>ALTP003</v>
      </c>
      <c r="N46" s="196" t="str">
        <f>M45</f>
        <v>ALTP002</v>
      </c>
    </row>
    <row r="47" spans="3:14">
      <c r="C47" s="51"/>
      <c r="G47" s="22" t="s">
        <v>46</v>
      </c>
      <c r="J47" s="2" t="s">
        <v>47</v>
      </c>
      <c r="K47" s="2" t="s">
        <v>46</v>
      </c>
      <c r="M47" s="2" t="str">
        <f t="shared" si="3"/>
        <v>ALTP004</v>
      </c>
      <c r="N47" s="196"/>
    </row>
    <row r="48" spans="3:14">
      <c r="C48" s="51"/>
      <c r="G48" s="22" t="s">
        <v>48</v>
      </c>
      <c r="J48" s="2" t="s">
        <v>49</v>
      </c>
      <c r="K48" s="2" t="s">
        <v>48</v>
      </c>
      <c r="M48" s="2" t="str">
        <f t="shared" si="3"/>
        <v>ALTP005</v>
      </c>
      <c r="N48" s="196" t="str">
        <f>M46</f>
        <v>ALTP003</v>
      </c>
    </row>
    <row r="49" spans="3:14">
      <c r="C49" s="51"/>
      <c r="G49" s="22" t="s">
        <v>50</v>
      </c>
      <c r="J49" s="2" t="s">
        <v>51</v>
      </c>
      <c r="K49" s="2" t="s">
        <v>50</v>
      </c>
      <c r="M49" s="2" t="str">
        <f t="shared" si="3"/>
        <v>ALTP006</v>
      </c>
      <c r="N49" s="196"/>
    </row>
    <row r="50" spans="3:14">
      <c r="C50" s="51"/>
      <c r="G50" s="22" t="s">
        <v>52</v>
      </c>
      <c r="J50" s="2" t="s">
        <v>53</v>
      </c>
      <c r="K50" s="2" t="s">
        <v>52</v>
      </c>
      <c r="M50" s="2" t="str">
        <f t="shared" si="3"/>
        <v>ALTP007</v>
      </c>
      <c r="N50" s="196" t="str">
        <f>M47</f>
        <v>ALTP004</v>
      </c>
    </row>
    <row r="51" spans="3:14">
      <c r="C51" s="51"/>
      <c r="G51" s="22" t="s">
        <v>54</v>
      </c>
      <c r="J51" s="2" t="s">
        <v>55</v>
      </c>
      <c r="K51" s="2" t="s">
        <v>54</v>
      </c>
      <c r="M51" s="2" t="str">
        <f t="shared" si="3"/>
        <v>ALTP008</v>
      </c>
      <c r="N51" s="196"/>
    </row>
    <row r="52" spans="3:14">
      <c r="C52" s="51"/>
      <c r="G52" s="22" t="s">
        <v>56</v>
      </c>
      <c r="J52" s="2" t="s">
        <v>57</v>
      </c>
      <c r="K52" s="2" t="s">
        <v>56</v>
      </c>
      <c r="M52" s="2" t="str">
        <f t="shared" si="3"/>
        <v>ALTP009</v>
      </c>
      <c r="N52" s="196" t="str">
        <f>M48</f>
        <v>ALTP005</v>
      </c>
    </row>
    <row r="53" spans="3:14">
      <c r="C53" s="51"/>
      <c r="G53" s="22" t="s">
        <v>58</v>
      </c>
      <c r="J53" s="2" t="s">
        <v>59</v>
      </c>
      <c r="K53" s="2" t="s">
        <v>58</v>
      </c>
      <c r="M53" s="2" t="str">
        <f t="shared" si="3"/>
        <v>ALTP010</v>
      </c>
      <c r="N53" s="196"/>
    </row>
    <row r="54" spans="3:14">
      <c r="C54" s="51"/>
      <c r="G54" s="22" t="s">
        <v>60</v>
      </c>
      <c r="J54" s="2" t="s">
        <v>61</v>
      </c>
      <c r="K54" s="2" t="s">
        <v>60</v>
      </c>
      <c r="M54" s="2" t="str">
        <f t="shared" si="3"/>
        <v>ALTP011</v>
      </c>
      <c r="N54" s="196" t="str">
        <f>M49</f>
        <v>ALTP006</v>
      </c>
    </row>
    <row r="55" spans="3:14">
      <c r="C55" s="51"/>
      <c r="G55" s="22" t="s">
        <v>62</v>
      </c>
      <c r="J55" s="2" t="s">
        <v>63</v>
      </c>
      <c r="K55" s="2" t="s">
        <v>64</v>
      </c>
      <c r="M55" s="2" t="str">
        <f t="shared" si="3"/>
        <v>ALTP013</v>
      </c>
      <c r="N55" s="196"/>
    </row>
    <row r="56" spans="3:14">
      <c r="C56" s="51"/>
      <c r="G56" s="22" t="s">
        <v>64</v>
      </c>
      <c r="J56" s="2" t="s">
        <v>65</v>
      </c>
      <c r="K56" s="2" t="s">
        <v>66</v>
      </c>
      <c r="M56" s="2" t="str">
        <f t="shared" si="3"/>
        <v>ALTP014</v>
      </c>
      <c r="N56" s="196" t="str">
        <f>M50</f>
        <v>ALTP007</v>
      </c>
    </row>
    <row r="57" spans="3:14">
      <c r="C57" s="51"/>
      <c r="G57" s="22" t="s">
        <v>66</v>
      </c>
      <c r="J57" s="2" t="s">
        <v>67</v>
      </c>
      <c r="K57" s="2" t="s">
        <v>68</v>
      </c>
      <c r="M57" s="2" t="str">
        <f t="shared" si="3"/>
        <v>ALTP015</v>
      </c>
      <c r="N57" s="196"/>
    </row>
    <row r="58" spans="3:14">
      <c r="C58" s="51"/>
      <c r="G58" s="22" t="s">
        <v>68</v>
      </c>
      <c r="J58" s="2" t="s">
        <v>69</v>
      </c>
      <c r="K58" s="2" t="s">
        <v>70</v>
      </c>
      <c r="M58" s="2" t="str">
        <f t="shared" si="3"/>
        <v>ALTP016</v>
      </c>
      <c r="N58" s="196" t="str">
        <f>M51</f>
        <v>ALTP008</v>
      </c>
    </row>
    <row r="59" spans="3:14">
      <c r="C59" s="51"/>
      <c r="G59" s="22" t="s">
        <v>70</v>
      </c>
      <c r="J59" s="2" t="s">
        <v>71</v>
      </c>
      <c r="K59" s="2" t="s">
        <v>72</v>
      </c>
      <c r="M59" s="2" t="str">
        <f t="shared" si="3"/>
        <v>ALTP017</v>
      </c>
      <c r="N59" s="196"/>
    </row>
    <row r="60" spans="3:14">
      <c r="C60" s="51"/>
      <c r="G60" s="22" t="s">
        <v>72</v>
      </c>
      <c r="J60" s="2" t="s">
        <v>73</v>
      </c>
      <c r="K60" s="2" t="s">
        <v>74</v>
      </c>
      <c r="M60" s="2" t="str">
        <f t="shared" si="3"/>
        <v>ALTP018</v>
      </c>
      <c r="N60" s="196" t="str">
        <f>M52</f>
        <v>ALTP009</v>
      </c>
    </row>
    <row r="61" spans="3:14">
      <c r="C61" s="51"/>
      <c r="G61" s="22" t="s">
        <v>74</v>
      </c>
      <c r="J61" s="2" t="s">
        <v>75</v>
      </c>
      <c r="K61" s="2" t="s">
        <v>76</v>
      </c>
      <c r="M61" s="2" t="str">
        <f t="shared" si="3"/>
        <v>ALTP019</v>
      </c>
      <c r="N61" s="196"/>
    </row>
    <row r="62" spans="3:14">
      <c r="C62" s="51"/>
      <c r="G62" s="22" t="s">
        <v>76</v>
      </c>
      <c r="J62" s="2" t="s">
        <v>77</v>
      </c>
      <c r="K62" s="2" t="s">
        <v>78</v>
      </c>
      <c r="M62" s="2" t="str">
        <f t="shared" si="3"/>
        <v>ALTP020</v>
      </c>
      <c r="N62" s="196" t="str">
        <f>M53</f>
        <v>ALTP010</v>
      </c>
    </row>
    <row r="63" spans="3:14">
      <c r="C63" s="51"/>
      <c r="G63" s="22" t="s">
        <v>78</v>
      </c>
      <c r="J63" s="2" t="s">
        <v>79</v>
      </c>
      <c r="K63" s="2" t="s">
        <v>80</v>
      </c>
      <c r="M63" s="2" t="str">
        <f t="shared" si="3"/>
        <v>ALTP025</v>
      </c>
      <c r="N63" s="196"/>
    </row>
    <row r="64" spans="3:14">
      <c r="C64" s="51"/>
      <c r="G64" s="22" t="s">
        <v>81</v>
      </c>
      <c r="J64" s="2" t="s">
        <v>82</v>
      </c>
      <c r="K64" s="2" t="s">
        <v>83</v>
      </c>
      <c r="M64" s="2" t="str">
        <f t="shared" si="3"/>
        <v>ALTP027</v>
      </c>
      <c r="N64" s="196" t="str">
        <f>M54</f>
        <v>ALTP011</v>
      </c>
    </row>
    <row r="65" spans="3:14">
      <c r="C65" s="51"/>
      <c r="G65" s="22" t="s">
        <v>84</v>
      </c>
      <c r="J65" s="2" t="s">
        <v>85</v>
      </c>
      <c r="K65" s="2" t="s">
        <v>86</v>
      </c>
      <c r="M65" s="2" t="str">
        <f t="shared" si="3"/>
        <v>ALTN001</v>
      </c>
      <c r="N65" s="196"/>
    </row>
    <row r="66" spans="3:14">
      <c r="C66" s="51"/>
      <c r="G66" s="22" t="s">
        <v>83</v>
      </c>
      <c r="J66" s="2" t="s">
        <v>87</v>
      </c>
      <c r="K66" s="2" t="s">
        <v>88</v>
      </c>
      <c r="M66" s="2" t="str">
        <f t="shared" si="3"/>
        <v>ALTN002</v>
      </c>
      <c r="N66" s="196" t="str">
        <f>M55</f>
        <v>ALTP013</v>
      </c>
    </row>
    <row r="67" spans="3:14">
      <c r="C67" s="51"/>
      <c r="G67" s="2" t="s">
        <v>89</v>
      </c>
      <c r="J67" s="2" t="s">
        <v>90</v>
      </c>
      <c r="K67" s="2" t="s">
        <v>91</v>
      </c>
      <c r="M67" s="2" t="str">
        <f t="shared" si="3"/>
        <v>ALTN003</v>
      </c>
      <c r="N67" s="196"/>
    </row>
    <row r="68" spans="3:14">
      <c r="C68" s="51"/>
      <c r="G68" s="2" t="s">
        <v>92</v>
      </c>
      <c r="J68" s="2" t="s">
        <v>93</v>
      </c>
      <c r="K68" s="2" t="s">
        <v>94</v>
      </c>
      <c r="M68" s="2" t="str">
        <f t="shared" si="3"/>
        <v>ALTN004</v>
      </c>
      <c r="N68" s="196" t="str">
        <f>M56</f>
        <v>ALTP014</v>
      </c>
    </row>
    <row r="69" spans="3:14">
      <c r="C69" s="51"/>
      <c r="G69" s="2" t="s">
        <v>80</v>
      </c>
      <c r="J69" s="2" t="s">
        <v>95</v>
      </c>
      <c r="K69" s="2" t="s">
        <v>96</v>
      </c>
      <c r="M69" s="2" t="str">
        <f t="shared" si="3"/>
        <v>ALTN006</v>
      </c>
      <c r="N69" s="196"/>
    </row>
    <row r="70" spans="3:14">
      <c r="C70" s="51"/>
      <c r="G70" s="2" t="s">
        <v>97</v>
      </c>
      <c r="J70" s="2" t="s">
        <v>98</v>
      </c>
      <c r="K70" s="2" t="s">
        <v>99</v>
      </c>
      <c r="M70" s="2" t="str">
        <f t="shared" si="3"/>
        <v>ALTN007</v>
      </c>
      <c r="N70" s="196" t="str">
        <f>M57</f>
        <v>ALTP015</v>
      </c>
    </row>
    <row r="71" spans="3:14">
      <c r="C71" s="51"/>
      <c r="G71" s="2" t="s">
        <v>86</v>
      </c>
      <c r="J71" s="2" t="s">
        <v>100</v>
      </c>
      <c r="K71" s="2" t="s">
        <v>101</v>
      </c>
      <c r="M71" s="2" t="str">
        <f t="shared" si="3"/>
        <v>ALTN008</v>
      </c>
      <c r="N71" s="196"/>
    </row>
    <row r="72" spans="3:14">
      <c r="C72" s="51"/>
      <c r="G72" s="2" t="s">
        <v>88</v>
      </c>
      <c r="J72" s="2" t="s">
        <v>102</v>
      </c>
      <c r="K72" s="2" t="s">
        <v>103</v>
      </c>
      <c r="M72" s="2" t="str">
        <f t="shared" si="3"/>
        <v>ALTN009</v>
      </c>
      <c r="N72" s="196" t="str">
        <f>M58</f>
        <v>ALTP016</v>
      </c>
    </row>
    <row r="73" spans="3:14">
      <c r="C73" s="51"/>
      <c r="G73" s="2" t="s">
        <v>91</v>
      </c>
      <c r="J73" s="2" t="s">
        <v>104</v>
      </c>
      <c r="K73" s="2" t="s">
        <v>105</v>
      </c>
      <c r="M73" s="2" t="str">
        <f t="shared" si="3"/>
        <v>ALTN010</v>
      </c>
      <c r="N73" s="196"/>
    </row>
    <row r="74" spans="3:14">
      <c r="C74" s="51"/>
      <c r="G74" s="2" t="s">
        <v>94</v>
      </c>
      <c r="J74" s="2" t="s">
        <v>106</v>
      </c>
      <c r="K74" s="2" t="s">
        <v>107</v>
      </c>
      <c r="M74" s="2" t="str">
        <f t="shared" si="3"/>
        <v>ALTN011</v>
      </c>
      <c r="N74" s="196" t="str">
        <f>M59</f>
        <v>ALTP017</v>
      </c>
    </row>
    <row r="75" spans="3:14">
      <c r="C75" s="51"/>
      <c r="G75" s="2" t="s">
        <v>108</v>
      </c>
      <c r="J75" s="2" t="s">
        <v>109</v>
      </c>
      <c r="N75" s="196"/>
    </row>
    <row r="76" spans="3:14">
      <c r="C76" s="51"/>
      <c r="G76" s="4" t="s">
        <v>96</v>
      </c>
      <c r="J76" s="2" t="s">
        <v>110</v>
      </c>
      <c r="N76" s="196" t="str">
        <f>M60</f>
        <v>ALTP018</v>
      </c>
    </row>
    <row r="77" spans="3:14">
      <c r="C77" s="51"/>
      <c r="G77" s="4" t="s">
        <v>99</v>
      </c>
      <c r="J77" s="2" t="s">
        <v>111</v>
      </c>
      <c r="N77" s="196"/>
    </row>
    <row r="78" spans="3:14">
      <c r="C78" s="51"/>
      <c r="G78" s="4" t="s">
        <v>101</v>
      </c>
      <c r="J78" s="2" t="s">
        <v>112</v>
      </c>
      <c r="N78" s="196" t="str">
        <f>M61</f>
        <v>ALTP019</v>
      </c>
    </row>
    <row r="79" spans="3:14">
      <c r="C79" s="51"/>
      <c r="G79" s="4" t="s">
        <v>103</v>
      </c>
      <c r="J79" s="2" t="s">
        <v>113</v>
      </c>
      <c r="N79" s="196"/>
    </row>
    <row r="80" spans="3:14">
      <c r="C80" s="51"/>
      <c r="G80" s="4" t="s">
        <v>105</v>
      </c>
      <c r="J80" s="2" t="s">
        <v>114</v>
      </c>
      <c r="N80" s="196" t="str">
        <f>M62</f>
        <v>ALTP020</v>
      </c>
    </row>
    <row r="81" spans="3:14">
      <c r="C81" s="51"/>
      <c r="G81" s="4" t="s">
        <v>107</v>
      </c>
      <c r="J81" s="2" t="s">
        <v>115</v>
      </c>
      <c r="N81" s="196"/>
    </row>
    <row r="82" spans="3:14">
      <c r="C82" s="51"/>
      <c r="N82" s="196" t="str">
        <f>M63</f>
        <v>ALTP025</v>
      </c>
    </row>
    <row r="83" spans="3:14">
      <c r="C83" s="51"/>
      <c r="N83" s="196"/>
    </row>
    <row r="84" spans="3:14">
      <c r="C84" s="51"/>
      <c r="N84" s="196" t="str">
        <f>M64</f>
        <v>ALTP027</v>
      </c>
    </row>
    <row r="85" spans="3:14">
      <c r="C85" s="51"/>
      <c r="N85" s="196"/>
    </row>
    <row r="86" spans="3:14">
      <c r="C86" s="51"/>
      <c r="N86" s="196" t="str">
        <f>M65</f>
        <v>ALTN001</v>
      </c>
    </row>
    <row r="87" spans="3:14">
      <c r="C87" s="51"/>
      <c r="N87" s="196"/>
    </row>
    <row r="88" spans="3:14">
      <c r="C88" s="51"/>
      <c r="N88" s="196" t="str">
        <f>M66</f>
        <v>ALTN002</v>
      </c>
    </row>
    <row r="89" spans="3:14">
      <c r="C89" s="51"/>
      <c r="N89" s="196"/>
    </row>
    <row r="90" spans="3:14">
      <c r="C90" s="51"/>
      <c r="N90" s="196" t="str">
        <f>M67</f>
        <v>ALTN003</v>
      </c>
    </row>
    <row r="91" spans="3:14">
      <c r="C91" s="51"/>
      <c r="N91" s="196"/>
    </row>
    <row r="92" spans="3:14">
      <c r="C92" s="51"/>
      <c r="N92" s="196" t="str">
        <f>M68</f>
        <v>ALTN004</v>
      </c>
    </row>
    <row r="93" spans="3:14">
      <c r="C93" s="51"/>
      <c r="N93" s="196"/>
    </row>
    <row r="94" spans="3:14">
      <c r="C94" s="51"/>
      <c r="N94" s="196" t="str">
        <f>M69</f>
        <v>ALTN006</v>
      </c>
    </row>
    <row r="95" spans="3:14">
      <c r="C95" s="51"/>
      <c r="N95" s="196"/>
    </row>
    <row r="96" spans="3:14">
      <c r="C96" s="51"/>
      <c r="N96" s="196" t="str">
        <f>M70</f>
        <v>ALTN007</v>
      </c>
    </row>
    <row r="97" spans="3:14">
      <c r="C97" s="51"/>
      <c r="N97" s="196"/>
    </row>
    <row r="98" spans="3:14">
      <c r="C98" s="51"/>
      <c r="N98" s="196" t="str">
        <f>M71</f>
        <v>ALTN008</v>
      </c>
    </row>
    <row r="99" spans="3:14">
      <c r="C99" s="51"/>
      <c r="N99" s="196"/>
    </row>
    <row r="100" spans="3:14">
      <c r="C100" s="51"/>
      <c r="N100" s="196" t="str">
        <f>M72</f>
        <v>ALTN009</v>
      </c>
    </row>
    <row r="101" spans="3:14">
      <c r="C101" s="51"/>
      <c r="N101" s="196"/>
    </row>
    <row r="102" spans="3:14">
      <c r="C102" s="51"/>
      <c r="N102" s="196" t="str">
        <f>M73</f>
        <v>ALTN010</v>
      </c>
    </row>
    <row r="103" spans="3:14">
      <c r="C103" s="51"/>
      <c r="N103" s="196"/>
    </row>
    <row r="104" spans="3:14">
      <c r="C104" s="51"/>
      <c r="N104" s="196" t="str">
        <f>M74</f>
        <v>ALTN011</v>
      </c>
    </row>
    <row r="105" spans="3:14">
      <c r="C105" s="51"/>
      <c r="N105" s="196"/>
    </row>
  </sheetData>
  <protectedRanges>
    <protectedRange password="CC78" sqref="E32:E65333 C29:D65333 W8:W9 B20:B65333 C15:D19 F29:JG43 F95:M95 F44 H44:J44 L44:JG44 L45:L71 F82:L94 N45:JG95 M45:M74 F96:JG65333 K72:L81 F45:J65 F67:J81 F66 H66:J66 F8:H8 J15:JG19 B8:D9 Y8:JG10 E11:H19 V11:JG14 A8:A65333 B10:X10" name="Range1_12_12"/>
    <protectedRange password="CC78" sqref="C22:C27 E29:E31 W22:JG27 D22:H28" name="Range1_1_1"/>
    <protectedRange password="CC78" sqref="C28 W28:JG28" name="Range1_3_1"/>
    <protectedRange password="CC78" sqref="A5:JG7" name="Range1_2_1"/>
    <protectedRange password="CC78" sqref="I8:V9 I11:I19" name="Range1_3_2"/>
    <protectedRange password="CC78" sqref="B15:B19" name="Range1_1_2"/>
    <protectedRange password="CC78" sqref="E8:E9 F9" name="Range1_4_1"/>
    <protectedRange password="CC78" sqref="B14" name="Range1_6_1"/>
    <protectedRange password="CC78" sqref="D11:D14" name="Range1_7_1"/>
    <protectedRange password="CC78" sqref="J11:U14" name="Range1_11_1"/>
  </protectedRanges>
  <autoFilter ref="A10:Z14"/>
  <mergeCells count="45">
    <mergeCell ref="N46:N47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7:C19"/>
    <mergeCell ref="N44:N45"/>
    <mergeCell ref="N70:N71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94:N95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6:N97"/>
    <mergeCell ref="N98:N99"/>
    <mergeCell ref="N100:N101"/>
    <mergeCell ref="N102:N103"/>
    <mergeCell ref="N104:N105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42370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42370</v>
      </c>
      <c r="G5" s="73">
        <f t="shared" ref="G5:AJ5" si="0">F5+1</f>
        <v>42371</v>
      </c>
      <c r="H5" s="73">
        <f t="shared" si="0"/>
        <v>42372</v>
      </c>
      <c r="I5" s="73">
        <f t="shared" si="0"/>
        <v>42373</v>
      </c>
      <c r="J5" s="73">
        <f t="shared" si="0"/>
        <v>42374</v>
      </c>
      <c r="K5" s="73">
        <f t="shared" si="0"/>
        <v>42375</v>
      </c>
      <c r="L5" s="73">
        <f t="shared" si="0"/>
        <v>42376</v>
      </c>
      <c r="M5" s="73">
        <f t="shared" si="0"/>
        <v>42377</v>
      </c>
      <c r="N5" s="73">
        <f t="shared" si="0"/>
        <v>42378</v>
      </c>
      <c r="O5" s="73">
        <f t="shared" si="0"/>
        <v>42379</v>
      </c>
      <c r="P5" s="73">
        <f t="shared" si="0"/>
        <v>42380</v>
      </c>
      <c r="Q5" s="73">
        <f t="shared" si="0"/>
        <v>42381</v>
      </c>
      <c r="R5" s="73">
        <f t="shared" si="0"/>
        <v>42382</v>
      </c>
      <c r="S5" s="73">
        <f t="shared" si="0"/>
        <v>42383</v>
      </c>
      <c r="T5" s="73">
        <f t="shared" si="0"/>
        <v>42384</v>
      </c>
      <c r="U5" s="73">
        <f t="shared" si="0"/>
        <v>42385</v>
      </c>
      <c r="V5" s="73">
        <f t="shared" si="0"/>
        <v>42386</v>
      </c>
      <c r="W5" s="73">
        <f t="shared" si="0"/>
        <v>42387</v>
      </c>
      <c r="X5" s="73">
        <f t="shared" si="0"/>
        <v>42388</v>
      </c>
      <c r="Y5" s="73">
        <f t="shared" si="0"/>
        <v>42389</v>
      </c>
      <c r="Z5" s="73">
        <f t="shared" si="0"/>
        <v>42390</v>
      </c>
      <c r="AA5" s="73">
        <f t="shared" si="0"/>
        <v>42391</v>
      </c>
      <c r="AB5" s="73">
        <f t="shared" si="0"/>
        <v>42392</v>
      </c>
      <c r="AC5" s="73">
        <f t="shared" si="0"/>
        <v>42393</v>
      </c>
      <c r="AD5" s="73">
        <f t="shared" si="0"/>
        <v>42394</v>
      </c>
      <c r="AE5" s="73">
        <f t="shared" si="0"/>
        <v>42395</v>
      </c>
      <c r="AF5" s="73">
        <f t="shared" si="0"/>
        <v>42396</v>
      </c>
      <c r="AG5" s="73">
        <f t="shared" si="0"/>
        <v>42397</v>
      </c>
      <c r="AH5" s="73">
        <f>AG5+1</f>
        <v>42398</v>
      </c>
      <c r="AI5" s="73">
        <f t="shared" si="0"/>
        <v>42399</v>
      </c>
      <c r="AJ5" s="73">
        <f t="shared" si="0"/>
        <v>42400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 t="shared" ref="AK9" si="2">((SUM(F9:AJ9))/8)-(SUMIF($F$6:$AJ$6,"C.Nhật",F9:AJ9)/8)</f>
        <v>26</v>
      </c>
      <c r="AL9" s="223">
        <f t="shared" ref="AL9" si="3">SUM(F10:AJ10)/8*1.5</f>
        <v>0</v>
      </c>
      <c r="AM9" s="225">
        <f t="shared" ref="AM9:AM13" si="4">SUMIF($F$6:$AJ$6,"C.Nhật",$F9:$AJ10)/8*2</f>
        <v>0</v>
      </c>
      <c r="AN9" s="213">
        <f t="shared" ref="AN9" si="5"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 t="shared" ref="AK11" si="6">((SUM(F11:AJ11))/8)-(SUMIF($F$6:$AJ$6,"C.Nhật",F11:AJ11)/8)</f>
        <v>26</v>
      </c>
      <c r="AL11" s="223">
        <f t="shared" ref="AL11" si="7">SUM(F12:AJ12)/8*1.5</f>
        <v>0</v>
      </c>
      <c r="AM11" s="225">
        <f t="shared" si="4"/>
        <v>0</v>
      </c>
      <c r="AN11" s="213">
        <f t="shared" ref="AN11" si="8"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 t="shared" ref="AK13" si="9">((SUM(F13:AJ13))/8)-(SUMIF($F$6:$AJ$6,"C.Nhật",F13:AJ13)/8)</f>
        <v>26</v>
      </c>
      <c r="AL13" s="223">
        <f t="shared" ref="AL13" si="10">SUM(F14:AJ14)/8*1.5</f>
        <v>0</v>
      </c>
      <c r="AM13" s="225">
        <f t="shared" si="4"/>
        <v>0</v>
      </c>
      <c r="AN13" s="213">
        <f t="shared" ref="AN13" si="11"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12">((SUM(F16:AJ16))/8)-(SUMIF($F$6:$AJ$6,"C.Nhật",F16:AJ16)/8)</f>
        <v>26</v>
      </c>
      <c r="AL16" s="223">
        <f t="shared" ref="AL16" si="1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R16:AR17"/>
    <mergeCell ref="AS16:AS17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4">
    <cfRule type="expression" dxfId="79" priority="26" stopIfTrue="1">
      <formula>IF(WEEKDAY(F$5)=1,TRUE,FALSE)</formula>
    </cfRule>
  </conditionalFormatting>
  <conditionalFormatting sqref="F9:AJ14">
    <cfRule type="expression" dxfId="78" priority="25" stopIfTrue="1">
      <formula>IF(WEEKDAY(F$5)=1,TRUE,FALSE)</formula>
    </cfRule>
  </conditionalFormatting>
  <conditionalFormatting sqref="F16:AJ17">
    <cfRule type="expression" dxfId="77" priority="2" stopIfTrue="1">
      <formula>IF(WEEKDAY(F$5)=1,TRUE,FALSE)</formula>
    </cfRule>
  </conditionalFormatting>
  <conditionalFormatting sqref="F16:AJ17">
    <cfRule type="expression" dxfId="7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Q17" activeCellId="1" sqref="Q13 Q17"/>
    </sheetView>
  </sheetViews>
  <sheetFormatPr defaultRowHeight="11.25"/>
  <cols>
    <col min="1" max="1" width="4.28515625" style="180" customWidth="1"/>
    <col min="2" max="2" width="8.42578125" style="180" customWidth="1"/>
    <col min="3" max="3" width="27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01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-1'!$E$4</f>
        <v>42370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-1'!$B$8:$AS$17,36,0)</f>
        <v>26</v>
      </c>
      <c r="G9" s="145">
        <f>ROUND(E9/$S$2*F9,0)</f>
        <v>3750000</v>
      </c>
      <c r="H9" s="144">
        <f>(VLOOKUP(B9,'CC -1'!$B$8:$AS$17,37,0)+VLOOKUP(B9,'CC -1'!$B$8:$AS$17,38,0))</f>
        <v>0</v>
      </c>
      <c r="I9" s="145">
        <f>ROUND(E9/$S$2*H9,0)</f>
        <v>0</v>
      </c>
      <c r="J9" s="146">
        <f>F9+H9</f>
        <v>26</v>
      </c>
      <c r="K9" s="147">
        <f>G9+I9</f>
        <v>3750000</v>
      </c>
      <c r="L9" s="148">
        <f>IF(VLOOKUP(B9,DS,9,0)="x",E9*$L$3,0)</f>
        <v>0</v>
      </c>
      <c r="M9" s="148">
        <f>IF(VLOOKUP(B9,DS,9,0)="x",E9*$M$3,0)</f>
        <v>0</v>
      </c>
      <c r="N9" s="148">
        <f>IF(VLOOKUP(B9,DS,9,0)="x",E9*$N$3,0)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2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3">VLOOKUP(B10,DS,2,0)</f>
        <v>Mai Thị Hường</v>
      </c>
      <c r="D10" s="142" t="str">
        <f t="shared" ref="D10:D11" si="4">VLOOKUP(B10,DS,3,0)</f>
        <v>Kế Toán</v>
      </c>
      <c r="E10" s="143">
        <f>VLOOKUP(B10,DS,4,0)</f>
        <v>3750000</v>
      </c>
      <c r="F10" s="144">
        <f>VLOOKUP(B10,'CC -1'!$B$8:$AS$17,36,0)</f>
        <v>26</v>
      </c>
      <c r="G10" s="145">
        <f>ROUND(E10/$S$2*F10,0)</f>
        <v>3750000</v>
      </c>
      <c r="H10" s="144">
        <f>(VLOOKUP(B10,'CC -1'!$B$8:$AS$17,37,0)+VLOOKUP(B10,'CC -1'!$B$8:$AS$17,38,0))</f>
        <v>0</v>
      </c>
      <c r="I10" s="145">
        <f>ROUND(E10/$S$2*H10,0)</f>
        <v>0</v>
      </c>
      <c r="J10" s="146">
        <f t="shared" ref="J10:J11" si="5">F10+H10</f>
        <v>26</v>
      </c>
      <c r="K10" s="147">
        <f t="shared" ref="K10:K11" si="6">G10+I10</f>
        <v>3750000</v>
      </c>
      <c r="L10" s="148">
        <f>IF(VLOOKUP(B10,DS,9,0)="x",E10*$L$3,0)</f>
        <v>0</v>
      </c>
      <c r="M10" s="148">
        <f>IF(VLOOKUP(B10,DS,9,0)="x",E10*$M$3,0)</f>
        <v>0</v>
      </c>
      <c r="N10" s="148">
        <f>IF(VLOOKUP(B10,DS,9,0)="x",E10*$N$3,0)</f>
        <v>0</v>
      </c>
      <c r="O10" s="147">
        <f t="shared" ref="O10:O11" si="7">K10-SUM(L10:N10)</f>
        <v>3750000</v>
      </c>
      <c r="P10" s="147">
        <f>VLOOKUP(B10,DS,23,0)</f>
        <v>0</v>
      </c>
      <c r="Q10" s="149">
        <f t="shared" ref="Q10:Q11" si="8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3"/>
        <v>Đào Quảng Ninh</v>
      </c>
      <c r="D11" s="142" t="str">
        <f t="shared" si="4"/>
        <v>Giao Hàng</v>
      </c>
      <c r="E11" s="143">
        <f>VLOOKUP(B11,DS,4,0)</f>
        <v>3500000</v>
      </c>
      <c r="F11" s="144">
        <f>VLOOKUP(B11,'CC -1'!$B$8:$AS$17,36,0)</f>
        <v>26</v>
      </c>
      <c r="G11" s="145">
        <f>ROUND(E11/$S$2*F11,0)</f>
        <v>3500000</v>
      </c>
      <c r="H11" s="144">
        <f>(VLOOKUP(B11,'CC -1'!$B$8:$AS$17,37,0)+VLOOKUP(B11,'CC -1'!$B$8:$AS$17,38,0))</f>
        <v>0</v>
      </c>
      <c r="I11" s="145">
        <f>ROUND(E11/$S$2*H11,0)</f>
        <v>0</v>
      </c>
      <c r="J11" s="146">
        <f t="shared" si="5"/>
        <v>26</v>
      </c>
      <c r="K11" s="147">
        <f t="shared" si="6"/>
        <v>3500000</v>
      </c>
      <c r="L11" s="148">
        <f>IF(VLOOKUP(B11,DS,9,0)="x",E11*$L$3,0)</f>
        <v>0</v>
      </c>
      <c r="M11" s="148">
        <f>IF(VLOOKUP(B11,DS,9,0)="x",E11*$M$3,0)</f>
        <v>0</v>
      </c>
      <c r="N11" s="148">
        <f>IF(VLOOKUP(B11,DS,9,0)="x",E11*$N$3,0)</f>
        <v>0</v>
      </c>
      <c r="O11" s="147">
        <f t="shared" si="7"/>
        <v>3500000</v>
      </c>
      <c r="P11" s="147">
        <f>VLOOKUP(B11,DS,23,0)</f>
        <v>0</v>
      </c>
      <c r="Q11" s="149">
        <f t="shared" si="8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40"/>
      <c r="B12" s="25"/>
      <c r="C12" s="141"/>
      <c r="D12" s="142"/>
      <c r="E12" s="143"/>
      <c r="F12" s="144"/>
      <c r="G12" s="145"/>
      <c r="H12" s="144"/>
      <c r="I12" s="145"/>
      <c r="J12" s="146"/>
      <c r="K12" s="147"/>
      <c r="L12" s="148"/>
      <c r="M12" s="148"/>
      <c r="N12" s="148"/>
      <c r="O12" s="147"/>
      <c r="P12" s="147"/>
      <c r="Q12" s="149"/>
      <c r="R12" s="147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9">SUM(K8:K9)</f>
        <v>3750000</v>
      </c>
      <c r="L13" s="162">
        <f t="shared" si="9"/>
        <v>0</v>
      </c>
      <c r="M13" s="162">
        <f t="shared" si="9"/>
        <v>0</v>
      </c>
      <c r="N13" s="162">
        <f t="shared" si="9"/>
        <v>0</v>
      </c>
      <c r="O13" s="162">
        <f t="shared" si="9"/>
        <v>3750000</v>
      </c>
      <c r="P13" s="162">
        <f t="shared" si="9"/>
        <v>0</v>
      </c>
      <c r="Q13" s="162">
        <f>SUM(Q8:Q12)</f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0">VLOOKUP(B15,DS,2,0)</f>
        <v>Thạch Huy Chạch</v>
      </c>
      <c r="D15" s="142" t="str">
        <f t="shared" ref="D15" si="11">VLOOKUP(B15,DS,3,0)</f>
        <v>Công nhân</v>
      </c>
      <c r="E15" s="143">
        <f t="shared" ref="E15" si="12">VLOOKUP(B15,DS,4,0)</f>
        <v>3500000</v>
      </c>
      <c r="F15" s="144">
        <f>VLOOKUP(B15,'CC -1'!$B$8:$AS$17,36,0)</f>
        <v>26</v>
      </c>
      <c r="G15" s="145">
        <f>ROUND(E15/$S$2*F15,0)</f>
        <v>3500000</v>
      </c>
      <c r="H15" s="144">
        <f>(VLOOKUP(B15,'CC -1'!$B$8:$AS$17,37,0)+VLOOKUP(B15,'CC -1'!$B$8:$AS$17,38,0))</f>
        <v>0</v>
      </c>
      <c r="I15" s="145">
        <f>ROUND(E15/$S$2*H15,0)</f>
        <v>0</v>
      </c>
      <c r="J15" s="166">
        <f t="shared" ref="J15:K15" si="13">F15+H15</f>
        <v>26</v>
      </c>
      <c r="K15" s="147">
        <f t="shared" si="13"/>
        <v>3500000</v>
      </c>
      <c r="L15" s="148">
        <f>IF(VLOOKUP(B15,DS,9,0)="x",E15*$L$3,0)</f>
        <v>0</v>
      </c>
      <c r="M15" s="148">
        <f>IF(VLOOKUP(B15,DS,9,0)="x",E15*$M$3,0)</f>
        <v>0</v>
      </c>
      <c r="N15" s="148">
        <f>IF(VLOOKUP(B15,DS,9,0)="x",E15*$N$3,0)</f>
        <v>0</v>
      </c>
      <c r="O15" s="147">
        <f t="shared" ref="O15" si="14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5">SUM(K14:K16)</f>
        <v>3500000</v>
      </c>
      <c r="L17" s="162">
        <f t="shared" si="15"/>
        <v>0</v>
      </c>
      <c r="M17" s="162">
        <f t="shared" si="15"/>
        <v>0</v>
      </c>
      <c r="N17" s="162">
        <f t="shared" si="15"/>
        <v>0</v>
      </c>
      <c r="O17" s="162">
        <f t="shared" si="15"/>
        <v>3500000</v>
      </c>
      <c r="P17" s="162">
        <f t="shared" si="15"/>
        <v>0</v>
      </c>
      <c r="Q17" s="162">
        <f t="shared" si="15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L23:R56 S29:S56 J16:Q16 T23:IH56 AC14:IH14 T13:IH13 D13:R13 D17:R17 A9:B13 AC4:IH12 T4:T12 L57:IH65324 A23:K65324 O9:Q12 O15" name="Range1"/>
    <protectedRange password="CC78" sqref="F6:H6" name="Range1_4"/>
    <protectedRange password="CC78" sqref="T20:IH21 Q20:R21 L20:O21 E20:I21" name="Range1_1_1"/>
    <protectedRange password="CC78" sqref="S1 L3:R3 L1:O2 S16:S28 U14:AB14 U4:AB12 S3:S14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8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G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42401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42401</v>
      </c>
      <c r="G5" s="73">
        <f t="shared" ref="G5:AJ5" si="0">F5+1</f>
        <v>42402</v>
      </c>
      <c r="H5" s="73">
        <f t="shared" si="0"/>
        <v>42403</v>
      </c>
      <c r="I5" s="73">
        <f t="shared" si="0"/>
        <v>42404</v>
      </c>
      <c r="J5" s="73">
        <f t="shared" si="0"/>
        <v>42405</v>
      </c>
      <c r="K5" s="73">
        <f t="shared" si="0"/>
        <v>42406</v>
      </c>
      <c r="L5" s="73">
        <f t="shared" si="0"/>
        <v>42407</v>
      </c>
      <c r="M5" s="73">
        <f t="shared" si="0"/>
        <v>42408</v>
      </c>
      <c r="N5" s="73">
        <f t="shared" si="0"/>
        <v>42409</v>
      </c>
      <c r="O5" s="73">
        <f t="shared" si="0"/>
        <v>42410</v>
      </c>
      <c r="P5" s="73">
        <f t="shared" si="0"/>
        <v>42411</v>
      </c>
      <c r="Q5" s="73">
        <f t="shared" si="0"/>
        <v>42412</v>
      </c>
      <c r="R5" s="73">
        <f t="shared" si="0"/>
        <v>42413</v>
      </c>
      <c r="S5" s="73">
        <f t="shared" si="0"/>
        <v>42414</v>
      </c>
      <c r="T5" s="73">
        <f t="shared" si="0"/>
        <v>42415</v>
      </c>
      <c r="U5" s="73">
        <f t="shared" si="0"/>
        <v>42416</v>
      </c>
      <c r="V5" s="73">
        <f t="shared" si="0"/>
        <v>42417</v>
      </c>
      <c r="W5" s="73">
        <f t="shared" si="0"/>
        <v>42418</v>
      </c>
      <c r="X5" s="73">
        <f t="shared" si="0"/>
        <v>42419</v>
      </c>
      <c r="Y5" s="73">
        <f t="shared" si="0"/>
        <v>42420</v>
      </c>
      <c r="Z5" s="73">
        <f t="shared" si="0"/>
        <v>42421</v>
      </c>
      <c r="AA5" s="73">
        <f t="shared" si="0"/>
        <v>42422</v>
      </c>
      <c r="AB5" s="73">
        <f t="shared" si="0"/>
        <v>42423</v>
      </c>
      <c r="AC5" s="73">
        <f t="shared" si="0"/>
        <v>42424</v>
      </c>
      <c r="AD5" s="73">
        <f t="shared" si="0"/>
        <v>42425</v>
      </c>
      <c r="AE5" s="73">
        <f t="shared" si="0"/>
        <v>42426</v>
      </c>
      <c r="AF5" s="73">
        <f t="shared" si="0"/>
        <v>42427</v>
      </c>
      <c r="AG5" s="73">
        <f t="shared" si="0"/>
        <v>42428</v>
      </c>
      <c r="AH5" s="73">
        <f>AG5+1</f>
        <v>42429</v>
      </c>
      <c r="AI5" s="73">
        <f t="shared" si="0"/>
        <v>42430</v>
      </c>
      <c r="AJ5" s="73">
        <f t="shared" si="0"/>
        <v>42431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/>
      <c r="AI9" s="87"/>
      <c r="AJ9" s="87"/>
      <c r="AK9" s="223">
        <f>((SUM(F9:AJ9))/8)-(SUMIF($F$6:$AJ$6,"C.Nhật",F9:AJ9)/8)</f>
        <v>24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24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/>
      <c r="AI11" s="87"/>
      <c r="AJ11" s="87"/>
      <c r="AK11" s="223">
        <f>((SUM(F11:AJ11))/8)-(SUMIF($F$6:$AJ$6,"C.Nhật",F11:AJ11)/8)</f>
        <v>24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24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/>
      <c r="AI13" s="87"/>
      <c r="AJ13" s="87"/>
      <c r="AK13" s="223">
        <f>((SUM(F13:AJ13))/8)-(SUMIF($F$6:$AJ$6,"C.Nhật",F13:AJ13)/8)</f>
        <v>24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24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/>
      <c r="AI16" s="87"/>
      <c r="AJ16" s="87"/>
      <c r="AK16" s="223">
        <f t="shared" ref="AK16" si="2">((SUM(F16:AJ16))/8)-(SUMIF($F$6:$AJ$6,"C.Nhật",F16:AJ16)/8)</f>
        <v>24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24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G14">
    <cfRule type="expression" dxfId="75" priority="20" stopIfTrue="1">
      <formula>IF(WEEKDAY(F$5)=1,TRUE,FALSE)</formula>
    </cfRule>
  </conditionalFormatting>
  <conditionalFormatting sqref="F9:AJ10 F11:AG14">
    <cfRule type="expression" dxfId="74" priority="19" stopIfTrue="1">
      <formula>IF(WEEKDAY(F$5)=1,TRUE,FALSE)</formula>
    </cfRule>
  </conditionalFormatting>
  <conditionalFormatting sqref="AH16:AJ17">
    <cfRule type="expression" dxfId="73" priority="18" stopIfTrue="1">
      <formula>IF(WEEKDAY(AH$5)=1,TRUE,FALSE)</formula>
    </cfRule>
  </conditionalFormatting>
  <conditionalFormatting sqref="AH16:AJ17">
    <cfRule type="expression" dxfId="72" priority="17" stopIfTrue="1">
      <formula>IF(WEEKDAY(AH$5)=1,TRUE,FALSE)</formula>
    </cfRule>
  </conditionalFormatting>
  <conditionalFormatting sqref="AH11:AJ12">
    <cfRule type="expression" dxfId="71" priority="12" stopIfTrue="1">
      <formula>IF(WEEKDAY(AH$5)=1,TRUE,FALSE)</formula>
    </cfRule>
  </conditionalFormatting>
  <conditionalFormatting sqref="AH11:AJ12">
    <cfRule type="expression" dxfId="70" priority="11" stopIfTrue="1">
      <formula>IF(WEEKDAY(AH$5)=1,TRUE,FALSE)</formula>
    </cfRule>
  </conditionalFormatting>
  <conditionalFormatting sqref="AH13:AJ14">
    <cfRule type="expression" dxfId="69" priority="10" stopIfTrue="1">
      <formula>IF(WEEKDAY(AH$5)=1,TRUE,FALSE)</formula>
    </cfRule>
  </conditionalFormatting>
  <conditionalFormatting sqref="AH13:AJ14">
    <cfRule type="expression" dxfId="68" priority="9" stopIfTrue="1">
      <formula>IF(WEEKDAY(AH$5)=1,TRUE,FALSE)</formula>
    </cfRule>
  </conditionalFormatting>
  <conditionalFormatting sqref="F16:AG17">
    <cfRule type="expression" dxfId="67" priority="2" stopIfTrue="1">
      <formula>IF(WEEKDAY(F$5)=1,TRUE,FALSE)</formula>
    </cfRule>
  </conditionalFormatting>
  <conditionalFormatting sqref="F16:AG17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02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-2'!$AK$9:$AK$17)</f>
        <v>24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-2'!$E$4</f>
        <v>42401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-2'!$B$8:$AS$17,36,0)</f>
        <v>24</v>
      </c>
      <c r="G9" s="145">
        <f>ROUND(E9/$S$2*F9,0)</f>
        <v>3750000</v>
      </c>
      <c r="H9" s="144">
        <f>(VLOOKUP(B9,'CC -2'!$B$8:$AS$17,37,0)+VLOOKUP(B9,'CC -2'!$B$8:$AS$17,38,0))</f>
        <v>0</v>
      </c>
      <c r="I9" s="145">
        <f>ROUND(E9/$S$2*H9,0)</f>
        <v>0</v>
      </c>
      <c r="J9" s="146">
        <f t="shared" ref="J9" si="2">F9+H9</f>
        <v>24</v>
      </c>
      <c r="K9" s="147">
        <f>G9+I9</f>
        <v>3750000</v>
      </c>
      <c r="L9" s="148">
        <f>IF(VLOOKUP(B9,DS,10,0)="x",E9*$L$3,0)</f>
        <v>0</v>
      </c>
      <c r="M9" s="148">
        <f>IF(VLOOKUP(B9,DS,10,0)="x",E9*$M$3,0)</f>
        <v>0</v>
      </c>
      <c r="N9" s="148">
        <f>IF(VLOOKUP(B9,DS,10,0)="x",E9*$N$3,0)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-2'!$B$8:$AS$17,36,0)</f>
        <v>24</v>
      </c>
      <c r="G10" s="145">
        <f>ROUND(E10/$S$2*F10,0)</f>
        <v>3750000</v>
      </c>
      <c r="H10" s="144">
        <f>(VLOOKUP(B10,'CC -2'!$B$8:$AS$17,37,0)+VLOOKUP(B10,'CC -2'!$B$8:$AS$17,38,0))</f>
        <v>0</v>
      </c>
      <c r="I10" s="145">
        <f>ROUND(E10/$S$2*H10,0)</f>
        <v>0</v>
      </c>
      <c r="J10" s="146">
        <f t="shared" ref="J10:J11" si="6">F10+H10</f>
        <v>24</v>
      </c>
      <c r="K10" s="147">
        <f t="shared" ref="K10:K11" si="7">G10+I10</f>
        <v>3750000</v>
      </c>
      <c r="L10" s="148">
        <f>IF(VLOOKUP(B10,DS,10,0)="x",E10*$L$3,0)</f>
        <v>0</v>
      </c>
      <c r="M10" s="148">
        <f>IF(VLOOKUP(B10,DS,10,0)="x",E10*$M$3,0)</f>
        <v>0</v>
      </c>
      <c r="N10" s="148">
        <f>IF(VLOOKUP(B10,DS,10,0)="x",E10*$N$3,0)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-2'!$B$8:$AS$17,36,0)</f>
        <v>24</v>
      </c>
      <c r="G11" s="145">
        <f>ROUND(E11/$S$2*F11,0)</f>
        <v>3500000</v>
      </c>
      <c r="H11" s="144">
        <f>(VLOOKUP(B11,'CC -2'!$B$8:$AS$17,37,0)+VLOOKUP(B11,'CC -2'!$B$8:$AS$17,38,0))</f>
        <v>0</v>
      </c>
      <c r="I11" s="145">
        <f>ROUND(E11/$S$2*H11,0)</f>
        <v>0</v>
      </c>
      <c r="J11" s="146">
        <f t="shared" si="6"/>
        <v>24</v>
      </c>
      <c r="K11" s="147">
        <f t="shared" si="7"/>
        <v>3500000</v>
      </c>
      <c r="L11" s="148">
        <f>IF(VLOOKUP(B11,DS,10,0)="x",E11*$L$3,0)</f>
        <v>0</v>
      </c>
      <c r="M11" s="148">
        <f>IF(VLOOKUP(B11,DS,10,0)="x",E11*$M$3,0)</f>
        <v>0</v>
      </c>
      <c r="N11" s="148">
        <f>IF(VLOOKUP(B11,DS,10,0)="x",E11*$N$3,0)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0</v>
      </c>
      <c r="M13" s="162">
        <f t="shared" si="10"/>
        <v>0</v>
      </c>
      <c r="N13" s="162">
        <f t="shared" si="10"/>
        <v>0</v>
      </c>
      <c r="O13" s="162">
        <f t="shared" si="10"/>
        <v>3750000</v>
      </c>
      <c r="P13" s="162">
        <f t="shared" si="10"/>
        <v>0</v>
      </c>
      <c r="Q13" s="162">
        <f>SUM(Q8:Q12)</f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-2'!$B$8:$AS$17,36,0)</f>
        <v>24</v>
      </c>
      <c r="G15" s="145">
        <f>ROUND(E15/$S$2*F15,0)</f>
        <v>3500000</v>
      </c>
      <c r="H15" s="144">
        <f>(VLOOKUP(B15,'CC -2'!$B$8:$AS$17,37,0)+VLOOKUP(B15,'CC -2'!$B$8:$AS$17,38,0))</f>
        <v>0</v>
      </c>
      <c r="I15" s="145">
        <f>ROUND(E15/$S$2*H15,0)</f>
        <v>0</v>
      </c>
      <c r="J15" s="166">
        <f t="shared" ref="J15:K15" si="14">F15+H15</f>
        <v>24</v>
      </c>
      <c r="K15" s="147">
        <f t="shared" si="14"/>
        <v>3500000</v>
      </c>
      <c r="L15" s="148">
        <f>IF(VLOOKUP(B15,DS,10,0)="x",E15*$L$3,0)</f>
        <v>0</v>
      </c>
      <c r="M15" s="148">
        <f>IF(VLOOKUP(B15,DS,10,0)="x",E15*$M$3,0)</f>
        <v>0</v>
      </c>
      <c r="N15" s="148">
        <f>IF(VLOOKUP(B15,DS,10,0)="x",E15*$N$3,0)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28  tháng  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57:IH65324 A9:B13 T4:T12 AC4:IH12 O9:Q12 O15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42430</v>
      </c>
      <c r="G5" s="73">
        <f t="shared" ref="G5:AI5" si="0">F5+1</f>
        <v>42431</v>
      </c>
      <c r="H5" s="73">
        <f t="shared" si="0"/>
        <v>42432</v>
      </c>
      <c r="I5" s="73">
        <f t="shared" si="0"/>
        <v>42433</v>
      </c>
      <c r="J5" s="73">
        <f t="shared" si="0"/>
        <v>42434</v>
      </c>
      <c r="K5" s="73">
        <f t="shared" si="0"/>
        <v>42435</v>
      </c>
      <c r="L5" s="73">
        <f t="shared" si="0"/>
        <v>42436</v>
      </c>
      <c r="M5" s="73">
        <f t="shared" si="0"/>
        <v>42437</v>
      </c>
      <c r="N5" s="73">
        <f t="shared" si="0"/>
        <v>42438</v>
      </c>
      <c r="O5" s="73">
        <f t="shared" si="0"/>
        <v>42439</v>
      </c>
      <c r="P5" s="73">
        <f t="shared" si="0"/>
        <v>42440</v>
      </c>
      <c r="Q5" s="73">
        <f t="shared" si="0"/>
        <v>42441</v>
      </c>
      <c r="R5" s="73">
        <f t="shared" si="0"/>
        <v>42442</v>
      </c>
      <c r="S5" s="73">
        <f t="shared" si="0"/>
        <v>42443</v>
      </c>
      <c r="T5" s="73">
        <f t="shared" si="0"/>
        <v>42444</v>
      </c>
      <c r="U5" s="73">
        <f t="shared" si="0"/>
        <v>42445</v>
      </c>
      <c r="V5" s="73">
        <f t="shared" si="0"/>
        <v>42446</v>
      </c>
      <c r="W5" s="73">
        <f t="shared" si="0"/>
        <v>42447</v>
      </c>
      <c r="X5" s="73">
        <f t="shared" si="0"/>
        <v>42448</v>
      </c>
      <c r="Y5" s="73">
        <f t="shared" si="0"/>
        <v>42449</v>
      </c>
      <c r="Z5" s="73">
        <f t="shared" si="0"/>
        <v>42450</v>
      </c>
      <c r="AA5" s="73">
        <f t="shared" si="0"/>
        <v>42451</v>
      </c>
      <c r="AB5" s="73">
        <f t="shared" si="0"/>
        <v>42452</v>
      </c>
      <c r="AC5" s="73">
        <f t="shared" si="0"/>
        <v>42453</v>
      </c>
      <c r="AD5" s="73">
        <f t="shared" si="0"/>
        <v>42454</v>
      </c>
      <c r="AE5" s="73">
        <f t="shared" si="0"/>
        <v>42455</v>
      </c>
      <c r="AF5" s="73">
        <f t="shared" si="0"/>
        <v>42456</v>
      </c>
      <c r="AG5" s="73">
        <f t="shared" si="0"/>
        <v>42457</v>
      </c>
      <c r="AH5" s="73">
        <f>AG5+1</f>
        <v>42458</v>
      </c>
      <c r="AI5" s="73">
        <f t="shared" si="0"/>
        <v>42459</v>
      </c>
      <c r="AJ5" s="73"/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I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/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65" priority="22" stopIfTrue="1">
      <formula>IF(WEEKDAY(F$5)=1,TRUE,FALSE)</formula>
    </cfRule>
  </conditionalFormatting>
  <conditionalFormatting sqref="F9:AJ10 F11:AI14">
    <cfRule type="expression" dxfId="64" priority="21" stopIfTrue="1">
      <formula>IF(WEEKDAY(F$5)=1,TRUE,FALSE)</formula>
    </cfRule>
  </conditionalFormatting>
  <conditionalFormatting sqref="AJ16:AJ17">
    <cfRule type="expression" dxfId="63" priority="14" stopIfTrue="1">
      <formula>IF(WEEKDAY(AJ$5)=1,TRUE,FALSE)</formula>
    </cfRule>
  </conditionalFormatting>
  <conditionalFormatting sqref="AJ16:AJ17">
    <cfRule type="expression" dxfId="62" priority="13" stopIfTrue="1">
      <formula>IF(WEEKDAY(AJ$5)=1,TRUE,FALSE)</formula>
    </cfRule>
  </conditionalFormatting>
  <conditionalFormatting sqref="AJ11:AJ12">
    <cfRule type="expression" dxfId="61" priority="12" stopIfTrue="1">
      <formula>IF(WEEKDAY(AJ$5)=1,TRUE,FALSE)</formula>
    </cfRule>
  </conditionalFormatting>
  <conditionalFormatting sqref="AJ11:AJ12">
    <cfRule type="expression" dxfId="60" priority="11" stopIfTrue="1">
      <formula>IF(WEEKDAY(AJ$5)=1,TRUE,FALSE)</formula>
    </cfRule>
  </conditionalFormatting>
  <conditionalFormatting sqref="AJ13:AJ14">
    <cfRule type="expression" dxfId="59" priority="10" stopIfTrue="1">
      <formula>IF(WEEKDAY(AJ$5)=1,TRUE,FALSE)</formula>
    </cfRule>
  </conditionalFormatting>
  <conditionalFormatting sqref="AJ13:AJ14">
    <cfRule type="expression" dxfId="58" priority="9" stopIfTrue="1">
      <formula>IF(WEEKDAY(AJ$5)=1,TRUE,FALSE)</formula>
    </cfRule>
  </conditionalFormatting>
  <conditionalFormatting sqref="F16:AI17">
    <cfRule type="expression" dxfId="57" priority="2" stopIfTrue="1">
      <formula>IF(WEEKDAY(F$5)=1,TRUE,FALSE)</formula>
    </cfRule>
  </conditionalFormatting>
  <conditionalFormatting sqref="F16:AI17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03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-3'!$AK$9:$AK$17)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-3'!$E$4</f>
        <v>42430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-3'!$B$8:$AS$17,36,0)</f>
        <v>26</v>
      </c>
      <c r="G9" s="145">
        <f>ROUND(E9/$S$2*F9,0)</f>
        <v>3750000</v>
      </c>
      <c r="H9" s="144">
        <f>(VLOOKUP(B9,'CC -3'!$B$8:$AS$17,37,0)+VLOOKUP(B9,'CC -3'!$B$8:$AS$17,38,0))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IF(VLOOKUP(B9,DS,11,0)="x",E9*$L$3,0)</f>
        <v>0</v>
      </c>
      <c r="M9" s="148">
        <f>IF(VLOOKUP(B9,DS,11,0)="x",E9*$M$3,0)</f>
        <v>0</v>
      </c>
      <c r="N9" s="148">
        <f>IF(VLOOKUP(B9,DS,11,0)="x",E9*$N$3,0)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-3'!$B$8:$AS$17,36,0)</f>
        <v>26</v>
      </c>
      <c r="G10" s="145">
        <f>ROUND(E10/$S$2*F10,0)</f>
        <v>3750000</v>
      </c>
      <c r="H10" s="144">
        <f>(VLOOKUP(B10,'CC -3'!$B$8:$AS$17,37,0)+VLOOKUP(B10,'CC -3'!$B$8:$AS$17,38,0))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IF(VLOOKUP(B10,DS,11,0)="x",E10*$L$3,0)</f>
        <v>0</v>
      </c>
      <c r="M10" s="148">
        <f>IF(VLOOKUP(B10,DS,11,0)="x",E10*$M$3,0)</f>
        <v>0</v>
      </c>
      <c r="N10" s="148">
        <f>IF(VLOOKUP(B10,DS,11,0)="x",E10*$N$3,0)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-3'!$B$8:$AS$17,36,0)</f>
        <v>26</v>
      </c>
      <c r="G11" s="145">
        <f>ROUND(E11/$S$2*F11,0)</f>
        <v>3500000</v>
      </c>
      <c r="H11" s="144">
        <f>(VLOOKUP(B11,'CC -3'!$B$8:$AS$17,37,0)+VLOOKUP(B11,'CC -3'!$B$8:$AS$17,38,0))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IF(VLOOKUP(B11,DS,11,0)="x",E11*$L$3,0)</f>
        <v>0</v>
      </c>
      <c r="M11" s="148">
        <f>IF(VLOOKUP(B11,DS,11,0)="x",E11*$M$3,0)</f>
        <v>0</v>
      </c>
      <c r="N11" s="148">
        <f>IF(VLOOKUP(B11,DS,11,0)="x",E11*$N$3,0)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0</v>
      </c>
      <c r="M13" s="162">
        <f t="shared" si="10"/>
        <v>0</v>
      </c>
      <c r="N13" s="162">
        <f t="shared" si="10"/>
        <v>0</v>
      </c>
      <c r="O13" s="162">
        <f t="shared" si="10"/>
        <v>3750000</v>
      </c>
      <c r="P13" s="162">
        <f t="shared" si="10"/>
        <v>0</v>
      </c>
      <c r="Q13" s="162">
        <f>SUM(Q8:Q12)</f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-3'!$B$8:$AS$17,36,0)</f>
        <v>26</v>
      </c>
      <c r="G15" s="145">
        <f>ROUND(E15/$S$2*F15,0)</f>
        <v>3500000</v>
      </c>
      <c r="H15" s="144">
        <f>(VLOOKUP(B15,'CC -3'!$B$8:$AS$17,37,0)+VLOOKUP(B15,'CC -3'!$B$8:$AS$17,38,0))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IF(VLOOKUP(B15,DS,11,0)="x",E15*$L$3,0)</f>
        <v>0</v>
      </c>
      <c r="M15" s="148">
        <f>IF(VLOOKUP(B15,DS,11,0)="x",E15*$M$3,0)</f>
        <v>0</v>
      </c>
      <c r="N15" s="148">
        <f>IF(VLOOKUP(B15,DS,11,0)="x",E15*$N$3,0)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3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I9" sqref="AI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42461</v>
      </c>
      <c r="G5" s="73">
        <f t="shared" ref="G5:AJ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>
        <f t="shared" si="0"/>
        <v>42491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25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/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25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/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25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/>
      <c r="AK16" s="223">
        <f t="shared" ref="AK16" si="2">((SUM(F16:AJ16))/8)-(SUMIF($F$6:$AJ$6,"C.Nhật",F16:AJ16)/8)</f>
        <v>25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25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55" priority="22" stopIfTrue="1">
      <formula>IF(WEEKDAY(F$5)=1,TRUE,FALSE)</formula>
    </cfRule>
  </conditionalFormatting>
  <conditionalFormatting sqref="F9:AJ10 F11:AI14">
    <cfRule type="expression" dxfId="54" priority="21" stopIfTrue="1">
      <formula>IF(WEEKDAY(F$5)=1,TRUE,FALSE)</formula>
    </cfRule>
  </conditionalFormatting>
  <conditionalFormatting sqref="AJ16:AJ17">
    <cfRule type="expression" dxfId="53" priority="20" stopIfTrue="1">
      <formula>IF(WEEKDAY(AJ$5)=1,TRUE,FALSE)</formula>
    </cfRule>
  </conditionalFormatting>
  <conditionalFormatting sqref="AJ16:AJ17">
    <cfRule type="expression" dxfId="52" priority="19" stopIfTrue="1">
      <formula>IF(WEEKDAY(AJ$5)=1,TRUE,FALSE)</formula>
    </cfRule>
  </conditionalFormatting>
  <conditionalFormatting sqref="AJ11:AJ12">
    <cfRule type="expression" dxfId="51" priority="12" stopIfTrue="1">
      <formula>IF(WEEKDAY(AJ$5)=1,TRUE,FALSE)</formula>
    </cfRule>
  </conditionalFormatting>
  <conditionalFormatting sqref="AJ11:AJ12">
    <cfRule type="expression" dxfId="50" priority="11" stopIfTrue="1">
      <formula>IF(WEEKDAY(AJ$5)=1,TRUE,FALSE)</formula>
    </cfRule>
  </conditionalFormatting>
  <conditionalFormatting sqref="AJ13:AJ14">
    <cfRule type="expression" dxfId="49" priority="10" stopIfTrue="1">
      <formula>IF(WEEKDAY(AJ$5)=1,TRUE,FALSE)</formula>
    </cfRule>
  </conditionalFormatting>
  <conditionalFormatting sqref="AJ13:AJ14">
    <cfRule type="expression" dxfId="48" priority="9" stopIfTrue="1">
      <formula>IF(WEEKDAY(AJ$5)=1,TRUE,FALSE)</formula>
    </cfRule>
  </conditionalFormatting>
  <conditionalFormatting sqref="F16:AI17">
    <cfRule type="expression" dxfId="47" priority="2" stopIfTrue="1">
      <formula>IF(WEEKDAY(F$5)=1,TRUE,FALSE)</formula>
    </cfRule>
  </conditionalFormatting>
  <conditionalFormatting sqref="F16:AI17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04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-4'!$AK$9:$AK$17)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-4'!$E$4</f>
        <v>42461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-4'!$B$8:$AS$17,36,0)</f>
        <v>25</v>
      </c>
      <c r="G9" s="145">
        <f>ROUND(E9/$S$2*F9,0)</f>
        <v>3750000</v>
      </c>
      <c r="H9" s="144">
        <f>(VLOOKUP(B9,'CC -4'!$B$8:$AS$17,37,0)+VLOOKUP(B9,'CC -4'!$B$8:$AS$17,38,0))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IF(VLOOKUP(B9,DS,12,0)="x",E9*$L$3,0)</f>
        <v>0</v>
      </c>
      <c r="M9" s="148">
        <f>IF(VLOOKUP(B9,DS,12,0)="x",E9*$M$3,0)</f>
        <v>0</v>
      </c>
      <c r="N9" s="148">
        <f>IF(VLOOKUP(B9,DS,12,0)="x",E9*$N$3,0)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-4'!$B$8:$AS$17,36,0)</f>
        <v>25</v>
      </c>
      <c r="G10" s="145">
        <f>ROUND(E10/$S$2*F10,0)</f>
        <v>3750000</v>
      </c>
      <c r="H10" s="144">
        <f>(VLOOKUP(B10,'CC -4'!$B$8:$AS$17,37,0)+VLOOKUP(B10,'CC -4'!$B$8:$AS$17,38,0))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IF(VLOOKUP(B10,DS,12,0)="x",E10*$L$3,0)</f>
        <v>0</v>
      </c>
      <c r="M10" s="148">
        <f>IF(VLOOKUP(B10,DS,12,0)="x",E10*$M$3,0)</f>
        <v>0</v>
      </c>
      <c r="N10" s="148">
        <f>IF(VLOOKUP(B10,DS,12,0)="x",E10*$N$3,0)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-4'!$B$8:$AS$17,36,0)</f>
        <v>25</v>
      </c>
      <c r="G11" s="145">
        <f>ROUND(E11/$S$2*F11,0)</f>
        <v>3500000</v>
      </c>
      <c r="H11" s="144">
        <f>(VLOOKUP(B11,'CC -4'!$B$8:$AS$17,37,0)+VLOOKUP(B11,'CC -4'!$B$8:$AS$17,38,0))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IF(VLOOKUP(B11,DS,12,0)="x",E11*$L$3,0)</f>
        <v>0</v>
      </c>
      <c r="M11" s="148">
        <f>IF(VLOOKUP(B11,DS,12,0)="x",E11*$M$3,0)</f>
        <v>0</v>
      </c>
      <c r="N11" s="148">
        <f>IF(VLOOKUP(B11,DS,12,0)="x",E11*$N$3,0)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0</v>
      </c>
      <c r="M13" s="162">
        <f t="shared" si="10"/>
        <v>0</v>
      </c>
      <c r="N13" s="162">
        <f t="shared" si="10"/>
        <v>0</v>
      </c>
      <c r="O13" s="162">
        <f t="shared" si="10"/>
        <v>3750000</v>
      </c>
      <c r="P13" s="162">
        <f t="shared" si="10"/>
        <v>0</v>
      </c>
      <c r="Q13" s="162">
        <f>SUM(Q8:Q12)</f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-4'!$B$8:$AS$17,36,0)</f>
        <v>25</v>
      </c>
      <c r="G15" s="145">
        <f>ROUND(E15/$S$2*F15,0)</f>
        <v>3500000</v>
      </c>
      <c r="H15" s="144">
        <f>(VLOOKUP(B15,'CC -4'!$B$8:$AS$17,37,0)+VLOOKUP(B15,'CC -4'!$B$8:$AS$17,38,0))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IF(VLOOKUP(B15,DS,12,0)="x",E15*$L$3,0)</f>
        <v>0</v>
      </c>
      <c r="M15" s="148">
        <f>IF(VLOOKUP(B15,DS,12,0)="x",E15*$M$3,0)</f>
        <v>0</v>
      </c>
      <c r="N15" s="148">
        <f>IF(VLOOKUP(B15,DS,12,0)="x",E15*$N$3,0)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4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B1:O2 S16:S28 U14:AB14 S3:S14 U4:AB12 B3:R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42491</v>
      </c>
      <c r="G5" s="73">
        <f t="shared" ref="G5:AJ5" si="0">F5+1</f>
        <v>42492</v>
      </c>
      <c r="H5" s="73">
        <f t="shared" si="0"/>
        <v>42493</v>
      </c>
      <c r="I5" s="73">
        <f t="shared" si="0"/>
        <v>42494</v>
      </c>
      <c r="J5" s="73">
        <f t="shared" si="0"/>
        <v>42495</v>
      </c>
      <c r="K5" s="73">
        <f t="shared" si="0"/>
        <v>42496</v>
      </c>
      <c r="L5" s="73">
        <f t="shared" si="0"/>
        <v>42497</v>
      </c>
      <c r="M5" s="73">
        <f t="shared" si="0"/>
        <v>42498</v>
      </c>
      <c r="N5" s="73">
        <f t="shared" si="0"/>
        <v>42499</v>
      </c>
      <c r="O5" s="73">
        <f t="shared" si="0"/>
        <v>42500</v>
      </c>
      <c r="P5" s="73">
        <f t="shared" si="0"/>
        <v>42501</v>
      </c>
      <c r="Q5" s="73">
        <f t="shared" si="0"/>
        <v>42502</v>
      </c>
      <c r="R5" s="73">
        <f t="shared" si="0"/>
        <v>42503</v>
      </c>
      <c r="S5" s="73">
        <f t="shared" si="0"/>
        <v>42504</v>
      </c>
      <c r="T5" s="73">
        <f t="shared" si="0"/>
        <v>42505</v>
      </c>
      <c r="U5" s="73">
        <f t="shared" si="0"/>
        <v>42506</v>
      </c>
      <c r="V5" s="73">
        <f t="shared" si="0"/>
        <v>42507</v>
      </c>
      <c r="W5" s="73">
        <f t="shared" si="0"/>
        <v>42508</v>
      </c>
      <c r="X5" s="73">
        <f t="shared" si="0"/>
        <v>42509</v>
      </c>
      <c r="Y5" s="73">
        <f t="shared" si="0"/>
        <v>42510</v>
      </c>
      <c r="Z5" s="73">
        <f t="shared" si="0"/>
        <v>42511</v>
      </c>
      <c r="AA5" s="73">
        <f t="shared" si="0"/>
        <v>42512</v>
      </c>
      <c r="AB5" s="73">
        <f t="shared" si="0"/>
        <v>42513</v>
      </c>
      <c r="AC5" s="73">
        <f t="shared" si="0"/>
        <v>42514</v>
      </c>
      <c r="AD5" s="73">
        <f t="shared" si="0"/>
        <v>42515</v>
      </c>
      <c r="AE5" s="73">
        <f t="shared" si="0"/>
        <v>42516</v>
      </c>
      <c r="AF5" s="73">
        <f t="shared" si="0"/>
        <v>42517</v>
      </c>
      <c r="AG5" s="73">
        <f t="shared" si="0"/>
        <v>42518</v>
      </c>
      <c r="AH5" s="73">
        <f>AG5+1</f>
        <v>42519</v>
      </c>
      <c r="AI5" s="73">
        <f t="shared" si="0"/>
        <v>42520</v>
      </c>
      <c r="AJ5" s="73">
        <f t="shared" si="0"/>
        <v>42521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/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>
        <v>8</v>
      </c>
      <c r="AK9" s="223">
        <f>((SUM(F9:AJ9))/8)-(SUMIF($F$6:$AJ$6,"C.Nhật",F9:AJ9)/8)</f>
        <v>25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25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/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>
        <v>8</v>
      </c>
      <c r="AK11" s="223">
        <f>((SUM(F11:AJ11))/8)-(SUMIF($F$6:$AJ$6,"C.Nhật",F11:AJ11)/8)</f>
        <v>25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25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/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>
        <v>8</v>
      </c>
      <c r="AK13" s="223">
        <f>((SUM(F13:AJ13))/8)-(SUMIF($F$6:$AJ$6,"C.Nhật",F13:AJ13)/8)</f>
        <v>25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25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/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/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/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/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/>
      <c r="AI16" s="87">
        <v>8</v>
      </c>
      <c r="AJ16" s="87">
        <v>8</v>
      </c>
      <c r="AK16" s="223">
        <f t="shared" ref="AK16" si="2">((SUM(F16:AJ16))/8)-(SUMIF($F$6:$AJ$6,"C.Nhật",F16:AJ16)/8)</f>
        <v>25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25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">
    <cfRule type="expression" dxfId="45" priority="20" stopIfTrue="1">
      <formula>IF(WEEKDAY(F$5)=1,TRUE,FALSE)</formula>
    </cfRule>
  </conditionalFormatting>
  <conditionalFormatting sqref="F9:AJ14">
    <cfRule type="expression" dxfId="44" priority="19" stopIfTrue="1">
      <formula>IF(WEEKDAY(F$5)=1,TRUE,FALSE)</formula>
    </cfRule>
  </conditionalFormatting>
  <conditionalFormatting sqref="F16:AJ17">
    <cfRule type="expression" dxfId="43" priority="2" stopIfTrue="1">
      <formula>IF(WEEKDAY(F$5)=1,TRUE,FALSE)</formula>
    </cfRule>
  </conditionalFormatting>
  <conditionalFormatting sqref="F16:AJ17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17" activeCellId="1" sqref="E13 E17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05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-5'!$AK$9:$AK$17)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-5'!$E$4</f>
        <v>42491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-5'!$B$8:$AS$17,36,0)</f>
        <v>25</v>
      </c>
      <c r="G9" s="145">
        <f>ROUND(E9/$S$2*F9,0)</f>
        <v>3750000</v>
      </c>
      <c r="H9" s="144">
        <f>(VLOOKUP(B9,'CC -5'!$B$8:$AS$17,37,0)+VLOOKUP(B9,'CC -5'!$B$8:$AS$17,38,0))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IF(VLOOKUP(B9,DS,13,0)="x",E9*$L$3,0)</f>
        <v>300000</v>
      </c>
      <c r="M9" s="148">
        <f>IF(VLOOKUP(B9,DS,13,0)="x",E9*$M$3,0)</f>
        <v>56250</v>
      </c>
      <c r="N9" s="148">
        <f>IF(VLOOKUP(B9,DS,13,0)="x",E9*$N$3,0)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-5'!$B$8:$AS$17,36,0)</f>
        <v>25</v>
      </c>
      <c r="G10" s="145">
        <f>ROUND(E10/$S$2*F10,0)</f>
        <v>3750000</v>
      </c>
      <c r="H10" s="144">
        <f>(VLOOKUP(B10,'CC -5'!$B$8:$AS$17,37,0)+VLOOKUP(B10,'CC -5'!$B$8:$AS$17,38,0))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IF(VLOOKUP(B10,DS,13,0)="x",E10*$L$3,0)</f>
        <v>300000</v>
      </c>
      <c r="M10" s="148">
        <f>IF(VLOOKUP(B10,DS,13,0)="x",E10*$M$3,0)</f>
        <v>56250</v>
      </c>
      <c r="N10" s="148">
        <f>IF(VLOOKUP(B10,DS,13,0)="x",E10*$N$3,0)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-5'!$B$8:$AS$17,36,0)</f>
        <v>25</v>
      </c>
      <c r="G11" s="145">
        <f>ROUND(E11/$S$2*F11,0)</f>
        <v>3500000</v>
      </c>
      <c r="H11" s="144">
        <f>(VLOOKUP(B11,'CC -5'!$B$8:$AS$17,37,0)+VLOOKUP(B11,'CC -5'!$B$8:$AS$17,38,0))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IF(VLOOKUP(B11,DS,13,0)="x",E11*$L$3,0)</f>
        <v>280000</v>
      </c>
      <c r="M11" s="148">
        <f>IF(VLOOKUP(B11,DS,13,0)="x",E11*$M$3,0)</f>
        <v>52500</v>
      </c>
      <c r="N11" s="148">
        <f>IF(VLOOKUP(B11,DS,13,0)="x",E11*$N$3,0)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SUM(E8:E12)</f>
        <v>11000000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-5'!$B$8:$AS$17,36,0)</f>
        <v>25</v>
      </c>
      <c r="G15" s="145">
        <f>ROUND(E15/$S$2*F15,0)</f>
        <v>3500000</v>
      </c>
      <c r="H15" s="144">
        <f>(VLOOKUP(B15,'CC -5'!$B$8:$AS$17,37,0)+VLOOKUP(B15,'CC -5'!$B$8:$AS$17,38,0))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IF(VLOOKUP(B15,DS,13,0)="x",E15*$L$3,0)</f>
        <v>280000</v>
      </c>
      <c r="M15" s="148">
        <f>IF(VLOOKUP(B15,DS,13,0)="x",E15*$M$3,0)</f>
        <v>52500</v>
      </c>
      <c r="N15" s="148">
        <f>IF(VLOOKUP(B15,DS,13,0)="x",E15*$N$3,0)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5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42522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42522</v>
      </c>
      <c r="G5" s="73">
        <f t="shared" ref="G5:AJ5" si="0">F5+1</f>
        <v>42523</v>
      </c>
      <c r="H5" s="73">
        <f t="shared" si="0"/>
        <v>42524</v>
      </c>
      <c r="I5" s="73">
        <f t="shared" si="0"/>
        <v>42525</v>
      </c>
      <c r="J5" s="73">
        <f t="shared" si="0"/>
        <v>42526</v>
      </c>
      <c r="K5" s="73">
        <f t="shared" si="0"/>
        <v>42527</v>
      </c>
      <c r="L5" s="73">
        <f t="shared" si="0"/>
        <v>42528</v>
      </c>
      <c r="M5" s="73">
        <f t="shared" si="0"/>
        <v>42529</v>
      </c>
      <c r="N5" s="73">
        <f t="shared" si="0"/>
        <v>42530</v>
      </c>
      <c r="O5" s="73">
        <f t="shared" si="0"/>
        <v>42531</v>
      </c>
      <c r="P5" s="73">
        <f t="shared" si="0"/>
        <v>42532</v>
      </c>
      <c r="Q5" s="73">
        <f t="shared" si="0"/>
        <v>42533</v>
      </c>
      <c r="R5" s="73">
        <f t="shared" si="0"/>
        <v>42534</v>
      </c>
      <c r="S5" s="73">
        <f t="shared" si="0"/>
        <v>42535</v>
      </c>
      <c r="T5" s="73">
        <f t="shared" si="0"/>
        <v>42536</v>
      </c>
      <c r="U5" s="73">
        <f t="shared" si="0"/>
        <v>42537</v>
      </c>
      <c r="V5" s="73">
        <f t="shared" si="0"/>
        <v>42538</v>
      </c>
      <c r="W5" s="73">
        <f t="shared" si="0"/>
        <v>42539</v>
      </c>
      <c r="X5" s="73">
        <f t="shared" si="0"/>
        <v>42540</v>
      </c>
      <c r="Y5" s="73">
        <f t="shared" si="0"/>
        <v>42541</v>
      </c>
      <c r="Z5" s="73">
        <f t="shared" si="0"/>
        <v>42542</v>
      </c>
      <c r="AA5" s="73">
        <f t="shared" si="0"/>
        <v>42543</v>
      </c>
      <c r="AB5" s="73">
        <f t="shared" si="0"/>
        <v>42544</v>
      </c>
      <c r="AC5" s="73">
        <f t="shared" si="0"/>
        <v>42545</v>
      </c>
      <c r="AD5" s="73">
        <f t="shared" si="0"/>
        <v>42546</v>
      </c>
      <c r="AE5" s="73">
        <f t="shared" si="0"/>
        <v>42547</v>
      </c>
      <c r="AF5" s="73">
        <f t="shared" si="0"/>
        <v>42548</v>
      </c>
      <c r="AG5" s="73">
        <f t="shared" si="0"/>
        <v>42549</v>
      </c>
      <c r="AH5" s="73">
        <f>AG5+1</f>
        <v>42550</v>
      </c>
      <c r="AI5" s="73">
        <f t="shared" si="0"/>
        <v>42551</v>
      </c>
      <c r="AJ5" s="73">
        <f t="shared" si="0"/>
        <v>42552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/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/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/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/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I14">
    <cfRule type="expression" dxfId="41" priority="28" stopIfTrue="1">
      <formula>IF(WEEKDAY(F$5)=1,TRUE,FALSE)</formula>
    </cfRule>
  </conditionalFormatting>
  <conditionalFormatting sqref="F9:AJ10 F11:AI14">
    <cfRule type="expression" dxfId="40" priority="27" stopIfTrue="1">
      <formula>IF(WEEKDAY(F$5)=1,TRUE,FALSE)</formula>
    </cfRule>
  </conditionalFormatting>
  <conditionalFormatting sqref="AJ16:AJ17">
    <cfRule type="expression" dxfId="39" priority="26" stopIfTrue="1">
      <formula>IF(WEEKDAY(AJ$5)=1,TRUE,FALSE)</formula>
    </cfRule>
  </conditionalFormatting>
  <conditionalFormatting sqref="AJ16:AJ17">
    <cfRule type="expression" dxfId="38" priority="25" stopIfTrue="1">
      <formula>IF(WEEKDAY(AJ$5)=1,TRUE,FALSE)</formula>
    </cfRule>
  </conditionalFormatting>
  <conditionalFormatting sqref="AJ11:AJ12">
    <cfRule type="expression" dxfId="37" priority="12" stopIfTrue="1">
      <formula>IF(WEEKDAY(AJ$5)=1,TRUE,FALSE)</formula>
    </cfRule>
  </conditionalFormatting>
  <conditionalFormatting sqref="AJ11:AJ12">
    <cfRule type="expression" dxfId="36" priority="11" stopIfTrue="1">
      <formula>IF(WEEKDAY(AJ$5)=1,TRUE,FALSE)</formula>
    </cfRule>
  </conditionalFormatting>
  <conditionalFormatting sqref="AJ13:AJ14">
    <cfRule type="expression" dxfId="35" priority="10" stopIfTrue="1">
      <formula>IF(WEEKDAY(AJ$5)=1,TRUE,FALSE)</formula>
    </cfRule>
  </conditionalFormatting>
  <conditionalFormatting sqref="AJ13:AJ14">
    <cfRule type="expression" dxfId="34" priority="9" stopIfTrue="1">
      <formula>IF(WEEKDAY(AJ$5)=1,TRUE,FALSE)</formula>
    </cfRule>
  </conditionalFormatting>
  <conditionalFormatting sqref="F16:AI17">
    <cfRule type="expression" dxfId="33" priority="2" stopIfTrue="1">
      <formula>IF(WEEKDAY(F$5)=1,TRUE,FALSE)</formula>
    </cfRule>
  </conditionalFormatting>
  <conditionalFormatting sqref="F16:AI17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06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-6'!$AK$9:$AK$17)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-6'!$E$4</f>
        <v>42522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-6'!$B$8:$AS$17,36,0)</f>
        <v>26</v>
      </c>
      <c r="G9" s="145">
        <f>ROUND(E9/$S$2*F9,0)</f>
        <v>3750000</v>
      </c>
      <c r="H9" s="144">
        <f>(VLOOKUP(B9,'CC -6'!$B$8:$AS$17,37,0)+VLOOKUP(B9,'CC -6'!$B$8:$AS$17,38,0))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IF(VLOOKUP(B9,DS,14,0)="x",E9*$L$3,0)</f>
        <v>300000</v>
      </c>
      <c r="M9" s="148">
        <f>IF(VLOOKUP(B9,DS,14,0)="x",E9*$M$3,0)</f>
        <v>56250</v>
      </c>
      <c r="N9" s="148">
        <f>IF(VLOOKUP(B9,DS,14,0)="x",E9*$N$3,0)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-6'!$B$8:$AS$17,36,0)</f>
        <v>26</v>
      </c>
      <c r="G10" s="145">
        <f>ROUND(E10/$S$2*F10,0)</f>
        <v>3750000</v>
      </c>
      <c r="H10" s="144">
        <f>(VLOOKUP(B10,'CC -6'!$B$8:$AS$17,37,0)+VLOOKUP(B10,'CC -6'!$B$8:$AS$17,38,0))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IF(VLOOKUP(B10,DS,14,0)="x",E10*$L$3,0)</f>
        <v>300000</v>
      </c>
      <c r="M10" s="148">
        <f>IF(VLOOKUP(B10,DS,14,0)="x",E10*$M$3,0)</f>
        <v>56250</v>
      </c>
      <c r="N10" s="148">
        <f>IF(VLOOKUP(B10,DS,14,0)="x",E10*$N$3,0)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-6'!$B$8:$AS$17,36,0)</f>
        <v>26</v>
      </c>
      <c r="G11" s="145">
        <f>ROUND(E11/$S$2*F11,0)</f>
        <v>3500000</v>
      </c>
      <c r="H11" s="144">
        <f>(VLOOKUP(B11,'CC -6'!$B$8:$AS$17,37,0)+VLOOKUP(B11,'CC -6'!$B$8:$AS$17,38,0))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IF(VLOOKUP(B11,DS,14,0)="x",E11*$L$3,0)</f>
        <v>280000</v>
      </c>
      <c r="M11" s="148">
        <f>IF(VLOOKUP(B11,DS,14,0)="x",E11*$M$3,0)</f>
        <v>52500</v>
      </c>
      <c r="N11" s="148">
        <f>IF(VLOOKUP(B11,DS,14,0)="x",E11*$N$3,0)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-6'!$B$8:$AS$17,36,0)</f>
        <v>26</v>
      </c>
      <c r="G15" s="145">
        <f>ROUND(E15/$S$2*F15,0)</f>
        <v>3500000</v>
      </c>
      <c r="H15" s="144">
        <f>(VLOOKUP(B15,'CC -6'!$B$8:$AS$17,37,0)+VLOOKUP(B15,'CC -6'!$B$8:$AS$17,38,0))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IF(VLOOKUP(B15,DS,14,0)="x",E15*$L$3,0)</f>
        <v>280000</v>
      </c>
      <c r="M15" s="148">
        <f>IF(VLOOKUP(B15,DS,14,0)="x",E15*$M$3,0)</f>
        <v>52500</v>
      </c>
      <c r="N15" s="148">
        <f>IF(VLOOKUP(B15,DS,14,0)="x",E15*$N$3,0)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6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T4:T12 AC4:IH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P2:Q2 T1:IH3 S3:S14 U4:AB12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42552</v>
      </c>
      <c r="G5" s="73">
        <f t="shared" ref="G5:AJ5" si="0">F5+1</f>
        <v>42553</v>
      </c>
      <c r="H5" s="73">
        <f t="shared" si="0"/>
        <v>42554</v>
      </c>
      <c r="I5" s="73">
        <f t="shared" si="0"/>
        <v>42555</v>
      </c>
      <c r="J5" s="73">
        <f t="shared" si="0"/>
        <v>42556</v>
      </c>
      <c r="K5" s="73">
        <f t="shared" si="0"/>
        <v>42557</v>
      </c>
      <c r="L5" s="73">
        <f t="shared" si="0"/>
        <v>42558</v>
      </c>
      <c r="M5" s="73">
        <f t="shared" si="0"/>
        <v>42559</v>
      </c>
      <c r="N5" s="73">
        <f t="shared" si="0"/>
        <v>42560</v>
      </c>
      <c r="O5" s="73">
        <f t="shared" si="0"/>
        <v>42561</v>
      </c>
      <c r="P5" s="73">
        <f t="shared" si="0"/>
        <v>42562</v>
      </c>
      <c r="Q5" s="73">
        <f t="shared" si="0"/>
        <v>42563</v>
      </c>
      <c r="R5" s="73">
        <f t="shared" si="0"/>
        <v>42564</v>
      </c>
      <c r="S5" s="73">
        <f t="shared" si="0"/>
        <v>42565</v>
      </c>
      <c r="T5" s="73">
        <f t="shared" si="0"/>
        <v>42566</v>
      </c>
      <c r="U5" s="73">
        <f t="shared" si="0"/>
        <v>42567</v>
      </c>
      <c r="V5" s="73">
        <f t="shared" si="0"/>
        <v>42568</v>
      </c>
      <c r="W5" s="73">
        <f t="shared" si="0"/>
        <v>42569</v>
      </c>
      <c r="X5" s="73">
        <f t="shared" si="0"/>
        <v>42570</v>
      </c>
      <c r="Y5" s="73">
        <f t="shared" si="0"/>
        <v>42571</v>
      </c>
      <c r="Z5" s="73">
        <f t="shared" si="0"/>
        <v>42572</v>
      </c>
      <c r="AA5" s="73">
        <f t="shared" si="0"/>
        <v>42573</v>
      </c>
      <c r="AB5" s="73">
        <f t="shared" si="0"/>
        <v>42574</v>
      </c>
      <c r="AC5" s="73">
        <f t="shared" si="0"/>
        <v>42575</v>
      </c>
      <c r="AD5" s="73">
        <f t="shared" si="0"/>
        <v>42576</v>
      </c>
      <c r="AE5" s="73">
        <f t="shared" si="0"/>
        <v>42577</v>
      </c>
      <c r="AF5" s="73">
        <f t="shared" si="0"/>
        <v>42578</v>
      </c>
      <c r="AG5" s="73">
        <f t="shared" si="0"/>
        <v>42579</v>
      </c>
      <c r="AH5" s="73">
        <f>AG5+1</f>
        <v>42580</v>
      </c>
      <c r="AI5" s="73">
        <f t="shared" si="0"/>
        <v>42581</v>
      </c>
      <c r="AJ5" s="73">
        <f t="shared" si="0"/>
        <v>42582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19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19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6:AS17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L16:AL17"/>
    <mergeCell ref="AM16:AM17"/>
    <mergeCell ref="AN16:AN17"/>
    <mergeCell ref="AO16:AO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1:AL12"/>
    <mergeCell ref="AM11:AM12"/>
    <mergeCell ref="AN11:AN12"/>
    <mergeCell ref="AO11:AO12"/>
    <mergeCell ref="AL13:AL14"/>
    <mergeCell ref="AM13:AM14"/>
    <mergeCell ref="AN13:AN14"/>
    <mergeCell ref="AO13:AO14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S13:AS14"/>
    <mergeCell ref="AP11:AP12"/>
    <mergeCell ref="AQ11:AQ12"/>
    <mergeCell ref="AR11:AR12"/>
    <mergeCell ref="AS11:AS12"/>
    <mergeCell ref="AQ13:AQ14"/>
    <mergeCell ref="AR13:AR14"/>
    <mergeCell ref="AP13:AP14"/>
  </mergeCells>
  <conditionalFormatting sqref="F5:AJ6 F9:AJ14">
    <cfRule type="expression" dxfId="31" priority="17" stopIfTrue="1">
      <formula>IF(WEEKDAY(F$5)=1,TRUE,FALSE)</formula>
    </cfRule>
  </conditionalFormatting>
  <conditionalFormatting sqref="F9:AJ14">
    <cfRule type="expression" dxfId="30" priority="16" stopIfTrue="1">
      <formula>IF(WEEKDAY(F$5)=1,TRUE,FALSE)</formula>
    </cfRule>
  </conditionalFormatting>
  <conditionalFormatting sqref="F16:AJ17">
    <cfRule type="expression" dxfId="29" priority="2" stopIfTrue="1">
      <formula>IF(WEEKDAY(F$5)=1,TRUE,FALSE)</formula>
    </cfRule>
  </conditionalFormatting>
  <conditionalFormatting sqref="F16:AJ17">
    <cfRule type="expression" dxfId="2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07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-7'!$AK$9:$AK$17)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-7'!$E$4</f>
        <v>42552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-7'!$B$8:$AS$17,36,0)</f>
        <v>26</v>
      </c>
      <c r="G9" s="145">
        <f>ROUND(E9/$S$2*F9,0)</f>
        <v>3750000</v>
      </c>
      <c r="H9" s="144">
        <f>(VLOOKUP(B9,'CC -7'!$B$8:$AS$17,37,0)+VLOOKUP(B9,'CC -7'!$B$8:$AS$17,38,0))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IF(VLOOKUP(B9,DS,15,0)="x",E9*$L$3,0)</f>
        <v>300000</v>
      </c>
      <c r="M9" s="148">
        <f>IF(VLOOKUP(B9,DS,15,0)="x",E9*$M$3,0)</f>
        <v>56250</v>
      </c>
      <c r="N9" s="148">
        <f>IF(VLOOKUP(B9,DS,15,0)="x",E9*$N$3,0)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-7'!$B$8:$AS$17,36,0)</f>
        <v>26</v>
      </c>
      <c r="G10" s="145">
        <f>ROUND(E10/$S$2*F10,0)</f>
        <v>3750000</v>
      </c>
      <c r="H10" s="144">
        <f>(VLOOKUP(B10,'CC -7'!$B$8:$AS$17,37,0)+VLOOKUP(B10,'CC -7'!$B$8:$AS$17,38,0))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IF(VLOOKUP(B10,DS,15,0)="x",E10*$L$3,0)</f>
        <v>300000</v>
      </c>
      <c r="M10" s="148">
        <f>IF(VLOOKUP(B10,DS,15,0)="x",E10*$M$3,0)</f>
        <v>56250</v>
      </c>
      <c r="N10" s="148">
        <f>IF(VLOOKUP(B10,DS,15,0)="x",E10*$N$3,0)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-7'!$B$8:$AS$17,36,0)</f>
        <v>26</v>
      </c>
      <c r="G11" s="145">
        <f>ROUND(E11/$S$2*F11,0)</f>
        <v>3500000</v>
      </c>
      <c r="H11" s="144">
        <f>(VLOOKUP(B11,'CC -7'!$B$8:$AS$17,37,0)+VLOOKUP(B11,'CC -7'!$B$8:$AS$17,38,0))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IF(VLOOKUP(B11,DS,15,0)="x",E11*$L$3,0)</f>
        <v>280000</v>
      </c>
      <c r="M11" s="148">
        <f>IF(VLOOKUP(B11,DS,15,0)="x",E11*$M$3,0)</f>
        <v>52500</v>
      </c>
      <c r="N11" s="148">
        <f>IF(VLOOKUP(B11,DS,15,0)="x",E11*$N$3,0)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36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-7'!$B$8:$AS$17,36,0)</f>
        <v>26</v>
      </c>
      <c r="G15" s="145">
        <f>ROUND(E15/$S$2*F15,0)</f>
        <v>3500000</v>
      </c>
      <c r="H15" s="144">
        <f>(VLOOKUP(B15,'CC -7'!$B$8:$AS$17,37,0)+VLOOKUP(B15,'CC -7'!$B$8:$AS$17,38,0))</f>
        <v>0</v>
      </c>
      <c r="I15" s="145">
        <f>ROUND(E15/$S$2*H15,0)</f>
        <v>0</v>
      </c>
      <c r="J15" s="166">
        <f t="shared" ref="J15" si="14">F15+H15</f>
        <v>26</v>
      </c>
      <c r="K15" s="147">
        <f t="shared" ref="K15" si="15">G15+I15</f>
        <v>3500000</v>
      </c>
      <c r="L15" s="148">
        <f>IF(VLOOKUP(B15,DS,15,0)="x",E15*$L$3,0)</f>
        <v>280000</v>
      </c>
      <c r="M15" s="148">
        <f>IF(VLOOKUP(B15,DS,15,0)="x",E15*$M$3,0)</f>
        <v>52500</v>
      </c>
      <c r="N15" s="148">
        <f>IF(VLOOKUP(B15,DS,15,0)="x",E15*$N$3,0)</f>
        <v>35000</v>
      </c>
      <c r="O15" s="147">
        <f t="shared" ref="O15" si="16">K15-SUM(L15:N15)</f>
        <v>3132500</v>
      </c>
      <c r="P15" s="147">
        <f>VLOOKUP(B15,DS,23,0)</f>
        <v>0</v>
      </c>
      <c r="Q15" s="149">
        <f t="shared" ref="Q15" si="17">O15-P15</f>
        <v>3132500</v>
      </c>
      <c r="R15" s="147"/>
      <c r="S15" s="193"/>
      <c r="T15" s="133"/>
      <c r="U15" s="134"/>
      <c r="V15" s="134"/>
      <c r="W15" s="134"/>
      <c r="X15" s="135"/>
      <c r="Y15" s="135"/>
      <c r="Z15" s="135"/>
      <c r="AA15" s="135"/>
      <c r="AB15" s="135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8">SUM(K14:K16)</f>
        <v>3500000</v>
      </c>
      <c r="L17" s="162">
        <f t="shared" si="18"/>
        <v>280000</v>
      </c>
      <c r="M17" s="162">
        <f t="shared" si="18"/>
        <v>52500</v>
      </c>
      <c r="N17" s="162">
        <f t="shared" si="18"/>
        <v>35000</v>
      </c>
      <c r="O17" s="162">
        <f t="shared" si="18"/>
        <v>3132500</v>
      </c>
      <c r="P17" s="162">
        <f t="shared" si="18"/>
        <v>0</v>
      </c>
      <c r="Q17" s="162">
        <f t="shared" si="18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7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:T15 O4:R6 E4:I5 L4:N5 J5:K6 A23:R56 S29:S56 J16:Q16 T23:IH56 AC14:IH15 T13:IH13 D13:R13 D17:R17 A9:B13 T4:T12 AC4:IH12 A57:IH65324 O9:Q12 O15" name="Range1"/>
    <protectedRange password="CC78" sqref="F6:H6" name="Range1_4"/>
    <protectedRange password="CC78" sqref="T20:IH21 Q20:R21 L20:O21 E20:I21" name="Range1_1_1"/>
    <protectedRange password="CC78" sqref="S1 L3:R3 L1:O2 U14:AB15 S3:S28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A15:B15 P15:Q15" name="Range1_5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42583</v>
      </c>
      <c r="G5" s="73">
        <f t="shared" ref="G5:AJ5" si="0">F5+1</f>
        <v>42584</v>
      </c>
      <c r="H5" s="73">
        <f t="shared" si="0"/>
        <v>42585</v>
      </c>
      <c r="I5" s="73">
        <f t="shared" si="0"/>
        <v>42586</v>
      </c>
      <c r="J5" s="73">
        <f t="shared" si="0"/>
        <v>42587</v>
      </c>
      <c r="K5" s="73">
        <f t="shared" si="0"/>
        <v>42588</v>
      </c>
      <c r="L5" s="73">
        <f t="shared" si="0"/>
        <v>42589</v>
      </c>
      <c r="M5" s="73">
        <f t="shared" si="0"/>
        <v>42590</v>
      </c>
      <c r="N5" s="73">
        <f t="shared" si="0"/>
        <v>42591</v>
      </c>
      <c r="O5" s="73">
        <f t="shared" si="0"/>
        <v>42592</v>
      </c>
      <c r="P5" s="73">
        <f t="shared" si="0"/>
        <v>42593</v>
      </c>
      <c r="Q5" s="73">
        <f t="shared" si="0"/>
        <v>42594</v>
      </c>
      <c r="R5" s="73">
        <f t="shared" si="0"/>
        <v>42595</v>
      </c>
      <c r="S5" s="73">
        <f t="shared" si="0"/>
        <v>42596</v>
      </c>
      <c r="T5" s="73">
        <f t="shared" si="0"/>
        <v>42597</v>
      </c>
      <c r="U5" s="73">
        <f t="shared" si="0"/>
        <v>42598</v>
      </c>
      <c r="V5" s="73">
        <f t="shared" si="0"/>
        <v>42599</v>
      </c>
      <c r="W5" s="73">
        <f t="shared" si="0"/>
        <v>42600</v>
      </c>
      <c r="X5" s="73">
        <f t="shared" si="0"/>
        <v>42601</v>
      </c>
      <c r="Y5" s="73">
        <f t="shared" si="0"/>
        <v>42602</v>
      </c>
      <c r="Z5" s="73">
        <f t="shared" si="0"/>
        <v>42603</v>
      </c>
      <c r="AA5" s="73">
        <f t="shared" si="0"/>
        <v>42604</v>
      </c>
      <c r="AB5" s="73">
        <f t="shared" si="0"/>
        <v>42605</v>
      </c>
      <c r="AC5" s="73">
        <f t="shared" si="0"/>
        <v>42606</v>
      </c>
      <c r="AD5" s="73">
        <f t="shared" si="0"/>
        <v>42607</v>
      </c>
      <c r="AE5" s="73">
        <f t="shared" si="0"/>
        <v>42608</v>
      </c>
      <c r="AF5" s="73">
        <f t="shared" si="0"/>
        <v>42609</v>
      </c>
      <c r="AG5" s="73">
        <f t="shared" si="0"/>
        <v>42610</v>
      </c>
      <c r="AH5" s="73">
        <f>AG5+1</f>
        <v>42611</v>
      </c>
      <c r="AI5" s="73">
        <f t="shared" si="0"/>
        <v>42612</v>
      </c>
      <c r="AJ5" s="73">
        <f t="shared" si="0"/>
        <v>42613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27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27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27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>
        <v>8</v>
      </c>
      <c r="AI16" s="87">
        <v>8</v>
      </c>
      <c r="AJ16" s="87">
        <v>8</v>
      </c>
      <c r="AK16" s="223">
        <f t="shared" ref="AK16" si="2">((SUM(F16:AJ16))/8)-(SUMIF($F$6:$AJ$6,"C.Nhật",F16:AJ16)/8)</f>
        <v>27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27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27" priority="14" stopIfTrue="1">
      <formula>IF(WEEKDAY(F$5)=1,TRUE,FALSE)</formula>
    </cfRule>
  </conditionalFormatting>
  <conditionalFormatting sqref="F9:AJ14">
    <cfRule type="expression" dxfId="26" priority="13" stopIfTrue="1">
      <formula>IF(WEEKDAY(F$5)=1,TRUE,FALSE)</formula>
    </cfRule>
  </conditionalFormatting>
  <conditionalFormatting sqref="F16:AJ17">
    <cfRule type="expression" dxfId="25" priority="4" stopIfTrue="1">
      <formula>IF(WEEKDAY(F$5)=1,TRUE,FALSE)</formula>
    </cfRule>
  </conditionalFormatting>
  <conditionalFormatting sqref="F16:AJ17">
    <cfRule type="expression" dxfId="2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08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-8'!$AK$9:$AK$17)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-8'!$E$4</f>
        <v>42583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-8'!$B$8:$AS$17,36,0)</f>
        <v>27</v>
      </c>
      <c r="G9" s="145">
        <f>ROUND(E9/$S$2*F9,0)</f>
        <v>3750000</v>
      </c>
      <c r="H9" s="144">
        <f>(VLOOKUP(B9,'CC -8'!$B$8:$AS$17,37,0)+VLOOKUP(B9,'CC -8'!$B$8:$AS$17,38,0))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IF(VLOOKUP(B9,DS,16,0)="x",E9*$L$3,0)</f>
        <v>300000</v>
      </c>
      <c r="M9" s="148">
        <f>IF(VLOOKUP(B9,DS,16,0)="x",E9*$M$3,0)</f>
        <v>56250</v>
      </c>
      <c r="N9" s="148">
        <f>IF(VLOOKUP(B9,DS,16,0)="x",E9*$N$3,0)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-8'!$B$8:$AS$17,36,0)</f>
        <v>27</v>
      </c>
      <c r="G10" s="145">
        <f>ROUND(E10/$S$2*F10,0)</f>
        <v>3750000</v>
      </c>
      <c r="H10" s="144">
        <f>(VLOOKUP(B10,'CC -8'!$B$8:$AS$17,37,0)+VLOOKUP(B10,'CC -8'!$B$8:$AS$17,38,0))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IF(VLOOKUP(B10,DS,16,0)="x",E10*$L$3,0)</f>
        <v>300000</v>
      </c>
      <c r="M10" s="148">
        <f>IF(VLOOKUP(B10,DS,16,0)="x",E10*$M$3,0)</f>
        <v>56250</v>
      </c>
      <c r="N10" s="148">
        <f>IF(VLOOKUP(B10,DS,16,0)="x",E10*$N$3,0)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-8'!$B$8:$AS$17,36,0)</f>
        <v>27</v>
      </c>
      <c r="G11" s="145">
        <f>ROUND(E11/$S$2*F11,0)</f>
        <v>3500000</v>
      </c>
      <c r="H11" s="144">
        <f>(VLOOKUP(B11,'CC -8'!$B$8:$AS$17,37,0)+VLOOKUP(B11,'CC -8'!$B$8:$AS$17,38,0))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IF(VLOOKUP(B11,DS,16,0)="x",E11*$L$3,0)</f>
        <v>280000</v>
      </c>
      <c r="M11" s="148">
        <f>IF(VLOOKUP(B11,DS,16,0)="x",E11*$M$3,0)</f>
        <v>52500</v>
      </c>
      <c r="N11" s="148">
        <f>IF(VLOOKUP(B11,DS,16,0)="x",E11*$N$3,0)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-8'!$B$8:$AS$17,36,0)</f>
        <v>27</v>
      </c>
      <c r="G15" s="145">
        <f>ROUND(E15/$S$2*F15,0)</f>
        <v>3500000</v>
      </c>
      <c r="H15" s="144">
        <f>(VLOOKUP(B15,'CC -8'!$B$8:$AS$17,37,0)+VLOOKUP(B15,'CC -8'!$B$8:$AS$17,38,0))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IF(VLOOKUP(B15,DS,16,0)="x",E15*$L$3,0)</f>
        <v>280000</v>
      </c>
      <c r="M15" s="148">
        <f>IF(VLOOKUP(B15,DS,16,0)="x",E15*$M$3,0)</f>
        <v>52500</v>
      </c>
      <c r="N15" s="148">
        <f>IF(VLOOKUP(B15,DS,16,0)="x",E15*$N$3,0)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8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42614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42614</v>
      </c>
      <c r="G5" s="73">
        <f t="shared" ref="G5:AJ5" si="0">F5+1</f>
        <v>42615</v>
      </c>
      <c r="H5" s="73">
        <f t="shared" si="0"/>
        <v>42616</v>
      </c>
      <c r="I5" s="73">
        <f t="shared" si="0"/>
        <v>42617</v>
      </c>
      <c r="J5" s="73">
        <f t="shared" si="0"/>
        <v>42618</v>
      </c>
      <c r="K5" s="73">
        <f t="shared" si="0"/>
        <v>42619</v>
      </c>
      <c r="L5" s="73">
        <f t="shared" si="0"/>
        <v>42620</v>
      </c>
      <c r="M5" s="73">
        <f t="shared" si="0"/>
        <v>42621</v>
      </c>
      <c r="N5" s="73">
        <f t="shared" si="0"/>
        <v>42622</v>
      </c>
      <c r="O5" s="73">
        <f t="shared" si="0"/>
        <v>42623</v>
      </c>
      <c r="P5" s="73">
        <f t="shared" si="0"/>
        <v>42624</v>
      </c>
      <c r="Q5" s="73">
        <f t="shared" si="0"/>
        <v>42625</v>
      </c>
      <c r="R5" s="73">
        <f t="shared" si="0"/>
        <v>42626</v>
      </c>
      <c r="S5" s="73">
        <f t="shared" si="0"/>
        <v>42627</v>
      </c>
      <c r="T5" s="73">
        <f t="shared" si="0"/>
        <v>42628</v>
      </c>
      <c r="U5" s="73">
        <f t="shared" si="0"/>
        <v>42629</v>
      </c>
      <c r="V5" s="73">
        <f t="shared" si="0"/>
        <v>42630</v>
      </c>
      <c r="W5" s="73">
        <f t="shared" si="0"/>
        <v>42631</v>
      </c>
      <c r="X5" s="73">
        <f t="shared" si="0"/>
        <v>42632</v>
      </c>
      <c r="Y5" s="73">
        <f t="shared" si="0"/>
        <v>42633</v>
      </c>
      <c r="Z5" s="73">
        <f t="shared" si="0"/>
        <v>42634</v>
      </c>
      <c r="AA5" s="73">
        <f t="shared" si="0"/>
        <v>42635</v>
      </c>
      <c r="AB5" s="73">
        <f t="shared" si="0"/>
        <v>42636</v>
      </c>
      <c r="AC5" s="73">
        <f t="shared" si="0"/>
        <v>42637</v>
      </c>
      <c r="AD5" s="73">
        <f t="shared" si="0"/>
        <v>42638</v>
      </c>
      <c r="AE5" s="73">
        <f t="shared" si="0"/>
        <v>42639</v>
      </c>
      <c r="AF5" s="73">
        <f t="shared" si="0"/>
        <v>42640</v>
      </c>
      <c r="AG5" s="73">
        <f t="shared" si="0"/>
        <v>42641</v>
      </c>
      <c r="AH5" s="73">
        <f>AG5+1</f>
        <v>42642</v>
      </c>
      <c r="AI5" s="73">
        <f t="shared" si="0"/>
        <v>42643</v>
      </c>
      <c r="AJ5" s="73">
        <f t="shared" si="0"/>
        <v>42644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2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6:AJ17">
    <cfRule type="expression" dxfId="23" priority="22" stopIfTrue="1">
      <formula>IF(WEEKDAY(F$5)=1,TRUE,FALSE)</formula>
    </cfRule>
  </conditionalFormatting>
  <conditionalFormatting sqref="F9:AJ10 F11:AI14">
    <cfRule type="expression" dxfId="22" priority="21" stopIfTrue="1">
      <formula>IF(WEEKDAY(F$5)=1,TRUE,FALSE)</formula>
    </cfRule>
  </conditionalFormatting>
  <conditionalFormatting sqref="AJ11:AJ12">
    <cfRule type="expression" dxfId="21" priority="10" stopIfTrue="1">
      <formula>IF(WEEKDAY(AJ$5)=1,TRUE,FALSE)</formula>
    </cfRule>
  </conditionalFormatting>
  <conditionalFormatting sqref="AJ11:AJ12">
    <cfRule type="expression" dxfId="20" priority="9" stopIfTrue="1">
      <formula>IF(WEEKDAY(AJ$5)=1,TRUE,FALSE)</formula>
    </cfRule>
  </conditionalFormatting>
  <conditionalFormatting sqref="AJ13:AJ14">
    <cfRule type="expression" dxfId="19" priority="8" stopIfTrue="1">
      <formula>IF(WEEKDAY(AJ$5)=1,TRUE,FALSE)</formula>
    </cfRule>
  </conditionalFormatting>
  <conditionalFormatting sqref="AJ13:AJ14">
    <cfRule type="expression" dxfId="18" priority="7" stopIfTrue="1">
      <formula>IF(WEEKDAY(AJ$5)=1,TRUE,FALSE)</formula>
    </cfRule>
  </conditionalFormatting>
  <conditionalFormatting sqref="F16:AI17">
    <cfRule type="expression" dxfId="17" priority="6" stopIfTrue="1">
      <formula>IF(WEEKDAY(F$5)=1,TRUE,FALSE)</formula>
    </cfRule>
  </conditionalFormatting>
  <conditionalFormatting sqref="F16:AI17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09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-9'!$AK$9:$AK$17)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-9'!$E$4</f>
        <v>42614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-9'!$B$8:$AS$17,36,0)</f>
        <v>26</v>
      </c>
      <c r="G9" s="145">
        <f>ROUND(E9/$S$2*F9,0)</f>
        <v>3750000</v>
      </c>
      <c r="H9" s="144">
        <f>(VLOOKUP(B9,'CC -9'!$B$8:$AS$17,37,0)+VLOOKUP(B9,'CC -9'!$B$8:$AS$17,38,0))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IF(VLOOKUP(B9,DS,17,0)="x",E9*$L$3,0)</f>
        <v>300000</v>
      </c>
      <c r="M9" s="148">
        <f>IF(VLOOKUP(B9,DS,17,0)="x",E9*$M$3,0)</f>
        <v>56250</v>
      </c>
      <c r="N9" s="148">
        <f>IF(VLOOKUP(B9,DS,17,0)="x",E9*$N$3,0)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-9'!$B$8:$AS$17,36,0)</f>
        <v>26</v>
      </c>
      <c r="G10" s="145">
        <f>ROUND(E10/$S$2*F10,0)</f>
        <v>3750000</v>
      </c>
      <c r="H10" s="144">
        <f>(VLOOKUP(B10,'CC -9'!$B$8:$AS$17,37,0)+VLOOKUP(B10,'CC -9'!$B$8:$AS$17,38,0))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IF(VLOOKUP(B10,DS,17,0)="x",E10*$L$3,0)</f>
        <v>300000</v>
      </c>
      <c r="M10" s="148">
        <f>IF(VLOOKUP(B10,DS,17,0)="x",E10*$M$3,0)</f>
        <v>56250</v>
      </c>
      <c r="N10" s="148">
        <f>IF(VLOOKUP(B10,DS,17,0)="x",E10*$N$3,0)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-9'!$B$8:$AS$17,36,0)</f>
        <v>26</v>
      </c>
      <c r="G11" s="145">
        <f>ROUND(E11/$S$2*F11,0)</f>
        <v>3500000</v>
      </c>
      <c r="H11" s="144">
        <f>(VLOOKUP(B11,'CC -9'!$B$8:$AS$17,37,0)+VLOOKUP(B11,'CC -9'!$B$8:$AS$17,38,0))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IF(VLOOKUP(B11,DS,17,0)="x",E11*$L$3,0)</f>
        <v>280000</v>
      </c>
      <c r="M11" s="148">
        <f>IF(VLOOKUP(B11,DS,17,0)="x",E11*$M$3,0)</f>
        <v>52500</v>
      </c>
      <c r="N11" s="148">
        <f>IF(VLOOKUP(B11,DS,17,0)="x",E11*$N$3,0)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>
        <v>16516047</v>
      </c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193">
        <f>E10/F10/8</f>
        <v>18028.846153846152</v>
      </c>
      <c r="T12" s="127" t="e">
        <f>#REF!/S12</f>
        <v>#REF!</v>
      </c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-9'!$B$8:$AS$17,36,0)</f>
        <v>26</v>
      </c>
      <c r="G15" s="145">
        <f>ROUND(E15/$S$2*F15,0)</f>
        <v>3500000</v>
      </c>
      <c r="H15" s="144">
        <f>(VLOOKUP(B15,'CC -9'!$B$8:$AS$17,37,0)+VLOOKUP(B15,'CC -9'!$B$8:$AS$17,38,0))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IF(VLOOKUP(B15,DS,17,0)="x",E15*$L$3,0)</f>
        <v>280000</v>
      </c>
      <c r="M15" s="148">
        <f>IF(VLOOKUP(B15,DS,17,0)="x",E15*$M$3,0)</f>
        <v>52500</v>
      </c>
      <c r="N15" s="148">
        <f>IF(VLOOKUP(B15,DS,17,0)="x",E15*$N$3,0)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194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9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AC14:IH14 O4:R6 E4:I5 L4:N5 J5:K6 A23:R56 S29:S56 J16:Q16 T23:IH56 T13:IH13 D13:R13 D17:R17 T14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S3:S14 U14:AB14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AC15:IH15 P15:Q15 A15:B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42644</v>
      </c>
      <c r="G5" s="73">
        <f t="shared" ref="G5:AJ5" si="0">F5+1</f>
        <v>42645</v>
      </c>
      <c r="H5" s="73">
        <f t="shared" si="0"/>
        <v>42646</v>
      </c>
      <c r="I5" s="73">
        <f t="shared" si="0"/>
        <v>42647</v>
      </c>
      <c r="J5" s="73">
        <f t="shared" si="0"/>
        <v>42648</v>
      </c>
      <c r="K5" s="73">
        <f t="shared" si="0"/>
        <v>42649</v>
      </c>
      <c r="L5" s="73">
        <f t="shared" si="0"/>
        <v>42650</v>
      </c>
      <c r="M5" s="73">
        <f t="shared" si="0"/>
        <v>42651</v>
      </c>
      <c r="N5" s="73">
        <f t="shared" si="0"/>
        <v>42652</v>
      </c>
      <c r="O5" s="73">
        <f t="shared" si="0"/>
        <v>42653</v>
      </c>
      <c r="P5" s="73">
        <f t="shared" si="0"/>
        <v>42654</v>
      </c>
      <c r="Q5" s="73">
        <f t="shared" si="0"/>
        <v>42655</v>
      </c>
      <c r="R5" s="73">
        <f t="shared" si="0"/>
        <v>42656</v>
      </c>
      <c r="S5" s="73">
        <f t="shared" si="0"/>
        <v>42657</v>
      </c>
      <c r="T5" s="73">
        <f t="shared" si="0"/>
        <v>42658</v>
      </c>
      <c r="U5" s="73">
        <f t="shared" si="0"/>
        <v>42659</v>
      </c>
      <c r="V5" s="73">
        <f t="shared" si="0"/>
        <v>42660</v>
      </c>
      <c r="W5" s="73">
        <f t="shared" si="0"/>
        <v>42661</v>
      </c>
      <c r="X5" s="73">
        <f t="shared" si="0"/>
        <v>42662</v>
      </c>
      <c r="Y5" s="73">
        <f t="shared" si="0"/>
        <v>42663</v>
      </c>
      <c r="Z5" s="73">
        <f t="shared" si="0"/>
        <v>42664</v>
      </c>
      <c r="AA5" s="73">
        <f t="shared" si="0"/>
        <v>42665</v>
      </c>
      <c r="AB5" s="73">
        <f t="shared" si="0"/>
        <v>42666</v>
      </c>
      <c r="AC5" s="73">
        <f t="shared" si="0"/>
        <v>42667</v>
      </c>
      <c r="AD5" s="73">
        <f t="shared" si="0"/>
        <v>42668</v>
      </c>
      <c r="AE5" s="73">
        <f t="shared" si="0"/>
        <v>42669</v>
      </c>
      <c r="AF5" s="73">
        <f t="shared" si="0"/>
        <v>42670</v>
      </c>
      <c r="AG5" s="73">
        <f t="shared" si="0"/>
        <v>42671</v>
      </c>
      <c r="AH5" s="73">
        <f>AG5+1</f>
        <v>42672</v>
      </c>
      <c r="AI5" s="73">
        <f t="shared" si="0"/>
        <v>42673</v>
      </c>
      <c r="AJ5" s="73">
        <f t="shared" si="0"/>
        <v>42674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/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/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/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>
        <v>8</v>
      </c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15" priority="18" stopIfTrue="1">
      <formula>IF(WEEKDAY(F$5)=1,TRUE,FALSE)</formula>
    </cfRule>
  </conditionalFormatting>
  <conditionalFormatting sqref="F9:AJ14">
    <cfRule type="expression" dxfId="14" priority="17" stopIfTrue="1">
      <formula>IF(WEEKDAY(F$5)=1,TRUE,FALSE)</formula>
    </cfRule>
  </conditionalFormatting>
  <conditionalFormatting sqref="F16:AJ17">
    <cfRule type="expression" dxfId="13" priority="4" stopIfTrue="1">
      <formula>IF(WEEKDAY(F$5)=1,TRUE,FALSE)</formula>
    </cfRule>
  </conditionalFormatting>
  <conditionalFormatting sqref="F16:AJ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I17" sqref="I17"/>
      <selection pane="topRight" activeCell="I17" sqref="I17"/>
      <selection pane="bottomLeft" activeCell="I17" sqref="I17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8" t="str">
        <f>"BẢNG THANH TOÁN LƯƠNG THÁNG"&amp;" "&amp;TEXT($E$3,"mm")&amp;" / "&amp;TEXT($E$3,"yyyy")</f>
        <v>BẢNG THANH TOÁN LƯƠNG THÁNG 10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-10'!$AK$9:$AK$17)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-10'!$E$4</f>
        <v>42644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-10'!$B$8:$AS$17,36,0)</f>
        <v>26</v>
      </c>
      <c r="G9" s="145">
        <f>ROUND(E9/$S$2*F9,0)</f>
        <v>3750000</v>
      </c>
      <c r="H9" s="144">
        <f>(VLOOKUP(B9,'CC -10'!$B$8:$AS$17,37,0)+VLOOKUP(B9,'CC -10'!$B$8:$AS$17,38,0))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IF(VLOOKUP(B9,DS,18,0)="x",E9*$L$3,0)</f>
        <v>300000</v>
      </c>
      <c r="M9" s="148">
        <f>IF(VLOOKUP(B9,DS,18,0)="x",E9*$M$3,0)</f>
        <v>56250</v>
      </c>
      <c r="N9" s="148">
        <f>IF(VLOOKUP(B9,DS,18,0)="x",E9*$N$3,0)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-10'!$B$8:$AS$17,36,0)</f>
        <v>26</v>
      </c>
      <c r="G10" s="145">
        <f>ROUND(E10/$S$2*F10,0)</f>
        <v>3750000</v>
      </c>
      <c r="H10" s="144">
        <f>(VLOOKUP(B10,'CC -10'!$B$8:$AS$17,37,0)+VLOOKUP(B10,'CC -10'!$B$8:$AS$17,38,0))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IF(VLOOKUP(B10,DS,18,0)="x",E10*$L$3,0)</f>
        <v>300000</v>
      </c>
      <c r="M10" s="148">
        <f>IF(VLOOKUP(B10,DS,18,0)="x",E10*$M$3,0)</f>
        <v>56250</v>
      </c>
      <c r="N10" s="148">
        <f>IF(VLOOKUP(B10,DS,18,0)="x",E10*$N$3,0)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-10'!$B$8:$AS$17,36,0)</f>
        <v>26</v>
      </c>
      <c r="G11" s="145">
        <f>ROUND(E11/$S$2*F11,0)</f>
        <v>3500000</v>
      </c>
      <c r="H11" s="144">
        <f>(VLOOKUP(B11,'CC -10'!$B$8:$AS$17,37,0)+VLOOKUP(B11,'CC -10'!$B$8:$AS$17,38,0))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IF(VLOOKUP(B11,DS,18,0)="x",E11*$L$3,0)</f>
        <v>280000</v>
      </c>
      <c r="M11" s="148">
        <f>IF(VLOOKUP(B11,DS,18,0)="x",E11*$M$3,0)</f>
        <v>52500</v>
      </c>
      <c r="N11" s="148">
        <f>IF(VLOOKUP(B11,DS,18,0)="x",E11*$N$3,0)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-10'!$B$8:$AS$17,36,0)</f>
        <v>26</v>
      </c>
      <c r="G15" s="145">
        <f>ROUND(E15/$S$2*F15,0)</f>
        <v>3500000</v>
      </c>
      <c r="H15" s="144">
        <f>(VLOOKUP(B15,'CC -10'!$B$8:$AS$17,37,0)+VLOOKUP(B15,'CC -10'!$B$8:$AS$17,38,0))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IF(VLOOKUP(B15,DS,18,0)="x",E15*$L$3,0)</f>
        <v>280000</v>
      </c>
      <c r="M15" s="148">
        <f>IF(VLOOKUP(B15,DS,18,0)="x",E15*$M$3,0)</f>
        <v>52500</v>
      </c>
      <c r="N15" s="148">
        <f>IF(VLOOKUP(B15,DS,18,0)="x",E15*$N$3,0)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10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42675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42675</v>
      </c>
      <c r="G5" s="73">
        <f t="shared" ref="G5:AJ5" si="0">F5+1</f>
        <v>42676</v>
      </c>
      <c r="H5" s="73">
        <f t="shared" si="0"/>
        <v>42677</v>
      </c>
      <c r="I5" s="73">
        <f t="shared" si="0"/>
        <v>42678</v>
      </c>
      <c r="J5" s="73">
        <f t="shared" si="0"/>
        <v>42679</v>
      </c>
      <c r="K5" s="73">
        <f t="shared" si="0"/>
        <v>42680</v>
      </c>
      <c r="L5" s="73">
        <f t="shared" si="0"/>
        <v>42681</v>
      </c>
      <c r="M5" s="73">
        <f t="shared" si="0"/>
        <v>42682</v>
      </c>
      <c r="N5" s="73">
        <f t="shared" si="0"/>
        <v>42683</v>
      </c>
      <c r="O5" s="73">
        <f t="shared" si="0"/>
        <v>42684</v>
      </c>
      <c r="P5" s="73">
        <f t="shared" si="0"/>
        <v>42685</v>
      </c>
      <c r="Q5" s="73">
        <f t="shared" si="0"/>
        <v>42686</v>
      </c>
      <c r="R5" s="73">
        <f t="shared" si="0"/>
        <v>42687</v>
      </c>
      <c r="S5" s="73">
        <f t="shared" si="0"/>
        <v>42688</v>
      </c>
      <c r="T5" s="73">
        <f t="shared" si="0"/>
        <v>42689</v>
      </c>
      <c r="U5" s="73">
        <f t="shared" si="0"/>
        <v>42690</v>
      </c>
      <c r="V5" s="73">
        <f t="shared" si="0"/>
        <v>42691</v>
      </c>
      <c r="W5" s="73">
        <f t="shared" si="0"/>
        <v>42692</v>
      </c>
      <c r="X5" s="73">
        <f t="shared" si="0"/>
        <v>42693</v>
      </c>
      <c r="Y5" s="73">
        <f t="shared" si="0"/>
        <v>42694</v>
      </c>
      <c r="Z5" s="73">
        <f t="shared" si="0"/>
        <v>42695</v>
      </c>
      <c r="AA5" s="73">
        <f t="shared" si="0"/>
        <v>42696</v>
      </c>
      <c r="AB5" s="73">
        <f t="shared" si="0"/>
        <v>42697</v>
      </c>
      <c r="AC5" s="73">
        <f t="shared" si="0"/>
        <v>42698</v>
      </c>
      <c r="AD5" s="73">
        <f t="shared" si="0"/>
        <v>42699</v>
      </c>
      <c r="AE5" s="73">
        <f t="shared" si="0"/>
        <v>42700</v>
      </c>
      <c r="AF5" s="73">
        <f t="shared" si="0"/>
        <v>42701</v>
      </c>
      <c r="AG5" s="73">
        <f t="shared" si="0"/>
        <v>42702</v>
      </c>
      <c r="AH5" s="73">
        <f>AG5+1</f>
        <v>42703</v>
      </c>
      <c r="AI5" s="73">
        <f t="shared" si="0"/>
        <v>42704</v>
      </c>
      <c r="AJ5" s="73">
        <f t="shared" si="0"/>
        <v>42705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26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3">
        <f>((SUM(F11:AJ11))/8)-(SUMIF($F$6:$AJ$6,"C.Nhật",F11:AJ11)/8)</f>
        <v>26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26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3">
        <f>((SUM(F13:AJ13))/8)-(SUMIF($F$6:$AJ$6,"C.Nhật",F13:AJ13)/8)</f>
        <v>26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26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23">
        <f t="shared" ref="AK16" si="2">((SUM(F16:AJ16))/8)-(SUMIF($F$6:$AJ$6,"C.Nhật",F16:AJ16)/8)</f>
        <v>26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26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6:AJ17">
    <cfRule type="expression" dxfId="11" priority="20" stopIfTrue="1">
      <formula>IF(WEEKDAY(F$5)=1,TRUE,FALSE)</formula>
    </cfRule>
  </conditionalFormatting>
  <conditionalFormatting sqref="F9:AJ10 F11:AI14">
    <cfRule type="expression" dxfId="10" priority="19" stopIfTrue="1">
      <formula>IF(WEEKDAY(F$5)=1,TRUE,FALSE)</formula>
    </cfRule>
  </conditionalFormatting>
  <conditionalFormatting sqref="AJ11:AJ12">
    <cfRule type="expression" dxfId="9" priority="10" stopIfTrue="1">
      <formula>IF(WEEKDAY(AJ$5)=1,TRUE,FALSE)</formula>
    </cfRule>
  </conditionalFormatting>
  <conditionalFormatting sqref="AJ11:AJ12">
    <cfRule type="expression" dxfId="8" priority="9" stopIfTrue="1">
      <formula>IF(WEEKDAY(AJ$5)=1,TRUE,FALSE)</formula>
    </cfRule>
  </conditionalFormatting>
  <conditionalFormatting sqref="AJ13:AJ14">
    <cfRule type="expression" dxfId="7" priority="8" stopIfTrue="1">
      <formula>IF(WEEKDAY(AJ$5)=1,TRUE,FALSE)</formula>
    </cfRule>
  </conditionalFormatting>
  <conditionalFormatting sqref="AJ13:AJ14">
    <cfRule type="expression" dxfId="6" priority="7" stopIfTrue="1">
      <formula>IF(WEEKDAY(AJ$5)=1,TRUE,FALSE)</formula>
    </cfRule>
  </conditionalFormatting>
  <conditionalFormatting sqref="F16:AI17">
    <cfRule type="expression" dxfId="5" priority="6" stopIfTrue="1">
      <formula>IF(WEEKDAY(F$5)=1,TRUE,FALSE)</formula>
    </cfRule>
  </conditionalFormatting>
  <conditionalFormatting sqref="F16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8" t="str">
        <f>"BẢNG THANH TOÁN LƯƠNG THÁNG"&amp;" "&amp;TEXT($E$3,"mm")&amp;" / "&amp;TEXT($E$3,"yyyy")</f>
        <v>BẢNG THANH TOÁN LƯƠNG THÁNG 11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-11'!$E$4</f>
        <v>42675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-11'!$B$8:$AS$17,36,0)</f>
        <v>26</v>
      </c>
      <c r="G9" s="145">
        <f>ROUND(E9/$S$2*F9,0)</f>
        <v>3750000</v>
      </c>
      <c r="H9" s="144">
        <f>(VLOOKUP(B9,'CC -11'!$B$8:$AS$17,37,0)+VLOOKUP(B9,'CC -11'!$B$8:$AS$17,38,0))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IF(VLOOKUP(B9,DS,19,0)="x",E9*$L$3,0)</f>
        <v>300000</v>
      </c>
      <c r="M9" s="148">
        <f>IF(VLOOKUP(B9,DS,19,0)="x",E9*$M$3,0)</f>
        <v>56250</v>
      </c>
      <c r="N9" s="148">
        <f>IF(VLOOKUP(B9,DS,19,0)="x",E9*$N$3,0)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-11'!$B$8:$AS$17,36,0)</f>
        <v>26</v>
      </c>
      <c r="G10" s="145">
        <f>ROUND(E10/$S$2*F10,0)</f>
        <v>3750000</v>
      </c>
      <c r="H10" s="144">
        <f>(VLOOKUP(B10,'CC -11'!$B$8:$AS$17,37,0)+VLOOKUP(B10,'CC -11'!$B$8:$AS$17,38,0))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IF(VLOOKUP(B10,DS,19,0)="x",E10*$L$3,0)</f>
        <v>300000</v>
      </c>
      <c r="M10" s="148">
        <f>IF(VLOOKUP(B10,DS,19,0)="x",E10*$M$3,0)</f>
        <v>56250</v>
      </c>
      <c r="N10" s="148">
        <f>IF(VLOOKUP(B10,DS,19,0)="x",E10*$N$3,0)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-11'!$B$8:$AS$17,36,0)</f>
        <v>26</v>
      </c>
      <c r="G11" s="145">
        <f>ROUND(E11/$S$2*F11,0)</f>
        <v>3500000</v>
      </c>
      <c r="H11" s="144">
        <f>(VLOOKUP(B11,'CC -11'!$B$8:$AS$17,37,0)+VLOOKUP(B11,'CC -11'!$B$8:$AS$17,38,0))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IF(VLOOKUP(B11,DS,19,0)="x",E11*$L$3,0)</f>
        <v>280000</v>
      </c>
      <c r="M11" s="148">
        <f>IF(VLOOKUP(B11,DS,19,0)="x",E11*$M$3,0)</f>
        <v>52500</v>
      </c>
      <c r="N11" s="148">
        <f>IF(VLOOKUP(B11,DS,19,0)="x",E11*$N$3,0)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-11'!$B$8:$AS$17,36,0)</f>
        <v>26</v>
      </c>
      <c r="G15" s="145">
        <f>ROUND(E15/$S$2*F15,0)</f>
        <v>3500000</v>
      </c>
      <c r="H15" s="144">
        <f>(VLOOKUP(B15,'CC -11'!$B$8:$AS$17,37,0)+VLOOKUP(B15,'CC -11'!$B$8:$AS$17,38,0))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IF(VLOOKUP(B15,DS,19,0)="x",E15*$L$3,0)</f>
        <v>280000</v>
      </c>
      <c r="M15" s="148">
        <f>IF(VLOOKUP(B15,DS,19,0)="x",E15*$M$3,0)</f>
        <v>52500</v>
      </c>
      <c r="N15" s="148">
        <f>IF(VLOOKUP(B15,DS,19,0)="x",E15*$N$3,0)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11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57:IH65324 A9:B13 AC4:IH12 T4:T12 O9:Q12 O15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116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42705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117</v>
      </c>
      <c r="B5" s="233" t="s">
        <v>4</v>
      </c>
      <c r="C5" s="233" t="s">
        <v>5</v>
      </c>
      <c r="D5" s="235" t="s">
        <v>118</v>
      </c>
      <c r="E5" s="233" t="s">
        <v>119</v>
      </c>
      <c r="F5" s="73">
        <f>+E4</f>
        <v>42705</v>
      </c>
      <c r="G5" s="73">
        <f t="shared" ref="G5:AJ5" si="0">F5+1</f>
        <v>42706</v>
      </c>
      <c r="H5" s="73">
        <f t="shared" si="0"/>
        <v>42707</v>
      </c>
      <c r="I5" s="73">
        <f t="shared" si="0"/>
        <v>42708</v>
      </c>
      <c r="J5" s="73">
        <f t="shared" si="0"/>
        <v>42709</v>
      </c>
      <c r="K5" s="73">
        <f t="shared" si="0"/>
        <v>42710</v>
      </c>
      <c r="L5" s="73">
        <f t="shared" si="0"/>
        <v>42711</v>
      </c>
      <c r="M5" s="73">
        <f t="shared" si="0"/>
        <v>42712</v>
      </c>
      <c r="N5" s="73">
        <f t="shared" si="0"/>
        <v>42713</v>
      </c>
      <c r="O5" s="73">
        <f t="shared" si="0"/>
        <v>42714</v>
      </c>
      <c r="P5" s="73">
        <f t="shared" si="0"/>
        <v>42715</v>
      </c>
      <c r="Q5" s="73">
        <f t="shared" si="0"/>
        <v>42716</v>
      </c>
      <c r="R5" s="73">
        <f t="shared" si="0"/>
        <v>42717</v>
      </c>
      <c r="S5" s="73">
        <f t="shared" si="0"/>
        <v>42718</v>
      </c>
      <c r="T5" s="73">
        <f t="shared" si="0"/>
        <v>42719</v>
      </c>
      <c r="U5" s="73">
        <f t="shared" si="0"/>
        <v>42720</v>
      </c>
      <c r="V5" s="73">
        <f t="shared" si="0"/>
        <v>42721</v>
      </c>
      <c r="W5" s="73">
        <f t="shared" si="0"/>
        <v>42722</v>
      </c>
      <c r="X5" s="73">
        <f t="shared" si="0"/>
        <v>42723</v>
      </c>
      <c r="Y5" s="73">
        <f t="shared" si="0"/>
        <v>42724</v>
      </c>
      <c r="Z5" s="73">
        <f t="shared" si="0"/>
        <v>42725</v>
      </c>
      <c r="AA5" s="73">
        <f t="shared" si="0"/>
        <v>42726</v>
      </c>
      <c r="AB5" s="73">
        <f t="shared" si="0"/>
        <v>42727</v>
      </c>
      <c r="AC5" s="73">
        <f t="shared" si="0"/>
        <v>42728</v>
      </c>
      <c r="AD5" s="73">
        <f t="shared" si="0"/>
        <v>42729</v>
      </c>
      <c r="AE5" s="73">
        <f t="shared" si="0"/>
        <v>42730</v>
      </c>
      <c r="AF5" s="73">
        <f t="shared" si="0"/>
        <v>42731</v>
      </c>
      <c r="AG5" s="73">
        <f t="shared" si="0"/>
        <v>42732</v>
      </c>
      <c r="AH5" s="73">
        <f>AG5+1</f>
        <v>42733</v>
      </c>
      <c r="AI5" s="73">
        <f t="shared" si="0"/>
        <v>42734</v>
      </c>
      <c r="AJ5" s="73">
        <f t="shared" si="0"/>
        <v>42735</v>
      </c>
      <c r="AK5" s="236" t="s">
        <v>120</v>
      </c>
      <c r="AL5" s="237"/>
      <c r="AM5" s="238"/>
      <c r="AN5" s="239" t="s">
        <v>121</v>
      </c>
      <c r="AO5" s="239" t="s">
        <v>122</v>
      </c>
      <c r="AP5" s="239" t="s">
        <v>123</v>
      </c>
      <c r="AQ5" s="239" t="s">
        <v>124</v>
      </c>
      <c r="AR5" s="239" t="s">
        <v>125</v>
      </c>
      <c r="AS5" s="235" t="s">
        <v>126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Nguyễn Phước Bảo Việt Hùng</v>
      </c>
      <c r="D9" s="221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5">
        <f>SUMIF($F$6:$AJ$6,"C.Nhật",$F9:$AJ10)/8*2</f>
        <v>0</v>
      </c>
      <c r="AN9" s="213">
        <f>SUM(AK9:AM10)</f>
        <v>27</v>
      </c>
      <c r="AO9" s="227">
        <v>0</v>
      </c>
      <c r="AP9" s="213"/>
      <c r="AQ9" s="213"/>
      <c r="AR9" s="213"/>
      <c r="AS9" s="21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6"/>
      <c r="AN10" s="214"/>
      <c r="AO10" s="228"/>
      <c r="AP10" s="214"/>
      <c r="AQ10" s="214"/>
      <c r="AR10" s="214"/>
      <c r="AS10" s="21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17">
        <v>2</v>
      </c>
      <c r="B11" s="217" t="s">
        <v>164</v>
      </c>
      <c r="C11" s="219" t="str">
        <f>VLOOKUP(B11,DS,2,0)</f>
        <v>Mai Thị Hường</v>
      </c>
      <c r="D11" s="221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3">
        <f>((SUM(F11:AJ11))/8)-(SUMIF($F$6:$AJ$6,"C.Nhật",F11:AJ11)/8)</f>
        <v>27</v>
      </c>
      <c r="AL11" s="223">
        <f>SUM(F12:AJ12)/8*1.5</f>
        <v>0</v>
      </c>
      <c r="AM11" s="225">
        <f>SUMIF($F$6:$AJ$6,"C.Nhật",$F11:$AJ12)/8*2</f>
        <v>0</v>
      </c>
      <c r="AN11" s="213">
        <f>SUM(AK11:AM12)</f>
        <v>27</v>
      </c>
      <c r="AO11" s="227">
        <v>0</v>
      </c>
      <c r="AP11" s="213"/>
      <c r="AQ11" s="213"/>
      <c r="AR11" s="213"/>
      <c r="AS11" s="215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18"/>
      <c r="B12" s="218"/>
      <c r="C12" s="220"/>
      <c r="D12" s="222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4"/>
      <c r="AL12" s="224"/>
      <c r="AM12" s="226"/>
      <c r="AN12" s="214"/>
      <c r="AO12" s="228"/>
      <c r="AP12" s="214"/>
      <c r="AQ12" s="214"/>
      <c r="AR12" s="214"/>
      <c r="AS12" s="216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17">
        <v>3</v>
      </c>
      <c r="B13" s="217" t="s">
        <v>167</v>
      </c>
      <c r="C13" s="219" t="str">
        <f>VLOOKUP(B13,DS,2,0)</f>
        <v>Đào Quảng Ninh</v>
      </c>
      <c r="D13" s="221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3">
        <f>((SUM(F13:AJ13))/8)-(SUMIF($F$6:$AJ$6,"C.Nhật",F13:AJ13)/8)</f>
        <v>27</v>
      </c>
      <c r="AL13" s="223">
        <f>SUM(F14:AJ14)/8*1.5</f>
        <v>0</v>
      </c>
      <c r="AM13" s="225">
        <f>SUMIF($F$6:$AJ$6,"C.Nhật",$F13:$AJ14)/8*2</f>
        <v>0</v>
      </c>
      <c r="AN13" s="213">
        <f>SUM(AK13:AM14)</f>
        <v>27</v>
      </c>
      <c r="AO13" s="227">
        <v>0</v>
      </c>
      <c r="AP13" s="213"/>
      <c r="AQ13" s="213"/>
      <c r="AR13" s="213"/>
      <c r="AS13" s="215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18"/>
      <c r="B14" s="218"/>
      <c r="C14" s="220"/>
      <c r="D14" s="222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4"/>
      <c r="AL14" s="224"/>
      <c r="AM14" s="226"/>
      <c r="AN14" s="214"/>
      <c r="AO14" s="228"/>
      <c r="AP14" s="214"/>
      <c r="AQ14" s="214"/>
      <c r="AR14" s="214"/>
      <c r="AS14" s="216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17">
        <v>1</v>
      </c>
      <c r="B16" s="217" t="s">
        <v>30</v>
      </c>
      <c r="C16" s="219" t="str">
        <f>VLOOKUP(B16,DS,2,0)</f>
        <v>Thạch Huy Chạch</v>
      </c>
      <c r="D16" s="221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>
        <v>8</v>
      </c>
      <c r="AK16" s="223">
        <f t="shared" ref="AK16" si="2">((SUM(F16:AJ16))/8)-(SUMIF($F$6:$AJ$6,"C.Nhật",F16:AJ16)/8)</f>
        <v>27</v>
      </c>
      <c r="AL16" s="223">
        <f t="shared" ref="AL16" si="3">SUM(F17:AJ17)/8*1.5</f>
        <v>0</v>
      </c>
      <c r="AM16" s="225">
        <f>SUMIF($F$6:$AJ$6,"C.Nhật",$F16:$AJ17)/8*2</f>
        <v>0</v>
      </c>
      <c r="AN16" s="213">
        <f t="shared" ref="AN16" si="4">SUM(AK16:AM17)</f>
        <v>27</v>
      </c>
      <c r="AO16" s="227">
        <v>0</v>
      </c>
      <c r="AP16" s="213"/>
      <c r="AQ16" s="213"/>
      <c r="AR16" s="213"/>
      <c r="AS16" s="215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18"/>
      <c r="B17" s="218"/>
      <c r="C17" s="220"/>
      <c r="D17" s="222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24"/>
      <c r="AL17" s="224"/>
      <c r="AM17" s="226"/>
      <c r="AN17" s="214"/>
      <c r="AO17" s="228"/>
      <c r="AP17" s="214"/>
      <c r="AQ17" s="214"/>
      <c r="AR17" s="214"/>
      <c r="AS17" s="216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6:AJ17">
    <cfRule type="expression" dxfId="3" priority="18" stopIfTrue="1">
      <formula>IF(WEEKDAY(F$5)=1,TRUE,FALSE)</formula>
    </cfRule>
  </conditionalFormatting>
  <conditionalFormatting sqref="F9:AJ14">
    <cfRule type="expression" dxfId="2" priority="17" stopIfTrue="1">
      <formula>IF(WEEKDAY(F$5)=1,TRUE,FALSE)</formula>
    </cfRule>
  </conditionalFormatting>
  <conditionalFormatting sqref="F16:AJ17">
    <cfRule type="expression" dxfId="1" priority="4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L15" sqref="L15:N15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8" t="str">
        <f>"BẢNG THANH TOÁN LƯƠNG THÁNG"&amp;" "&amp;TEXT($E$3,"mm")&amp;" / "&amp;TEXT($E$3,"yyyy")</f>
        <v>BẢNG THANH TOÁN LƯƠNG THÁNG 12 / 2016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9"/>
      <c r="P1" s="250" t="s">
        <v>116</v>
      </c>
      <c r="Q1" s="251"/>
      <c r="R1" s="252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-12'!$AK$9:$AK$17)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-12'!$E$4</f>
        <v>42705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53" t="s">
        <v>3</v>
      </c>
      <c r="B4" s="253" t="s">
        <v>145</v>
      </c>
      <c r="C4" s="199" t="s">
        <v>5</v>
      </c>
      <c r="D4" s="199" t="s">
        <v>6</v>
      </c>
      <c r="E4" s="204" t="s">
        <v>7</v>
      </c>
      <c r="F4" s="255" t="s">
        <v>146</v>
      </c>
      <c r="G4" s="256"/>
      <c r="H4" s="256"/>
      <c r="I4" s="256"/>
      <c r="J4" s="256"/>
      <c r="K4" s="257"/>
      <c r="L4" s="199" t="s">
        <v>147</v>
      </c>
      <c r="M4" s="199"/>
      <c r="N4" s="199"/>
      <c r="O4" s="244" t="s">
        <v>148</v>
      </c>
      <c r="P4" s="244" t="s">
        <v>149</v>
      </c>
      <c r="Q4" s="244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54"/>
      <c r="B5" s="254"/>
      <c r="C5" s="199"/>
      <c r="D5" s="199"/>
      <c r="E5" s="204"/>
      <c r="F5" s="255" t="s">
        <v>152</v>
      </c>
      <c r="G5" s="257"/>
      <c r="H5" s="255" t="s">
        <v>153</v>
      </c>
      <c r="I5" s="256"/>
      <c r="J5" s="242" t="s">
        <v>154</v>
      </c>
      <c r="K5" s="244" t="s">
        <v>155</v>
      </c>
      <c r="L5" s="246" t="s">
        <v>156</v>
      </c>
      <c r="M5" s="244" t="s">
        <v>157</v>
      </c>
      <c r="N5" s="244" t="s">
        <v>158</v>
      </c>
      <c r="O5" s="245"/>
      <c r="P5" s="245"/>
      <c r="Q5" s="245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54"/>
      <c r="B6" s="254"/>
      <c r="C6" s="244"/>
      <c r="D6" s="244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43"/>
      <c r="K6" s="245"/>
      <c r="L6" s="247"/>
      <c r="M6" s="245"/>
      <c r="N6" s="245"/>
      <c r="O6" s="245"/>
      <c r="P6" s="245"/>
      <c r="Q6" s="245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-12'!$B$8:$AS$17,36,0)</f>
        <v>27</v>
      </c>
      <c r="G9" s="145">
        <f>ROUND(E9/$S$2*F9,0)</f>
        <v>3750000</v>
      </c>
      <c r="H9" s="144">
        <f>(VLOOKUP(B9,'CC -12'!$B$8:$AS$17,37,0)+VLOOKUP(B9,'CC -12'!$B$8:$AS$17,38,0))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IF(VLOOKUP(B9,DS,20,0)="x",E9*$L$3,0)</f>
        <v>300000</v>
      </c>
      <c r="M9" s="148">
        <f>IF(VLOOKUP(B9,DS,20,0)="x",E9*$M$3,0)</f>
        <v>56250</v>
      </c>
      <c r="N9" s="148">
        <f>IF(VLOOKUP(B9,DS,20,0)="x",E9*$N$3,0)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-12'!$B$8:$AS$17,36,0)</f>
        <v>27</v>
      </c>
      <c r="G10" s="145">
        <f>ROUND(E10/$S$2*F10,0)</f>
        <v>3750000</v>
      </c>
      <c r="H10" s="144">
        <f>(VLOOKUP(B10,'CC -12'!$B$8:$AS$17,37,0)+VLOOKUP(B10,'CC -12'!$B$8:$AS$17,38,0))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IF(VLOOKUP(B10,DS,20,0)="x",E10*$L$3,0)</f>
        <v>300000</v>
      </c>
      <c r="M10" s="148">
        <f>IF(VLOOKUP(B10,DS,20,0)="x",E10*$M$3,0)</f>
        <v>56250</v>
      </c>
      <c r="N10" s="148">
        <f>IF(VLOOKUP(B10,DS,20,0)="x",E10*$N$3,0)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-12'!$B$8:$AS$17,36,0)</f>
        <v>27</v>
      </c>
      <c r="G11" s="145">
        <f>ROUND(E11/$S$2*F11,0)</f>
        <v>3500000</v>
      </c>
      <c r="H11" s="144">
        <f>(VLOOKUP(B11,'CC -12'!$B$8:$AS$17,37,0)+VLOOKUP(B11,'CC -12'!$B$8:$AS$17,38,0))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IF(VLOOKUP(B11,DS,20,0)="x",E11*$L$3,0)</f>
        <v>280000</v>
      </c>
      <c r="M11" s="148">
        <f>IF(VLOOKUP(B11,DS,20,0)="x",E11*$M$3,0)</f>
        <v>52500</v>
      </c>
      <c r="N11" s="148">
        <f>IF(VLOOKUP(B11,DS,20,0)="x",E11*$N$3,0)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41" t="s">
        <v>32</v>
      </c>
      <c r="B13" s="241"/>
      <c r="C13" s="241"/>
      <c r="D13" s="241"/>
      <c r="E13" s="162">
        <f>SUM(E8:E9)</f>
        <v>3750000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-12'!$B$8:$AS$17,36,0)</f>
        <v>27</v>
      </c>
      <c r="G15" s="145">
        <f>ROUND(E15/$S$2*F15,0)</f>
        <v>3500000</v>
      </c>
      <c r="H15" s="144">
        <f>(VLOOKUP(B15,'CC -12'!$B$8:$AS$17,37,0)+VLOOKUP(B15,'CC -12'!$B$8:$AS$17,38,0))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IF(VLOOKUP(B15,DS,20,0)="x",E15*$L$3,0)</f>
        <v>280000</v>
      </c>
      <c r="M15" s="148">
        <f>IF(VLOOKUP(B15,DS,20,0)="x",E15*$M$3,0)</f>
        <v>52500</v>
      </c>
      <c r="N15" s="148">
        <f>IF(VLOOKUP(B15,DS,20,0)="x",E15*$N$3,0)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41" t="s">
        <v>32</v>
      </c>
      <c r="B17" s="241"/>
      <c r="C17" s="241"/>
      <c r="D17" s="241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T4:T12 AC4:IH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2016-09-21T07:52:08Z</dcterms:modified>
</cp:coreProperties>
</file>